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comments8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.montgomery\cc\"/>
    </mc:Choice>
  </mc:AlternateContent>
  <xr:revisionPtr revIDLastSave="0" documentId="8_{95C8CD41-E41A-4481-9A59-5A9BF076F7C1}" xr6:coauthVersionLast="47" xr6:coauthVersionMax="47" xr10:uidLastSave="{00000000-0000-0000-0000-000000000000}"/>
  <bookViews>
    <workbookView xWindow="-110" yWindow="-110" windowWidth="19420" windowHeight="11500" activeTab="6" xr2:uid="{14222A7C-F06F-4E0D-93BA-DC9955ECA66F}"/>
  </bookViews>
  <sheets>
    <sheet name="CIF" sheetId="1" r:id="rId1"/>
    <sheet name="EXPORT" sheetId="16" r:id="rId2"/>
    <sheet name="OFFERS" sheetId="19" r:id="rId3"/>
    <sheet name="SEAM" sheetId="18" r:id="rId4"/>
    <sheet name="COSTS" sheetId="6" r:id="rId5"/>
    <sheet name="PTS" sheetId="14" r:id="rId6"/>
    <sheet name="USD" sheetId="13" r:id="rId7"/>
    <sheet name="FAQ" sheetId="17" r:id="rId8"/>
    <sheet name="Seam Tariffs" sheetId="2" r:id="rId9"/>
    <sheet name="Cert Tariffs" sheetId="3" r:id="rId10"/>
    <sheet name="OTR" sheetId="5" r:id="rId11"/>
    <sheet name="OCEAN" sheetId="7" r:id="rId12"/>
    <sheet name="LC COSTS" sheetId="10" r:id="rId13"/>
    <sheet name="INSURANCE" sheetId="9" r:id="rId14"/>
    <sheet name="CONTROLLER" sheetId="8" r:id="rId15"/>
    <sheet name="COST OF FUNDS" sheetId="11" r:id="rId16"/>
    <sheet name="Flat Bed &amp; Late Fees" sheetId="4" r:id="rId17"/>
    <sheet name="Regions and Ports" sheetId="15" r:id="rId18"/>
  </sheets>
  <externalReferences>
    <externalReference r:id="rId19"/>
    <externalReference r:id="rId20"/>
  </externalReferences>
  <definedNames>
    <definedName name="_xlnm._FilterDatabase" localSheetId="9" hidden="1">'Cert Tariffs'!$A$8:$AC$8</definedName>
    <definedName name="_xlnm._FilterDatabase" localSheetId="11" hidden="1">OCEAN!$A$3:$S$649</definedName>
    <definedName name="_xlnm._FilterDatabase" localSheetId="10" hidden="1">OTR!$A$1:$M$880</definedName>
    <definedName name="_xlnm._FilterDatabase" localSheetId="5" hidden="1">PTS!$A$2:$AX$375</definedName>
    <definedName name="_xlnm._FilterDatabase" localSheetId="17" hidden="1">'Regions and Ports'!$A$1:$G$322</definedName>
    <definedName name="_xlnm._FilterDatabase" localSheetId="3" hidden="1">SEAM!$A$2:$AS$244</definedName>
    <definedName name="_xlnm._FilterDatabase" localSheetId="8" hidden="1">'Seam Tariffs'!$A$1:$Z$322</definedName>
    <definedName name="_xlnm._FilterDatabase" localSheetId="6" hidden="1">USD!$A$2:$AU$375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5" l="1"/>
  <c r="H68" i="5"/>
  <c r="I68" i="5"/>
  <c r="J68" i="5"/>
  <c r="K68" i="5"/>
  <c r="M68" i="5"/>
  <c r="E69" i="5"/>
  <c r="H69" i="5"/>
  <c r="I69" i="5"/>
  <c r="J69" i="5"/>
  <c r="K69" i="5"/>
  <c r="M69" i="5"/>
  <c r="E70" i="5"/>
  <c r="F70" i="5"/>
  <c r="H70" i="5"/>
  <c r="I70" i="5"/>
  <c r="J70" i="5"/>
  <c r="K70" i="5"/>
  <c r="M70" i="5"/>
  <c r="E55" i="5"/>
  <c r="H55" i="5"/>
  <c r="J55" i="5" s="1"/>
  <c r="K55" i="5" s="1"/>
  <c r="I55" i="5"/>
  <c r="M55" i="5"/>
  <c r="E56" i="5"/>
  <c r="H56" i="5"/>
  <c r="I56" i="5"/>
  <c r="J56" i="5" s="1"/>
  <c r="K56" i="5" s="1"/>
  <c r="M56" i="5"/>
  <c r="E57" i="5"/>
  <c r="F57" i="5"/>
  <c r="H57" i="5"/>
  <c r="I57" i="5"/>
  <c r="J57" i="5"/>
  <c r="K57" i="5"/>
  <c r="M57" i="5"/>
  <c r="I379" i="5" l="1"/>
  <c r="H379" i="5"/>
  <c r="J379" i="5" s="1"/>
  <c r="K379" i="5" s="1"/>
  <c r="F379" i="5"/>
  <c r="E379" i="5"/>
  <c r="I390" i="5"/>
  <c r="H390" i="5"/>
  <c r="J390" i="5" s="1"/>
  <c r="K390" i="5" s="1"/>
  <c r="F390" i="5"/>
  <c r="E390" i="5"/>
  <c r="I404" i="5"/>
  <c r="H404" i="5"/>
  <c r="F404" i="5"/>
  <c r="E404" i="5"/>
  <c r="I751" i="5"/>
  <c r="H751" i="5"/>
  <c r="J751" i="5" s="1"/>
  <c r="K751" i="5" s="1"/>
  <c r="F751" i="5"/>
  <c r="E751" i="5"/>
  <c r="I761" i="5"/>
  <c r="H761" i="5"/>
  <c r="J761" i="5" s="1"/>
  <c r="K761" i="5" s="1"/>
  <c r="F761" i="5"/>
  <c r="E761" i="5"/>
  <c r="I842" i="5"/>
  <c r="H842" i="5"/>
  <c r="J842" i="5" s="1"/>
  <c r="K842" i="5" s="1"/>
  <c r="F842" i="5"/>
  <c r="E842" i="5"/>
  <c r="I819" i="5"/>
  <c r="H819" i="5"/>
  <c r="J819" i="5" s="1"/>
  <c r="K819" i="5" s="1"/>
  <c r="F819" i="5"/>
  <c r="E819" i="5"/>
  <c r="H768" i="5"/>
  <c r="I768" i="5"/>
  <c r="J768" i="5"/>
  <c r="K768" i="5"/>
  <c r="F768" i="5"/>
  <c r="E768" i="5"/>
  <c r="F840" i="5"/>
  <c r="H840" i="5"/>
  <c r="I840" i="5"/>
  <c r="J840" i="5" s="1"/>
  <c r="K840" i="5" s="1"/>
  <c r="E840" i="5"/>
  <c r="I861" i="5"/>
  <c r="H861" i="5"/>
  <c r="J861" i="5" s="1"/>
  <c r="K861" i="5" s="1"/>
  <c r="F861" i="5"/>
  <c r="E861" i="5"/>
  <c r="I856" i="5"/>
  <c r="H856" i="5"/>
  <c r="J856" i="5" s="1"/>
  <c r="K856" i="5" s="1"/>
  <c r="F856" i="5"/>
  <c r="E856" i="5"/>
  <c r="I750" i="5"/>
  <c r="H750" i="5"/>
  <c r="J750" i="5" s="1"/>
  <c r="K750" i="5" s="1"/>
  <c r="F750" i="5"/>
  <c r="E750" i="5"/>
  <c r="I800" i="5"/>
  <c r="H800" i="5"/>
  <c r="J800" i="5" s="1"/>
  <c r="K800" i="5" s="1"/>
  <c r="F800" i="5"/>
  <c r="E800" i="5"/>
  <c r="L7" i="9"/>
  <c r="K7" i="9"/>
  <c r="L6" i="9"/>
  <c r="K6" i="9"/>
  <c r="L5" i="9"/>
  <c r="K5" i="9"/>
  <c r="L4" i="9"/>
  <c r="K4" i="9"/>
  <c r="J404" i="5" l="1"/>
  <c r="K404" i="5" s="1"/>
  <c r="M861" i="5"/>
  <c r="M819" i="5"/>
  <c r="M800" i="5"/>
  <c r="M136" i="5"/>
  <c r="M404" i="5"/>
  <c r="M840" i="5"/>
  <c r="M12" i="5"/>
  <c r="M842" i="5"/>
  <c r="M750" i="5"/>
  <c r="M390" i="5"/>
  <c r="M768" i="5"/>
  <c r="M761" i="5"/>
  <c r="M856" i="5"/>
  <c r="M379" i="5"/>
  <c r="M751" i="5"/>
  <c r="M414" i="5"/>
  <c r="M90" i="5"/>
  <c r="M627" i="5"/>
  <c r="M166" i="5"/>
  <c r="M23" i="5"/>
  <c r="M49" i="5"/>
  <c r="M486" i="5"/>
  <c r="M114" i="5"/>
  <c r="M584" i="5"/>
  <c r="M322" i="5"/>
  <c r="M879" i="5"/>
  <c r="M94" i="5"/>
  <c r="M461" i="5"/>
  <c r="M480" i="5"/>
  <c r="M367" i="5"/>
  <c r="M258" i="5"/>
  <c r="M425" i="5"/>
  <c r="M290" i="5"/>
  <c r="M663" i="5"/>
  <c r="M595" i="5"/>
  <c r="M547" i="5"/>
  <c r="M495" i="5"/>
  <c r="M347" i="5"/>
  <c r="M634" i="5"/>
  <c r="M520" i="5"/>
  <c r="M686" i="5"/>
  <c r="M156" i="5"/>
  <c r="M249" i="5"/>
  <c r="M131" i="5"/>
  <c r="M866" i="5"/>
  <c r="M503" i="5"/>
  <c r="M319" i="5"/>
  <c r="M660" i="5"/>
  <c r="M807" i="5"/>
  <c r="M389" i="5"/>
  <c r="M262" i="5"/>
  <c r="M785" i="5"/>
  <c r="M693" i="5"/>
  <c r="M464" i="5"/>
  <c r="M455" i="5"/>
  <c r="M539" i="5"/>
  <c r="M527" i="5"/>
  <c r="M632" i="5"/>
  <c r="M183" i="5"/>
  <c r="M170" i="5"/>
  <c r="M440" i="5"/>
  <c r="M409" i="5"/>
  <c r="M364" i="5"/>
  <c r="M346" i="5"/>
  <c r="M326" i="5"/>
  <c r="M586" i="5"/>
  <c r="M578" i="5"/>
  <c r="M58" i="5"/>
  <c r="M253" i="5"/>
  <c r="M473" i="5"/>
  <c r="M553" i="5"/>
  <c r="M873" i="5"/>
  <c r="M631" i="5"/>
  <c r="M626" i="5"/>
  <c r="M161" i="5"/>
  <c r="M8" i="5"/>
  <c r="M512" i="5"/>
  <c r="M77" i="5"/>
  <c r="M339" i="5"/>
  <c r="M400" i="5"/>
  <c r="M59" i="5"/>
  <c r="M709" i="5"/>
  <c r="M481" i="5"/>
  <c r="M418" i="5"/>
  <c r="M452" i="5"/>
  <c r="M98" i="5"/>
  <c r="M30" i="5"/>
  <c r="M195" i="5"/>
  <c r="M179" i="5"/>
  <c r="M675" i="5"/>
  <c r="M79" i="5"/>
  <c r="M6" i="5"/>
  <c r="M609" i="5"/>
  <c r="M600" i="5"/>
  <c r="M65" i="5"/>
  <c r="M300" i="5"/>
  <c r="M295" i="5"/>
  <c r="M572" i="5"/>
  <c r="M699" i="5"/>
  <c r="M243" i="5"/>
  <c r="M47" i="5"/>
  <c r="M550" i="5"/>
  <c r="M530" i="5"/>
  <c r="M194" i="5"/>
  <c r="M174" i="5"/>
  <c r="M160" i="5"/>
  <c r="M133" i="5"/>
  <c r="M5" i="5"/>
  <c r="M405" i="5"/>
  <c r="M401" i="5"/>
  <c r="M396" i="5"/>
  <c r="M582" i="5"/>
  <c r="M286" i="5"/>
  <c r="M487" i="5"/>
  <c r="M254" i="5"/>
  <c r="M106" i="5"/>
  <c r="M477" i="5"/>
  <c r="M45" i="5"/>
  <c r="M551" i="5"/>
  <c r="M679" i="5"/>
  <c r="M88" i="5"/>
  <c r="M175" i="5"/>
  <c r="M672" i="5"/>
  <c r="M439" i="5"/>
  <c r="M723" i="5"/>
  <c r="M606" i="5"/>
  <c r="M597" i="5"/>
  <c r="M667" i="5"/>
  <c r="M292" i="5"/>
  <c r="M569" i="5"/>
  <c r="M563" i="5"/>
  <c r="M555" i="5"/>
  <c r="M544" i="5"/>
  <c r="M220" i="5"/>
  <c r="M20" i="5"/>
  <c r="M518" i="5"/>
  <c r="M155" i="5"/>
  <c r="M130" i="5"/>
  <c r="M607" i="5"/>
  <c r="M715" i="5"/>
  <c r="M713" i="5"/>
  <c r="M103" i="5"/>
  <c r="M244" i="5"/>
  <c r="M474" i="5"/>
  <c r="M100" i="5"/>
  <c r="M548" i="5"/>
  <c r="M97" i="5"/>
  <c r="M524" i="5"/>
  <c r="M447" i="5"/>
  <c r="M162" i="5"/>
  <c r="M611" i="5"/>
  <c r="M605" i="5"/>
  <c r="M74" i="5"/>
  <c r="M876" i="5"/>
  <c r="M289" i="5"/>
  <c r="M655" i="5"/>
  <c r="M105" i="5"/>
  <c r="M562" i="5"/>
  <c r="M44" i="5"/>
  <c r="M541" i="5"/>
  <c r="M526" i="5"/>
  <c r="M624" i="5"/>
  <c r="M151" i="5"/>
  <c r="M509" i="5"/>
  <c r="M335" i="5"/>
  <c r="M316" i="5"/>
  <c r="M297" i="5"/>
  <c r="M282" i="5"/>
  <c r="M422" i="5"/>
  <c r="M483" i="5"/>
  <c r="M470" i="5"/>
  <c r="M42" i="5"/>
  <c r="M545" i="5"/>
  <c r="M536" i="5"/>
  <c r="M92" i="5"/>
  <c r="M24" i="5"/>
  <c r="M521" i="5"/>
  <c r="M157" i="5"/>
  <c r="M144" i="5"/>
  <c r="M363" i="5"/>
  <c r="M342" i="5"/>
  <c r="M318" i="5"/>
  <c r="M498" i="5"/>
  <c r="M285" i="5"/>
  <c r="M266" i="5"/>
  <c r="M652" i="5"/>
  <c r="M648" i="5"/>
  <c r="M554" i="5"/>
  <c r="M230" i="5"/>
  <c r="M29" i="5"/>
  <c r="M629" i="5"/>
  <c r="M14" i="5"/>
  <c r="M80" i="5"/>
  <c r="M513" i="5"/>
  <c r="M118" i="5"/>
  <c r="M506" i="5"/>
  <c r="M331" i="5"/>
  <c r="M592" i="5"/>
  <c r="M392" i="5"/>
  <c r="M428" i="5"/>
  <c r="M570" i="5"/>
  <c r="M793" i="5"/>
  <c r="M247" i="5"/>
  <c r="M50" i="5"/>
  <c r="M48" i="5"/>
  <c r="M240" i="5"/>
  <c r="M542" i="5"/>
  <c r="M33" i="5"/>
  <c r="M217" i="5"/>
  <c r="M21" i="5"/>
  <c r="M444" i="5"/>
  <c r="M84" i="5"/>
  <c r="M437" i="5"/>
  <c r="M603" i="5"/>
  <c r="M341" i="5"/>
  <c r="M666" i="5"/>
  <c r="M659" i="5"/>
  <c r="M61" i="5"/>
  <c r="M421" i="5"/>
  <c r="M647" i="5"/>
  <c r="M41" i="5"/>
  <c r="M227" i="5"/>
  <c r="M523" i="5"/>
  <c r="M191" i="5"/>
  <c r="M147" i="5"/>
  <c r="M126" i="5"/>
  <c r="M870" i="5"/>
  <c r="M327" i="5"/>
  <c r="M502" i="5"/>
  <c r="M579" i="5"/>
  <c r="M267" i="5"/>
  <c r="M700" i="5"/>
  <c r="M688" i="5"/>
  <c r="M415" i="5"/>
  <c r="M231" i="5"/>
  <c r="M223" i="5"/>
  <c r="M213" i="5"/>
  <c r="M15" i="5"/>
  <c r="M83" i="5"/>
  <c r="M140" i="5"/>
  <c r="M371" i="5"/>
  <c r="M359" i="5"/>
  <c r="M71" i="5"/>
  <c r="M665" i="5"/>
  <c r="M281" i="5"/>
  <c r="M265" i="5"/>
  <c r="M246" i="5"/>
  <c r="M383" i="5"/>
  <c r="M239" i="5"/>
  <c r="M35" i="5"/>
  <c r="M216" i="5"/>
  <c r="M17" i="5"/>
  <c r="M171" i="5"/>
  <c r="M618" i="5"/>
  <c r="M2" i="5"/>
  <c r="M862" i="5"/>
  <c r="M850" i="5"/>
  <c r="M501" i="5"/>
  <c r="M494" i="5"/>
  <c r="M278" i="5"/>
  <c r="M113" i="5"/>
  <c r="M250" i="5"/>
  <c r="M485" i="5"/>
  <c r="M384" i="5"/>
  <c r="M687" i="5"/>
  <c r="M235" i="5"/>
  <c r="M228" i="5"/>
  <c r="M96" i="5"/>
  <c r="M192" i="5"/>
  <c r="M410" i="5"/>
  <c r="M152" i="5"/>
  <c r="M730" i="5"/>
  <c r="M123" i="5"/>
  <c r="M338" i="5"/>
  <c r="M661" i="5"/>
  <c r="M299" i="5"/>
  <c r="M576" i="5"/>
  <c r="M110" i="5"/>
  <c r="M645" i="5"/>
  <c r="M238" i="5"/>
  <c r="M226" i="5"/>
  <c r="M212" i="5"/>
  <c r="M187" i="5"/>
  <c r="M621" i="5"/>
  <c r="M516" i="5"/>
  <c r="M360" i="5"/>
  <c r="M117" i="5"/>
  <c r="M66" i="5"/>
  <c r="M433" i="5"/>
  <c r="M492" i="5"/>
  <c r="M489" i="5"/>
  <c r="M388" i="5"/>
  <c r="M108" i="5"/>
  <c r="M650" i="5"/>
  <c r="M482" i="5"/>
  <c r="M643" i="5"/>
  <c r="M99" i="5"/>
  <c r="M533" i="5"/>
  <c r="M448" i="5"/>
  <c r="M86" i="5"/>
  <c r="M81" i="5"/>
  <c r="M137" i="5"/>
  <c r="M514" i="5"/>
  <c r="M355" i="5"/>
  <c r="M668" i="5"/>
  <c r="M714" i="5"/>
  <c r="M581" i="5"/>
  <c r="M277" i="5"/>
  <c r="M654" i="5"/>
  <c r="M649" i="5"/>
  <c r="M560" i="5"/>
  <c r="M234" i="5"/>
  <c r="M538" i="5"/>
  <c r="M208" i="5"/>
  <c r="M186" i="5"/>
  <c r="M615" i="5"/>
  <c r="M124" i="5"/>
  <c r="M598" i="5"/>
  <c r="M323" i="5"/>
  <c r="M63" i="5"/>
  <c r="M432" i="5"/>
  <c r="M274" i="5"/>
  <c r="M111" i="5"/>
  <c r="M102" i="5"/>
  <c r="M420" i="5"/>
  <c r="M468" i="5"/>
  <c r="M39" i="5"/>
  <c r="M874" i="5"/>
  <c r="M209" i="5"/>
  <c r="M676" i="5"/>
  <c r="M442" i="5"/>
  <c r="M148" i="5"/>
  <c r="M127" i="5"/>
  <c r="M602" i="5"/>
  <c r="M594" i="5"/>
  <c r="M315" i="5"/>
  <c r="M296" i="5"/>
  <c r="M273" i="5"/>
  <c r="M261" i="5"/>
  <c r="M559" i="5"/>
  <c r="M642" i="5"/>
  <c r="M535" i="5"/>
  <c r="M26" i="5"/>
  <c r="M11" i="5"/>
  <c r="M356" i="5"/>
  <c r="M75" i="5"/>
  <c r="M877" i="5"/>
  <c r="M589" i="5"/>
  <c r="M115" i="5"/>
  <c r="M391" i="5"/>
  <c r="M789" i="5"/>
  <c r="M380" i="5"/>
  <c r="M419" i="5"/>
  <c r="M683" i="5"/>
  <c r="M36" i="5"/>
  <c r="M680" i="5"/>
  <c r="M27" i="5"/>
  <c r="M18" i="5"/>
  <c r="M172" i="5"/>
  <c r="M619" i="5"/>
  <c r="M9" i="5"/>
  <c r="M718" i="5"/>
  <c r="M351" i="5"/>
  <c r="M591" i="5"/>
  <c r="M656" i="5"/>
  <c r="M708" i="5"/>
  <c r="M566" i="5"/>
  <c r="M120" i="5"/>
  <c r="M38" i="5"/>
  <c r="M32" i="5"/>
  <c r="M206" i="5"/>
  <c r="M169" i="5"/>
  <c r="M143" i="5"/>
  <c r="M352" i="5"/>
  <c r="M343" i="5"/>
  <c r="M846" i="5"/>
  <c r="M301" i="5"/>
  <c r="M429" i="5"/>
  <c r="M271" i="5"/>
  <c r="M796" i="5"/>
  <c r="M53" i="5"/>
  <c r="M101" i="5"/>
  <c r="M467" i="5"/>
  <c r="M458" i="5"/>
  <c r="M451" i="5"/>
  <c r="M635" i="5"/>
  <c r="M203" i="5"/>
  <c r="M188" i="5"/>
  <c r="M622" i="5"/>
  <c r="M616" i="5"/>
  <c r="M435" i="5"/>
  <c r="M350" i="5"/>
  <c r="M334" i="5"/>
  <c r="M62" i="5"/>
  <c r="M270" i="5"/>
  <c r="M257" i="5"/>
  <c r="M52" i="5"/>
  <c r="M692" i="5"/>
  <c r="M639" i="5"/>
  <c r="M222" i="5"/>
  <c r="M202" i="5"/>
  <c r="M182" i="5"/>
  <c r="M165" i="5"/>
  <c r="M139" i="5"/>
  <c r="M511" i="5"/>
  <c r="M72" i="5"/>
  <c r="M434" i="5"/>
  <c r="M499" i="5"/>
  <c r="M293" i="5"/>
  <c r="M574" i="5"/>
  <c r="M712" i="5"/>
  <c r="M696" i="5"/>
  <c r="M121" i="5"/>
  <c r="M465" i="5"/>
  <c r="M640" i="5"/>
  <c r="M376" i="5"/>
  <c r="M95" i="5"/>
  <c r="M199" i="5"/>
  <c r="M413" i="5"/>
  <c r="M85" i="5"/>
  <c r="M670" i="5"/>
  <c r="M134" i="5"/>
  <c r="M3" i="5"/>
  <c r="M76" i="5"/>
  <c r="M330" i="5"/>
  <c r="M588" i="5"/>
  <c r="M573" i="5"/>
  <c r="M564" i="5"/>
  <c r="M557" i="5"/>
  <c r="M637" i="5"/>
  <c r="M532" i="5"/>
  <c r="M198" i="5"/>
  <c r="M178" i="5"/>
  <c r="M671" i="5"/>
  <c r="AM16" i="1" l="1"/>
  <c r="W16" i="1"/>
  <c r="R16" i="1"/>
  <c r="M16" i="1"/>
  <c r="BH34" i="16"/>
  <c r="BH33" i="16"/>
  <c r="BH32" i="16"/>
  <c r="BH31" i="16"/>
  <c r="BH30" i="16"/>
  <c r="BH29" i="16"/>
  <c r="BH28" i="16"/>
  <c r="BH27" i="16"/>
  <c r="BH26" i="16"/>
  <c r="BH21" i="16"/>
  <c r="BH20" i="16"/>
  <c r="BH19" i="16"/>
  <c r="BH15" i="16"/>
  <c r="BH14" i="16"/>
  <c r="AT7" i="10"/>
  <c r="AT10" i="10"/>
  <c r="AT12" i="10"/>
  <c r="AT15" i="10"/>
  <c r="AT18" i="10"/>
  <c r="AT22" i="10"/>
  <c r="AT26" i="10"/>
  <c r="AT29" i="10"/>
  <c r="AT30" i="10"/>
  <c r="AT31" i="10"/>
  <c r="AT32" i="10"/>
  <c r="AT34" i="10"/>
  <c r="BS9" i="16"/>
  <c r="BS10" i="16"/>
  <c r="BS13" i="16"/>
  <c r="BS12" i="16"/>
  <c r="BS15" i="16"/>
  <c r="BS18" i="16"/>
  <c r="BS17" i="16"/>
  <c r="BS21" i="16"/>
  <c r="BS20" i="16"/>
  <c r="BS25" i="16"/>
  <c r="BS24" i="16"/>
  <c r="BS23" i="16"/>
  <c r="BS29" i="16"/>
  <c r="BS28" i="16"/>
  <c r="BS27" i="16"/>
  <c r="BS32" i="16"/>
  <c r="BS31" i="16"/>
  <c r="BS37" i="16"/>
  <c r="BS36" i="16"/>
  <c r="BS40" i="16"/>
  <c r="BS39" i="16"/>
  <c r="BR40" i="16"/>
  <c r="BR39" i="16"/>
  <c r="BR37" i="16"/>
  <c r="BR36" i="16"/>
  <c r="BR32" i="16"/>
  <c r="BR31" i="16"/>
  <c r="BR29" i="16"/>
  <c r="BR28" i="16"/>
  <c r="BR27" i="16"/>
  <c r="BR24" i="16"/>
  <c r="BR25" i="16"/>
  <c r="BR23" i="16"/>
  <c r="BR21" i="16"/>
  <c r="BR20" i="16"/>
  <c r="BR18" i="16"/>
  <c r="BR17" i="16"/>
  <c r="BR15" i="16"/>
  <c r="BR13" i="16"/>
  <c r="BR12" i="16"/>
  <c r="BR10" i="16"/>
  <c r="BR9" i="16"/>
  <c r="BS35" i="16"/>
  <c r="BR35" i="16"/>
  <c r="BR38" i="16"/>
  <c r="BS34" i="16"/>
  <c r="BS33" i="16"/>
  <c r="BS30" i="16"/>
  <c r="BS26" i="16"/>
  <c r="BS22" i="16"/>
  <c r="BS19" i="16"/>
  <c r="BS16" i="16"/>
  <c r="BS14" i="16"/>
  <c r="BS11" i="16"/>
  <c r="BS8" i="16"/>
  <c r="BS38" i="16"/>
  <c r="BR34" i="16"/>
  <c r="BR33" i="16"/>
  <c r="BR30" i="16"/>
  <c r="BR26" i="16"/>
  <c r="BR22" i="16"/>
  <c r="BR19" i="16"/>
  <c r="BR16" i="16"/>
  <c r="BR14" i="16"/>
  <c r="BR11" i="16"/>
  <c r="BR8" i="16"/>
  <c r="L649" i="7"/>
  <c r="H649" i="7"/>
  <c r="I649" i="7" s="1"/>
  <c r="E649" i="7"/>
  <c r="O16" i="6"/>
  <c r="O15" i="6"/>
  <c r="O14" i="6"/>
  <c r="O13" i="6"/>
  <c r="O12" i="6"/>
  <c r="O11" i="6"/>
  <c r="O10" i="6"/>
  <c r="O9" i="6"/>
  <c r="O8" i="6"/>
  <c r="O7" i="6"/>
  <c r="O6" i="6"/>
  <c r="O5" i="6"/>
  <c r="Q6" i="6"/>
  <c r="Q7" i="6"/>
  <c r="Q8" i="6"/>
  <c r="Q9" i="6"/>
  <c r="Q10" i="6"/>
  <c r="Q11" i="6"/>
  <c r="Q12" i="6"/>
  <c r="Q13" i="6"/>
  <c r="Q14" i="6"/>
  <c r="Q15" i="6"/>
  <c r="Q16" i="6"/>
  <c r="Q5" i="6"/>
  <c r="K6" i="6"/>
  <c r="K7" i="6"/>
  <c r="K8" i="6"/>
  <c r="K9" i="6"/>
  <c r="K10" i="6"/>
  <c r="K11" i="6"/>
  <c r="K12" i="6"/>
  <c r="K13" i="6"/>
  <c r="K14" i="6"/>
  <c r="K15" i="6"/>
  <c r="K16" i="6"/>
  <c r="K5" i="6"/>
  <c r="AW34" i="10"/>
  <c r="AW32" i="10"/>
  <c r="AW30" i="10"/>
  <c r="AW29" i="10"/>
  <c r="AW26" i="10"/>
  <c r="AW22" i="10"/>
  <c r="AW18" i="10"/>
  <c r="AW15" i="10"/>
  <c r="AW12" i="10"/>
  <c r="AW10" i="10"/>
  <c r="AW7" i="10"/>
  <c r="AW4" i="10"/>
  <c r="G6" i="9" l="1"/>
  <c r="F6" i="9"/>
  <c r="J5" i="6" s="1"/>
  <c r="P8" i="6" l="1"/>
  <c r="P6" i="6"/>
  <c r="P5" i="6"/>
  <c r="P10" i="6"/>
  <c r="P15" i="6"/>
  <c r="P16" i="6"/>
  <c r="P14" i="6"/>
  <c r="BH35" i="16" s="1"/>
  <c r="E6" i="9"/>
  <c r="D10" i="6" s="1"/>
  <c r="D16" i="6"/>
  <c r="D19" i="6"/>
  <c r="D6" i="6"/>
  <c r="D20" i="6"/>
  <c r="D9" i="6"/>
  <c r="D15" i="6" l="1"/>
  <c r="D13" i="6"/>
  <c r="D21" i="6"/>
  <c r="D18" i="6"/>
  <c r="D14" i="6"/>
  <c r="D8" i="6"/>
  <c r="D17" i="6"/>
  <c r="D5" i="6"/>
  <c r="D7" i="6"/>
  <c r="D22" i="6"/>
  <c r="D12" i="6"/>
  <c r="BH38" i="16"/>
  <c r="BH39" i="16"/>
  <c r="D25" i="6"/>
  <c r="BH37" i="16"/>
  <c r="BH36" i="16"/>
  <c r="D11" i="6"/>
  <c r="BH23" i="16"/>
  <c r="BH22" i="16"/>
  <c r="BH24" i="16"/>
  <c r="BH25" i="16"/>
  <c r="D24" i="6"/>
  <c r="BH9" i="16"/>
  <c r="BH10" i="16"/>
  <c r="BH11" i="16"/>
  <c r="BH13" i="16"/>
  <c r="BH12" i="16"/>
  <c r="D23" i="6"/>
  <c r="BH18" i="16"/>
  <c r="BH17" i="16"/>
  <c r="BH16" i="16"/>
  <c r="G5" i="9"/>
  <c r="F5" i="9"/>
  <c r="I15" i="6"/>
  <c r="I14" i="6"/>
  <c r="I13" i="6"/>
  <c r="I12" i="6"/>
  <c r="I11" i="6"/>
  <c r="I10" i="6"/>
  <c r="I7" i="6"/>
  <c r="I6" i="6"/>
  <c r="I5" i="6"/>
  <c r="I16" i="6"/>
  <c r="I9" i="6"/>
  <c r="I8" i="6"/>
  <c r="AT4" i="10"/>
  <c r="AI37" i="3" l="1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9" i="3"/>
  <c r="AF10" i="3"/>
  <c r="AF11" i="3"/>
  <c r="AF12" i="3"/>
  <c r="AF13" i="3"/>
  <c r="AG13" i="3" s="1"/>
  <c r="AF14" i="3"/>
  <c r="AF15" i="3"/>
  <c r="AF16" i="3"/>
  <c r="AF17" i="3"/>
  <c r="AG17" i="3" s="1"/>
  <c r="AF18" i="3"/>
  <c r="AF19" i="3"/>
  <c r="AG19" i="3" s="1"/>
  <c r="AF20" i="3"/>
  <c r="AG20" i="3" s="1"/>
  <c r="AF21" i="3"/>
  <c r="AG21" i="3" s="1"/>
  <c r="AF22" i="3"/>
  <c r="AG22" i="3" s="1"/>
  <c r="AF23" i="3"/>
  <c r="AG23" i="3" s="1"/>
  <c r="AF24" i="3"/>
  <c r="AG24" i="3" s="1"/>
  <c r="AF25" i="3"/>
  <c r="AG25" i="3" s="1"/>
  <c r="AF26" i="3"/>
  <c r="AF27" i="3"/>
  <c r="AG27" i="3" s="1"/>
  <c r="AF28" i="3"/>
  <c r="AG28" i="3" s="1"/>
  <c r="AF29" i="3"/>
  <c r="AG29" i="3" s="1"/>
  <c r="AF30" i="3"/>
  <c r="AG30" i="3" s="1"/>
  <c r="AF31" i="3"/>
  <c r="AG31" i="3" s="1"/>
  <c r="AF32" i="3"/>
  <c r="AF33" i="3"/>
  <c r="AF34" i="3"/>
  <c r="AF35" i="3"/>
  <c r="AF36" i="3"/>
  <c r="AF37" i="3"/>
  <c r="AF38" i="3"/>
  <c r="AF9" i="3"/>
  <c r="AG15" i="3"/>
  <c r="AG16" i="3"/>
  <c r="AG18" i="3"/>
  <c r="AG26" i="3"/>
  <c r="AG37" i="3"/>
  <c r="AG38" i="3"/>
  <c r="AG10" i="3"/>
  <c r="AG11" i="3"/>
  <c r="AG12" i="3"/>
  <c r="AG14" i="3"/>
  <c r="AG32" i="3"/>
  <c r="AG33" i="3"/>
  <c r="AG34" i="3"/>
  <c r="AG35" i="3"/>
  <c r="AG36" i="3"/>
  <c r="AG9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12" i="3"/>
  <c r="AE11" i="3"/>
  <c r="AE10" i="3"/>
  <c r="AE9" i="3"/>
  <c r="AE37" i="3"/>
  <c r="AE38" i="3"/>
  <c r="AC35" i="3"/>
  <c r="M9" i="6"/>
  <c r="BG37" i="16"/>
  <c r="BG36" i="16"/>
  <c r="BG40" i="16"/>
  <c r="BG39" i="16"/>
  <c r="BG38" i="16"/>
  <c r="BG35" i="16"/>
  <c r="BG34" i="16"/>
  <c r="BG33" i="16"/>
  <c r="BG32" i="16"/>
  <c r="BG31" i="16"/>
  <c r="BG30" i="16"/>
  <c r="BG29" i="16"/>
  <c r="BG28" i="16"/>
  <c r="BG27" i="16"/>
  <c r="BG26" i="16"/>
  <c r="BG25" i="16"/>
  <c r="BG24" i="16"/>
  <c r="BG23" i="16"/>
  <c r="BG22" i="16"/>
  <c r="BG21" i="16"/>
  <c r="BG20" i="16"/>
  <c r="BG19" i="16"/>
  <c r="BG18" i="16"/>
  <c r="BG17" i="16"/>
  <c r="BG16" i="16"/>
  <c r="BG14" i="16"/>
  <c r="BG15" i="16"/>
  <c r="BG13" i="16"/>
  <c r="BG12" i="16"/>
  <c r="BG11" i="16"/>
  <c r="BG10" i="16"/>
  <c r="BG9" i="16"/>
  <c r="BH8" i="16"/>
  <c r="BG8" i="16"/>
  <c r="AG16" i="1" s="1"/>
  <c r="M15" i="6"/>
  <c r="M13" i="6"/>
  <c r="M5" i="6"/>
  <c r="M16" i="6"/>
  <c r="M6" i="6"/>
  <c r="M7" i="6"/>
  <c r="M8" i="6"/>
  <c r="M10" i="6"/>
  <c r="M11" i="6"/>
  <c r="M12" i="6"/>
  <c r="M14" i="6"/>
  <c r="E5" i="9"/>
  <c r="G52" i="19" l="1"/>
  <c r="H52" i="19"/>
  <c r="I52" i="19"/>
  <c r="J52" i="19"/>
  <c r="K52" i="19"/>
  <c r="L52" i="19"/>
  <c r="M52" i="19"/>
  <c r="N52" i="19"/>
  <c r="O52" i="19"/>
  <c r="P52" i="19"/>
  <c r="M9" i="19"/>
  <c r="N9" i="19"/>
  <c r="M10" i="19"/>
  <c r="N10" i="19"/>
  <c r="M11" i="19"/>
  <c r="N11" i="19"/>
  <c r="M12" i="19"/>
  <c r="N12" i="19"/>
  <c r="M13" i="19"/>
  <c r="N13" i="19"/>
  <c r="M14" i="19"/>
  <c r="N14" i="19"/>
  <c r="M15" i="19"/>
  <c r="N15" i="19"/>
  <c r="M16" i="19"/>
  <c r="N16" i="19"/>
  <c r="M17" i="19"/>
  <c r="N17" i="19"/>
  <c r="M18" i="19"/>
  <c r="N18" i="19"/>
  <c r="M19" i="19"/>
  <c r="N19" i="19"/>
  <c r="M20" i="19"/>
  <c r="N20" i="19"/>
  <c r="M21" i="19"/>
  <c r="N21" i="19"/>
  <c r="M22" i="19"/>
  <c r="N22" i="19"/>
  <c r="M23" i="19"/>
  <c r="N23" i="19"/>
  <c r="M24" i="19"/>
  <c r="N24" i="19"/>
  <c r="M25" i="19"/>
  <c r="N25" i="19"/>
  <c r="M26" i="19"/>
  <c r="N26" i="19"/>
  <c r="M27" i="19"/>
  <c r="N27" i="19"/>
  <c r="M28" i="19"/>
  <c r="N28" i="19"/>
  <c r="M29" i="19"/>
  <c r="N29" i="19"/>
  <c r="M30" i="19"/>
  <c r="N30" i="19"/>
  <c r="M31" i="19"/>
  <c r="N31" i="19"/>
  <c r="M32" i="19"/>
  <c r="N32" i="19"/>
  <c r="M33" i="19"/>
  <c r="N33" i="19"/>
  <c r="M34" i="19"/>
  <c r="N34" i="19"/>
  <c r="M35" i="19"/>
  <c r="N35" i="19"/>
  <c r="M36" i="19"/>
  <c r="N36" i="19"/>
  <c r="M37" i="19"/>
  <c r="N37" i="19"/>
  <c r="M38" i="19"/>
  <c r="N38" i="19"/>
  <c r="M39" i="19"/>
  <c r="N39" i="19"/>
  <c r="M40" i="19"/>
  <c r="N40" i="19"/>
  <c r="M41" i="19"/>
  <c r="N41" i="19"/>
  <c r="M42" i="19"/>
  <c r="N42" i="19"/>
  <c r="M43" i="19"/>
  <c r="N43" i="19"/>
  <c r="M44" i="19"/>
  <c r="N44" i="19"/>
  <c r="M45" i="19"/>
  <c r="N45" i="19"/>
  <c r="M46" i="19"/>
  <c r="N46" i="19"/>
  <c r="M47" i="19"/>
  <c r="N47" i="19"/>
  <c r="M48" i="19"/>
  <c r="N48" i="19"/>
  <c r="M49" i="19"/>
  <c r="N49" i="19"/>
  <c r="M50" i="19"/>
  <c r="N50" i="19"/>
  <c r="N8" i="19"/>
  <c r="M8" i="19"/>
  <c r="F52" i="19"/>
  <c r="J7" i="19"/>
  <c r="K7" i="19"/>
  <c r="L7" i="19"/>
  <c r="M7" i="19"/>
  <c r="N7" i="19"/>
  <c r="AH56" i="16"/>
  <c r="AH57" i="16" s="1"/>
  <c r="AH58" i="16" s="1"/>
  <c r="AH59" i="16" s="1"/>
  <c r="AH60" i="16" s="1"/>
  <c r="AH61" i="16" s="1"/>
  <c r="AH62" i="16" s="1"/>
  <c r="AH63" i="16" s="1"/>
  <c r="AF56" i="16"/>
  <c r="AF57" i="16" s="1"/>
  <c r="AF58" i="16" s="1"/>
  <c r="AF59" i="16" s="1"/>
  <c r="AF60" i="16" s="1"/>
  <c r="AF61" i="16" s="1"/>
  <c r="AF62" i="16" s="1"/>
  <c r="AF63" i="16" s="1"/>
  <c r="AE56" i="16"/>
  <c r="AE57" i="16" s="1"/>
  <c r="AE58" i="16" s="1"/>
  <c r="AE59" i="16" s="1"/>
  <c r="AE60" i="16" s="1"/>
  <c r="AE61" i="16" s="1"/>
  <c r="AE62" i="16" s="1"/>
  <c r="AE63" i="16" s="1"/>
  <c r="AH55" i="16"/>
  <c r="AF55" i="16"/>
  <c r="AE55" i="16"/>
  <c r="BK41" i="16"/>
  <c r="BL41" i="16"/>
  <c r="BM41" i="16" s="1"/>
  <c r="BN41" i="16" s="1"/>
  <c r="BO41" i="16" s="1"/>
  <c r="BI43" i="16"/>
  <c r="BJ43" i="16" s="1"/>
  <c r="BK43" i="16" s="1"/>
  <c r="BL43" i="16" s="1"/>
  <c r="BM43" i="16" s="1"/>
  <c r="BN43" i="16" s="1"/>
  <c r="BO43" i="16" s="1"/>
  <c r="BI42" i="16"/>
  <c r="BI41" i="16"/>
  <c r="BJ41" i="16" s="1"/>
  <c r="BJ42" i="16"/>
  <c r="BK42" i="16" s="1"/>
  <c r="BL42" i="16" s="1"/>
  <c r="BM42" i="16" s="1"/>
  <c r="BN42" i="16" s="1"/>
  <c r="BO42" i="16" s="1"/>
  <c r="AE42" i="16"/>
  <c r="AB43" i="16"/>
  <c r="AB42" i="16"/>
  <c r="AH41" i="16"/>
  <c r="AH42" i="16" s="1"/>
  <c r="AG41" i="16"/>
  <c r="AG42" i="16" s="1"/>
  <c r="AF41" i="16"/>
  <c r="AF43" i="16" s="1"/>
  <c r="AE41" i="16"/>
  <c r="AE43" i="16" s="1"/>
  <c r="AD41" i="16"/>
  <c r="AD42" i="16" s="1"/>
  <c r="AC41" i="16"/>
  <c r="AC43" i="16" s="1"/>
  <c r="AB41" i="16"/>
  <c r="G17" i="6"/>
  <c r="BF43" i="16"/>
  <c r="BF42" i="16"/>
  <c r="BF41" i="16"/>
  <c r="BE41" i="16"/>
  <c r="BE42" i="16"/>
  <c r="BE43" i="16"/>
  <c r="BD43" i="16"/>
  <c r="BD42" i="16"/>
  <c r="BD41" i="16"/>
  <c r="BC41" i="16"/>
  <c r="BC42" i="16"/>
  <c r="BC43" i="16"/>
  <c r="BB43" i="16"/>
  <c r="BB42" i="16"/>
  <c r="BB41" i="16"/>
  <c r="BA41" i="16"/>
  <c r="BA42" i="16"/>
  <c r="BA43" i="16"/>
  <c r="AZ43" i="16"/>
  <c r="AZ42" i="16"/>
  <c r="AZ41" i="16"/>
  <c r="AY41" i="16"/>
  <c r="AY42" i="16"/>
  <c r="AY43" i="16"/>
  <c r="AX43" i="16"/>
  <c r="AX42" i="16"/>
  <c r="AX41" i="16"/>
  <c r="BQ7" i="16"/>
  <c r="BP7" i="16"/>
  <c r="AN3" i="13"/>
  <c r="AN23" i="13"/>
  <c r="AN21" i="13"/>
  <c r="AN33" i="13"/>
  <c r="AN33" i="14" s="1"/>
  <c r="AN59" i="13"/>
  <c r="AN74" i="13"/>
  <c r="AN74" i="14" s="1"/>
  <c r="AN99" i="13"/>
  <c r="AN99" i="14" s="1"/>
  <c r="AN83" i="13"/>
  <c r="AN106" i="13"/>
  <c r="AN106" i="14" s="1"/>
  <c r="AN121" i="13"/>
  <c r="AN121" i="14" s="1"/>
  <c r="AN128" i="13"/>
  <c r="AN128" i="14" s="1"/>
  <c r="AN129" i="13"/>
  <c r="AN129" i="14" s="1"/>
  <c r="AN158" i="13"/>
  <c r="AN158" i="14" s="1"/>
  <c r="AN164" i="13"/>
  <c r="AN164" i="14" s="1"/>
  <c r="AN166" i="13"/>
  <c r="AN82" i="13"/>
  <c r="AN196" i="13"/>
  <c r="AN220" i="13"/>
  <c r="AN220" i="14" s="1"/>
  <c r="AN249" i="13"/>
  <c r="AN328" i="13"/>
  <c r="AN337" i="13"/>
  <c r="AN187" i="13"/>
  <c r="AN187" i="14" s="1"/>
  <c r="AN355" i="13"/>
  <c r="AN355" i="14" s="1"/>
  <c r="AN114" i="13"/>
  <c r="AN147" i="13"/>
  <c r="AN115" i="13"/>
  <c r="AN115" i="14" s="1"/>
  <c r="AN267" i="13"/>
  <c r="AN267" i="14" s="1"/>
  <c r="AN41" i="13"/>
  <c r="AN41" i="14" s="1"/>
  <c r="AN42" i="13"/>
  <c r="AN43" i="13"/>
  <c r="AN89" i="13"/>
  <c r="AN89" i="14" s="1"/>
  <c r="AN84" i="13"/>
  <c r="AN84" i="14" s="1"/>
  <c r="AN103" i="13"/>
  <c r="AN55" i="13"/>
  <c r="AN55" i="14" s="1"/>
  <c r="AN130" i="13"/>
  <c r="AN105" i="13"/>
  <c r="AN222" i="13"/>
  <c r="AN215" i="13"/>
  <c r="AN215" i="14" s="1"/>
  <c r="AN217" i="13"/>
  <c r="AN217" i="14" s="1"/>
  <c r="AN77" i="13"/>
  <c r="AN77" i="14" s="1"/>
  <c r="AN242" i="13"/>
  <c r="AN242" i="14" s="1"/>
  <c r="AN218" i="13"/>
  <c r="AN218" i="14" s="1"/>
  <c r="AN281" i="13"/>
  <c r="AN282" i="13"/>
  <c r="AN283" i="13"/>
  <c r="AN283" i="14" s="1"/>
  <c r="AN368" i="13"/>
  <c r="AN367" i="14" s="1"/>
  <c r="AN369" i="13"/>
  <c r="AN370" i="13"/>
  <c r="AN369" i="14" s="1"/>
  <c r="AN371" i="13"/>
  <c r="AN25" i="13"/>
  <c r="AN25" i="14" s="1"/>
  <c r="AN26" i="13"/>
  <c r="AN27" i="13"/>
  <c r="AN27" i="14" s="1"/>
  <c r="AN131" i="13"/>
  <c r="AN131" i="14" s="1"/>
  <c r="AN221" i="13"/>
  <c r="AN221" i="14" s="1"/>
  <c r="AN178" i="13"/>
  <c r="AN178" i="14" s="1"/>
  <c r="AN179" i="13"/>
  <c r="AN179" i="14" s="1"/>
  <c r="AN363" i="13"/>
  <c r="AN6" i="13"/>
  <c r="AN22" i="13"/>
  <c r="AN20" i="13"/>
  <c r="AN20" i="14" s="1"/>
  <c r="AN31" i="13"/>
  <c r="AN31" i="14" s="1"/>
  <c r="AN24" i="13"/>
  <c r="AN24" i="14" s="1"/>
  <c r="AN30" i="13"/>
  <c r="AN40" i="13"/>
  <c r="AN40" i="14" s="1"/>
  <c r="AN44" i="13"/>
  <c r="AN45" i="13"/>
  <c r="AN45" i="14" s="1"/>
  <c r="AN46" i="13"/>
  <c r="AN46" i="14" s="1"/>
  <c r="AN78" i="13"/>
  <c r="AN78" i="14" s="1"/>
  <c r="AN79" i="13"/>
  <c r="AN79" i="14" s="1"/>
  <c r="AN65" i="13"/>
  <c r="AN65" i="14" s="1"/>
  <c r="AN67" i="13"/>
  <c r="AN70" i="13"/>
  <c r="AN71" i="13"/>
  <c r="AN94" i="13"/>
  <c r="AN94" i="14" s="1"/>
  <c r="AN96" i="13"/>
  <c r="AN96" i="14" s="1"/>
  <c r="AN98" i="13"/>
  <c r="AN98" i="14" s="1"/>
  <c r="AN100" i="13"/>
  <c r="AN101" i="13"/>
  <c r="AN100" i="14" s="1"/>
  <c r="AN102" i="13"/>
  <c r="AN134" i="13"/>
  <c r="AN134" i="14" s="1"/>
  <c r="AN277" i="13"/>
  <c r="AN162" i="13"/>
  <c r="AN160" i="13"/>
  <c r="AN160" i="14" s="1"/>
  <c r="AN163" i="13"/>
  <c r="AN163" i="14" s="1"/>
  <c r="AN53" i="13"/>
  <c r="AN188" i="13"/>
  <c r="AN243" i="13"/>
  <c r="AN223" i="13"/>
  <c r="AN223" i="14" s="1"/>
  <c r="AN236" i="13"/>
  <c r="AN236" i="14" s="1"/>
  <c r="AN237" i="13"/>
  <c r="AN237" i="14" s="1"/>
  <c r="AN238" i="13"/>
  <c r="AN239" i="13"/>
  <c r="AN239" i="14" s="1"/>
  <c r="AN354" i="13"/>
  <c r="AN244" i="13"/>
  <c r="AN244" i="14" s="1"/>
  <c r="AN97" i="13"/>
  <c r="AN245" i="13"/>
  <c r="AN245" i="14" s="1"/>
  <c r="AN241" i="13"/>
  <c r="AN241" i="14" s="1"/>
  <c r="AN212" i="13"/>
  <c r="AN212" i="14" s="1"/>
  <c r="AN119" i="13"/>
  <c r="AN120" i="13"/>
  <c r="AN253" i="13"/>
  <c r="AN255" i="13"/>
  <c r="AN255" i="14" s="1"/>
  <c r="AN260" i="13"/>
  <c r="AN256" i="13"/>
  <c r="AN278" i="13"/>
  <c r="AN57" i="13"/>
  <c r="AN57" i="14" s="1"/>
  <c r="AN265" i="13"/>
  <c r="AN268" i="13"/>
  <c r="AN266" i="13"/>
  <c r="AN296" i="13"/>
  <c r="AN322" i="13"/>
  <c r="AN322" i="14" s="1"/>
  <c r="AN312" i="13"/>
  <c r="AN312" i="14" s="1"/>
  <c r="AN323" i="13"/>
  <c r="AN343" i="13"/>
  <c r="AN343" i="14" s="1"/>
  <c r="AN327" i="13"/>
  <c r="AN332" i="13"/>
  <c r="AN332" i="14" s="1"/>
  <c r="AN333" i="13"/>
  <c r="AN334" i="13"/>
  <c r="AN334" i="14" s="1"/>
  <c r="AN302" i="13"/>
  <c r="AN302" i="14" s="1"/>
  <c r="AN344" i="13"/>
  <c r="AN344" i="14" s="1"/>
  <c r="AN364" i="13"/>
  <c r="AN359" i="13"/>
  <c r="AN359" i="14" s="1"/>
  <c r="AN360" i="13"/>
  <c r="AN361" i="13"/>
  <c r="AN361" i="14" s="1"/>
  <c r="AN54" i="13"/>
  <c r="AN54" i="14" s="1"/>
  <c r="AN362" i="13"/>
  <c r="AN362" i="14" s="1"/>
  <c r="AN191" i="13"/>
  <c r="AN191" i="14" s="1"/>
  <c r="AN63" i="13"/>
  <c r="AN7" i="13"/>
  <c r="AN127" i="13"/>
  <c r="AN127" i="14" s="1"/>
  <c r="AN183" i="13"/>
  <c r="AN250" i="13"/>
  <c r="AN251" i="13"/>
  <c r="AN251" i="14" s="1"/>
  <c r="AN295" i="13"/>
  <c r="AN295" i="14" s="1"/>
  <c r="AN316" i="13"/>
  <c r="AN338" i="13"/>
  <c r="AN338" i="14" s="1"/>
  <c r="AN375" i="13"/>
  <c r="AN300" i="13"/>
  <c r="AN300" i="14" s="1"/>
  <c r="AN34" i="13"/>
  <c r="AN34" i="14" s="1"/>
  <c r="AN61" i="13"/>
  <c r="AN61" i="14" s="1"/>
  <c r="AN150" i="13"/>
  <c r="AN150" i="14" s="1"/>
  <c r="AN151" i="13"/>
  <c r="AN151" i="14" s="1"/>
  <c r="AN152" i="13"/>
  <c r="AN154" i="13"/>
  <c r="AN154" i="14" s="1"/>
  <c r="AN172" i="13"/>
  <c r="AN172" i="14" s="1"/>
  <c r="AN173" i="13"/>
  <c r="AN173" i="14" s="1"/>
  <c r="AN174" i="13"/>
  <c r="AN259" i="13"/>
  <c r="AN259" i="14" s="1"/>
  <c r="AN352" i="13"/>
  <c r="AN58" i="13"/>
  <c r="AN161" i="13"/>
  <c r="AN213" i="13"/>
  <c r="AN214" i="13"/>
  <c r="AN248" i="13"/>
  <c r="AN248" i="14" s="1"/>
  <c r="AN279" i="13"/>
  <c r="AN279" i="14" s="1"/>
  <c r="AN280" i="13"/>
  <c r="AN85" i="13"/>
  <c r="AN195" i="13"/>
  <c r="AN195" i="14" s="1"/>
  <c r="AN356" i="13"/>
  <c r="AN356" i="14" s="1"/>
  <c r="AN247" i="13"/>
  <c r="AN247" i="14" s="1"/>
  <c r="AN36" i="13"/>
  <c r="AN60" i="13"/>
  <c r="AN60" i="14" s="1"/>
  <c r="AN62" i="13"/>
  <c r="AN62" i="14" s="1"/>
  <c r="AN104" i="13"/>
  <c r="AN104" i="14" s="1"/>
  <c r="AN111" i="13"/>
  <c r="AN112" i="13"/>
  <c r="AN167" i="13"/>
  <c r="AN107" i="13"/>
  <c r="AN107" i="14" s="1"/>
  <c r="AN108" i="13"/>
  <c r="AN353" i="13"/>
  <c r="AN118" i="13"/>
  <c r="AN118" i="14" s="1"/>
  <c r="AN123" i="13"/>
  <c r="AN122" i="13"/>
  <c r="AN165" i="13"/>
  <c r="AN165" i="14" s="1"/>
  <c r="AN142" i="13"/>
  <c r="AN142" i="14" s="1"/>
  <c r="AN143" i="13"/>
  <c r="AN144" i="13"/>
  <c r="AN144" i="14" s="1"/>
  <c r="AN145" i="13"/>
  <c r="AN146" i="13"/>
  <c r="AN175" i="13"/>
  <c r="AN347" i="13"/>
  <c r="AN180" i="13"/>
  <c r="AN180" i="14" s="1"/>
  <c r="AN211" i="13"/>
  <c r="AN246" i="13"/>
  <c r="AN252" i="13"/>
  <c r="AN252" i="14" s="1"/>
  <c r="AN263" i="13"/>
  <c r="AN289" i="13"/>
  <c r="AN297" i="13"/>
  <c r="AN297" i="14" s="1"/>
  <c r="AN303" i="13"/>
  <c r="AN303" i="14" s="1"/>
  <c r="AN304" i="13"/>
  <c r="AN365" i="13"/>
  <c r="AN311" i="13"/>
  <c r="AN339" i="13"/>
  <c r="AN339" i="14" s="1"/>
  <c r="AN124" i="13"/>
  <c r="AN124" i="14" s="1"/>
  <c r="AN372" i="13"/>
  <c r="AN372" i="14" s="1"/>
  <c r="AN373" i="13"/>
  <c r="AN373" i="14" s="1"/>
  <c r="AN8" i="13"/>
  <c r="AN35" i="13"/>
  <c r="AN39" i="13"/>
  <c r="AN56" i="13"/>
  <c r="AN66" i="13"/>
  <c r="AN110" i="13"/>
  <c r="AN153" i="13"/>
  <c r="AN159" i="13"/>
  <c r="AN181" i="13"/>
  <c r="AN182" i="13"/>
  <c r="AN182" i="14" s="1"/>
  <c r="AN216" i="13"/>
  <c r="AN216" i="14" s="1"/>
  <c r="AN95" i="13"/>
  <c r="AN95" i="14" s="1"/>
  <c r="AN254" i="13"/>
  <c r="AN254" i="14" s="1"/>
  <c r="AN317" i="13"/>
  <c r="AN317" i="14" s="1"/>
  <c r="AN176" i="13"/>
  <c r="AN49" i="13"/>
  <c r="AN49" i="14" s="1"/>
  <c r="AN50" i="13"/>
  <c r="AN51" i="13"/>
  <c r="AN51" i="14" s="1"/>
  <c r="AN75" i="13"/>
  <c r="AN75" i="14" s="1"/>
  <c r="AN76" i="13"/>
  <c r="AN113" i="13"/>
  <c r="AN155" i="13"/>
  <c r="AN155" i="14" s="1"/>
  <c r="AN171" i="13"/>
  <c r="AN177" i="13"/>
  <c r="AN224" i="13"/>
  <c r="AN224" i="14" s="1"/>
  <c r="AN225" i="13"/>
  <c r="AN226" i="13"/>
  <c r="AN226" i="14" s="1"/>
  <c r="AN219" i="13"/>
  <c r="AN219" i="14" s="1"/>
  <c r="AN227" i="13"/>
  <c r="AN228" i="13"/>
  <c r="AN229" i="13"/>
  <c r="AN230" i="13"/>
  <c r="AN230" i="14" s="1"/>
  <c r="AN231" i="13"/>
  <c r="AN231" i="14" s="1"/>
  <c r="AN232" i="13"/>
  <c r="AN232" i="14" s="1"/>
  <c r="AN233" i="13"/>
  <c r="AN240" i="13"/>
  <c r="AN240" i="14" s="1"/>
  <c r="AN234" i="13"/>
  <c r="AN235" i="13"/>
  <c r="AN235" i="14" s="1"/>
  <c r="AN315" i="13"/>
  <c r="AN10" i="13"/>
  <c r="AN11" i="13"/>
  <c r="AN13" i="14" s="1"/>
  <c r="AN12" i="13"/>
  <c r="AN14" i="14" s="1"/>
  <c r="AN13" i="13"/>
  <c r="AN4" i="13"/>
  <c r="AN14" i="13"/>
  <c r="AN32" i="13"/>
  <c r="AN28" i="13"/>
  <c r="AN29" i="14" s="1"/>
  <c r="AN47" i="13"/>
  <c r="AN52" i="13"/>
  <c r="AN52" i="14" s="1"/>
  <c r="AN37" i="13"/>
  <c r="AN38" i="14" s="1"/>
  <c r="AN329" i="13"/>
  <c r="AN284" i="13"/>
  <c r="AN72" i="13"/>
  <c r="AN73" i="13"/>
  <c r="AN73" i="14" s="1"/>
  <c r="AN68" i="13"/>
  <c r="AN68" i="14" s="1"/>
  <c r="AN340" i="13"/>
  <c r="AN340" i="14" s="1"/>
  <c r="AN86" i="13"/>
  <c r="AN86" i="14" s="1"/>
  <c r="AN90" i="13"/>
  <c r="AN88" i="13"/>
  <c r="AN80" i="13"/>
  <c r="AN81" i="14" s="1"/>
  <c r="AN109" i="13"/>
  <c r="AN109" i="14" s="1"/>
  <c r="AN125" i="13"/>
  <c r="AN125" i="14" s="1"/>
  <c r="AN132" i="13"/>
  <c r="AN133" i="14" s="1"/>
  <c r="AN135" i="13"/>
  <c r="AN135" i="14" s="1"/>
  <c r="AN136" i="13"/>
  <c r="AN137" i="13"/>
  <c r="AN138" i="13"/>
  <c r="AN168" i="13"/>
  <c r="AN139" i="13"/>
  <c r="AN140" i="13"/>
  <c r="AN140" i="14" s="1"/>
  <c r="AN156" i="13"/>
  <c r="AN157" i="13"/>
  <c r="AN157" i="14" s="1"/>
  <c r="AN318" i="13"/>
  <c r="AN169" i="13"/>
  <c r="AN170" i="13"/>
  <c r="AN91" i="13"/>
  <c r="AN184" i="13"/>
  <c r="AN184" i="14" s="1"/>
  <c r="AN189" i="13"/>
  <c r="AN190" i="14" s="1"/>
  <c r="AN193" i="13"/>
  <c r="AN193" i="14" s="1"/>
  <c r="AN197" i="13"/>
  <c r="AN198" i="13"/>
  <c r="AN199" i="13"/>
  <c r="AN201" i="14" s="1"/>
  <c r="AN200" i="13"/>
  <c r="AN203" i="14" s="1"/>
  <c r="AN201" i="13"/>
  <c r="AN205" i="14" s="1"/>
  <c r="AN202" i="13"/>
  <c r="AN207" i="14" s="1"/>
  <c r="AN203" i="13"/>
  <c r="AN186" i="13"/>
  <c r="AN366" i="13"/>
  <c r="AN366" i="14" s="1"/>
  <c r="AN257" i="13"/>
  <c r="AN257" i="14" s="1"/>
  <c r="AN261" i="13"/>
  <c r="AN269" i="13"/>
  <c r="AN270" i="14" s="1"/>
  <c r="AN270" i="13"/>
  <c r="AN272" i="14" s="1"/>
  <c r="AN271" i="13"/>
  <c r="AN272" i="13"/>
  <c r="AN276" i="14" s="1"/>
  <c r="AN285" i="13"/>
  <c r="AN264" i="13"/>
  <c r="AN348" i="13"/>
  <c r="AN348" i="14" s="1"/>
  <c r="AN287" i="13"/>
  <c r="AN287" i="14" s="1"/>
  <c r="AN290" i="13"/>
  <c r="AN290" i="14" s="1"/>
  <c r="AN292" i="13"/>
  <c r="AN292" i="14" s="1"/>
  <c r="AN293" i="13"/>
  <c r="AN294" i="13"/>
  <c r="AN148" i="13"/>
  <c r="AN148" i="14" s="1"/>
  <c r="AN298" i="13"/>
  <c r="AN299" i="14" s="1"/>
  <c r="AN367" i="13"/>
  <c r="AN371" i="14" s="1"/>
  <c r="AN301" i="13"/>
  <c r="AN301" i="14" s="1"/>
  <c r="AN305" i="13"/>
  <c r="AN306" i="14" s="1"/>
  <c r="AN307" i="13"/>
  <c r="AN320" i="13"/>
  <c r="AN324" i="13"/>
  <c r="AN330" i="13"/>
  <c r="AN331" i="14" s="1"/>
  <c r="AN313" i="13"/>
  <c r="AN313" i="14" s="1"/>
  <c r="AN309" i="13"/>
  <c r="AN309" i="14" s="1"/>
  <c r="AN335" i="13"/>
  <c r="AN341" i="13"/>
  <c r="AN342" i="13"/>
  <c r="AN342" i="14" s="1"/>
  <c r="AN345" i="13"/>
  <c r="AN349" i="13"/>
  <c r="AN357" i="13"/>
  <c r="AN116" i="13"/>
  <c r="AN116" i="14" s="1"/>
  <c r="AN117" i="13"/>
  <c r="AN117" i="14" s="1"/>
  <c r="AN326" i="13"/>
  <c r="AN326" i="14" s="1"/>
  <c r="AN374" i="13"/>
  <c r="AN374" i="14" s="1"/>
  <c r="AN192" i="13"/>
  <c r="AN64" i="13"/>
  <c r="AN9" i="13"/>
  <c r="AN15" i="13"/>
  <c r="AN16" i="13"/>
  <c r="AN17" i="13"/>
  <c r="AN18" i="13"/>
  <c r="AN5" i="13"/>
  <c r="AN19" i="13"/>
  <c r="AN29" i="13"/>
  <c r="AN48" i="13"/>
  <c r="AN38" i="13"/>
  <c r="AN69" i="13"/>
  <c r="AN87" i="13"/>
  <c r="AN92" i="13"/>
  <c r="AN81" i="13"/>
  <c r="AN126" i="13"/>
  <c r="AN133" i="13"/>
  <c r="AN141" i="13"/>
  <c r="AN319" i="13"/>
  <c r="AN93" i="13"/>
  <c r="AN185" i="13"/>
  <c r="AN190" i="13"/>
  <c r="AN194" i="13"/>
  <c r="AN204" i="13"/>
  <c r="AN205" i="13"/>
  <c r="AN206" i="13"/>
  <c r="AN207" i="13"/>
  <c r="AN208" i="13"/>
  <c r="AN209" i="13"/>
  <c r="AN210" i="13"/>
  <c r="AN258" i="13"/>
  <c r="AN262" i="13"/>
  <c r="AN273" i="13"/>
  <c r="AN274" i="13"/>
  <c r="AN275" i="13"/>
  <c r="AN276" i="13"/>
  <c r="AN286" i="13"/>
  <c r="AN350" i="13"/>
  <c r="AN288" i="13"/>
  <c r="AN291" i="13"/>
  <c r="AN149" i="13"/>
  <c r="AN299" i="13"/>
  <c r="AN306" i="13"/>
  <c r="AN321" i="13"/>
  <c r="AN325" i="13"/>
  <c r="AN331" i="13"/>
  <c r="AN314" i="13"/>
  <c r="AN310" i="13"/>
  <c r="AN336" i="13"/>
  <c r="AN346" i="13"/>
  <c r="AN351" i="13"/>
  <c r="AN358" i="13"/>
  <c r="AN308" i="13"/>
  <c r="AN83" i="14"/>
  <c r="AN328" i="14"/>
  <c r="AN337" i="14"/>
  <c r="AN114" i="14"/>
  <c r="AN147" i="14"/>
  <c r="AN130" i="14"/>
  <c r="AN105" i="14"/>
  <c r="AN222" i="14"/>
  <c r="AN370" i="14"/>
  <c r="AN26" i="14"/>
  <c r="AN30" i="14"/>
  <c r="AN44" i="14"/>
  <c r="AN101" i="14"/>
  <c r="AN102" i="14"/>
  <c r="AN277" i="14"/>
  <c r="AN238" i="14"/>
  <c r="AN354" i="14"/>
  <c r="AN97" i="14"/>
  <c r="AN256" i="14"/>
  <c r="AN278" i="14"/>
  <c r="AN265" i="14"/>
  <c r="AN268" i="14"/>
  <c r="AN266" i="14"/>
  <c r="AN364" i="14"/>
  <c r="AN360" i="14"/>
  <c r="AN183" i="14"/>
  <c r="AN250" i="14"/>
  <c r="AN375" i="14"/>
  <c r="AN174" i="14"/>
  <c r="AN58" i="14"/>
  <c r="AN161" i="14"/>
  <c r="AN36" i="14"/>
  <c r="AN111" i="14"/>
  <c r="AN123" i="14"/>
  <c r="AN122" i="14"/>
  <c r="AN145" i="14"/>
  <c r="AN146" i="14"/>
  <c r="AN263" i="14"/>
  <c r="AN289" i="14"/>
  <c r="AN311" i="14"/>
  <c r="AN56" i="14"/>
  <c r="AN66" i="14"/>
  <c r="AN110" i="14"/>
  <c r="AN153" i="14"/>
  <c r="AN76" i="14"/>
  <c r="AN113" i="14"/>
  <c r="AN177" i="14"/>
  <c r="AN233" i="14"/>
  <c r="AN315" i="14"/>
  <c r="AN329" i="14"/>
  <c r="AN284" i="14"/>
  <c r="AN72" i="14"/>
  <c r="AN137" i="14"/>
  <c r="AN138" i="14"/>
  <c r="AN198" i="14"/>
  <c r="AN199" i="14"/>
  <c r="AN286" i="14"/>
  <c r="AN307" i="14"/>
  <c r="AN321" i="14"/>
  <c r="AN358" i="14"/>
  <c r="AN3" i="14"/>
  <c r="AN23" i="14"/>
  <c r="AN21" i="14"/>
  <c r="AN59" i="14"/>
  <c r="AN166" i="14"/>
  <c r="AN82" i="14"/>
  <c r="AN196" i="14"/>
  <c r="AN249" i="14"/>
  <c r="AN42" i="14"/>
  <c r="AN43" i="14"/>
  <c r="AN103" i="14"/>
  <c r="AN281" i="14"/>
  <c r="AN282" i="14"/>
  <c r="AN368" i="14"/>
  <c r="AN363" i="14"/>
  <c r="AN6" i="14"/>
  <c r="AN22" i="14"/>
  <c r="AN67" i="14"/>
  <c r="AN70" i="14"/>
  <c r="AN71" i="14"/>
  <c r="AN162" i="14"/>
  <c r="AN53" i="14"/>
  <c r="AN188" i="14"/>
  <c r="AN243" i="14"/>
  <c r="AN119" i="14"/>
  <c r="AN120" i="14"/>
  <c r="AN253" i="14"/>
  <c r="AN260" i="14"/>
  <c r="AN296" i="14"/>
  <c r="AN323" i="14"/>
  <c r="AN327" i="14"/>
  <c r="AN333" i="14"/>
  <c r="AN63" i="14"/>
  <c r="AN64" i="14"/>
  <c r="AN7" i="14"/>
  <c r="AN316" i="14"/>
  <c r="AN152" i="14"/>
  <c r="AN352" i="14"/>
  <c r="AN213" i="14"/>
  <c r="AN214" i="14"/>
  <c r="AN280" i="14"/>
  <c r="AN85" i="14"/>
  <c r="AN112" i="14"/>
  <c r="AN167" i="14"/>
  <c r="AN108" i="14"/>
  <c r="AN353" i="14"/>
  <c r="AN143" i="14"/>
  <c r="AN175" i="14"/>
  <c r="AN347" i="14"/>
  <c r="AN211" i="14"/>
  <c r="AN246" i="14"/>
  <c r="AN304" i="14"/>
  <c r="AN365" i="14"/>
  <c r="AN8" i="14"/>
  <c r="AN9" i="14"/>
  <c r="AN35" i="14"/>
  <c r="AN39" i="14"/>
  <c r="AN159" i="14"/>
  <c r="AN181" i="14"/>
  <c r="AN176" i="14"/>
  <c r="AN50" i="14"/>
  <c r="AN171" i="14"/>
  <c r="AN225" i="14"/>
  <c r="AN227" i="14"/>
  <c r="AN228" i="14"/>
  <c r="AN229" i="14"/>
  <c r="AN234" i="14"/>
  <c r="AN10" i="14"/>
  <c r="AN11" i="14"/>
  <c r="AN16" i="14"/>
  <c r="AN17" i="14"/>
  <c r="AN4" i="14"/>
  <c r="AN5" i="14"/>
  <c r="AN18" i="14"/>
  <c r="AN19" i="14"/>
  <c r="AN32" i="14"/>
  <c r="AN28" i="14"/>
  <c r="AN47" i="14"/>
  <c r="AN48" i="14"/>
  <c r="AN37" i="14"/>
  <c r="AN87" i="14"/>
  <c r="AN90" i="14"/>
  <c r="AN91" i="14"/>
  <c r="AN88" i="14"/>
  <c r="AN80" i="14"/>
  <c r="AN136" i="14"/>
  <c r="AN168" i="14"/>
  <c r="AN139" i="14"/>
  <c r="AN156" i="14"/>
  <c r="AN318" i="14"/>
  <c r="AN319" i="14"/>
  <c r="AN169" i="14"/>
  <c r="AN170" i="14"/>
  <c r="AN92" i="14"/>
  <c r="AN93" i="14"/>
  <c r="AN185" i="14"/>
  <c r="AN189" i="14"/>
  <c r="AN194" i="14"/>
  <c r="AN202" i="14"/>
  <c r="AN204" i="14"/>
  <c r="AN208" i="14"/>
  <c r="AN209" i="14"/>
  <c r="AN210" i="14"/>
  <c r="AN186" i="14"/>
  <c r="AN261" i="14"/>
  <c r="AN262" i="14"/>
  <c r="AN273" i="14"/>
  <c r="AN274" i="14"/>
  <c r="AN264" i="14"/>
  <c r="AN293" i="14"/>
  <c r="AN294" i="14"/>
  <c r="AN149" i="14"/>
  <c r="AN305" i="14"/>
  <c r="AN324" i="14"/>
  <c r="AN325" i="14"/>
  <c r="AN330" i="14"/>
  <c r="AN310" i="14"/>
  <c r="AN335" i="14"/>
  <c r="AN336" i="14"/>
  <c r="AN341" i="14"/>
  <c r="AN345" i="14"/>
  <c r="AN346" i="14"/>
  <c r="AN350" i="14"/>
  <c r="AN351" i="14"/>
  <c r="AN357" i="14"/>
  <c r="AN308" i="14"/>
  <c r="AN192" i="14" l="1"/>
  <c r="AN275" i="14"/>
  <c r="AN269" i="14"/>
  <c r="AN291" i="14"/>
  <c r="AN12" i="14"/>
  <c r="AF42" i="16"/>
  <c r="AH43" i="16"/>
  <c r="AG43" i="16"/>
  <c r="AD43" i="16"/>
  <c r="AC42" i="16"/>
  <c r="AN314" i="14"/>
  <c r="AN288" i="14"/>
  <c r="AN206" i="14"/>
  <c r="AN69" i="14"/>
  <c r="AN271" i="14"/>
  <c r="AN141" i="14"/>
  <c r="AN15" i="14"/>
  <c r="AN298" i="14"/>
  <c r="AN285" i="14"/>
  <c r="AN197" i="14"/>
  <c r="AN320" i="14"/>
  <c r="AN132" i="14"/>
  <c r="AN349" i="14"/>
  <c r="AN258" i="14"/>
  <c r="AN200" i="14"/>
  <c r="AN126" i="14"/>
  <c r="BP16" i="16" l="1"/>
  <c r="BO17" i="16"/>
  <c r="BO16" i="16"/>
  <c r="BN16" i="16"/>
  <c r="BJ16" i="16"/>
  <c r="BJ17" i="16"/>
  <c r="BJ18" i="16"/>
  <c r="BP14" i="16"/>
  <c r="BO14" i="16"/>
  <c r="BN14" i="16"/>
  <c r="BP13" i="16"/>
  <c r="BO13" i="16"/>
  <c r="BO12" i="16"/>
  <c r="BK12" i="16"/>
  <c r="BK11" i="16"/>
  <c r="BJ11" i="16"/>
  <c r="BO8" i="16"/>
  <c r="BN8" i="16"/>
  <c r="BI9" i="16"/>
  <c r="BJ9" i="16"/>
  <c r="E25" i="6"/>
  <c r="G25" i="6"/>
  <c r="G24" i="6"/>
  <c r="G23" i="6"/>
  <c r="G22" i="6"/>
  <c r="G21" i="6"/>
  <c r="G20" i="6"/>
  <c r="G19" i="6"/>
  <c r="G18" i="6"/>
  <c r="G16" i="6"/>
  <c r="G13" i="6"/>
  <c r="G14" i="6"/>
  <c r="G15" i="6"/>
  <c r="G9" i="6"/>
  <c r="G10" i="6"/>
  <c r="G11" i="6"/>
  <c r="G12" i="6"/>
  <c r="G8" i="6"/>
  <c r="BN18" i="16" s="1"/>
  <c r="G7" i="6"/>
  <c r="BL14" i="16" s="1"/>
  <c r="G6" i="6"/>
  <c r="BN11" i="16" s="1"/>
  <c r="G5" i="6"/>
  <c r="BN10" i="16" s="1"/>
  <c r="E23" i="6"/>
  <c r="E22" i="6"/>
  <c r="E20" i="6"/>
  <c r="E19" i="6"/>
  <c r="E18" i="6"/>
  <c r="E16" i="6"/>
  <c r="E15" i="6"/>
  <c r="E14" i="6"/>
  <c r="E13" i="6"/>
  <c r="E12" i="6"/>
  <c r="E11" i="6"/>
  <c r="E10" i="6"/>
  <c r="E9" i="6"/>
  <c r="E7" i="6"/>
  <c r="E6" i="6"/>
  <c r="E5" i="6"/>
  <c r="O35" i="11"/>
  <c r="BK18" i="16" l="1"/>
  <c r="BL40" i="16"/>
  <c r="BJ38" i="16"/>
  <c r="BK40" i="16"/>
  <c r="BI38" i="16"/>
  <c r="BJ40" i="16"/>
  <c r="BI40" i="16"/>
  <c r="BI39" i="16"/>
  <c r="BO40" i="16"/>
  <c r="BO39" i="16"/>
  <c r="BP38" i="16"/>
  <c r="BK39" i="16"/>
  <c r="BQ40" i="16"/>
  <c r="BJ39" i="16"/>
  <c r="BQ39" i="16"/>
  <c r="BP39" i="16"/>
  <c r="BP40" i="16"/>
  <c r="BQ38" i="16"/>
  <c r="BL38" i="16"/>
  <c r="BK38" i="16"/>
  <c r="BM40" i="16"/>
  <c r="BN39" i="16"/>
  <c r="BN40" i="16"/>
  <c r="BM39" i="16"/>
  <c r="BO38" i="16"/>
  <c r="BL39" i="16"/>
  <c r="BN38" i="16"/>
  <c r="BM38" i="16"/>
  <c r="BJ8" i="16"/>
  <c r="BN9" i="16"/>
  <c r="BJ12" i="16"/>
  <c r="BO11" i="16"/>
  <c r="BM14" i="16"/>
  <c r="BI18" i="16"/>
  <c r="BN17" i="16"/>
  <c r="BP45" i="16"/>
  <c r="BO45" i="16"/>
  <c r="BK45" i="16"/>
  <c r="BO46" i="16"/>
  <c r="BJ45" i="16"/>
  <c r="BM46" i="16"/>
  <c r="BN45" i="16"/>
  <c r="BM45" i="16"/>
  <c r="BQ46" i="16"/>
  <c r="BL45" i="16"/>
  <c r="BP46" i="16"/>
  <c r="BN46" i="16"/>
  <c r="BI45" i="16"/>
  <c r="BI46" i="16"/>
  <c r="BL46" i="16"/>
  <c r="BQ45" i="16"/>
  <c r="BJ46" i="16"/>
  <c r="BK46" i="16"/>
  <c r="BK10" i="16"/>
  <c r="BO10" i="16"/>
  <c r="BK13" i="16"/>
  <c r="BP12" i="16"/>
  <c r="BQ14" i="16"/>
  <c r="BK16" i="16"/>
  <c r="BO18" i="16"/>
  <c r="BP10" i="16"/>
  <c r="BL13" i="16"/>
  <c r="BP11" i="16"/>
  <c r="BQ15" i="16"/>
  <c r="BK17" i="16"/>
  <c r="BP18" i="16"/>
  <c r="BK44" i="16"/>
  <c r="BJ44" i="16"/>
  <c r="BP44" i="16"/>
  <c r="BI44" i="16"/>
  <c r="BQ44" i="16"/>
  <c r="BO44" i="16"/>
  <c r="BL44" i="16"/>
  <c r="BN44" i="16"/>
  <c r="BM44" i="16"/>
  <c r="BI10" i="16"/>
  <c r="BL12" i="16"/>
  <c r="BP17" i="16"/>
  <c r="BM49" i="16"/>
  <c r="BL49" i="16"/>
  <c r="BL50" i="16"/>
  <c r="BJ49" i="16"/>
  <c r="BN50" i="16"/>
  <c r="BI49" i="16"/>
  <c r="BP50" i="16"/>
  <c r="BK49" i="16"/>
  <c r="BK50" i="16"/>
  <c r="BJ50" i="16"/>
  <c r="BM50" i="16"/>
  <c r="BI50" i="16"/>
  <c r="BO50" i="16"/>
  <c r="BQ50" i="16"/>
  <c r="BO49" i="16"/>
  <c r="BQ49" i="16"/>
  <c r="BP49" i="16"/>
  <c r="BN49" i="16"/>
  <c r="BL11" i="16"/>
  <c r="BL18" i="16"/>
  <c r="BN27" i="16"/>
  <c r="BK29" i="16"/>
  <c r="BN29" i="16"/>
  <c r="BK26" i="16"/>
  <c r="BJ26" i="16"/>
  <c r="BP29" i="16"/>
  <c r="BO26" i="16"/>
  <c r="BQ28" i="16"/>
  <c r="BJ28" i="16"/>
  <c r="BO27" i="16"/>
  <c r="BK28" i="16"/>
  <c r="BP27" i="16"/>
  <c r="BK27" i="16"/>
  <c r="BQ27" i="16"/>
  <c r="BO29" i="16"/>
  <c r="BQ26" i="16"/>
  <c r="BP26" i="16"/>
  <c r="BQ29" i="16"/>
  <c r="BJ27" i="16"/>
  <c r="BN26" i="16"/>
  <c r="BJ29" i="16"/>
  <c r="BI29" i="16"/>
  <c r="BP28" i="16"/>
  <c r="BI27" i="16"/>
  <c r="BM27" i="16"/>
  <c r="BM26" i="16"/>
  <c r="BI28" i="16"/>
  <c r="BL29" i="16"/>
  <c r="BO28" i="16"/>
  <c r="BM28" i="16"/>
  <c r="BL27" i="16"/>
  <c r="BN28" i="16"/>
  <c r="BI26" i="16"/>
  <c r="BM29" i="16"/>
  <c r="BL26" i="16"/>
  <c r="BL28" i="16"/>
  <c r="BQ8" i="16"/>
  <c r="BQ13" i="16"/>
  <c r="BN15" i="16"/>
  <c r="BQ24" i="16"/>
  <c r="BL23" i="16"/>
  <c r="BM22" i="16"/>
  <c r="BK24" i="16"/>
  <c r="BK23" i="16"/>
  <c r="BJ25" i="16"/>
  <c r="BJ23" i="16"/>
  <c r="BI25" i="16"/>
  <c r="BQ23" i="16"/>
  <c r="BL24" i="16"/>
  <c r="BL22" i="16"/>
  <c r="BP23" i="16"/>
  <c r="BK25" i="16"/>
  <c r="BK22" i="16"/>
  <c r="BP24" i="16"/>
  <c r="BJ22" i="16"/>
  <c r="BP25" i="16"/>
  <c r="BI22" i="16"/>
  <c r="BO25" i="16"/>
  <c r="BO24" i="16"/>
  <c r="BJ24" i="16"/>
  <c r="BO23" i="16"/>
  <c r="BQ22" i="16"/>
  <c r="BP22" i="16"/>
  <c r="BO22" i="16"/>
  <c r="BL25" i="16"/>
  <c r="BM23" i="16"/>
  <c r="BN22" i="16"/>
  <c r="BN24" i="16"/>
  <c r="BQ25" i="16"/>
  <c r="BM25" i="16"/>
  <c r="BN23" i="16"/>
  <c r="BN25" i="16"/>
  <c r="BM24" i="16"/>
  <c r="BI23" i="16"/>
  <c r="BI24" i="16"/>
  <c r="BL8" i="16"/>
  <c r="BQ9" i="16"/>
  <c r="BM12" i="16"/>
  <c r="BI15" i="16"/>
  <c r="BM15" i="16"/>
  <c r="BL16" i="16"/>
  <c r="BQ17" i="16"/>
  <c r="BQ11" i="16"/>
  <c r="BN31" i="16"/>
  <c r="BK30" i="16"/>
  <c r="BK32" i="16"/>
  <c r="BJ31" i="16"/>
  <c r="BL32" i="16"/>
  <c r="BI32" i="16"/>
  <c r="BM31" i="16"/>
  <c r="BJ30" i="16"/>
  <c r="BL31" i="16"/>
  <c r="BI30" i="16"/>
  <c r="BK31" i="16"/>
  <c r="BJ32" i="16"/>
  <c r="BM32" i="16"/>
  <c r="BN32" i="16"/>
  <c r="BI31" i="16"/>
  <c r="BM30" i="16"/>
  <c r="BL30" i="16"/>
  <c r="BQ32" i="16"/>
  <c r="BQ30" i="16"/>
  <c r="BP30" i="16"/>
  <c r="BP32" i="16"/>
  <c r="BP31" i="16"/>
  <c r="BO31" i="16"/>
  <c r="BN30" i="16"/>
  <c r="BO32" i="16"/>
  <c r="BQ31" i="16"/>
  <c r="BO30" i="16"/>
  <c r="BL10" i="16"/>
  <c r="BP8" i="16"/>
  <c r="BO15" i="16"/>
  <c r="BL9" i="16"/>
  <c r="BQ16" i="16"/>
  <c r="BN19" i="16"/>
  <c r="BJ21" i="16"/>
  <c r="BN21" i="16"/>
  <c r="BM21" i="16"/>
  <c r="BM20" i="16"/>
  <c r="BM19" i="16"/>
  <c r="BQ20" i="16"/>
  <c r="BL20" i="16"/>
  <c r="BN20" i="16"/>
  <c r="BI21" i="16"/>
  <c r="BI20" i="16"/>
  <c r="BQ21" i="16"/>
  <c r="BL19" i="16"/>
  <c r="BQ19" i="16"/>
  <c r="BJ19" i="16"/>
  <c r="BJ20" i="16"/>
  <c r="BP20" i="16"/>
  <c r="BP21" i="16"/>
  <c r="BK19" i="16"/>
  <c r="BO19" i="16"/>
  <c r="BL21" i="16"/>
  <c r="BK21" i="16"/>
  <c r="BO21" i="16"/>
  <c r="BP19" i="16"/>
  <c r="BO20" i="16"/>
  <c r="BK20" i="16"/>
  <c r="BI8" i="16"/>
  <c r="BM8" i="16"/>
  <c r="BQ10" i="16"/>
  <c r="BM13" i="16"/>
  <c r="BJ15" i="16"/>
  <c r="BL15" i="16"/>
  <c r="BM16" i="16"/>
  <c r="BQ18" i="16"/>
  <c r="BM11" i="16"/>
  <c r="BL17" i="16"/>
  <c r="BN36" i="16"/>
  <c r="BI35" i="16"/>
  <c r="BM36" i="16"/>
  <c r="BJ36" i="16"/>
  <c r="BI36" i="16"/>
  <c r="BQ35" i="16"/>
  <c r="BL37" i="16"/>
  <c r="BQ37" i="16"/>
  <c r="BL36" i="16"/>
  <c r="BP37" i="16"/>
  <c r="BK36" i="16"/>
  <c r="BO37" i="16"/>
  <c r="BN37" i="16"/>
  <c r="BM37" i="16"/>
  <c r="BP35" i="16"/>
  <c r="BK37" i="16"/>
  <c r="BO35" i="16"/>
  <c r="BJ37" i="16"/>
  <c r="BO36" i="16"/>
  <c r="BK35" i="16"/>
  <c r="BM35" i="16"/>
  <c r="BI37" i="16"/>
  <c r="BN35" i="16"/>
  <c r="BQ36" i="16"/>
  <c r="BP36" i="16"/>
  <c r="BL35" i="16"/>
  <c r="BJ35" i="16"/>
  <c r="BK8" i="16"/>
  <c r="BM9" i="16"/>
  <c r="BI12" i="16"/>
  <c r="BN13" i="16"/>
  <c r="BJ14" i="16"/>
  <c r="BK15" i="16"/>
  <c r="BM17" i="16"/>
  <c r="BI19" i="16"/>
  <c r="BL47" i="16"/>
  <c r="BK47" i="16"/>
  <c r="BQ47" i="16"/>
  <c r="BJ47" i="16"/>
  <c r="BI47" i="16"/>
  <c r="BP47" i="16"/>
  <c r="BN47" i="16"/>
  <c r="BO47" i="16"/>
  <c r="BM47" i="16"/>
  <c r="BK9" i="16"/>
  <c r="BO9" i="16"/>
  <c r="BJ10" i="16"/>
  <c r="BM48" i="16"/>
  <c r="BL48" i="16"/>
  <c r="BK48" i="16"/>
  <c r="BJ48" i="16"/>
  <c r="BI48" i="16"/>
  <c r="BP48" i="16"/>
  <c r="BN48" i="16"/>
  <c r="BO48" i="16"/>
  <c r="BQ48" i="16"/>
  <c r="BP9" i="16"/>
  <c r="BP15" i="16"/>
  <c r="BQ12" i="16"/>
  <c r="BQ34" i="16"/>
  <c r="BI34" i="16"/>
  <c r="BK34" i="16"/>
  <c r="BJ34" i="16"/>
  <c r="BP34" i="16"/>
  <c r="BO34" i="16"/>
  <c r="BN34" i="16"/>
  <c r="BM34" i="16"/>
  <c r="BL34" i="16"/>
  <c r="BI11" i="16"/>
  <c r="BM10" i="16"/>
  <c r="BI13" i="16"/>
  <c r="BN12" i="16"/>
  <c r="BK14" i="16"/>
  <c r="BI16" i="16"/>
  <c r="BM18" i="16"/>
  <c r="BK33" i="16"/>
  <c r="BJ33" i="16"/>
  <c r="BI33" i="16"/>
  <c r="BO33" i="16"/>
  <c r="BN33" i="16"/>
  <c r="BP33" i="16"/>
  <c r="BM33" i="16"/>
  <c r="BL33" i="16"/>
  <c r="BQ33" i="16"/>
  <c r="BI14" i="16"/>
  <c r="BJ13" i="16"/>
  <c r="BI17" i="16"/>
  <c r="C25" i="6" l="1"/>
  <c r="C24" i="6"/>
  <c r="C22" i="6"/>
  <c r="C21" i="6"/>
  <c r="G329" i="14" l="1"/>
  <c r="AC17" i="13"/>
  <c r="AG2" i="10" l="1"/>
  <c r="X38" i="6" l="1"/>
  <c r="BC11" i="16" l="1"/>
  <c r="BD11" i="16"/>
  <c r="BE11" i="16"/>
  <c r="BF11" i="16"/>
  <c r="BC12" i="16"/>
  <c r="BD12" i="16"/>
  <c r="BE12" i="16"/>
  <c r="BF12" i="16"/>
  <c r="BC13" i="16"/>
  <c r="BD13" i="16"/>
  <c r="BE13" i="16"/>
  <c r="BF13" i="16"/>
  <c r="BC14" i="16"/>
  <c r="BD14" i="16"/>
  <c r="BE14" i="16"/>
  <c r="BF14" i="16"/>
  <c r="BC15" i="16"/>
  <c r="BD15" i="16"/>
  <c r="BE15" i="16"/>
  <c r="BF15" i="16"/>
  <c r="BC16" i="16"/>
  <c r="BD16" i="16"/>
  <c r="BE16" i="16"/>
  <c r="BF16" i="16"/>
  <c r="BC17" i="16"/>
  <c r="BD17" i="16"/>
  <c r="BE17" i="16"/>
  <c r="BF17" i="16"/>
  <c r="BC18" i="16"/>
  <c r="BD18" i="16"/>
  <c r="BE18" i="16"/>
  <c r="BF18" i="16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3" i="18"/>
  <c r="C4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5" i="18"/>
  <c r="C6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7" i="18"/>
  <c r="AI20" i="16" l="1"/>
  <c r="AI22" i="16"/>
  <c r="AJ22" i="16"/>
  <c r="AI25" i="16"/>
  <c r="AJ25" i="16"/>
  <c r="AI26" i="16"/>
  <c r="AI36" i="16"/>
  <c r="AJ39" i="16"/>
  <c r="AJ40" i="16"/>
  <c r="AI44" i="16"/>
  <c r="AJ44" i="16"/>
  <c r="AI45" i="16"/>
  <c r="AJ7" i="16"/>
  <c r="AJ9" i="16" s="1"/>
  <c r="AI7" i="16"/>
  <c r="AI9" i="16" s="1"/>
  <c r="N3" i="3"/>
  <c r="T37" i="1" s="1"/>
  <c r="AF31" i="6"/>
  <c r="AF28" i="6" s="1"/>
  <c r="AF27" i="6"/>
  <c r="AF22" i="6"/>
  <c r="AF21" i="6"/>
  <c r="W20" i="6" s="1"/>
  <c r="AO3" i="14"/>
  <c r="AO23" i="14"/>
  <c r="AO21" i="14"/>
  <c r="AO33" i="14"/>
  <c r="AO59" i="14"/>
  <c r="AO74" i="14"/>
  <c r="AO99" i="14"/>
  <c r="AO83" i="14"/>
  <c r="AO106" i="14"/>
  <c r="AO121" i="14"/>
  <c r="AO128" i="14"/>
  <c r="AO129" i="14"/>
  <c r="AO158" i="14"/>
  <c r="AO164" i="14"/>
  <c r="AO166" i="14"/>
  <c r="AO82" i="14"/>
  <c r="AO196" i="14"/>
  <c r="AO220" i="14"/>
  <c r="AO249" i="14"/>
  <c r="AO328" i="14"/>
  <c r="AO337" i="14"/>
  <c r="AO187" i="14"/>
  <c r="AO355" i="14"/>
  <c r="AO114" i="14"/>
  <c r="AO147" i="14"/>
  <c r="AO115" i="14"/>
  <c r="AO267" i="14"/>
  <c r="AO41" i="14"/>
  <c r="AO42" i="14"/>
  <c r="AO43" i="14"/>
  <c r="AO89" i="14"/>
  <c r="AO84" i="14"/>
  <c r="AO103" i="14"/>
  <c r="AO55" i="14"/>
  <c r="AO130" i="14"/>
  <c r="AO105" i="14"/>
  <c r="AO222" i="14"/>
  <c r="AO215" i="14"/>
  <c r="AO217" i="14"/>
  <c r="AO77" i="14"/>
  <c r="AO242" i="14"/>
  <c r="AO218" i="14"/>
  <c r="AO281" i="14"/>
  <c r="AO282" i="14"/>
  <c r="AO283" i="14"/>
  <c r="AO367" i="14"/>
  <c r="AO368" i="14"/>
  <c r="AO369" i="14"/>
  <c r="AO370" i="14"/>
  <c r="AO25" i="14"/>
  <c r="AO26" i="14"/>
  <c r="AO27" i="14"/>
  <c r="AO131" i="14"/>
  <c r="AO221" i="14"/>
  <c r="AO178" i="14"/>
  <c r="AO179" i="14"/>
  <c r="AO363" i="14"/>
  <c r="AO6" i="14"/>
  <c r="AO22" i="14"/>
  <c r="AO20" i="14"/>
  <c r="AO31" i="14"/>
  <c r="AO24" i="14"/>
  <c r="AO30" i="14"/>
  <c r="AO40" i="14"/>
  <c r="AO44" i="14"/>
  <c r="AO45" i="14"/>
  <c r="AO46" i="14"/>
  <c r="AO78" i="14"/>
  <c r="AO79" i="14"/>
  <c r="AO65" i="14"/>
  <c r="AO67" i="14"/>
  <c r="AO70" i="14"/>
  <c r="AO71" i="14"/>
  <c r="AO94" i="14"/>
  <c r="AO96" i="14"/>
  <c r="AO98" i="14"/>
  <c r="AO101" i="14"/>
  <c r="AO100" i="14"/>
  <c r="AO102" i="14"/>
  <c r="AO134" i="14"/>
  <c r="AO277" i="14"/>
  <c r="AO162" i="14"/>
  <c r="AO160" i="14"/>
  <c r="AO163" i="14"/>
  <c r="AO53" i="14"/>
  <c r="AO188" i="14"/>
  <c r="AO243" i="14"/>
  <c r="AO223" i="14"/>
  <c r="AO236" i="14"/>
  <c r="AO237" i="14"/>
  <c r="AO238" i="14"/>
  <c r="AO239" i="14"/>
  <c r="AO354" i="14"/>
  <c r="AO244" i="14"/>
  <c r="AO97" i="14"/>
  <c r="AO245" i="14"/>
  <c r="AO241" i="14"/>
  <c r="AO212" i="14"/>
  <c r="AO119" i="14"/>
  <c r="AO120" i="14"/>
  <c r="AO253" i="14"/>
  <c r="AO255" i="14"/>
  <c r="AO260" i="14"/>
  <c r="AO256" i="14"/>
  <c r="AO278" i="14"/>
  <c r="AO57" i="14"/>
  <c r="AO265" i="14"/>
  <c r="AO268" i="14"/>
  <c r="AO266" i="14"/>
  <c r="AO296" i="14"/>
  <c r="AO322" i="14"/>
  <c r="AO312" i="14"/>
  <c r="AO323" i="14"/>
  <c r="AO343" i="14"/>
  <c r="AO327" i="14"/>
  <c r="AO332" i="14"/>
  <c r="AO333" i="14"/>
  <c r="AO334" i="14"/>
  <c r="AO302" i="14"/>
  <c r="AO344" i="14"/>
  <c r="AO364" i="14"/>
  <c r="AO359" i="14"/>
  <c r="AO360" i="14"/>
  <c r="AO361" i="14"/>
  <c r="AO54" i="14"/>
  <c r="AO362" i="14"/>
  <c r="AO191" i="14"/>
  <c r="AO192" i="14"/>
  <c r="AO63" i="14"/>
  <c r="AO64" i="14"/>
  <c r="AO7" i="14"/>
  <c r="AO127" i="14"/>
  <c r="AO183" i="14"/>
  <c r="AO250" i="14"/>
  <c r="AO251" i="14"/>
  <c r="AO295" i="14"/>
  <c r="AO316" i="14"/>
  <c r="AO338" i="14"/>
  <c r="AO375" i="14"/>
  <c r="AO300" i="14"/>
  <c r="AO34" i="14"/>
  <c r="AO61" i="14"/>
  <c r="AO150" i="14"/>
  <c r="AO151" i="14"/>
  <c r="AO152" i="14"/>
  <c r="AO154" i="14"/>
  <c r="AO172" i="14"/>
  <c r="AO173" i="14"/>
  <c r="AO174" i="14"/>
  <c r="AO259" i="14"/>
  <c r="AO352" i="14"/>
  <c r="AO58" i="14"/>
  <c r="AO161" i="14"/>
  <c r="AO213" i="14"/>
  <c r="AO214" i="14"/>
  <c r="AO248" i="14"/>
  <c r="AO279" i="14"/>
  <c r="AO280" i="14"/>
  <c r="AO85" i="14"/>
  <c r="AO195" i="14"/>
  <c r="AO356" i="14"/>
  <c r="AO247" i="14"/>
  <c r="AO36" i="14"/>
  <c r="AO60" i="14"/>
  <c r="AO62" i="14"/>
  <c r="AO104" i="14"/>
  <c r="AO111" i="14"/>
  <c r="AO112" i="14"/>
  <c r="AO167" i="14"/>
  <c r="AO107" i="14"/>
  <c r="AO108" i="14"/>
  <c r="AO353" i="14"/>
  <c r="AO118" i="14"/>
  <c r="AO123" i="14"/>
  <c r="AO122" i="14"/>
  <c r="AO165" i="14"/>
  <c r="AO142" i="14"/>
  <c r="AO143" i="14"/>
  <c r="AO144" i="14"/>
  <c r="AO145" i="14"/>
  <c r="AO146" i="14"/>
  <c r="AO175" i="14"/>
  <c r="AO347" i="14"/>
  <c r="AO180" i="14"/>
  <c r="AO211" i="14"/>
  <c r="AO246" i="14"/>
  <c r="AO252" i="14"/>
  <c r="AO263" i="14"/>
  <c r="AO289" i="14"/>
  <c r="AO297" i="14"/>
  <c r="AO303" i="14"/>
  <c r="AO304" i="14"/>
  <c r="AO365" i="14"/>
  <c r="AO311" i="14"/>
  <c r="AO339" i="14"/>
  <c r="AO124" i="14"/>
  <c r="AO372" i="14"/>
  <c r="AO373" i="14"/>
  <c r="AO8" i="14"/>
  <c r="AO9" i="14"/>
  <c r="AO35" i="14"/>
  <c r="AO39" i="14"/>
  <c r="AO56" i="14"/>
  <c r="AO66" i="14"/>
  <c r="AO110" i="14"/>
  <c r="AO153" i="14"/>
  <c r="AO159" i="14"/>
  <c r="AO181" i="14"/>
  <c r="AO182" i="14"/>
  <c r="AO216" i="14"/>
  <c r="AO95" i="14"/>
  <c r="AO254" i="14"/>
  <c r="AO317" i="14"/>
  <c r="AO176" i="14"/>
  <c r="AO49" i="14"/>
  <c r="AO50" i="14"/>
  <c r="AO51" i="14"/>
  <c r="AO75" i="14"/>
  <c r="AO76" i="14"/>
  <c r="AO113" i="14"/>
  <c r="AO155" i="14"/>
  <c r="AO171" i="14"/>
  <c r="AO177" i="14"/>
  <c r="AO224" i="14"/>
  <c r="AO225" i="14"/>
  <c r="AO226" i="14"/>
  <c r="AO219" i="14"/>
  <c r="AO227" i="14"/>
  <c r="AO228" i="14"/>
  <c r="AO229" i="14"/>
  <c r="AO230" i="14"/>
  <c r="AO231" i="14"/>
  <c r="AO232" i="14"/>
  <c r="AO233" i="14"/>
  <c r="AO240" i="14"/>
  <c r="AO234" i="14"/>
  <c r="AO235" i="14"/>
  <c r="AO315" i="14"/>
  <c r="AO10" i="14"/>
  <c r="AO11" i="14"/>
  <c r="AO12" i="14"/>
  <c r="AO13" i="14"/>
  <c r="AO14" i="14"/>
  <c r="AO15" i="14"/>
  <c r="AO16" i="14"/>
  <c r="AO17" i="14"/>
  <c r="AO4" i="14"/>
  <c r="AO5" i="14"/>
  <c r="AO18" i="14"/>
  <c r="AO19" i="14"/>
  <c r="AO32" i="14"/>
  <c r="AO28" i="14"/>
  <c r="AO29" i="14"/>
  <c r="AO47" i="14"/>
  <c r="AO48" i="14"/>
  <c r="AO52" i="14"/>
  <c r="AO37" i="14"/>
  <c r="AO38" i="14"/>
  <c r="AO329" i="14"/>
  <c r="AO284" i="14"/>
  <c r="AO72" i="14"/>
  <c r="AO73" i="14"/>
  <c r="AO68" i="14"/>
  <c r="AO69" i="14"/>
  <c r="AO340" i="14"/>
  <c r="AO86" i="14"/>
  <c r="AO87" i="14"/>
  <c r="AO90" i="14"/>
  <c r="AO91" i="14"/>
  <c r="AO88" i="14"/>
  <c r="AO80" i="14"/>
  <c r="AO81" i="14"/>
  <c r="AO109" i="14"/>
  <c r="AO125" i="14"/>
  <c r="AO126" i="14"/>
  <c r="AO132" i="14"/>
  <c r="AO133" i="14"/>
  <c r="AO135" i="14"/>
  <c r="AO136" i="14"/>
  <c r="AO137" i="14"/>
  <c r="AO138" i="14"/>
  <c r="AO168" i="14"/>
  <c r="AO139" i="14"/>
  <c r="AO140" i="14"/>
  <c r="AO141" i="14"/>
  <c r="AO156" i="14"/>
  <c r="AO157" i="14"/>
  <c r="AO318" i="14"/>
  <c r="AO319" i="14"/>
  <c r="AO169" i="14"/>
  <c r="AO170" i="14"/>
  <c r="AO92" i="14"/>
  <c r="AO93" i="14"/>
  <c r="AO184" i="14"/>
  <c r="AO185" i="14"/>
  <c r="AO189" i="14"/>
  <c r="AO190" i="14"/>
  <c r="AO193" i="14"/>
  <c r="AO194" i="14"/>
  <c r="AO197" i="14"/>
  <c r="AO198" i="14"/>
  <c r="AO199" i="14"/>
  <c r="AO200" i="14"/>
  <c r="AO201" i="14"/>
  <c r="AO202" i="14"/>
  <c r="AO203" i="14"/>
  <c r="AO204" i="14"/>
  <c r="AO205" i="14"/>
  <c r="AO206" i="14"/>
  <c r="AO207" i="14"/>
  <c r="AO208" i="14"/>
  <c r="AO209" i="14"/>
  <c r="AO210" i="14"/>
  <c r="AO186" i="14"/>
  <c r="AO366" i="14"/>
  <c r="AO257" i="14"/>
  <c r="AO258" i="14"/>
  <c r="AO261" i="14"/>
  <c r="AO262" i="14"/>
  <c r="AO269" i="14"/>
  <c r="AO270" i="14"/>
  <c r="AO271" i="14"/>
  <c r="AO272" i="14"/>
  <c r="AO273" i="14"/>
  <c r="AO274" i="14"/>
  <c r="AO275" i="14"/>
  <c r="AO276" i="14"/>
  <c r="AO285" i="14"/>
  <c r="AO286" i="14"/>
  <c r="AO264" i="14"/>
  <c r="AO348" i="14"/>
  <c r="AO349" i="14"/>
  <c r="AO287" i="14"/>
  <c r="AO288" i="14"/>
  <c r="AO290" i="14"/>
  <c r="AO291" i="14"/>
  <c r="AO292" i="14"/>
  <c r="AO293" i="14"/>
  <c r="AO294" i="14"/>
  <c r="AO148" i="14"/>
  <c r="AO149" i="14"/>
  <c r="AO298" i="14"/>
  <c r="AO299" i="14"/>
  <c r="AO371" i="14"/>
  <c r="AO301" i="14"/>
  <c r="AO305" i="14"/>
  <c r="AO306" i="14"/>
  <c r="AO307" i="14"/>
  <c r="AO320" i="14"/>
  <c r="AO321" i="14"/>
  <c r="AO324" i="14"/>
  <c r="AO325" i="14"/>
  <c r="AO330" i="14"/>
  <c r="AO331" i="14"/>
  <c r="AO313" i="14"/>
  <c r="AO314" i="14"/>
  <c r="AO309" i="14"/>
  <c r="AO310" i="14"/>
  <c r="AO335" i="14"/>
  <c r="AO336" i="14"/>
  <c r="AO341" i="14"/>
  <c r="AO342" i="14"/>
  <c r="AO345" i="14"/>
  <c r="AO346" i="14"/>
  <c r="AO350" i="14"/>
  <c r="AO351" i="14"/>
  <c r="AO357" i="14"/>
  <c r="AO358" i="14"/>
  <c r="AO116" i="14"/>
  <c r="AO117" i="14"/>
  <c r="AO326" i="14"/>
  <c r="AO374" i="14"/>
  <c r="AO308" i="14"/>
  <c r="G33" i="14"/>
  <c r="H33" i="14"/>
  <c r="D24" i="18" s="1"/>
  <c r="G59" i="14"/>
  <c r="H59" i="14"/>
  <c r="D45" i="18" s="1"/>
  <c r="G74" i="14"/>
  <c r="H74" i="14"/>
  <c r="D56" i="18" s="1"/>
  <c r="G99" i="14"/>
  <c r="H99" i="14"/>
  <c r="D73" i="18" s="1"/>
  <c r="G83" i="14"/>
  <c r="H83" i="14"/>
  <c r="D62" i="18" s="1"/>
  <c r="G106" i="14"/>
  <c r="H106" i="14"/>
  <c r="D80" i="18" s="1"/>
  <c r="G121" i="14"/>
  <c r="H121" i="14"/>
  <c r="D91" i="18" s="1"/>
  <c r="G128" i="14"/>
  <c r="H128" i="14"/>
  <c r="D96" i="18" s="1"/>
  <c r="G129" i="14"/>
  <c r="H129" i="14"/>
  <c r="D97" i="18" s="1"/>
  <c r="G158" i="14"/>
  <c r="H158" i="14"/>
  <c r="D115" i="18" s="1"/>
  <c r="G164" i="14"/>
  <c r="H164" i="14"/>
  <c r="D121" i="18" s="1"/>
  <c r="G166" i="14"/>
  <c r="H166" i="14"/>
  <c r="D123" i="18" s="1"/>
  <c r="G82" i="14"/>
  <c r="H82" i="14"/>
  <c r="D61" i="18" s="1"/>
  <c r="G196" i="14"/>
  <c r="H196" i="14"/>
  <c r="D140" i="18" s="1"/>
  <c r="G220" i="14"/>
  <c r="H220" i="14"/>
  <c r="D148" i="18" s="1"/>
  <c r="G249" i="14"/>
  <c r="H249" i="14"/>
  <c r="D162" i="18" s="1"/>
  <c r="G328" i="14"/>
  <c r="H328" i="14"/>
  <c r="D212" i="18" s="1"/>
  <c r="G337" i="14"/>
  <c r="H337" i="14"/>
  <c r="D219" i="18" s="1"/>
  <c r="G187" i="14"/>
  <c r="H187" i="14"/>
  <c r="D134" i="18" s="1"/>
  <c r="G355" i="14"/>
  <c r="H355" i="14"/>
  <c r="D231" i="18" s="1"/>
  <c r="G114" i="14"/>
  <c r="H114" i="14"/>
  <c r="D86" i="18" s="1"/>
  <c r="G147" i="14"/>
  <c r="H147" i="14"/>
  <c r="D107" i="18" s="1"/>
  <c r="G115" i="14"/>
  <c r="H115" i="14"/>
  <c r="G267" i="14"/>
  <c r="H267" i="14"/>
  <c r="D176" i="18" s="1"/>
  <c r="G41" i="14"/>
  <c r="H41" i="14"/>
  <c r="D31" i="18" s="1"/>
  <c r="G42" i="14"/>
  <c r="H42" i="14"/>
  <c r="G43" i="14"/>
  <c r="H43" i="14"/>
  <c r="D32" i="18" s="1"/>
  <c r="G89" i="14"/>
  <c r="H89" i="14"/>
  <c r="D67" i="18" s="1"/>
  <c r="G84" i="14"/>
  <c r="H84" i="14"/>
  <c r="D63" i="18" s="1"/>
  <c r="G103" i="14"/>
  <c r="H103" i="14"/>
  <c r="D77" i="18" s="1"/>
  <c r="G55" i="14"/>
  <c r="H55" i="14"/>
  <c r="D41" i="18" s="1"/>
  <c r="G130" i="14"/>
  <c r="H130" i="14"/>
  <c r="D98" i="18" s="1"/>
  <c r="G105" i="14"/>
  <c r="H105" i="14"/>
  <c r="D79" i="18" s="1"/>
  <c r="G222" i="14"/>
  <c r="H222" i="14"/>
  <c r="D150" i="18" s="1"/>
  <c r="G215" i="14"/>
  <c r="H215" i="14"/>
  <c r="D144" i="18" s="1"/>
  <c r="G217" i="14"/>
  <c r="H217" i="14"/>
  <c r="D146" i="18" s="1"/>
  <c r="G77" i="14"/>
  <c r="H77" i="14"/>
  <c r="D58" i="18" s="1"/>
  <c r="G242" i="14"/>
  <c r="H242" i="14"/>
  <c r="D157" i="18" s="1"/>
  <c r="G218" i="14"/>
  <c r="H218" i="14"/>
  <c r="G281" i="14"/>
  <c r="H281" i="14"/>
  <c r="D5" i="18" s="1"/>
  <c r="G282" i="14"/>
  <c r="H282" i="14"/>
  <c r="G283" i="14"/>
  <c r="H283" i="14"/>
  <c r="G367" i="14"/>
  <c r="H367" i="14"/>
  <c r="D240" i="18" s="1"/>
  <c r="G368" i="14"/>
  <c r="H368" i="14"/>
  <c r="G369" i="14"/>
  <c r="H369" i="14"/>
  <c r="G370" i="14"/>
  <c r="H370" i="14"/>
  <c r="G25" i="14"/>
  <c r="H25" i="14"/>
  <c r="D19" i="18" s="1"/>
  <c r="G26" i="14"/>
  <c r="H26" i="14"/>
  <c r="G27" i="14"/>
  <c r="H27" i="14"/>
  <c r="G131" i="14"/>
  <c r="H131" i="14"/>
  <c r="D99" i="18" s="1"/>
  <c r="G221" i="14"/>
  <c r="H221" i="14"/>
  <c r="D149" i="18" s="1"/>
  <c r="G178" i="14"/>
  <c r="H178" i="14"/>
  <c r="D128" i="18" s="1"/>
  <c r="G179" i="14"/>
  <c r="H179" i="14"/>
  <c r="G363" i="14"/>
  <c r="H363" i="14"/>
  <c r="D236" i="18" s="1"/>
  <c r="G6" i="14"/>
  <c r="H6" i="14"/>
  <c r="D10" i="18" s="1"/>
  <c r="G22" i="14"/>
  <c r="H22" i="14"/>
  <c r="D16" i="18" s="1"/>
  <c r="G20" i="14"/>
  <c r="H20" i="14"/>
  <c r="D14" i="18" s="1"/>
  <c r="G31" i="14"/>
  <c r="H31" i="14"/>
  <c r="D22" i="18" s="1"/>
  <c r="G24" i="14"/>
  <c r="H24" i="14"/>
  <c r="D18" i="18" s="1"/>
  <c r="G30" i="14"/>
  <c r="H30" i="14"/>
  <c r="D21" i="18" s="1"/>
  <c r="G40" i="14"/>
  <c r="H40" i="14"/>
  <c r="D30" i="18" s="1"/>
  <c r="G44" i="14"/>
  <c r="H44" i="14"/>
  <c r="D33" i="18" s="1"/>
  <c r="G45" i="14"/>
  <c r="H45" i="14"/>
  <c r="D34" i="18" s="1"/>
  <c r="G46" i="14"/>
  <c r="H46" i="14"/>
  <c r="D35" i="18" s="1"/>
  <c r="G78" i="14"/>
  <c r="H78" i="14"/>
  <c r="D59" i="18" s="1"/>
  <c r="G79" i="14"/>
  <c r="H79" i="14"/>
  <c r="G65" i="14"/>
  <c r="H65" i="14"/>
  <c r="D50" i="18" s="1"/>
  <c r="G67" i="14"/>
  <c r="H67" i="14"/>
  <c r="D52" i="18" s="1"/>
  <c r="G70" i="14"/>
  <c r="H70" i="14"/>
  <c r="D54" i="18" s="1"/>
  <c r="G71" i="14"/>
  <c r="H71" i="14"/>
  <c r="G94" i="14"/>
  <c r="H94" i="14"/>
  <c r="D69" i="18" s="1"/>
  <c r="G96" i="14"/>
  <c r="H96" i="14"/>
  <c r="D71" i="18" s="1"/>
  <c r="G98" i="14"/>
  <c r="H98" i="14"/>
  <c r="D72" i="18" s="1"/>
  <c r="G101" i="14"/>
  <c r="H101" i="14"/>
  <c r="D75" i="18" s="1"/>
  <c r="G100" i="14"/>
  <c r="H100" i="14"/>
  <c r="D74" i="18" s="1"/>
  <c r="G102" i="14"/>
  <c r="H102" i="14"/>
  <c r="D76" i="18" s="1"/>
  <c r="G134" i="14"/>
  <c r="D101" i="18"/>
  <c r="G277" i="14"/>
  <c r="H277" i="14"/>
  <c r="D179" i="18" s="1"/>
  <c r="G162" i="14"/>
  <c r="H162" i="14"/>
  <c r="D119" i="18" s="1"/>
  <c r="G160" i="14"/>
  <c r="H160" i="14"/>
  <c r="D117" i="18" s="1"/>
  <c r="G163" i="14"/>
  <c r="H163" i="14"/>
  <c r="D120" i="18" s="1"/>
  <c r="G53" i="14"/>
  <c r="H53" i="14"/>
  <c r="D39" i="18" s="1"/>
  <c r="G188" i="14"/>
  <c r="H188" i="14"/>
  <c r="D135" i="18" s="1"/>
  <c r="G243" i="14"/>
  <c r="H243" i="14"/>
  <c r="D158" i="18" s="1"/>
  <c r="G223" i="14"/>
  <c r="H223" i="14"/>
  <c r="D151" i="18" s="1"/>
  <c r="G236" i="14"/>
  <c r="H236" i="14"/>
  <c r="D153" i="18" s="1"/>
  <c r="G237" i="14"/>
  <c r="H237" i="14"/>
  <c r="G238" i="14"/>
  <c r="H238" i="14"/>
  <c r="D154" i="18" s="1"/>
  <c r="G239" i="14"/>
  <c r="H239" i="14"/>
  <c r="G354" i="14"/>
  <c r="H354" i="14"/>
  <c r="D230" i="18" s="1"/>
  <c r="G244" i="14"/>
  <c r="H244" i="14"/>
  <c r="G97" i="14"/>
  <c r="H97" i="14"/>
  <c r="G245" i="14"/>
  <c r="H245" i="14"/>
  <c r="G241" i="14"/>
  <c r="H241" i="14"/>
  <c r="D156" i="18" s="1"/>
  <c r="G212" i="14"/>
  <c r="H212" i="14"/>
  <c r="D142" i="18" s="1"/>
  <c r="G119" i="14"/>
  <c r="H119" i="14"/>
  <c r="D89" i="18" s="1"/>
  <c r="G120" i="14"/>
  <c r="H120" i="14"/>
  <c r="D90" i="18" s="1"/>
  <c r="G253" i="14"/>
  <c r="H253" i="14"/>
  <c r="D165" i="18" s="1"/>
  <c r="G255" i="14"/>
  <c r="H255" i="14"/>
  <c r="D167" i="18" s="1"/>
  <c r="G260" i="14"/>
  <c r="H260" i="14"/>
  <c r="D171" i="18" s="1"/>
  <c r="G256" i="14"/>
  <c r="H256" i="14"/>
  <c r="D168" i="18" s="1"/>
  <c r="G278" i="14"/>
  <c r="H278" i="14"/>
  <c r="D180" i="18" s="1"/>
  <c r="G57" i="14"/>
  <c r="H57" i="14"/>
  <c r="D43" i="18" s="1"/>
  <c r="G265" i="14"/>
  <c r="H265" i="14"/>
  <c r="D175" i="18" s="1"/>
  <c r="G268" i="14"/>
  <c r="H268" i="14"/>
  <c r="D177" i="18" s="1"/>
  <c r="G266" i="14"/>
  <c r="H266" i="14"/>
  <c r="G296" i="14"/>
  <c r="H296" i="14"/>
  <c r="D188" i="18" s="1"/>
  <c r="G322" i="14"/>
  <c r="H322" i="14"/>
  <c r="D208" i="18" s="1"/>
  <c r="G312" i="14"/>
  <c r="H312" i="14"/>
  <c r="D201" i="18" s="1"/>
  <c r="G323" i="14"/>
  <c r="H323" i="14"/>
  <c r="G343" i="14"/>
  <c r="H343" i="14"/>
  <c r="D223" i="18" s="1"/>
  <c r="G327" i="14"/>
  <c r="H327" i="14"/>
  <c r="D211" i="18" s="1"/>
  <c r="G332" i="14"/>
  <c r="H332" i="14"/>
  <c r="D215" i="18" s="1"/>
  <c r="G333" i="14"/>
  <c r="H333" i="14"/>
  <c r="D216" i="18" s="1"/>
  <c r="G334" i="14"/>
  <c r="H334" i="14"/>
  <c r="D217" i="18" s="1"/>
  <c r="G302" i="14"/>
  <c r="H302" i="14"/>
  <c r="D193" i="18" s="1"/>
  <c r="G344" i="14"/>
  <c r="H344" i="14"/>
  <c r="D224" i="18" s="1"/>
  <c r="G364" i="14"/>
  <c r="H364" i="14"/>
  <c r="D237" i="18" s="1"/>
  <c r="G359" i="14"/>
  <c r="H359" i="14"/>
  <c r="D234" i="18" s="1"/>
  <c r="G360" i="14"/>
  <c r="H360" i="14"/>
  <c r="G361" i="14"/>
  <c r="H361" i="14"/>
  <c r="G54" i="14"/>
  <c r="H54" i="14"/>
  <c r="D40" i="18" s="1"/>
  <c r="G362" i="14"/>
  <c r="H362" i="14"/>
  <c r="D235" i="18" s="1"/>
  <c r="G191" i="14"/>
  <c r="H191" i="14"/>
  <c r="D137" i="18" s="1"/>
  <c r="H192" i="14"/>
  <c r="G63" i="14"/>
  <c r="H63" i="14"/>
  <c r="D49" i="18" s="1"/>
  <c r="H64" i="14"/>
  <c r="G7" i="14"/>
  <c r="H7" i="14"/>
  <c r="D11" i="18" s="1"/>
  <c r="G127" i="14"/>
  <c r="H127" i="14"/>
  <c r="D95" i="18" s="1"/>
  <c r="G183" i="14"/>
  <c r="H183" i="14"/>
  <c r="D131" i="18" s="1"/>
  <c r="G250" i="14"/>
  <c r="H250" i="14"/>
  <c r="D163" i="18" s="1"/>
  <c r="G251" i="14"/>
  <c r="H251" i="14"/>
  <c r="G295" i="14"/>
  <c r="H295" i="14"/>
  <c r="D187" i="18" s="1"/>
  <c r="G316" i="14"/>
  <c r="H316" i="14"/>
  <c r="D204" i="18" s="1"/>
  <c r="G338" i="14"/>
  <c r="H338" i="14"/>
  <c r="D220" i="18" s="1"/>
  <c r="G375" i="14"/>
  <c r="H375" i="14"/>
  <c r="D244" i="18" s="1"/>
  <c r="G300" i="14"/>
  <c r="H300" i="14"/>
  <c r="D191" i="18" s="1"/>
  <c r="G34" i="14"/>
  <c r="H34" i="14"/>
  <c r="D25" i="18" s="1"/>
  <c r="G61" i="14"/>
  <c r="H61" i="14"/>
  <c r="D47" i="18" s="1"/>
  <c r="G150" i="14"/>
  <c r="H150" i="14"/>
  <c r="D109" i="18" s="1"/>
  <c r="G151" i="14"/>
  <c r="H151" i="14"/>
  <c r="D110" i="18" s="1"/>
  <c r="G152" i="14"/>
  <c r="H152" i="14"/>
  <c r="G154" i="14"/>
  <c r="H154" i="14"/>
  <c r="D112" i="18" s="1"/>
  <c r="G172" i="14"/>
  <c r="H172" i="14"/>
  <c r="D126" i="18" s="1"/>
  <c r="G173" i="14"/>
  <c r="H173" i="14"/>
  <c r="D127" i="18" s="1"/>
  <c r="G174" i="14"/>
  <c r="H174" i="14"/>
  <c r="G259" i="14"/>
  <c r="H259" i="14"/>
  <c r="D170" i="18" s="1"/>
  <c r="G352" i="14"/>
  <c r="H352" i="14"/>
  <c r="D228" i="18" s="1"/>
  <c r="G58" i="14"/>
  <c r="H58" i="14"/>
  <c r="D44" i="18" s="1"/>
  <c r="G161" i="14"/>
  <c r="H161" i="14"/>
  <c r="D118" i="18" s="1"/>
  <c r="G213" i="14"/>
  <c r="H213" i="14"/>
  <c r="D143" i="18" s="1"/>
  <c r="G214" i="14"/>
  <c r="H214" i="14"/>
  <c r="G248" i="14"/>
  <c r="H248" i="14"/>
  <c r="D161" i="18" s="1"/>
  <c r="G279" i="14"/>
  <c r="H279" i="14"/>
  <c r="D181" i="18" s="1"/>
  <c r="G280" i="14"/>
  <c r="H280" i="14"/>
  <c r="G85" i="14"/>
  <c r="H85" i="14"/>
  <c r="D64" i="18" s="1"/>
  <c r="G195" i="14"/>
  <c r="H195" i="14"/>
  <c r="D139" i="18" s="1"/>
  <c r="G356" i="14"/>
  <c r="H356" i="14"/>
  <c r="D232" i="18" s="1"/>
  <c r="G247" i="14"/>
  <c r="H247" i="14"/>
  <c r="D160" i="18" s="1"/>
  <c r="G36" i="14"/>
  <c r="H36" i="14"/>
  <c r="D27" i="18" s="1"/>
  <c r="G60" i="14"/>
  <c r="H60" i="14"/>
  <c r="D46" i="18" s="1"/>
  <c r="G62" i="14"/>
  <c r="H62" i="14"/>
  <c r="D48" i="18" s="1"/>
  <c r="G104" i="14"/>
  <c r="H104" i="14"/>
  <c r="D78" i="18" s="1"/>
  <c r="G111" i="14"/>
  <c r="H111" i="14"/>
  <c r="D84" i="18" s="1"/>
  <c r="G112" i="14"/>
  <c r="H112" i="14"/>
  <c r="G167" i="14"/>
  <c r="H167" i="14"/>
  <c r="D124" i="18" s="1"/>
  <c r="G107" i="14"/>
  <c r="H107" i="14"/>
  <c r="D81" i="18" s="1"/>
  <c r="G108" i="14"/>
  <c r="H108" i="14"/>
  <c r="G353" i="14"/>
  <c r="H353" i="14"/>
  <c r="D229" i="18" s="1"/>
  <c r="G118" i="14"/>
  <c r="H118" i="14"/>
  <c r="D88" i="18" s="1"/>
  <c r="G123" i="14"/>
  <c r="H123" i="14"/>
  <c r="D93" i="18" s="1"/>
  <c r="G122" i="14"/>
  <c r="H122" i="14"/>
  <c r="D92" i="18" s="1"/>
  <c r="G165" i="14"/>
  <c r="H165" i="14"/>
  <c r="D122" i="18" s="1"/>
  <c r="G142" i="14"/>
  <c r="H142" i="14"/>
  <c r="D103" i="18" s="1"/>
  <c r="G143" i="14"/>
  <c r="H143" i="14"/>
  <c r="D104" i="18" s="1"/>
  <c r="G144" i="14"/>
  <c r="H144" i="14"/>
  <c r="G145" i="14"/>
  <c r="H145" i="14"/>
  <c r="D105" i="18" s="1"/>
  <c r="G146" i="14"/>
  <c r="H146" i="14"/>
  <c r="D106" i="18" s="1"/>
  <c r="G175" i="14"/>
  <c r="H175" i="14"/>
  <c r="D4" i="18" s="1"/>
  <c r="G347" i="14"/>
  <c r="H347" i="14"/>
  <c r="D226" i="18" s="1"/>
  <c r="G180" i="14"/>
  <c r="H180" i="14"/>
  <c r="D129" i="18" s="1"/>
  <c r="G211" i="14"/>
  <c r="H211" i="14"/>
  <c r="D141" i="18" s="1"/>
  <c r="G246" i="14"/>
  <c r="H246" i="14"/>
  <c r="D159" i="18" s="1"/>
  <c r="G252" i="14"/>
  <c r="H252" i="14"/>
  <c r="D164" i="18" s="1"/>
  <c r="G263" i="14"/>
  <c r="H263" i="14"/>
  <c r="D173" i="18" s="1"/>
  <c r="G289" i="14"/>
  <c r="H289" i="14"/>
  <c r="D184" i="18" s="1"/>
  <c r="G297" i="14"/>
  <c r="H297" i="14"/>
  <c r="D189" i="18" s="1"/>
  <c r="G303" i="14"/>
  <c r="H303" i="14"/>
  <c r="D194" i="18" s="1"/>
  <c r="G304" i="14"/>
  <c r="H304" i="14"/>
  <c r="D195" i="18" s="1"/>
  <c r="G365" i="14"/>
  <c r="H365" i="14"/>
  <c r="D238" i="18" s="1"/>
  <c r="G311" i="14"/>
  <c r="H311" i="14"/>
  <c r="D200" i="18" s="1"/>
  <c r="G339" i="14"/>
  <c r="H339" i="14"/>
  <c r="D221" i="18" s="1"/>
  <c r="G124" i="14"/>
  <c r="H124" i="14"/>
  <c r="G372" i="14"/>
  <c r="H372" i="14"/>
  <c r="D242" i="18" s="1"/>
  <c r="G373" i="14"/>
  <c r="H373" i="14"/>
  <c r="G8" i="14"/>
  <c r="H8" i="14"/>
  <c r="D12" i="18" s="1"/>
  <c r="H9" i="14"/>
  <c r="G35" i="14"/>
  <c r="H35" i="14"/>
  <c r="D26" i="18" s="1"/>
  <c r="G39" i="14"/>
  <c r="H39" i="14"/>
  <c r="D29" i="18" s="1"/>
  <c r="G56" i="14"/>
  <c r="H56" i="14"/>
  <c r="D42" i="18" s="1"/>
  <c r="G66" i="14"/>
  <c r="H66" i="14"/>
  <c r="D51" i="18" s="1"/>
  <c r="G110" i="14"/>
  <c r="H110" i="14"/>
  <c r="D83" i="18" s="1"/>
  <c r="G153" i="14"/>
  <c r="H153" i="14"/>
  <c r="D111" i="18" s="1"/>
  <c r="G159" i="14"/>
  <c r="H159" i="14"/>
  <c r="D116" i="18" s="1"/>
  <c r="G181" i="14"/>
  <c r="H181" i="14"/>
  <c r="D130" i="18" s="1"/>
  <c r="G182" i="14"/>
  <c r="H182" i="14"/>
  <c r="G216" i="14"/>
  <c r="H216" i="14"/>
  <c r="D145" i="18" s="1"/>
  <c r="G95" i="14"/>
  <c r="H95" i="14"/>
  <c r="D70" i="18" s="1"/>
  <c r="G254" i="14"/>
  <c r="H254" i="14"/>
  <c r="D166" i="18" s="1"/>
  <c r="G317" i="14"/>
  <c r="H317" i="14"/>
  <c r="D205" i="18" s="1"/>
  <c r="G176" i="14"/>
  <c r="H176" i="14"/>
  <c r="G49" i="14"/>
  <c r="H49" i="14"/>
  <c r="D37" i="18" s="1"/>
  <c r="G50" i="14"/>
  <c r="H50" i="14"/>
  <c r="G51" i="14"/>
  <c r="H51" i="14"/>
  <c r="G75" i="14"/>
  <c r="H75" i="14"/>
  <c r="D57" i="18" s="1"/>
  <c r="G76" i="14"/>
  <c r="H76" i="14"/>
  <c r="G113" i="14"/>
  <c r="H113" i="14"/>
  <c r="D85" i="18" s="1"/>
  <c r="G155" i="14"/>
  <c r="H155" i="14"/>
  <c r="D113" i="18" s="1"/>
  <c r="G171" i="14"/>
  <c r="H171" i="14"/>
  <c r="D125" i="18" s="1"/>
  <c r="G177" i="14"/>
  <c r="H177" i="14"/>
  <c r="G224" i="14"/>
  <c r="H224" i="14"/>
  <c r="D152" i="18" s="1"/>
  <c r="G225" i="14"/>
  <c r="H225" i="14"/>
  <c r="G226" i="14"/>
  <c r="H226" i="14"/>
  <c r="G219" i="14"/>
  <c r="H219" i="14"/>
  <c r="D147" i="18" s="1"/>
  <c r="G227" i="14"/>
  <c r="H227" i="14"/>
  <c r="G228" i="14"/>
  <c r="H228" i="14"/>
  <c r="G229" i="14"/>
  <c r="H229" i="14"/>
  <c r="G230" i="14"/>
  <c r="H230" i="14"/>
  <c r="G231" i="14"/>
  <c r="H231" i="14"/>
  <c r="G232" i="14"/>
  <c r="H232" i="14"/>
  <c r="G233" i="14"/>
  <c r="H233" i="14"/>
  <c r="G240" i="14"/>
  <c r="H240" i="14"/>
  <c r="D155" i="18" s="1"/>
  <c r="G234" i="14"/>
  <c r="H234" i="14"/>
  <c r="G235" i="14"/>
  <c r="H235" i="14"/>
  <c r="G315" i="14"/>
  <c r="H315" i="14"/>
  <c r="D203" i="18" s="1"/>
  <c r="G10" i="14"/>
  <c r="H10" i="14"/>
  <c r="D13" i="18" s="1"/>
  <c r="H11" i="14"/>
  <c r="G12" i="14"/>
  <c r="H12" i="14"/>
  <c r="H13" i="14"/>
  <c r="G14" i="14"/>
  <c r="H14" i="14"/>
  <c r="H15" i="14"/>
  <c r="G16" i="14"/>
  <c r="H16" i="14"/>
  <c r="H17" i="14"/>
  <c r="G4" i="14"/>
  <c r="H4" i="14"/>
  <c r="D9" i="18" s="1"/>
  <c r="H5" i="14"/>
  <c r="G18" i="14"/>
  <c r="H18" i="14"/>
  <c r="H19" i="14"/>
  <c r="G32" i="14"/>
  <c r="H32" i="14"/>
  <c r="D23" i="18" s="1"/>
  <c r="G28" i="14"/>
  <c r="H28" i="14"/>
  <c r="D20" i="18" s="1"/>
  <c r="H29" i="14"/>
  <c r="G47" i="14"/>
  <c r="H47" i="14"/>
  <c r="D36" i="18" s="1"/>
  <c r="H48" i="14"/>
  <c r="G52" i="14"/>
  <c r="H52" i="14"/>
  <c r="D38" i="18" s="1"/>
  <c r="G37" i="14"/>
  <c r="H37" i="14"/>
  <c r="D28" i="18" s="1"/>
  <c r="H38" i="14"/>
  <c r="H329" i="14"/>
  <c r="D213" i="18" s="1"/>
  <c r="G284" i="14"/>
  <c r="H284" i="14"/>
  <c r="G72" i="14"/>
  <c r="H72" i="14"/>
  <c r="D55" i="18" s="1"/>
  <c r="G73" i="14"/>
  <c r="H73" i="14"/>
  <c r="G68" i="14"/>
  <c r="H68" i="14"/>
  <c r="D53" i="18" s="1"/>
  <c r="H69" i="14"/>
  <c r="G340" i="14"/>
  <c r="H340" i="14"/>
  <c r="D222" i="18" s="1"/>
  <c r="G86" i="14"/>
  <c r="H86" i="14"/>
  <c r="D65" i="18" s="1"/>
  <c r="H87" i="14"/>
  <c r="G90" i="14"/>
  <c r="H90" i="14"/>
  <c r="D68" i="18" s="1"/>
  <c r="H91" i="14"/>
  <c r="G88" i="14"/>
  <c r="H88" i="14"/>
  <c r="D66" i="18" s="1"/>
  <c r="G80" i="14"/>
  <c r="H80" i="14"/>
  <c r="D60" i="18" s="1"/>
  <c r="H81" i="14"/>
  <c r="G109" i="14"/>
  <c r="H109" i="14"/>
  <c r="D82" i="18" s="1"/>
  <c r="G125" i="14"/>
  <c r="H125" i="14"/>
  <c r="D94" i="18" s="1"/>
  <c r="H126" i="14"/>
  <c r="G132" i="14"/>
  <c r="H132" i="14"/>
  <c r="D100" i="18" s="1"/>
  <c r="H133" i="14"/>
  <c r="G135" i="14"/>
  <c r="H135" i="14"/>
  <c r="G136" i="14"/>
  <c r="H136" i="14"/>
  <c r="G137" i="14"/>
  <c r="H137" i="14"/>
  <c r="G138" i="14"/>
  <c r="H138" i="14"/>
  <c r="G168" i="14"/>
  <c r="H168" i="14"/>
  <c r="G139" i="14"/>
  <c r="H139" i="14"/>
  <c r="G140" i="14"/>
  <c r="H140" i="14"/>
  <c r="D102" i="18" s="1"/>
  <c r="H141" i="14"/>
  <c r="G156" i="14"/>
  <c r="H156" i="14"/>
  <c r="D114" i="18" s="1"/>
  <c r="G157" i="14"/>
  <c r="H157" i="14"/>
  <c r="G318" i="14"/>
  <c r="H318" i="14"/>
  <c r="D206" i="18" s="1"/>
  <c r="H319" i="14"/>
  <c r="G169" i="14"/>
  <c r="H169" i="14"/>
  <c r="G170" i="14"/>
  <c r="H170" i="14"/>
  <c r="G92" i="14"/>
  <c r="H92" i="14"/>
  <c r="H93" i="14"/>
  <c r="G184" i="14"/>
  <c r="H184" i="14"/>
  <c r="D132" i="18" s="1"/>
  <c r="H185" i="14"/>
  <c r="G189" i="14"/>
  <c r="H189" i="14"/>
  <c r="D136" i="18" s="1"/>
  <c r="H190" i="14"/>
  <c r="G193" i="14"/>
  <c r="H193" i="14"/>
  <c r="D138" i="18" s="1"/>
  <c r="H194" i="14"/>
  <c r="G197" i="14"/>
  <c r="H197" i="14"/>
  <c r="D8" i="18" s="1"/>
  <c r="H198" i="14"/>
  <c r="G199" i="14"/>
  <c r="H199" i="14"/>
  <c r="H200" i="14"/>
  <c r="G201" i="14"/>
  <c r="H201" i="14"/>
  <c r="H202" i="14"/>
  <c r="G203" i="14"/>
  <c r="H203" i="14"/>
  <c r="H204" i="14"/>
  <c r="G205" i="14"/>
  <c r="H205" i="14"/>
  <c r="H206" i="14"/>
  <c r="G207" i="14"/>
  <c r="H207" i="14"/>
  <c r="H208" i="14"/>
  <c r="G209" i="14"/>
  <c r="H209" i="14"/>
  <c r="H210" i="14"/>
  <c r="G186" i="14"/>
  <c r="H186" i="14"/>
  <c r="D133" i="18" s="1"/>
  <c r="G366" i="14"/>
  <c r="H366" i="14"/>
  <c r="D239" i="18" s="1"/>
  <c r="G257" i="14"/>
  <c r="H257" i="14"/>
  <c r="D169" i="18" s="1"/>
  <c r="H258" i="14"/>
  <c r="G261" i="14"/>
  <c r="H261" i="14"/>
  <c r="D172" i="18" s="1"/>
  <c r="H262" i="14"/>
  <c r="G269" i="14"/>
  <c r="H269" i="14"/>
  <c r="D178" i="18" s="1"/>
  <c r="H270" i="14"/>
  <c r="G271" i="14"/>
  <c r="H271" i="14"/>
  <c r="H272" i="14"/>
  <c r="G273" i="14"/>
  <c r="H273" i="14"/>
  <c r="H274" i="14"/>
  <c r="G275" i="14"/>
  <c r="H275" i="14"/>
  <c r="H276" i="14"/>
  <c r="G285" i="14"/>
  <c r="H285" i="14"/>
  <c r="D182" i="18" s="1"/>
  <c r="H286" i="14"/>
  <c r="G264" i="14"/>
  <c r="H264" i="14"/>
  <c r="D174" i="18" s="1"/>
  <c r="G348" i="14"/>
  <c r="H348" i="14"/>
  <c r="D227" i="18" s="1"/>
  <c r="H349" i="14"/>
  <c r="G287" i="14"/>
  <c r="H287" i="14"/>
  <c r="D183" i="18" s="1"/>
  <c r="H288" i="14"/>
  <c r="G290" i="14"/>
  <c r="H290" i="14"/>
  <c r="D185" i="18" s="1"/>
  <c r="H291" i="14"/>
  <c r="G292" i="14"/>
  <c r="H292" i="14"/>
  <c r="D186" i="18" s="1"/>
  <c r="G293" i="14"/>
  <c r="H293" i="14"/>
  <c r="G294" i="14"/>
  <c r="H294" i="14"/>
  <c r="G148" i="14"/>
  <c r="H148" i="14"/>
  <c r="D108" i="18" s="1"/>
  <c r="H149" i="14"/>
  <c r="G298" i="14"/>
  <c r="H298" i="14"/>
  <c r="D190" i="18" s="1"/>
  <c r="H299" i="14"/>
  <c r="G371" i="14"/>
  <c r="H371" i="14"/>
  <c r="D241" i="18" s="1"/>
  <c r="G301" i="14"/>
  <c r="H301" i="14"/>
  <c r="D192" i="18" s="1"/>
  <c r="G305" i="14"/>
  <c r="H305" i="14"/>
  <c r="D196" i="18" s="1"/>
  <c r="H306" i="14"/>
  <c r="G307" i="14"/>
  <c r="H307" i="14"/>
  <c r="D197" i="18" s="1"/>
  <c r="G320" i="14"/>
  <c r="H320" i="14"/>
  <c r="D207" i="18" s="1"/>
  <c r="H321" i="14"/>
  <c r="G324" i="14"/>
  <c r="H324" i="14"/>
  <c r="D209" i="18" s="1"/>
  <c r="H325" i="14"/>
  <c r="G330" i="14"/>
  <c r="H330" i="14"/>
  <c r="D214" i="18" s="1"/>
  <c r="H331" i="14"/>
  <c r="G313" i="14"/>
  <c r="H313" i="14"/>
  <c r="D202" i="18" s="1"/>
  <c r="H314" i="14"/>
  <c r="G309" i="14"/>
  <c r="H309" i="14"/>
  <c r="D199" i="18" s="1"/>
  <c r="H310" i="14"/>
  <c r="G335" i="14"/>
  <c r="H335" i="14"/>
  <c r="D218" i="18" s="1"/>
  <c r="H336" i="14"/>
  <c r="G341" i="14"/>
  <c r="H341" i="14"/>
  <c r="G342" i="14"/>
  <c r="H342" i="14"/>
  <c r="G345" i="14"/>
  <c r="H345" i="14"/>
  <c r="D225" i="18" s="1"/>
  <c r="H346" i="14"/>
  <c r="G350" i="14"/>
  <c r="H350" i="14"/>
  <c r="H351" i="14"/>
  <c r="G357" i="14"/>
  <c r="H357" i="14"/>
  <c r="D233" i="18" s="1"/>
  <c r="H358" i="14"/>
  <c r="G116" i="14"/>
  <c r="H116" i="14"/>
  <c r="D87" i="18" s="1"/>
  <c r="G117" i="14"/>
  <c r="H117" i="14"/>
  <c r="G326" i="14"/>
  <c r="H326" i="14"/>
  <c r="D210" i="18" s="1"/>
  <c r="G374" i="14"/>
  <c r="H374" i="14"/>
  <c r="D243" i="18" s="1"/>
  <c r="G3" i="14"/>
  <c r="H3" i="14"/>
  <c r="D7" i="18" s="1"/>
  <c r="G23" i="14"/>
  <c r="H23" i="14"/>
  <c r="D17" i="18" s="1"/>
  <c r="G21" i="14"/>
  <c r="H21" i="14"/>
  <c r="D15" i="18" s="1"/>
  <c r="H308" i="14"/>
  <c r="D198" i="18" s="1"/>
  <c r="G308" i="14"/>
  <c r="AM3" i="13"/>
  <c r="AM23" i="13"/>
  <c r="AM21" i="13"/>
  <c r="AM33" i="13"/>
  <c r="AM59" i="13"/>
  <c r="AM74" i="13"/>
  <c r="AM99" i="13"/>
  <c r="AM83" i="13"/>
  <c r="AM106" i="13"/>
  <c r="AM121" i="13"/>
  <c r="AM128" i="13"/>
  <c r="AM129" i="13"/>
  <c r="AM158" i="13"/>
  <c r="AM164" i="13"/>
  <c r="AM166" i="13"/>
  <c r="AM82" i="13"/>
  <c r="AM196" i="13"/>
  <c r="AM220" i="13"/>
  <c r="AM249" i="13"/>
  <c r="AM328" i="13"/>
  <c r="AM337" i="13"/>
  <c r="AM187" i="13"/>
  <c r="AM355" i="13"/>
  <c r="AM114" i="13"/>
  <c r="AM147" i="13"/>
  <c r="AM115" i="13"/>
  <c r="AM267" i="13"/>
  <c r="AM41" i="13"/>
  <c r="AM42" i="13"/>
  <c r="AM43" i="13"/>
  <c r="AM89" i="13"/>
  <c r="AM84" i="13"/>
  <c r="AM103" i="13"/>
  <c r="AM55" i="13"/>
  <c r="AM130" i="13"/>
  <c r="AM105" i="13"/>
  <c r="AM222" i="13"/>
  <c r="AM215" i="13"/>
  <c r="AM217" i="13"/>
  <c r="AM77" i="13"/>
  <c r="AM242" i="13"/>
  <c r="AM218" i="13"/>
  <c r="AM281" i="13"/>
  <c r="AM282" i="13"/>
  <c r="AM283" i="13"/>
  <c r="AM368" i="13"/>
  <c r="AM369" i="13"/>
  <c r="AM370" i="13"/>
  <c r="AM371" i="13"/>
  <c r="AM25" i="13"/>
  <c r="AM26" i="13"/>
  <c r="AM27" i="13"/>
  <c r="AM131" i="13"/>
  <c r="AM221" i="13"/>
  <c r="AM178" i="13"/>
  <c r="AM179" i="13"/>
  <c r="AM363" i="13"/>
  <c r="AM6" i="13"/>
  <c r="AM22" i="13"/>
  <c r="AM20" i="13"/>
  <c r="AM31" i="13"/>
  <c r="AM24" i="13"/>
  <c r="AM30" i="13"/>
  <c r="AM40" i="13"/>
  <c r="AM44" i="13"/>
  <c r="AM45" i="13"/>
  <c r="AM46" i="13"/>
  <c r="AM78" i="13"/>
  <c r="AM79" i="13"/>
  <c r="AM65" i="13"/>
  <c r="AM67" i="13"/>
  <c r="AM70" i="13"/>
  <c r="AM71" i="13"/>
  <c r="AM94" i="13"/>
  <c r="AM96" i="13"/>
  <c r="AM98" i="13"/>
  <c r="AM100" i="13"/>
  <c r="AM101" i="13"/>
  <c r="AM102" i="13"/>
  <c r="AM134" i="13"/>
  <c r="AM277" i="13"/>
  <c r="AM162" i="13"/>
  <c r="AM160" i="13"/>
  <c r="AM163" i="13"/>
  <c r="AM53" i="13"/>
  <c r="AM188" i="13"/>
  <c r="AM243" i="13"/>
  <c r="AM223" i="13"/>
  <c r="AM236" i="13"/>
  <c r="AM237" i="13"/>
  <c r="AM238" i="13"/>
  <c r="AM239" i="13"/>
  <c r="AM354" i="13"/>
  <c r="AM244" i="13"/>
  <c r="AM97" i="13"/>
  <c r="AM245" i="13"/>
  <c r="AM241" i="13"/>
  <c r="AM212" i="13"/>
  <c r="AM119" i="13"/>
  <c r="AM120" i="13"/>
  <c r="AM253" i="13"/>
  <c r="AM255" i="13"/>
  <c r="AM260" i="13"/>
  <c r="AM256" i="13"/>
  <c r="AM278" i="13"/>
  <c r="AM57" i="13"/>
  <c r="AM265" i="13"/>
  <c r="AM268" i="13"/>
  <c r="AM266" i="13"/>
  <c r="AM296" i="13"/>
  <c r="AM322" i="13"/>
  <c r="AM312" i="13"/>
  <c r="AM323" i="13"/>
  <c r="AM343" i="13"/>
  <c r="AM327" i="13"/>
  <c r="AM332" i="13"/>
  <c r="AM333" i="13"/>
  <c r="AM334" i="13"/>
  <c r="AM302" i="13"/>
  <c r="AM344" i="13"/>
  <c r="AM364" i="13"/>
  <c r="AM359" i="13"/>
  <c r="AM360" i="13"/>
  <c r="AM361" i="13"/>
  <c r="AM54" i="13"/>
  <c r="AM362" i="13"/>
  <c r="AM191" i="13"/>
  <c r="AR191" i="13" s="1"/>
  <c r="AM63" i="13"/>
  <c r="AR63" i="13" s="1"/>
  <c r="AM7" i="13"/>
  <c r="AR7" i="13" s="1"/>
  <c r="AM127" i="13"/>
  <c r="AR127" i="13" s="1"/>
  <c r="AM183" i="13"/>
  <c r="AR183" i="13" s="1"/>
  <c r="AM250" i="13"/>
  <c r="AR250" i="13" s="1"/>
  <c r="AM251" i="13"/>
  <c r="AR251" i="13" s="1"/>
  <c r="AM295" i="13"/>
  <c r="AR295" i="13" s="1"/>
  <c r="AM316" i="13"/>
  <c r="AR316" i="13" s="1"/>
  <c r="AM338" i="13"/>
  <c r="AR338" i="13" s="1"/>
  <c r="AM375" i="13"/>
  <c r="AR375" i="13" s="1"/>
  <c r="AM300" i="13"/>
  <c r="AM34" i="13"/>
  <c r="AM61" i="13"/>
  <c r="AM150" i="13"/>
  <c r="AM151" i="13"/>
  <c r="AM152" i="13"/>
  <c r="AM154" i="13"/>
  <c r="AM172" i="13"/>
  <c r="AM173" i="13"/>
  <c r="AM174" i="13"/>
  <c r="AM259" i="13"/>
  <c r="AM352" i="13"/>
  <c r="AM58" i="13"/>
  <c r="AM161" i="13"/>
  <c r="AM213" i="13"/>
  <c r="AM214" i="13"/>
  <c r="AM248" i="13"/>
  <c r="AM279" i="13"/>
  <c r="AM280" i="13"/>
  <c r="AM85" i="13"/>
  <c r="AM195" i="13"/>
  <c r="AM356" i="13"/>
  <c r="AM247" i="13"/>
  <c r="AM36" i="13"/>
  <c r="AM60" i="13"/>
  <c r="AM62" i="13"/>
  <c r="AM104" i="13"/>
  <c r="AM111" i="13"/>
  <c r="AM112" i="13"/>
  <c r="AM167" i="13"/>
  <c r="AM107" i="13"/>
  <c r="AM108" i="13"/>
  <c r="AM353" i="13"/>
  <c r="AM118" i="13"/>
  <c r="AM123" i="13"/>
  <c r="AM122" i="13"/>
  <c r="AM165" i="13"/>
  <c r="AM142" i="13"/>
  <c r="AM143" i="13"/>
  <c r="AM144" i="13"/>
  <c r="AM145" i="13"/>
  <c r="AM146" i="13"/>
  <c r="AM175" i="13"/>
  <c r="AM347" i="13"/>
  <c r="AM180" i="13"/>
  <c r="AM211" i="13"/>
  <c r="AM246" i="13"/>
  <c r="AM252" i="13"/>
  <c r="AM263" i="13"/>
  <c r="AM289" i="13"/>
  <c r="AM297" i="13"/>
  <c r="AM303" i="13"/>
  <c r="AM304" i="13"/>
  <c r="AM365" i="13"/>
  <c r="AM311" i="13"/>
  <c r="AM339" i="13"/>
  <c r="AM124" i="13"/>
  <c r="AM372" i="13"/>
  <c r="AM373" i="13"/>
  <c r="AM8" i="13"/>
  <c r="AR8" i="13" s="1"/>
  <c r="AM35" i="13"/>
  <c r="AM39" i="13"/>
  <c r="AM56" i="13"/>
  <c r="AM66" i="13"/>
  <c r="AM110" i="13"/>
  <c r="AM153" i="13"/>
  <c r="AM159" i="13"/>
  <c r="AM181" i="13"/>
  <c r="AM182" i="13"/>
  <c r="AM216" i="13"/>
  <c r="AM95" i="13"/>
  <c r="AM254" i="13"/>
  <c r="AM317" i="13"/>
  <c r="AM176" i="13"/>
  <c r="AM49" i="13"/>
  <c r="AM50" i="13"/>
  <c r="AM51" i="13"/>
  <c r="AM75" i="13"/>
  <c r="AM76" i="13"/>
  <c r="AM113" i="13"/>
  <c r="AM155" i="13"/>
  <c r="AM171" i="13"/>
  <c r="AM177" i="13"/>
  <c r="AM224" i="13"/>
  <c r="AM225" i="13"/>
  <c r="AM226" i="13"/>
  <c r="AM219" i="13"/>
  <c r="AM227" i="13"/>
  <c r="AM228" i="13"/>
  <c r="AM229" i="13"/>
  <c r="AM230" i="13"/>
  <c r="AM231" i="13"/>
  <c r="AM232" i="13"/>
  <c r="AM233" i="13"/>
  <c r="AM240" i="13"/>
  <c r="AM234" i="13"/>
  <c r="AM235" i="13"/>
  <c r="AM315" i="13"/>
  <c r="AM10" i="13"/>
  <c r="AR10" i="13" s="1"/>
  <c r="AM11" i="13"/>
  <c r="AR11" i="13" s="1"/>
  <c r="AM12" i="13"/>
  <c r="AR12" i="13" s="1"/>
  <c r="AM13" i="13"/>
  <c r="AR13" i="13" s="1"/>
  <c r="AM4" i="13"/>
  <c r="AR4" i="13" s="1"/>
  <c r="AM14" i="13"/>
  <c r="AR14" i="13" s="1"/>
  <c r="AM32" i="13"/>
  <c r="AR32" i="13" s="1"/>
  <c r="AM28" i="13"/>
  <c r="AR28" i="13" s="1"/>
  <c r="AM47" i="13"/>
  <c r="AR47" i="13" s="1"/>
  <c r="AM52" i="13"/>
  <c r="AR52" i="13" s="1"/>
  <c r="AM37" i="13"/>
  <c r="AR37" i="13" s="1"/>
  <c r="AM329" i="13"/>
  <c r="AR329" i="13" s="1"/>
  <c r="AM284" i="13"/>
  <c r="AR284" i="13" s="1"/>
  <c r="AM72" i="13"/>
  <c r="AR72" i="13" s="1"/>
  <c r="AM73" i="13"/>
  <c r="AR73" i="13" s="1"/>
  <c r="AM68" i="13"/>
  <c r="AR68" i="13" s="1"/>
  <c r="AM340" i="13"/>
  <c r="AR340" i="13" s="1"/>
  <c r="AM86" i="13"/>
  <c r="AR86" i="13" s="1"/>
  <c r="AM90" i="13"/>
  <c r="AR90" i="13" s="1"/>
  <c r="AM88" i="13"/>
  <c r="AR88" i="13" s="1"/>
  <c r="AM80" i="13"/>
  <c r="AR80" i="13" s="1"/>
  <c r="AM109" i="13"/>
  <c r="AR109" i="13" s="1"/>
  <c r="AM125" i="13"/>
  <c r="AR125" i="13" s="1"/>
  <c r="AM132" i="13"/>
  <c r="AR132" i="13" s="1"/>
  <c r="AM135" i="13"/>
  <c r="AR135" i="13" s="1"/>
  <c r="AM136" i="13"/>
  <c r="AR136" i="13" s="1"/>
  <c r="AM137" i="13"/>
  <c r="AR137" i="13" s="1"/>
  <c r="AM138" i="13"/>
  <c r="AR138" i="13" s="1"/>
  <c r="AM168" i="13"/>
  <c r="AR168" i="13" s="1"/>
  <c r="AM139" i="13"/>
  <c r="AR139" i="13" s="1"/>
  <c r="AM140" i="13"/>
  <c r="AR140" i="13" s="1"/>
  <c r="AM156" i="13"/>
  <c r="AR156" i="13" s="1"/>
  <c r="AM157" i="13"/>
  <c r="AR157" i="13" s="1"/>
  <c r="AM318" i="13"/>
  <c r="AM169" i="13"/>
  <c r="AR169" i="13" s="1"/>
  <c r="AM170" i="13"/>
  <c r="AR170" i="13" s="1"/>
  <c r="AM91" i="13"/>
  <c r="AR91" i="13" s="1"/>
  <c r="AM184" i="13"/>
  <c r="AR184" i="13" s="1"/>
  <c r="AM189" i="13"/>
  <c r="AR189" i="13" s="1"/>
  <c r="AM193" i="13"/>
  <c r="AR193" i="13" s="1"/>
  <c r="AM197" i="13"/>
  <c r="AR197" i="13" s="1"/>
  <c r="AM198" i="13"/>
  <c r="AR198" i="13" s="1"/>
  <c r="AM199" i="13"/>
  <c r="AR199" i="13" s="1"/>
  <c r="AM200" i="13"/>
  <c r="AR200" i="13" s="1"/>
  <c r="AM201" i="13"/>
  <c r="AR201" i="13" s="1"/>
  <c r="AM202" i="13"/>
  <c r="AR202" i="13" s="1"/>
  <c r="AM203" i="13"/>
  <c r="AR203" i="13" s="1"/>
  <c r="AM186" i="13"/>
  <c r="AR186" i="13" s="1"/>
  <c r="AM366" i="13"/>
  <c r="AR366" i="13" s="1"/>
  <c r="AM257" i="13"/>
  <c r="AR257" i="13" s="1"/>
  <c r="AM261" i="13"/>
  <c r="AR261" i="13" s="1"/>
  <c r="AM269" i="13"/>
  <c r="AR269" i="13" s="1"/>
  <c r="AM270" i="13"/>
  <c r="AR270" i="13" s="1"/>
  <c r="AM271" i="13"/>
  <c r="AR271" i="13" s="1"/>
  <c r="AM272" i="13"/>
  <c r="AR272" i="13" s="1"/>
  <c r="AM285" i="13"/>
  <c r="AR285" i="13" s="1"/>
  <c r="AM264" i="13"/>
  <c r="AR264" i="13" s="1"/>
  <c r="AM348" i="13"/>
  <c r="AR348" i="13" s="1"/>
  <c r="AM287" i="13"/>
  <c r="AR287" i="13" s="1"/>
  <c r="AM290" i="13"/>
  <c r="AR290" i="13" s="1"/>
  <c r="AM292" i="13"/>
  <c r="AR292" i="13" s="1"/>
  <c r="AM293" i="13"/>
  <c r="AR293" i="13" s="1"/>
  <c r="AM294" i="13"/>
  <c r="AR294" i="13" s="1"/>
  <c r="AM148" i="13"/>
  <c r="AR148" i="13" s="1"/>
  <c r="AM298" i="13"/>
  <c r="AR298" i="13" s="1"/>
  <c r="AM367" i="13"/>
  <c r="AR367" i="13" s="1"/>
  <c r="AM301" i="13"/>
  <c r="AR301" i="13" s="1"/>
  <c r="AM305" i="13"/>
  <c r="AR305" i="13" s="1"/>
  <c r="AM307" i="13"/>
  <c r="AR307" i="13" s="1"/>
  <c r="AM320" i="13"/>
  <c r="AR320" i="13" s="1"/>
  <c r="AM324" i="13"/>
  <c r="AR324" i="13" s="1"/>
  <c r="AM330" i="13"/>
  <c r="AR330" i="13" s="1"/>
  <c r="AM313" i="13"/>
  <c r="AR313" i="13" s="1"/>
  <c r="AM309" i="13"/>
  <c r="AR309" i="13" s="1"/>
  <c r="AM335" i="13"/>
  <c r="AR335" i="13" s="1"/>
  <c r="AM341" i="13"/>
  <c r="AR341" i="13" s="1"/>
  <c r="AM342" i="13"/>
  <c r="AR342" i="13" s="1"/>
  <c r="AM345" i="13"/>
  <c r="AR345" i="13" s="1"/>
  <c r="AM349" i="13"/>
  <c r="AR349" i="13" s="1"/>
  <c r="AM357" i="13"/>
  <c r="AR357" i="13" s="1"/>
  <c r="AM116" i="13"/>
  <c r="AM117" i="13"/>
  <c r="AM326" i="13"/>
  <c r="AM374" i="13"/>
  <c r="AM192" i="13"/>
  <c r="AR192" i="13" s="1"/>
  <c r="AM64" i="13"/>
  <c r="AR64" i="13" s="1"/>
  <c r="AM9" i="13"/>
  <c r="AR9" i="13" s="1"/>
  <c r="AM15" i="13"/>
  <c r="AR15" i="13" s="1"/>
  <c r="AM16" i="13"/>
  <c r="AR16" i="13" s="1"/>
  <c r="AM17" i="13"/>
  <c r="AR17" i="13" s="1"/>
  <c r="AM18" i="13"/>
  <c r="AR18" i="13" s="1"/>
  <c r="AM5" i="13"/>
  <c r="AR5" i="13" s="1"/>
  <c r="AM19" i="13"/>
  <c r="AR19" i="13" s="1"/>
  <c r="AM29" i="13"/>
  <c r="AR29" i="13" s="1"/>
  <c r="AM48" i="13"/>
  <c r="AR48" i="13" s="1"/>
  <c r="AM38" i="13"/>
  <c r="AR38" i="13" s="1"/>
  <c r="AM69" i="13"/>
  <c r="AR69" i="13" s="1"/>
  <c r="AM87" i="13"/>
  <c r="AR87" i="13" s="1"/>
  <c r="AM92" i="13"/>
  <c r="AR92" i="13" s="1"/>
  <c r="AM81" i="13"/>
  <c r="AR81" i="13" s="1"/>
  <c r="AM126" i="13"/>
  <c r="AR126" i="13" s="1"/>
  <c r="AM133" i="13"/>
  <c r="AR133" i="13" s="1"/>
  <c r="AM141" i="13"/>
  <c r="AR141" i="13" s="1"/>
  <c r="AM319" i="13"/>
  <c r="AR319" i="13" s="1"/>
  <c r="AM93" i="13"/>
  <c r="AR93" i="13" s="1"/>
  <c r="AM185" i="13"/>
  <c r="AR185" i="13" s="1"/>
  <c r="AM190" i="13"/>
  <c r="AR190" i="13" s="1"/>
  <c r="AM194" i="13"/>
  <c r="AR194" i="13" s="1"/>
  <c r="AM204" i="13"/>
  <c r="AR204" i="13" s="1"/>
  <c r="AM205" i="13"/>
  <c r="AR205" i="13" s="1"/>
  <c r="AM206" i="13"/>
  <c r="AR206" i="13" s="1"/>
  <c r="AM207" i="13"/>
  <c r="AR207" i="13" s="1"/>
  <c r="AM208" i="13"/>
  <c r="AR208" i="13" s="1"/>
  <c r="AM209" i="13"/>
  <c r="AR209" i="13" s="1"/>
  <c r="AM210" i="13"/>
  <c r="AR210" i="13" s="1"/>
  <c r="AM258" i="13"/>
  <c r="AR258" i="13" s="1"/>
  <c r="AM262" i="13"/>
  <c r="AR262" i="13" s="1"/>
  <c r="AM273" i="13"/>
  <c r="AR273" i="13" s="1"/>
  <c r="AM274" i="13"/>
  <c r="AR274" i="13" s="1"/>
  <c r="AM275" i="13"/>
  <c r="AR275" i="13" s="1"/>
  <c r="AM276" i="13"/>
  <c r="AR276" i="13" s="1"/>
  <c r="AM286" i="13"/>
  <c r="AR286" i="13" s="1"/>
  <c r="AM350" i="13"/>
  <c r="AR350" i="13" s="1"/>
  <c r="AM288" i="13"/>
  <c r="AR288" i="13" s="1"/>
  <c r="AM291" i="13"/>
  <c r="AR291" i="13" s="1"/>
  <c r="AM149" i="13"/>
  <c r="AR149" i="13" s="1"/>
  <c r="AM299" i="13"/>
  <c r="AR299" i="13" s="1"/>
  <c r="AM306" i="13"/>
  <c r="AR306" i="13" s="1"/>
  <c r="AM321" i="13"/>
  <c r="AR321" i="13" s="1"/>
  <c r="AM325" i="13"/>
  <c r="AR325" i="13" s="1"/>
  <c r="AM331" i="13"/>
  <c r="AR331" i="13" s="1"/>
  <c r="AM314" i="13"/>
  <c r="AR314" i="13" s="1"/>
  <c r="AM310" i="13"/>
  <c r="AR310" i="13" s="1"/>
  <c r="AM336" i="13"/>
  <c r="AR336" i="13" s="1"/>
  <c r="AM346" i="13"/>
  <c r="AR346" i="13" s="1"/>
  <c r="AM351" i="13"/>
  <c r="AR351" i="13" s="1"/>
  <c r="AM358" i="13"/>
  <c r="AR358" i="13" s="1"/>
  <c r="AM308" i="13"/>
  <c r="AM308" i="14" s="1"/>
  <c r="AJ3" i="13"/>
  <c r="AJ3" i="14" s="1"/>
  <c r="AJ23" i="13"/>
  <c r="AJ23" i="14" s="1"/>
  <c r="AJ21" i="13"/>
  <c r="AJ21" i="14" s="1"/>
  <c r="AH33" i="13"/>
  <c r="AH33" i="14" s="1"/>
  <c r="AJ33" i="13"/>
  <c r="AJ33" i="14" s="1"/>
  <c r="AJ59" i="13"/>
  <c r="AJ59" i="14" s="1"/>
  <c r="AJ74" i="13"/>
  <c r="AJ74" i="14" s="1"/>
  <c r="AJ99" i="13"/>
  <c r="AJ99" i="14" s="1"/>
  <c r="AJ83" i="13"/>
  <c r="AJ83" i="14" s="1"/>
  <c r="AJ106" i="13"/>
  <c r="AJ106" i="14" s="1"/>
  <c r="AJ121" i="13"/>
  <c r="AJ121" i="14" s="1"/>
  <c r="AJ128" i="13"/>
  <c r="AJ128" i="14" s="1"/>
  <c r="AJ129" i="13"/>
  <c r="AJ129" i="14" s="1"/>
  <c r="AJ158" i="13"/>
  <c r="AJ158" i="14" s="1"/>
  <c r="AJ164" i="13"/>
  <c r="AJ164" i="14" s="1"/>
  <c r="AJ166" i="13"/>
  <c r="AJ166" i="14" s="1"/>
  <c r="AH82" i="13"/>
  <c r="AH82" i="14" s="1"/>
  <c r="AI82" i="13"/>
  <c r="AI82" i="14" s="1"/>
  <c r="AJ82" i="13"/>
  <c r="AJ82" i="14" s="1"/>
  <c r="AJ196" i="13"/>
  <c r="AJ196" i="14" s="1"/>
  <c r="AJ220" i="13"/>
  <c r="AJ220" i="14" s="1"/>
  <c r="AJ249" i="13"/>
  <c r="AJ249" i="14" s="1"/>
  <c r="AJ328" i="13"/>
  <c r="AJ328" i="14" s="1"/>
  <c r="AJ337" i="13"/>
  <c r="AJ337" i="14" s="1"/>
  <c r="AJ187" i="13"/>
  <c r="AJ187" i="14" s="1"/>
  <c r="AH355" i="13"/>
  <c r="AH355" i="14" s="1"/>
  <c r="AJ355" i="13"/>
  <c r="AJ355" i="14" s="1"/>
  <c r="AJ114" i="13"/>
  <c r="AJ114" i="14" s="1"/>
  <c r="AJ147" i="13"/>
  <c r="AJ147" i="14" s="1"/>
  <c r="AJ115" i="13"/>
  <c r="AJ115" i="14" s="1"/>
  <c r="AJ267" i="13"/>
  <c r="AJ267" i="14" s="1"/>
  <c r="AJ41" i="13"/>
  <c r="AJ41" i="14" s="1"/>
  <c r="AJ42" i="13"/>
  <c r="AJ42" i="14" s="1"/>
  <c r="AH43" i="13"/>
  <c r="AH43" i="14" s="1"/>
  <c r="AJ43" i="13"/>
  <c r="AJ43" i="14" s="1"/>
  <c r="AJ89" i="13"/>
  <c r="AJ89" i="14" s="1"/>
  <c r="AJ84" i="13"/>
  <c r="AJ84" i="14" s="1"/>
  <c r="AJ103" i="13"/>
  <c r="AJ103" i="14" s="1"/>
  <c r="AJ55" i="13"/>
  <c r="AJ55" i="14" s="1"/>
  <c r="AJ130" i="13"/>
  <c r="AJ130" i="14" s="1"/>
  <c r="AI105" i="13"/>
  <c r="AI105" i="14" s="1"/>
  <c r="AJ105" i="13"/>
  <c r="AJ105" i="14" s="1"/>
  <c r="AJ222" i="13"/>
  <c r="AJ222" i="14" s="1"/>
  <c r="AJ215" i="13"/>
  <c r="AJ215" i="14" s="1"/>
  <c r="AJ217" i="13"/>
  <c r="AJ217" i="14" s="1"/>
  <c r="AI77" i="13"/>
  <c r="AJ77" i="13"/>
  <c r="AJ77" i="14" s="1"/>
  <c r="AJ242" i="13"/>
  <c r="AJ242" i="14" s="1"/>
  <c r="AJ218" i="13"/>
  <c r="AJ218" i="14" s="1"/>
  <c r="AJ281" i="13"/>
  <c r="AJ281" i="14" s="1"/>
  <c r="AJ282" i="13"/>
  <c r="AJ282" i="14" s="1"/>
  <c r="AJ283" i="13"/>
  <c r="AJ283" i="14" s="1"/>
  <c r="AJ368" i="13"/>
  <c r="AJ367" i="14" s="1"/>
  <c r="AH369" i="13"/>
  <c r="AH368" i="14" s="1"/>
  <c r="AJ369" i="13"/>
  <c r="AJ368" i="14" s="1"/>
  <c r="AJ370" i="13"/>
  <c r="AJ369" i="14" s="1"/>
  <c r="AH371" i="13"/>
  <c r="AH370" i="14" s="1"/>
  <c r="AJ371" i="13"/>
  <c r="AJ370" i="14" s="1"/>
  <c r="AI25" i="13"/>
  <c r="AI25" i="14" s="1"/>
  <c r="AJ25" i="13"/>
  <c r="AJ25" i="14" s="1"/>
  <c r="AJ26" i="13"/>
  <c r="AJ26" i="14" s="1"/>
  <c r="AJ27" i="13"/>
  <c r="AJ27" i="14" s="1"/>
  <c r="AJ131" i="13"/>
  <c r="AJ131" i="14" s="1"/>
  <c r="AJ221" i="13"/>
  <c r="AJ221" i="14" s="1"/>
  <c r="AJ178" i="13"/>
  <c r="AJ178" i="14" s="1"/>
  <c r="AH179" i="13"/>
  <c r="AH179" i="14" s="1"/>
  <c r="AJ179" i="13"/>
  <c r="AJ179" i="14" s="1"/>
  <c r="AI363" i="13"/>
  <c r="AI363" i="14" s="1"/>
  <c r="AJ363" i="13"/>
  <c r="AJ363" i="14" s="1"/>
  <c r="AJ6" i="13"/>
  <c r="AJ6" i="14" s="1"/>
  <c r="AJ22" i="13"/>
  <c r="AJ22" i="14" s="1"/>
  <c r="AJ20" i="13"/>
  <c r="AJ20" i="14" s="1"/>
  <c r="AJ31" i="13"/>
  <c r="AJ31" i="14" s="1"/>
  <c r="AJ24" i="13"/>
  <c r="AJ24" i="14" s="1"/>
  <c r="AH30" i="13"/>
  <c r="AH30" i="14" s="1"/>
  <c r="AJ30" i="13"/>
  <c r="AJ30" i="14" s="1"/>
  <c r="AJ40" i="13"/>
  <c r="AJ40" i="14" s="1"/>
  <c r="AJ44" i="13"/>
  <c r="AJ44" i="14" s="1"/>
  <c r="AJ45" i="13"/>
  <c r="AJ45" i="14" s="1"/>
  <c r="AJ46" i="13"/>
  <c r="AJ46" i="14" s="1"/>
  <c r="AI78" i="13"/>
  <c r="AJ78" i="13"/>
  <c r="AJ78" i="14" s="1"/>
  <c r="AJ79" i="13"/>
  <c r="AJ79" i="14" s="1"/>
  <c r="AJ65" i="13"/>
  <c r="AJ65" i="14" s="1"/>
  <c r="AJ67" i="13"/>
  <c r="AJ67" i="14" s="1"/>
  <c r="AJ70" i="13"/>
  <c r="AJ70" i="14" s="1"/>
  <c r="AJ71" i="13"/>
  <c r="AJ71" i="14" s="1"/>
  <c r="AJ94" i="13"/>
  <c r="AJ94" i="14" s="1"/>
  <c r="AH96" i="13"/>
  <c r="AH96" i="14" s="1"/>
  <c r="AJ96" i="13"/>
  <c r="AJ96" i="14" s="1"/>
  <c r="AJ98" i="13"/>
  <c r="AJ98" i="14" s="1"/>
  <c r="AJ100" i="13"/>
  <c r="AJ101" i="14" s="1"/>
  <c r="AJ101" i="13"/>
  <c r="AJ100" i="14" s="1"/>
  <c r="AJ102" i="13"/>
  <c r="AJ102" i="14" s="1"/>
  <c r="AJ134" i="13"/>
  <c r="AJ134" i="14" s="1"/>
  <c r="AJ277" i="13"/>
  <c r="AJ277" i="14" s="1"/>
  <c r="AJ162" i="13"/>
  <c r="AJ162" i="14" s="1"/>
  <c r="AJ160" i="13"/>
  <c r="AJ160" i="14" s="1"/>
  <c r="AH163" i="13"/>
  <c r="AH163" i="14" s="1"/>
  <c r="AJ163" i="13"/>
  <c r="AJ163" i="14" s="1"/>
  <c r="AJ53" i="13"/>
  <c r="AJ53" i="14" s="1"/>
  <c r="AH188" i="13"/>
  <c r="AH188" i="14" s="1"/>
  <c r="AJ188" i="13"/>
  <c r="AJ188" i="14" s="1"/>
  <c r="AH243" i="13"/>
  <c r="AH243" i="14" s="1"/>
  <c r="AJ243" i="13"/>
  <c r="AJ243" i="14" s="1"/>
  <c r="AJ223" i="13"/>
  <c r="AJ223" i="14" s="1"/>
  <c r="AJ236" i="13"/>
  <c r="AJ236" i="14" s="1"/>
  <c r="AJ237" i="13"/>
  <c r="AJ237" i="14" s="1"/>
  <c r="AJ238" i="13"/>
  <c r="AJ238" i="14" s="1"/>
  <c r="AI239" i="13"/>
  <c r="AI239" i="14" s="1"/>
  <c r="AJ239" i="13"/>
  <c r="AJ239" i="14" s="1"/>
  <c r="AH354" i="13"/>
  <c r="AH354" i="14" s="1"/>
  <c r="AJ354" i="13"/>
  <c r="AJ354" i="14" s="1"/>
  <c r="AJ244" i="13"/>
  <c r="AJ244" i="14" s="1"/>
  <c r="AJ97" i="13"/>
  <c r="AJ97" i="14" s="1"/>
  <c r="AJ245" i="13"/>
  <c r="AJ245" i="14" s="1"/>
  <c r="AJ241" i="13"/>
  <c r="AJ241" i="14" s="1"/>
  <c r="AH212" i="13"/>
  <c r="AH212" i="14" s="1"/>
  <c r="AJ212" i="13"/>
  <c r="AJ212" i="14" s="1"/>
  <c r="AH119" i="13"/>
  <c r="AH119" i="14" s="1"/>
  <c r="AJ119" i="13"/>
  <c r="AJ119" i="14" s="1"/>
  <c r="AJ120" i="13"/>
  <c r="AJ120" i="14" s="1"/>
  <c r="AH253" i="13"/>
  <c r="AH253" i="14" s="1"/>
  <c r="AJ253" i="13"/>
  <c r="AJ253" i="14" s="1"/>
  <c r="AJ255" i="13"/>
  <c r="AJ255" i="14" s="1"/>
  <c r="AH260" i="13"/>
  <c r="AH260" i="14" s="1"/>
  <c r="AJ260" i="13"/>
  <c r="AJ260" i="14" s="1"/>
  <c r="AH256" i="13"/>
  <c r="AH256" i="14" s="1"/>
  <c r="AJ256" i="13"/>
  <c r="AJ256" i="14" s="1"/>
  <c r="AJ278" i="13"/>
  <c r="AJ278" i="14" s="1"/>
  <c r="AJ57" i="13"/>
  <c r="AJ57" i="14" s="1"/>
  <c r="AJ265" i="13"/>
  <c r="AJ265" i="14" s="1"/>
  <c r="AH268" i="13"/>
  <c r="AH268" i="14" s="1"/>
  <c r="AJ268" i="13"/>
  <c r="AJ268" i="14" s="1"/>
  <c r="AJ266" i="13"/>
  <c r="AJ266" i="14" s="1"/>
  <c r="AJ296" i="13"/>
  <c r="AJ296" i="14" s="1"/>
  <c r="AJ322" i="13"/>
  <c r="AJ322" i="14" s="1"/>
  <c r="AJ312" i="13"/>
  <c r="AJ312" i="14" s="1"/>
  <c r="AJ323" i="13"/>
  <c r="AJ323" i="14" s="1"/>
  <c r="AH343" i="13"/>
  <c r="AH343" i="14" s="1"/>
  <c r="AJ343" i="13"/>
  <c r="AJ343" i="14" s="1"/>
  <c r="AJ327" i="13"/>
  <c r="AJ327" i="14" s="1"/>
  <c r="AJ332" i="13"/>
  <c r="AJ332" i="14" s="1"/>
  <c r="AJ333" i="13"/>
  <c r="AJ333" i="14" s="1"/>
  <c r="AJ334" i="13"/>
  <c r="AJ334" i="14" s="1"/>
  <c r="AH302" i="13"/>
  <c r="AH302" i="14" s="1"/>
  <c r="AJ302" i="13"/>
  <c r="AJ302" i="14" s="1"/>
  <c r="AJ344" i="13"/>
  <c r="AJ344" i="14" s="1"/>
  <c r="AJ364" i="13"/>
  <c r="AJ364" i="14" s="1"/>
  <c r="AJ359" i="13"/>
  <c r="AJ359" i="14" s="1"/>
  <c r="AJ360" i="13"/>
  <c r="AJ360" i="14" s="1"/>
  <c r="AH361" i="13"/>
  <c r="AH361" i="14" s="1"/>
  <c r="AJ361" i="13"/>
  <c r="AJ361" i="14" s="1"/>
  <c r="AJ54" i="13"/>
  <c r="AJ54" i="14" s="1"/>
  <c r="AJ362" i="13"/>
  <c r="AJ362" i="14" s="1"/>
  <c r="AH191" i="13"/>
  <c r="AJ191" i="13"/>
  <c r="AJ63" i="13"/>
  <c r="AH7" i="13"/>
  <c r="AH7" i="14" s="1"/>
  <c r="AJ7" i="13"/>
  <c r="AJ7" i="14" s="1"/>
  <c r="AJ127" i="13"/>
  <c r="AJ127" i="14" s="1"/>
  <c r="AJ183" i="13"/>
  <c r="AJ183" i="14" s="1"/>
  <c r="AH250" i="13"/>
  <c r="AH250" i="14" s="1"/>
  <c r="AJ250" i="13"/>
  <c r="AJ250" i="14" s="1"/>
  <c r="AJ251" i="13"/>
  <c r="AJ251" i="14" s="1"/>
  <c r="AH295" i="13"/>
  <c r="AH295" i="14" s="1"/>
  <c r="AJ295" i="13"/>
  <c r="AJ295" i="14" s="1"/>
  <c r="AJ316" i="13"/>
  <c r="AJ316" i="14" s="1"/>
  <c r="AJ338" i="13"/>
  <c r="AJ338" i="14" s="1"/>
  <c r="AJ375" i="13"/>
  <c r="AJ375" i="14" s="1"/>
  <c r="AJ300" i="13"/>
  <c r="AJ300" i="14" s="1"/>
  <c r="AH34" i="13"/>
  <c r="AJ34" i="13"/>
  <c r="AJ34" i="14" s="1"/>
  <c r="AH61" i="13"/>
  <c r="AH61" i="14" s="1"/>
  <c r="AJ61" i="13"/>
  <c r="AJ61" i="14" s="1"/>
  <c r="AJ150" i="13"/>
  <c r="AJ150" i="14" s="1"/>
  <c r="AH151" i="13"/>
  <c r="AH151" i="14" s="1"/>
  <c r="AJ151" i="13"/>
  <c r="AJ151" i="14" s="1"/>
  <c r="AJ152" i="13"/>
  <c r="AJ152" i="14" s="1"/>
  <c r="AJ154" i="13"/>
  <c r="AJ154" i="14" s="1"/>
  <c r="AH172" i="13"/>
  <c r="AH172" i="14" s="1"/>
  <c r="AI172" i="13"/>
  <c r="AI172" i="14" s="1"/>
  <c r="AJ172" i="13"/>
  <c r="AJ172" i="14" s="1"/>
  <c r="AJ173" i="13"/>
  <c r="AJ173" i="14" s="1"/>
  <c r="AJ174" i="13"/>
  <c r="AJ174" i="14" s="1"/>
  <c r="AJ259" i="13"/>
  <c r="AJ259" i="14" s="1"/>
  <c r="AH352" i="13"/>
  <c r="AH352" i="14" s="1"/>
  <c r="AJ352" i="13"/>
  <c r="AJ352" i="14" s="1"/>
  <c r="AH58" i="13"/>
  <c r="AH58" i="14" s="1"/>
  <c r="AJ58" i="13"/>
  <c r="AJ58" i="14" s="1"/>
  <c r="AJ161" i="13"/>
  <c r="AJ161" i="14" s="1"/>
  <c r="AJ213" i="13"/>
  <c r="AJ213" i="14" s="1"/>
  <c r="AJ214" i="13"/>
  <c r="AJ214" i="14" s="1"/>
  <c r="AJ248" i="13"/>
  <c r="AJ248" i="14" s="1"/>
  <c r="AH279" i="13"/>
  <c r="AH279" i="14" s="1"/>
  <c r="AJ279" i="13"/>
  <c r="AJ279" i="14" s="1"/>
  <c r="AJ280" i="13"/>
  <c r="AJ280" i="14" s="1"/>
  <c r="AJ85" i="13"/>
  <c r="AJ85" i="14" s="1"/>
  <c r="AJ195" i="13"/>
  <c r="AJ195" i="14" s="1"/>
  <c r="AJ356" i="13"/>
  <c r="AJ356" i="14" s="1"/>
  <c r="AH247" i="13"/>
  <c r="AH247" i="14" s="1"/>
  <c r="AJ247" i="13"/>
  <c r="AJ247" i="14" s="1"/>
  <c r="AJ36" i="13"/>
  <c r="AJ36" i="14" s="1"/>
  <c r="AJ60" i="13"/>
  <c r="AJ60" i="14" s="1"/>
  <c r="AJ62" i="13"/>
  <c r="AJ62" i="14" s="1"/>
  <c r="AJ104" i="13"/>
  <c r="AJ104" i="14" s="1"/>
  <c r="AJ111" i="13"/>
  <c r="AJ111" i="14" s="1"/>
  <c r="AH112" i="13"/>
  <c r="AH112" i="14" s="1"/>
  <c r="AJ112" i="13"/>
  <c r="AJ112" i="14" s="1"/>
  <c r="AJ167" i="13"/>
  <c r="AJ167" i="14" s="1"/>
  <c r="AH107" i="13"/>
  <c r="AH107" i="14" s="1"/>
  <c r="AJ107" i="13"/>
  <c r="AJ107" i="14" s="1"/>
  <c r="AJ108" i="13"/>
  <c r="AJ108" i="14" s="1"/>
  <c r="AH353" i="13"/>
  <c r="AH353" i="14" s="1"/>
  <c r="AJ353" i="13"/>
  <c r="AJ353" i="14" s="1"/>
  <c r="AH118" i="13"/>
  <c r="AH118" i="14" s="1"/>
  <c r="AJ118" i="13"/>
  <c r="AJ118" i="14" s="1"/>
  <c r="AJ123" i="13"/>
  <c r="AJ123" i="14" s="1"/>
  <c r="AJ122" i="13"/>
  <c r="AJ122" i="14" s="1"/>
  <c r="AJ165" i="13"/>
  <c r="AJ165" i="14" s="1"/>
  <c r="AH142" i="13"/>
  <c r="AH142" i="14" s="1"/>
  <c r="AJ142" i="13"/>
  <c r="AJ142" i="14" s="1"/>
  <c r="AH143" i="13"/>
  <c r="AH143" i="14" s="1"/>
  <c r="AJ143" i="13"/>
  <c r="AJ143" i="14" s="1"/>
  <c r="AJ144" i="13"/>
  <c r="AJ144" i="14" s="1"/>
  <c r="AJ145" i="13"/>
  <c r="AJ145" i="14" s="1"/>
  <c r="AJ146" i="13"/>
  <c r="AJ146" i="14" s="1"/>
  <c r="AH175" i="13"/>
  <c r="AH175" i="14" s="1"/>
  <c r="AJ175" i="13"/>
  <c r="AJ175" i="14" s="1"/>
  <c r="AJ347" i="13"/>
  <c r="AJ347" i="14" s="1"/>
  <c r="AJ180" i="13"/>
  <c r="AJ180" i="14" s="1"/>
  <c r="AJ211" i="13"/>
  <c r="AJ211" i="14" s="1"/>
  <c r="AJ246" i="13"/>
  <c r="AJ246" i="14" s="1"/>
  <c r="AJ252" i="13"/>
  <c r="AJ252" i="14" s="1"/>
  <c r="AJ263" i="13"/>
  <c r="AJ263" i="14" s="1"/>
  <c r="AJ289" i="13"/>
  <c r="AJ289" i="14" s="1"/>
  <c r="AI297" i="13"/>
  <c r="AI297" i="14" s="1"/>
  <c r="AJ297" i="13"/>
  <c r="AJ297" i="14" s="1"/>
  <c r="AJ303" i="13"/>
  <c r="AJ303" i="14" s="1"/>
  <c r="AJ304" i="13"/>
  <c r="AJ304" i="14" s="1"/>
  <c r="AJ365" i="13"/>
  <c r="AJ365" i="14" s="1"/>
  <c r="AJ311" i="13"/>
  <c r="AJ311" i="14" s="1"/>
  <c r="AI339" i="13"/>
  <c r="AI339" i="14" s="1"/>
  <c r="AJ339" i="13"/>
  <c r="AJ339" i="14" s="1"/>
  <c r="AJ124" i="13"/>
  <c r="AJ124" i="14" s="1"/>
  <c r="AJ372" i="13"/>
  <c r="AJ372" i="14" s="1"/>
  <c r="AJ373" i="13"/>
  <c r="AJ373" i="14" s="1"/>
  <c r="AI8" i="13"/>
  <c r="AJ8" i="13"/>
  <c r="AI35" i="13"/>
  <c r="AI35" i="14" s="1"/>
  <c r="AJ35" i="13"/>
  <c r="AJ35" i="14" s="1"/>
  <c r="AJ39" i="13"/>
  <c r="AJ39" i="14" s="1"/>
  <c r="AJ56" i="13"/>
  <c r="AJ56" i="14" s="1"/>
  <c r="AJ66" i="13"/>
  <c r="AJ66" i="14" s="1"/>
  <c r="AJ110" i="13"/>
  <c r="AJ110" i="14" s="1"/>
  <c r="AJ153" i="13"/>
  <c r="AJ153" i="14" s="1"/>
  <c r="AJ159" i="13"/>
  <c r="AJ159" i="14" s="1"/>
  <c r="AJ181" i="13"/>
  <c r="AJ181" i="14" s="1"/>
  <c r="AH182" i="13"/>
  <c r="AH182" i="14" s="1"/>
  <c r="AI182" i="13"/>
  <c r="AI182" i="14" s="1"/>
  <c r="AJ182" i="13"/>
  <c r="AJ182" i="14" s="1"/>
  <c r="AI216" i="13"/>
  <c r="AI216" i="14" s="1"/>
  <c r="AJ216" i="13"/>
  <c r="AJ216" i="14" s="1"/>
  <c r="AJ95" i="13"/>
  <c r="AJ95" i="14" s="1"/>
  <c r="AJ254" i="13"/>
  <c r="AJ254" i="14" s="1"/>
  <c r="AJ317" i="13"/>
  <c r="AJ317" i="14" s="1"/>
  <c r="AH176" i="13"/>
  <c r="AH176" i="14" s="1"/>
  <c r="AJ176" i="13"/>
  <c r="AJ176" i="14" s="1"/>
  <c r="AJ49" i="13"/>
  <c r="AJ49" i="14" s="1"/>
  <c r="AH50" i="13"/>
  <c r="AH50" i="14" s="1"/>
  <c r="AJ50" i="13"/>
  <c r="AJ50" i="14" s="1"/>
  <c r="AJ51" i="13"/>
  <c r="AJ51" i="14" s="1"/>
  <c r="AH75" i="13"/>
  <c r="AH75" i="14" s="1"/>
  <c r="AJ75" i="13"/>
  <c r="AJ75" i="14" s="1"/>
  <c r="AJ76" i="13"/>
  <c r="AJ76" i="14" s="1"/>
  <c r="AH113" i="13"/>
  <c r="AH113" i="14" s="1"/>
  <c r="AJ113" i="13"/>
  <c r="AJ113" i="14" s="1"/>
  <c r="AJ155" i="13"/>
  <c r="AJ155" i="14" s="1"/>
  <c r="AJ171" i="13"/>
  <c r="AJ171" i="14" s="1"/>
  <c r="AJ177" i="13"/>
  <c r="AJ177" i="14" s="1"/>
  <c r="AJ224" i="13"/>
  <c r="AJ224" i="14" s="1"/>
  <c r="AJ225" i="13"/>
  <c r="AJ225" i="14" s="1"/>
  <c r="AH226" i="13"/>
  <c r="AI226" i="13"/>
  <c r="AI226" i="14" s="1"/>
  <c r="AJ226" i="13"/>
  <c r="AJ226" i="14" s="1"/>
  <c r="AJ219" i="13"/>
  <c r="AJ219" i="14" s="1"/>
  <c r="AI227" i="13"/>
  <c r="AI227" i="14" s="1"/>
  <c r="AJ227" i="13"/>
  <c r="AJ227" i="14" s="1"/>
  <c r="AJ228" i="13"/>
  <c r="AJ228" i="14" s="1"/>
  <c r="AH229" i="13"/>
  <c r="AH229" i="14" s="1"/>
  <c r="AJ229" i="13"/>
  <c r="AJ229" i="14" s="1"/>
  <c r="AJ230" i="13"/>
  <c r="AJ230" i="14" s="1"/>
  <c r="AJ231" i="13"/>
  <c r="AJ231" i="14" s="1"/>
  <c r="AJ232" i="13"/>
  <c r="AJ232" i="14" s="1"/>
  <c r="AH233" i="13"/>
  <c r="AH233" i="14" s="1"/>
  <c r="AJ233" i="13"/>
  <c r="AJ233" i="14" s="1"/>
  <c r="AJ240" i="13"/>
  <c r="AJ240" i="14" s="1"/>
  <c r="AJ234" i="13"/>
  <c r="AJ234" i="14" s="1"/>
  <c r="AJ235" i="13"/>
  <c r="AJ235" i="14" s="1"/>
  <c r="AI315" i="13"/>
  <c r="AI315" i="14" s="1"/>
  <c r="AJ315" i="13"/>
  <c r="AJ315" i="14" s="1"/>
  <c r="AH10" i="13"/>
  <c r="AJ10" i="13"/>
  <c r="AJ11" i="13"/>
  <c r="AJ12" i="13"/>
  <c r="AH13" i="13"/>
  <c r="AI13" i="13"/>
  <c r="AJ13" i="13"/>
  <c r="AJ4" i="13"/>
  <c r="AJ14" i="13"/>
  <c r="AJ32" i="13"/>
  <c r="AJ32" i="14" s="1"/>
  <c r="AI28" i="13"/>
  <c r="AJ28" i="13"/>
  <c r="AH47" i="13"/>
  <c r="AJ47" i="13"/>
  <c r="AJ52" i="13"/>
  <c r="AJ52" i="14" s="1"/>
  <c r="AJ37" i="13"/>
  <c r="AJ329" i="13"/>
  <c r="AJ329" i="14" s="1"/>
  <c r="AH284" i="13"/>
  <c r="AH284" i="14" s="1"/>
  <c r="AJ284" i="13"/>
  <c r="AJ284" i="14" s="1"/>
  <c r="AJ72" i="13"/>
  <c r="AJ72" i="14" s="1"/>
  <c r="AH73" i="13"/>
  <c r="AH73" i="14" s="1"/>
  <c r="AJ73" i="13"/>
  <c r="AJ73" i="14" s="1"/>
  <c r="AI68" i="13"/>
  <c r="AJ68" i="13"/>
  <c r="AH340" i="13"/>
  <c r="AH340" i="14" s="1"/>
  <c r="AJ340" i="13"/>
  <c r="AJ340" i="14" s="1"/>
  <c r="AJ86" i="13"/>
  <c r="AJ86" i="14" s="1"/>
  <c r="AJ90" i="13"/>
  <c r="AJ88" i="13"/>
  <c r="AJ88" i="14" s="1"/>
  <c r="AJ80" i="13"/>
  <c r="AJ109" i="13"/>
  <c r="AJ109" i="14" s="1"/>
  <c r="AH125" i="13"/>
  <c r="AJ125" i="13"/>
  <c r="AJ132" i="13"/>
  <c r="AH135" i="13"/>
  <c r="AH135" i="14" s="1"/>
  <c r="AI135" i="13"/>
  <c r="AI135" i="14" s="1"/>
  <c r="AJ135" i="13"/>
  <c r="AJ135" i="14" s="1"/>
  <c r="AJ136" i="13"/>
  <c r="AJ136" i="14" s="1"/>
  <c r="AH137" i="13"/>
  <c r="AH137" i="14" s="1"/>
  <c r="AJ137" i="13"/>
  <c r="AJ137" i="14" s="1"/>
  <c r="AJ138" i="13"/>
  <c r="AJ138" i="14" s="1"/>
  <c r="AH168" i="13"/>
  <c r="AH168" i="14" s="1"/>
  <c r="AJ168" i="13"/>
  <c r="AJ168" i="14" s="1"/>
  <c r="AJ139" i="13"/>
  <c r="AJ139" i="14" s="1"/>
  <c r="AJ140" i="13"/>
  <c r="AJ156" i="13"/>
  <c r="AJ156" i="14" s="1"/>
  <c r="AH157" i="13"/>
  <c r="AH157" i="14" s="1"/>
  <c r="AI157" i="13"/>
  <c r="AI157" i="14" s="1"/>
  <c r="AJ157" i="13"/>
  <c r="AJ157" i="14" s="1"/>
  <c r="AJ318" i="13"/>
  <c r="AJ319" i="14" s="1"/>
  <c r="AJ169" i="13"/>
  <c r="AJ169" i="14" s="1"/>
  <c r="AJ170" i="13"/>
  <c r="AJ170" i="14" s="1"/>
  <c r="AH91" i="13"/>
  <c r="AI91" i="13"/>
  <c r="AJ91" i="13"/>
  <c r="AJ184" i="13"/>
  <c r="AJ189" i="13"/>
  <c r="AJ189" i="14" s="1"/>
  <c r="AJ193" i="13"/>
  <c r="AH197" i="13"/>
  <c r="AH197" i="14" s="1"/>
  <c r="AJ197" i="13"/>
  <c r="AJ198" i="13"/>
  <c r="AJ199" i="13"/>
  <c r="AJ200" i="13"/>
  <c r="AI201" i="13"/>
  <c r="AJ201" i="13"/>
  <c r="AH202" i="13"/>
  <c r="AH208" i="14" s="1"/>
  <c r="AJ202" i="13"/>
  <c r="AJ207" i="14" s="1"/>
  <c r="AJ203" i="13"/>
  <c r="AJ209" i="14" s="1"/>
  <c r="AJ186" i="13"/>
  <c r="AJ186" i="14" s="1"/>
  <c r="AH366" i="13"/>
  <c r="AH366" i="14" s="1"/>
  <c r="AJ366" i="13"/>
  <c r="AJ366" i="14" s="1"/>
  <c r="AJ257" i="13"/>
  <c r="AJ261" i="13"/>
  <c r="AJ269" i="13"/>
  <c r="AJ270" i="14" s="1"/>
  <c r="AI270" i="13"/>
  <c r="AJ270" i="13"/>
  <c r="AH271" i="13"/>
  <c r="AJ271" i="13"/>
  <c r="AJ273" i="14" s="1"/>
  <c r="AJ272" i="13"/>
  <c r="AJ275" i="14" s="1"/>
  <c r="AJ285" i="13"/>
  <c r="AI264" i="13"/>
  <c r="AJ264" i="13"/>
  <c r="AJ264" i="14" s="1"/>
  <c r="AH348" i="13"/>
  <c r="AJ348" i="13"/>
  <c r="AJ287" i="13"/>
  <c r="AH290" i="13"/>
  <c r="AJ290" i="13"/>
  <c r="AI292" i="13"/>
  <c r="AI292" i="14" s="1"/>
  <c r="AJ292" i="13"/>
  <c r="AJ292" i="14" s="1"/>
  <c r="AH293" i="13"/>
  <c r="AH293" i="14" s="1"/>
  <c r="AJ293" i="13"/>
  <c r="AJ293" i="14" s="1"/>
  <c r="AJ294" i="13"/>
  <c r="AJ294" i="14" s="1"/>
  <c r="AJ148" i="13"/>
  <c r="AI298" i="13"/>
  <c r="AI298" i="14" s="1"/>
  <c r="AJ298" i="13"/>
  <c r="AJ367" i="13"/>
  <c r="AJ371" i="14" s="1"/>
  <c r="AJ301" i="13"/>
  <c r="AJ301" i="14" s="1"/>
  <c r="AH305" i="13"/>
  <c r="AJ305" i="13"/>
  <c r="AJ307" i="13"/>
  <c r="AJ307" i="14" s="1"/>
  <c r="AH320" i="13"/>
  <c r="AH320" i="14" s="1"/>
  <c r="AI320" i="13"/>
  <c r="AI320" i="14" s="1"/>
  <c r="AJ320" i="13"/>
  <c r="AJ324" i="13"/>
  <c r="AH330" i="13"/>
  <c r="AJ330" i="13"/>
  <c r="AJ313" i="13"/>
  <c r="AH309" i="13"/>
  <c r="AJ309" i="13"/>
  <c r="AJ335" i="13"/>
  <c r="AH341" i="13"/>
  <c r="AH341" i="14" s="1"/>
  <c r="AJ341" i="13"/>
  <c r="AJ341" i="14" s="1"/>
  <c r="AJ342" i="13"/>
  <c r="AJ342" i="14" s="1"/>
  <c r="AI345" i="13"/>
  <c r="AI345" i="14" s="1"/>
  <c r="AJ345" i="13"/>
  <c r="AJ349" i="13"/>
  <c r="AJ357" i="13"/>
  <c r="AJ116" i="13"/>
  <c r="AJ116" i="14" s="1"/>
  <c r="AH117" i="13"/>
  <c r="AH117" i="14" s="1"/>
  <c r="AI117" i="13"/>
  <c r="AI117" i="14" s="1"/>
  <c r="AJ117" i="13"/>
  <c r="AJ117" i="14" s="1"/>
  <c r="AJ326" i="13"/>
  <c r="AJ326" i="14" s="1"/>
  <c r="AJ374" i="13"/>
  <c r="AJ374" i="14" s="1"/>
  <c r="AJ192" i="13"/>
  <c r="AH64" i="13"/>
  <c r="AI64" i="13"/>
  <c r="AJ64" i="13"/>
  <c r="AJ9" i="13"/>
  <c r="AJ15" i="13"/>
  <c r="AJ16" i="13"/>
  <c r="AJ17" i="13"/>
  <c r="AJ18" i="13"/>
  <c r="AJ5" i="13"/>
  <c r="AJ19" i="13"/>
  <c r="AH29" i="13"/>
  <c r="AJ29" i="13"/>
  <c r="AJ48" i="13"/>
  <c r="AJ38" i="13"/>
  <c r="AJ69" i="13"/>
  <c r="AH87" i="13"/>
  <c r="AI87" i="13"/>
  <c r="AJ87" i="13"/>
  <c r="AH92" i="13"/>
  <c r="AI92" i="13"/>
  <c r="AJ92" i="13"/>
  <c r="AJ81" i="13"/>
  <c r="AH126" i="13"/>
  <c r="AJ126" i="13"/>
  <c r="AH133" i="13"/>
  <c r="AJ133" i="13"/>
  <c r="AH141" i="13"/>
  <c r="AJ141" i="13"/>
  <c r="AJ319" i="13"/>
  <c r="AI93" i="13"/>
  <c r="AJ93" i="13"/>
  <c r="AJ185" i="13"/>
  <c r="AH190" i="13"/>
  <c r="AI190" i="13"/>
  <c r="AJ190" i="13"/>
  <c r="AJ194" i="13"/>
  <c r="AJ204" i="13"/>
  <c r="AJ205" i="13"/>
  <c r="AJ206" i="13"/>
  <c r="AH207" i="13"/>
  <c r="AJ207" i="13"/>
  <c r="AJ208" i="13"/>
  <c r="AJ209" i="13"/>
  <c r="AH210" i="13"/>
  <c r="AI210" i="13"/>
  <c r="AJ210" i="13"/>
  <c r="AH258" i="13"/>
  <c r="AJ258" i="13"/>
  <c r="AJ262" i="13"/>
  <c r="AJ273" i="13"/>
  <c r="AH274" i="13"/>
  <c r="AJ274" i="13"/>
  <c r="AH275" i="13"/>
  <c r="AJ275" i="13"/>
  <c r="AJ276" i="13"/>
  <c r="AJ286" i="13"/>
  <c r="AH350" i="13"/>
  <c r="AJ350" i="13"/>
  <c r="AJ288" i="13"/>
  <c r="AJ291" i="13"/>
  <c r="AJ149" i="13"/>
  <c r="AH299" i="13"/>
  <c r="AJ299" i="13"/>
  <c r="AJ306" i="13"/>
  <c r="AJ321" i="13"/>
  <c r="AH325" i="13"/>
  <c r="AI325" i="13"/>
  <c r="AJ325" i="13"/>
  <c r="AJ331" i="13"/>
  <c r="AJ314" i="13"/>
  <c r="AI310" i="13"/>
  <c r="AJ310" i="13"/>
  <c r="AH336" i="13"/>
  <c r="AJ336" i="13"/>
  <c r="AJ346" i="13"/>
  <c r="AJ351" i="13"/>
  <c r="AH358" i="13"/>
  <c r="AI358" i="13"/>
  <c r="AJ358" i="13"/>
  <c r="AJ308" i="13"/>
  <c r="AJ308" i="14" s="1"/>
  <c r="AI249" i="13"/>
  <c r="AI249" i="14" s="1"/>
  <c r="AH77" i="13"/>
  <c r="AH77" i="14" s="1"/>
  <c r="W38" i="6"/>
  <c r="Z84" i="13"/>
  <c r="Z84" i="14" s="1"/>
  <c r="Z47" i="13"/>
  <c r="Z47" i="14" s="1"/>
  <c r="S3" i="13"/>
  <c r="S3" i="14" s="1"/>
  <c r="T3" i="13"/>
  <c r="T3" i="14" s="1"/>
  <c r="S23" i="13"/>
  <c r="S23" i="14" s="1"/>
  <c r="T23" i="13"/>
  <c r="T23" i="14" s="1"/>
  <c r="S21" i="13"/>
  <c r="S21" i="14" s="1"/>
  <c r="T21" i="13"/>
  <c r="T21" i="14" s="1"/>
  <c r="S33" i="13"/>
  <c r="S33" i="14" s="1"/>
  <c r="T33" i="13"/>
  <c r="T33" i="14" s="1"/>
  <c r="S59" i="13"/>
  <c r="S59" i="14" s="1"/>
  <c r="T59" i="13"/>
  <c r="T59" i="14" s="1"/>
  <c r="S74" i="13"/>
  <c r="S74" i="14" s="1"/>
  <c r="T74" i="13"/>
  <c r="T74" i="14" s="1"/>
  <c r="S99" i="13"/>
  <c r="S99" i="14" s="1"/>
  <c r="T99" i="13"/>
  <c r="T99" i="14" s="1"/>
  <c r="S83" i="13"/>
  <c r="S83" i="14" s="1"/>
  <c r="T83" i="13"/>
  <c r="T83" i="14" s="1"/>
  <c r="S106" i="13"/>
  <c r="S106" i="14" s="1"/>
  <c r="T106" i="13"/>
  <c r="T106" i="14" s="1"/>
  <c r="S121" i="13"/>
  <c r="S121" i="14" s="1"/>
  <c r="T121" i="13"/>
  <c r="T121" i="14" s="1"/>
  <c r="S128" i="13"/>
  <c r="S128" i="14" s="1"/>
  <c r="T128" i="13"/>
  <c r="T128" i="14" s="1"/>
  <c r="S129" i="13"/>
  <c r="S129" i="14" s="1"/>
  <c r="T129" i="13"/>
  <c r="T129" i="14" s="1"/>
  <c r="S158" i="13"/>
  <c r="S158" i="14" s="1"/>
  <c r="T158" i="13"/>
  <c r="T158" i="14" s="1"/>
  <c r="S164" i="13"/>
  <c r="S164" i="14" s="1"/>
  <c r="T164" i="13"/>
  <c r="T164" i="14" s="1"/>
  <c r="S166" i="13"/>
  <c r="S166" i="14" s="1"/>
  <c r="T166" i="13"/>
  <c r="T166" i="14" s="1"/>
  <c r="S82" i="13"/>
  <c r="S82" i="14" s="1"/>
  <c r="T82" i="13"/>
  <c r="T82" i="14" s="1"/>
  <c r="S196" i="13"/>
  <c r="S196" i="14" s="1"/>
  <c r="T196" i="13"/>
  <c r="T196" i="14" s="1"/>
  <c r="S220" i="13"/>
  <c r="S220" i="14" s="1"/>
  <c r="T220" i="13"/>
  <c r="T220" i="14" s="1"/>
  <c r="S249" i="13"/>
  <c r="S249" i="14" s="1"/>
  <c r="T249" i="13"/>
  <c r="T249" i="14" s="1"/>
  <c r="S328" i="13"/>
  <c r="S328" i="14" s="1"/>
  <c r="T328" i="13"/>
  <c r="T328" i="14" s="1"/>
  <c r="S337" i="13"/>
  <c r="S337" i="14" s="1"/>
  <c r="T337" i="13"/>
  <c r="T337" i="14" s="1"/>
  <c r="S187" i="13"/>
  <c r="S187" i="14" s="1"/>
  <c r="T187" i="13"/>
  <c r="T187" i="14" s="1"/>
  <c r="S355" i="13"/>
  <c r="S355" i="14" s="1"/>
  <c r="T355" i="13"/>
  <c r="T355" i="14" s="1"/>
  <c r="S114" i="13"/>
  <c r="S114" i="14" s="1"/>
  <c r="T114" i="13"/>
  <c r="T114" i="14" s="1"/>
  <c r="S147" i="13"/>
  <c r="S147" i="14" s="1"/>
  <c r="T147" i="13"/>
  <c r="T147" i="14" s="1"/>
  <c r="S115" i="13"/>
  <c r="S115" i="14" s="1"/>
  <c r="T115" i="13"/>
  <c r="T115" i="14" s="1"/>
  <c r="S267" i="13"/>
  <c r="S267" i="14" s="1"/>
  <c r="T267" i="13"/>
  <c r="T267" i="14" s="1"/>
  <c r="S41" i="13"/>
  <c r="S41" i="14" s="1"/>
  <c r="T41" i="13"/>
  <c r="T41" i="14" s="1"/>
  <c r="S42" i="13"/>
  <c r="S42" i="14" s="1"/>
  <c r="T42" i="13"/>
  <c r="T42" i="14" s="1"/>
  <c r="S43" i="13"/>
  <c r="S43" i="14" s="1"/>
  <c r="T43" i="13"/>
  <c r="T43" i="14" s="1"/>
  <c r="S89" i="13"/>
  <c r="S89" i="14" s="1"/>
  <c r="T89" i="13"/>
  <c r="T89" i="14" s="1"/>
  <c r="S84" i="13"/>
  <c r="S84" i="14" s="1"/>
  <c r="T84" i="13"/>
  <c r="T84" i="14" s="1"/>
  <c r="S103" i="13"/>
  <c r="S103" i="14" s="1"/>
  <c r="T103" i="13"/>
  <c r="T103" i="14" s="1"/>
  <c r="S55" i="13"/>
  <c r="S55" i="14" s="1"/>
  <c r="T55" i="13"/>
  <c r="T55" i="14" s="1"/>
  <c r="S130" i="13"/>
  <c r="S130" i="14" s="1"/>
  <c r="T130" i="13"/>
  <c r="T130" i="14" s="1"/>
  <c r="S105" i="13"/>
  <c r="S105" i="14" s="1"/>
  <c r="T105" i="13"/>
  <c r="T105" i="14" s="1"/>
  <c r="S222" i="13"/>
  <c r="S222" i="14" s="1"/>
  <c r="T222" i="13"/>
  <c r="T222" i="14" s="1"/>
  <c r="S215" i="13"/>
  <c r="S215" i="14" s="1"/>
  <c r="T215" i="13"/>
  <c r="T215" i="14" s="1"/>
  <c r="S217" i="13"/>
  <c r="S217" i="14" s="1"/>
  <c r="T217" i="13"/>
  <c r="T217" i="14" s="1"/>
  <c r="S77" i="13"/>
  <c r="S77" i="14" s="1"/>
  <c r="T77" i="13"/>
  <c r="T77" i="14" s="1"/>
  <c r="S242" i="13"/>
  <c r="S242" i="14" s="1"/>
  <c r="T242" i="13"/>
  <c r="T242" i="14" s="1"/>
  <c r="S218" i="13"/>
  <c r="S218" i="14" s="1"/>
  <c r="T218" i="13"/>
  <c r="T218" i="14" s="1"/>
  <c r="S281" i="13"/>
  <c r="S281" i="14" s="1"/>
  <c r="T281" i="13"/>
  <c r="T281" i="14" s="1"/>
  <c r="S282" i="13"/>
  <c r="S282" i="14" s="1"/>
  <c r="T282" i="13"/>
  <c r="T282" i="14" s="1"/>
  <c r="S283" i="13"/>
  <c r="S283" i="14" s="1"/>
  <c r="T283" i="13"/>
  <c r="T283" i="14" s="1"/>
  <c r="S368" i="13"/>
  <c r="S367" i="14" s="1"/>
  <c r="T368" i="13"/>
  <c r="T367" i="14" s="1"/>
  <c r="S369" i="13"/>
  <c r="S368" i="14" s="1"/>
  <c r="T369" i="13"/>
  <c r="T368" i="14" s="1"/>
  <c r="S370" i="13"/>
  <c r="S369" i="14" s="1"/>
  <c r="T370" i="13"/>
  <c r="T369" i="14" s="1"/>
  <c r="S371" i="13"/>
  <c r="S370" i="14" s="1"/>
  <c r="T371" i="13"/>
  <c r="T370" i="14" s="1"/>
  <c r="S25" i="13"/>
  <c r="S25" i="14" s="1"/>
  <c r="T25" i="13"/>
  <c r="T25" i="14" s="1"/>
  <c r="S26" i="13"/>
  <c r="S26" i="14" s="1"/>
  <c r="T26" i="13"/>
  <c r="T26" i="14" s="1"/>
  <c r="S27" i="13"/>
  <c r="S27" i="14" s="1"/>
  <c r="T27" i="13"/>
  <c r="T27" i="14" s="1"/>
  <c r="S131" i="13"/>
  <c r="S131" i="14" s="1"/>
  <c r="T131" i="13"/>
  <c r="T131" i="14" s="1"/>
  <c r="S221" i="13"/>
  <c r="S221" i="14" s="1"/>
  <c r="T221" i="13"/>
  <c r="T221" i="14" s="1"/>
  <c r="S178" i="13"/>
  <c r="S178" i="14" s="1"/>
  <c r="T178" i="13"/>
  <c r="T178" i="14" s="1"/>
  <c r="S179" i="13"/>
  <c r="S179" i="14" s="1"/>
  <c r="T179" i="13"/>
  <c r="T179" i="14" s="1"/>
  <c r="S363" i="13"/>
  <c r="S363" i="14" s="1"/>
  <c r="T363" i="13"/>
  <c r="T363" i="14" s="1"/>
  <c r="S6" i="13"/>
  <c r="S6" i="14" s="1"/>
  <c r="T6" i="13"/>
  <c r="T6" i="14" s="1"/>
  <c r="S22" i="13"/>
  <c r="S22" i="14" s="1"/>
  <c r="T22" i="13"/>
  <c r="T22" i="14" s="1"/>
  <c r="S20" i="13"/>
  <c r="S20" i="14" s="1"/>
  <c r="T20" i="13"/>
  <c r="T20" i="14" s="1"/>
  <c r="S31" i="13"/>
  <c r="S31" i="14" s="1"/>
  <c r="T31" i="13"/>
  <c r="T31" i="14" s="1"/>
  <c r="S24" i="13"/>
  <c r="S24" i="14" s="1"/>
  <c r="T24" i="13"/>
  <c r="T24" i="14" s="1"/>
  <c r="S30" i="13"/>
  <c r="S30" i="14" s="1"/>
  <c r="T30" i="13"/>
  <c r="T30" i="14" s="1"/>
  <c r="S40" i="13"/>
  <c r="S40" i="14" s="1"/>
  <c r="T40" i="13"/>
  <c r="T40" i="14" s="1"/>
  <c r="S44" i="13"/>
  <c r="S44" i="14" s="1"/>
  <c r="T44" i="13"/>
  <c r="T44" i="14" s="1"/>
  <c r="S45" i="13"/>
  <c r="S45" i="14" s="1"/>
  <c r="T45" i="13"/>
  <c r="T45" i="14" s="1"/>
  <c r="S46" i="13"/>
  <c r="S46" i="14" s="1"/>
  <c r="T46" i="13"/>
  <c r="T46" i="14" s="1"/>
  <c r="S78" i="13"/>
  <c r="S78" i="14" s="1"/>
  <c r="T78" i="13"/>
  <c r="T78" i="14" s="1"/>
  <c r="S79" i="13"/>
  <c r="S79" i="14" s="1"/>
  <c r="T79" i="13"/>
  <c r="T79" i="14" s="1"/>
  <c r="S65" i="13"/>
  <c r="S65" i="14" s="1"/>
  <c r="T65" i="13"/>
  <c r="T65" i="14" s="1"/>
  <c r="S67" i="13"/>
  <c r="S67" i="14" s="1"/>
  <c r="T67" i="13"/>
  <c r="T67" i="14" s="1"/>
  <c r="S70" i="13"/>
  <c r="S70" i="14" s="1"/>
  <c r="T70" i="13"/>
  <c r="T70" i="14" s="1"/>
  <c r="S71" i="13"/>
  <c r="S71" i="14" s="1"/>
  <c r="T71" i="13"/>
  <c r="T71" i="14" s="1"/>
  <c r="S94" i="13"/>
  <c r="S94" i="14" s="1"/>
  <c r="T94" i="13"/>
  <c r="T94" i="14" s="1"/>
  <c r="S96" i="13"/>
  <c r="S96" i="14" s="1"/>
  <c r="T96" i="13"/>
  <c r="T96" i="14" s="1"/>
  <c r="S98" i="13"/>
  <c r="S98" i="14" s="1"/>
  <c r="T98" i="13"/>
  <c r="T98" i="14" s="1"/>
  <c r="S100" i="13"/>
  <c r="S101" i="14" s="1"/>
  <c r="T100" i="13"/>
  <c r="T101" i="14" s="1"/>
  <c r="S101" i="13"/>
  <c r="S100" i="14" s="1"/>
  <c r="T101" i="13"/>
  <c r="T100" i="14" s="1"/>
  <c r="S102" i="13"/>
  <c r="S102" i="14" s="1"/>
  <c r="T102" i="13"/>
  <c r="T102" i="14" s="1"/>
  <c r="S134" i="13"/>
  <c r="S134" i="14" s="1"/>
  <c r="T134" i="13"/>
  <c r="T134" i="14" s="1"/>
  <c r="S277" i="13"/>
  <c r="S277" i="14" s="1"/>
  <c r="T277" i="13"/>
  <c r="T277" i="14" s="1"/>
  <c r="S162" i="13"/>
  <c r="S162" i="14" s="1"/>
  <c r="T162" i="13"/>
  <c r="T162" i="14" s="1"/>
  <c r="S160" i="13"/>
  <c r="S160" i="14" s="1"/>
  <c r="T160" i="13"/>
  <c r="T160" i="14" s="1"/>
  <c r="S163" i="13"/>
  <c r="S163" i="14" s="1"/>
  <c r="T163" i="13"/>
  <c r="T163" i="14" s="1"/>
  <c r="S53" i="13"/>
  <c r="S53" i="14" s="1"/>
  <c r="T53" i="13"/>
  <c r="T53" i="14" s="1"/>
  <c r="S188" i="13"/>
  <c r="S188" i="14" s="1"/>
  <c r="T188" i="13"/>
  <c r="T188" i="14" s="1"/>
  <c r="S243" i="13"/>
  <c r="S243" i="14" s="1"/>
  <c r="T243" i="13"/>
  <c r="T243" i="14" s="1"/>
  <c r="S223" i="13"/>
  <c r="S223" i="14" s="1"/>
  <c r="T223" i="13"/>
  <c r="T223" i="14" s="1"/>
  <c r="S236" i="13"/>
  <c r="S236" i="14" s="1"/>
  <c r="T236" i="13"/>
  <c r="T236" i="14" s="1"/>
  <c r="S237" i="13"/>
  <c r="S237" i="14" s="1"/>
  <c r="T237" i="13"/>
  <c r="T237" i="14" s="1"/>
  <c r="S238" i="13"/>
  <c r="S238" i="14" s="1"/>
  <c r="T238" i="13"/>
  <c r="T238" i="14" s="1"/>
  <c r="S239" i="13"/>
  <c r="S239" i="14" s="1"/>
  <c r="T239" i="13"/>
  <c r="T239" i="14" s="1"/>
  <c r="S354" i="13"/>
  <c r="S354" i="14" s="1"/>
  <c r="T354" i="13"/>
  <c r="T354" i="14" s="1"/>
  <c r="S244" i="13"/>
  <c r="S244" i="14" s="1"/>
  <c r="T244" i="13"/>
  <c r="T244" i="14" s="1"/>
  <c r="S97" i="13"/>
  <c r="S97" i="14" s="1"/>
  <c r="T97" i="13"/>
  <c r="T97" i="14" s="1"/>
  <c r="S245" i="13"/>
  <c r="S245" i="14" s="1"/>
  <c r="T245" i="13"/>
  <c r="T245" i="14" s="1"/>
  <c r="S241" i="13"/>
  <c r="S241" i="14" s="1"/>
  <c r="T241" i="13"/>
  <c r="T241" i="14" s="1"/>
  <c r="S212" i="13"/>
  <c r="S212" i="14" s="1"/>
  <c r="T212" i="13"/>
  <c r="T212" i="14" s="1"/>
  <c r="S119" i="13"/>
  <c r="S119" i="14" s="1"/>
  <c r="T119" i="13"/>
  <c r="T119" i="14" s="1"/>
  <c r="S120" i="13"/>
  <c r="S120" i="14" s="1"/>
  <c r="T120" i="13"/>
  <c r="T120" i="14" s="1"/>
  <c r="S253" i="13"/>
  <c r="S253" i="14" s="1"/>
  <c r="T253" i="13"/>
  <c r="T253" i="14" s="1"/>
  <c r="S255" i="13"/>
  <c r="S255" i="14" s="1"/>
  <c r="T255" i="13"/>
  <c r="T255" i="14" s="1"/>
  <c r="S260" i="13"/>
  <c r="S260" i="14" s="1"/>
  <c r="T260" i="13"/>
  <c r="T260" i="14" s="1"/>
  <c r="S256" i="13"/>
  <c r="S256" i="14" s="1"/>
  <c r="T256" i="13"/>
  <c r="T256" i="14" s="1"/>
  <c r="S278" i="13"/>
  <c r="S278" i="14" s="1"/>
  <c r="T278" i="13"/>
  <c r="T278" i="14" s="1"/>
  <c r="S57" i="13"/>
  <c r="S57" i="14" s="1"/>
  <c r="T57" i="13"/>
  <c r="T57" i="14" s="1"/>
  <c r="S265" i="13"/>
  <c r="S265" i="14" s="1"/>
  <c r="T265" i="13"/>
  <c r="T265" i="14" s="1"/>
  <c r="S268" i="13"/>
  <c r="S268" i="14" s="1"/>
  <c r="T268" i="13"/>
  <c r="T268" i="14" s="1"/>
  <c r="S266" i="13"/>
  <c r="S266" i="14" s="1"/>
  <c r="T266" i="13"/>
  <c r="T266" i="14" s="1"/>
  <c r="S296" i="13"/>
  <c r="S296" i="14" s="1"/>
  <c r="T296" i="13"/>
  <c r="T296" i="14" s="1"/>
  <c r="S322" i="13"/>
  <c r="S322" i="14" s="1"/>
  <c r="T322" i="13"/>
  <c r="T322" i="14" s="1"/>
  <c r="S312" i="13"/>
  <c r="S312" i="14" s="1"/>
  <c r="T312" i="13"/>
  <c r="T312" i="14" s="1"/>
  <c r="S323" i="13"/>
  <c r="S323" i="14" s="1"/>
  <c r="T323" i="13"/>
  <c r="T323" i="14" s="1"/>
  <c r="S343" i="13"/>
  <c r="S343" i="14" s="1"/>
  <c r="T343" i="13"/>
  <c r="T343" i="14" s="1"/>
  <c r="S327" i="13"/>
  <c r="S327" i="14" s="1"/>
  <c r="T327" i="13"/>
  <c r="T327" i="14" s="1"/>
  <c r="S332" i="13"/>
  <c r="S332" i="14" s="1"/>
  <c r="T332" i="13"/>
  <c r="T332" i="14" s="1"/>
  <c r="S333" i="13"/>
  <c r="S333" i="14" s="1"/>
  <c r="T333" i="13"/>
  <c r="T333" i="14" s="1"/>
  <c r="S334" i="13"/>
  <c r="S334" i="14" s="1"/>
  <c r="T334" i="13"/>
  <c r="T334" i="14" s="1"/>
  <c r="S302" i="13"/>
  <c r="S302" i="14" s="1"/>
  <c r="T302" i="13"/>
  <c r="T302" i="14" s="1"/>
  <c r="S344" i="13"/>
  <c r="S344" i="14" s="1"/>
  <c r="T344" i="13"/>
  <c r="T344" i="14" s="1"/>
  <c r="S364" i="13"/>
  <c r="S364" i="14" s="1"/>
  <c r="T364" i="13"/>
  <c r="T364" i="14" s="1"/>
  <c r="S359" i="13"/>
  <c r="S359" i="14" s="1"/>
  <c r="T359" i="13"/>
  <c r="T359" i="14" s="1"/>
  <c r="S360" i="13"/>
  <c r="S360" i="14" s="1"/>
  <c r="T360" i="13"/>
  <c r="T360" i="14" s="1"/>
  <c r="S361" i="13"/>
  <c r="S361" i="14" s="1"/>
  <c r="T361" i="13"/>
  <c r="T361" i="14" s="1"/>
  <c r="S54" i="13"/>
  <c r="S54" i="14" s="1"/>
  <c r="T54" i="13"/>
  <c r="T54" i="14" s="1"/>
  <c r="S362" i="13"/>
  <c r="S362" i="14" s="1"/>
  <c r="T362" i="13"/>
  <c r="T362" i="14" s="1"/>
  <c r="S191" i="13"/>
  <c r="T191" i="13"/>
  <c r="S63" i="13"/>
  <c r="T63" i="13"/>
  <c r="S7" i="13"/>
  <c r="S7" i="14" s="1"/>
  <c r="T7" i="13"/>
  <c r="T7" i="14" s="1"/>
  <c r="S127" i="13"/>
  <c r="S127" i="14" s="1"/>
  <c r="T127" i="13"/>
  <c r="T127" i="14" s="1"/>
  <c r="S183" i="13"/>
  <c r="S183" i="14" s="1"/>
  <c r="T183" i="13"/>
  <c r="T183" i="14" s="1"/>
  <c r="S250" i="13"/>
  <c r="S250" i="14" s="1"/>
  <c r="T250" i="13"/>
  <c r="T250" i="14" s="1"/>
  <c r="S251" i="13"/>
  <c r="S251" i="14" s="1"/>
  <c r="T251" i="13"/>
  <c r="T251" i="14" s="1"/>
  <c r="S295" i="13"/>
  <c r="S295" i="14" s="1"/>
  <c r="T295" i="13"/>
  <c r="T295" i="14" s="1"/>
  <c r="S316" i="13"/>
  <c r="S316" i="14" s="1"/>
  <c r="T316" i="13"/>
  <c r="T316" i="14" s="1"/>
  <c r="S338" i="13"/>
  <c r="S338" i="14" s="1"/>
  <c r="T338" i="13"/>
  <c r="T338" i="14" s="1"/>
  <c r="S375" i="13"/>
  <c r="S375" i="14" s="1"/>
  <c r="T375" i="13"/>
  <c r="T375" i="14" s="1"/>
  <c r="S300" i="13"/>
  <c r="S300" i="14" s="1"/>
  <c r="T300" i="13"/>
  <c r="T300" i="14" s="1"/>
  <c r="S34" i="13"/>
  <c r="S34" i="14" s="1"/>
  <c r="T34" i="13"/>
  <c r="T34" i="14" s="1"/>
  <c r="S61" i="13"/>
  <c r="S61" i="14" s="1"/>
  <c r="T61" i="13"/>
  <c r="T61" i="14" s="1"/>
  <c r="S150" i="13"/>
  <c r="S150" i="14" s="1"/>
  <c r="T150" i="13"/>
  <c r="T150" i="14" s="1"/>
  <c r="S151" i="13"/>
  <c r="S151" i="14" s="1"/>
  <c r="T151" i="13"/>
  <c r="T151" i="14" s="1"/>
  <c r="S152" i="13"/>
  <c r="S152" i="14" s="1"/>
  <c r="T152" i="13"/>
  <c r="T152" i="14" s="1"/>
  <c r="S154" i="13"/>
  <c r="S154" i="14" s="1"/>
  <c r="T154" i="13"/>
  <c r="T154" i="14" s="1"/>
  <c r="S172" i="13"/>
  <c r="S172" i="14" s="1"/>
  <c r="T172" i="13"/>
  <c r="T172" i="14" s="1"/>
  <c r="S173" i="13"/>
  <c r="S173" i="14" s="1"/>
  <c r="T173" i="13"/>
  <c r="T173" i="14" s="1"/>
  <c r="S174" i="13"/>
  <c r="S174" i="14" s="1"/>
  <c r="T174" i="13"/>
  <c r="T174" i="14" s="1"/>
  <c r="S259" i="13"/>
  <c r="S259" i="14" s="1"/>
  <c r="T259" i="13"/>
  <c r="T259" i="14" s="1"/>
  <c r="S352" i="13"/>
  <c r="S352" i="14" s="1"/>
  <c r="T352" i="13"/>
  <c r="T352" i="14" s="1"/>
  <c r="S58" i="13"/>
  <c r="S58" i="14" s="1"/>
  <c r="T58" i="13"/>
  <c r="T58" i="14" s="1"/>
  <c r="S161" i="13"/>
  <c r="S161" i="14" s="1"/>
  <c r="T161" i="13"/>
  <c r="T161" i="14" s="1"/>
  <c r="S213" i="13"/>
  <c r="S213" i="14" s="1"/>
  <c r="T213" i="13"/>
  <c r="T213" i="14" s="1"/>
  <c r="S214" i="13"/>
  <c r="S214" i="14" s="1"/>
  <c r="T214" i="13"/>
  <c r="T214" i="14" s="1"/>
  <c r="S248" i="13"/>
  <c r="S248" i="14" s="1"/>
  <c r="T248" i="13"/>
  <c r="T248" i="14" s="1"/>
  <c r="S279" i="13"/>
  <c r="S279" i="14" s="1"/>
  <c r="T279" i="13"/>
  <c r="T279" i="14" s="1"/>
  <c r="S280" i="13"/>
  <c r="S280" i="14" s="1"/>
  <c r="T280" i="13"/>
  <c r="T280" i="14" s="1"/>
  <c r="S85" i="13"/>
  <c r="S85" i="14" s="1"/>
  <c r="T85" i="13"/>
  <c r="T85" i="14" s="1"/>
  <c r="S195" i="13"/>
  <c r="S195" i="14" s="1"/>
  <c r="T195" i="13"/>
  <c r="T195" i="14" s="1"/>
  <c r="S356" i="13"/>
  <c r="S356" i="14" s="1"/>
  <c r="T356" i="13"/>
  <c r="T356" i="14" s="1"/>
  <c r="S247" i="13"/>
  <c r="S247" i="14" s="1"/>
  <c r="T247" i="13"/>
  <c r="T247" i="14" s="1"/>
  <c r="S36" i="13"/>
  <c r="S36" i="14" s="1"/>
  <c r="T36" i="13"/>
  <c r="T36" i="14" s="1"/>
  <c r="S60" i="13"/>
  <c r="S60" i="14" s="1"/>
  <c r="T60" i="13"/>
  <c r="T60" i="14" s="1"/>
  <c r="S62" i="13"/>
  <c r="S62" i="14" s="1"/>
  <c r="T62" i="13"/>
  <c r="T62" i="14" s="1"/>
  <c r="S104" i="13"/>
  <c r="S104" i="14" s="1"/>
  <c r="T104" i="13"/>
  <c r="T104" i="14" s="1"/>
  <c r="S111" i="13"/>
  <c r="S111" i="14" s="1"/>
  <c r="T111" i="13"/>
  <c r="T111" i="14" s="1"/>
  <c r="S112" i="13"/>
  <c r="S112" i="14" s="1"/>
  <c r="T112" i="13"/>
  <c r="T112" i="14" s="1"/>
  <c r="S167" i="13"/>
  <c r="S167" i="14" s="1"/>
  <c r="T167" i="13"/>
  <c r="T167" i="14" s="1"/>
  <c r="S107" i="13"/>
  <c r="S107" i="14" s="1"/>
  <c r="T107" i="13"/>
  <c r="T107" i="14" s="1"/>
  <c r="S108" i="13"/>
  <c r="S108" i="14" s="1"/>
  <c r="T108" i="13"/>
  <c r="T108" i="14" s="1"/>
  <c r="S353" i="13"/>
  <c r="S353" i="14" s="1"/>
  <c r="T353" i="13"/>
  <c r="T353" i="14" s="1"/>
  <c r="S118" i="13"/>
  <c r="S118" i="14" s="1"/>
  <c r="T118" i="13"/>
  <c r="T118" i="14" s="1"/>
  <c r="S123" i="13"/>
  <c r="S123" i="14" s="1"/>
  <c r="T123" i="13"/>
  <c r="T123" i="14" s="1"/>
  <c r="S122" i="13"/>
  <c r="S122" i="14" s="1"/>
  <c r="T122" i="13"/>
  <c r="T122" i="14" s="1"/>
  <c r="S165" i="13"/>
  <c r="S165" i="14" s="1"/>
  <c r="T165" i="13"/>
  <c r="T165" i="14" s="1"/>
  <c r="S142" i="13"/>
  <c r="S142" i="14" s="1"/>
  <c r="T142" i="13"/>
  <c r="T142" i="14" s="1"/>
  <c r="S143" i="13"/>
  <c r="S143" i="14" s="1"/>
  <c r="T143" i="13"/>
  <c r="T143" i="14" s="1"/>
  <c r="S144" i="13"/>
  <c r="S144" i="14" s="1"/>
  <c r="T144" i="13"/>
  <c r="T144" i="14" s="1"/>
  <c r="S145" i="13"/>
  <c r="S145" i="14" s="1"/>
  <c r="T145" i="13"/>
  <c r="T145" i="14" s="1"/>
  <c r="S146" i="13"/>
  <c r="S146" i="14" s="1"/>
  <c r="T146" i="13"/>
  <c r="T146" i="14" s="1"/>
  <c r="S175" i="13"/>
  <c r="S175" i="14" s="1"/>
  <c r="T175" i="13"/>
  <c r="T175" i="14" s="1"/>
  <c r="S347" i="13"/>
  <c r="S347" i="14" s="1"/>
  <c r="T347" i="13"/>
  <c r="T347" i="14" s="1"/>
  <c r="S180" i="13"/>
  <c r="S180" i="14" s="1"/>
  <c r="T180" i="13"/>
  <c r="T180" i="14" s="1"/>
  <c r="S211" i="13"/>
  <c r="S211" i="14" s="1"/>
  <c r="T211" i="13"/>
  <c r="T211" i="14" s="1"/>
  <c r="S246" i="13"/>
  <c r="S246" i="14" s="1"/>
  <c r="T246" i="13"/>
  <c r="T246" i="14" s="1"/>
  <c r="S252" i="13"/>
  <c r="S252" i="14" s="1"/>
  <c r="T252" i="13"/>
  <c r="T252" i="14" s="1"/>
  <c r="S263" i="13"/>
  <c r="S263" i="14" s="1"/>
  <c r="T263" i="13"/>
  <c r="T263" i="14" s="1"/>
  <c r="S289" i="13"/>
  <c r="S289" i="14" s="1"/>
  <c r="T289" i="13"/>
  <c r="T289" i="14" s="1"/>
  <c r="S297" i="13"/>
  <c r="S297" i="14" s="1"/>
  <c r="T297" i="13"/>
  <c r="T297" i="14" s="1"/>
  <c r="S303" i="13"/>
  <c r="S303" i="14" s="1"/>
  <c r="T303" i="13"/>
  <c r="T303" i="14" s="1"/>
  <c r="S304" i="13"/>
  <c r="S304" i="14" s="1"/>
  <c r="T304" i="13"/>
  <c r="T304" i="14" s="1"/>
  <c r="S365" i="13"/>
  <c r="S365" i="14" s="1"/>
  <c r="T365" i="13"/>
  <c r="T365" i="14" s="1"/>
  <c r="S311" i="13"/>
  <c r="S311" i="14" s="1"/>
  <c r="T311" i="13"/>
  <c r="T311" i="14" s="1"/>
  <c r="S339" i="13"/>
  <c r="S339" i="14" s="1"/>
  <c r="T339" i="13"/>
  <c r="T339" i="14" s="1"/>
  <c r="S124" i="13"/>
  <c r="S124" i="14" s="1"/>
  <c r="T124" i="13"/>
  <c r="T124" i="14" s="1"/>
  <c r="S372" i="13"/>
  <c r="S372" i="14" s="1"/>
  <c r="T372" i="13"/>
  <c r="T372" i="14" s="1"/>
  <c r="S373" i="13"/>
  <c r="S373" i="14" s="1"/>
  <c r="T373" i="13"/>
  <c r="T373" i="14" s="1"/>
  <c r="S8" i="13"/>
  <c r="T8" i="13"/>
  <c r="S35" i="13"/>
  <c r="S35" i="14" s="1"/>
  <c r="T35" i="13"/>
  <c r="T35" i="14" s="1"/>
  <c r="S39" i="13"/>
  <c r="S39" i="14" s="1"/>
  <c r="T39" i="13"/>
  <c r="T39" i="14" s="1"/>
  <c r="S56" i="13"/>
  <c r="S56" i="14" s="1"/>
  <c r="T56" i="13"/>
  <c r="T56" i="14" s="1"/>
  <c r="S66" i="13"/>
  <c r="S66" i="14" s="1"/>
  <c r="T66" i="13"/>
  <c r="T66" i="14" s="1"/>
  <c r="S110" i="13"/>
  <c r="S110" i="14" s="1"/>
  <c r="T110" i="13"/>
  <c r="T110" i="14" s="1"/>
  <c r="S153" i="13"/>
  <c r="S153" i="14" s="1"/>
  <c r="T153" i="13"/>
  <c r="T153" i="14" s="1"/>
  <c r="S159" i="13"/>
  <c r="S159" i="14" s="1"/>
  <c r="T159" i="13"/>
  <c r="T159" i="14" s="1"/>
  <c r="S181" i="13"/>
  <c r="S181" i="14" s="1"/>
  <c r="T181" i="13"/>
  <c r="T181" i="14" s="1"/>
  <c r="S182" i="13"/>
  <c r="S182" i="14" s="1"/>
  <c r="T182" i="13"/>
  <c r="T182" i="14" s="1"/>
  <c r="S216" i="13"/>
  <c r="S216" i="14" s="1"/>
  <c r="T216" i="13"/>
  <c r="T216" i="14" s="1"/>
  <c r="S95" i="13"/>
  <c r="S95" i="14" s="1"/>
  <c r="T95" i="13"/>
  <c r="T95" i="14" s="1"/>
  <c r="S254" i="13"/>
  <c r="S254" i="14" s="1"/>
  <c r="T254" i="13"/>
  <c r="T254" i="14" s="1"/>
  <c r="S317" i="13"/>
  <c r="S317" i="14" s="1"/>
  <c r="T317" i="13"/>
  <c r="T317" i="14" s="1"/>
  <c r="S176" i="13"/>
  <c r="S176" i="14" s="1"/>
  <c r="T176" i="13"/>
  <c r="T176" i="14" s="1"/>
  <c r="S49" i="13"/>
  <c r="S49" i="14" s="1"/>
  <c r="T49" i="13"/>
  <c r="T49" i="14" s="1"/>
  <c r="S50" i="13"/>
  <c r="S50" i="14" s="1"/>
  <c r="T50" i="13"/>
  <c r="T50" i="14" s="1"/>
  <c r="S51" i="13"/>
  <c r="S51" i="14" s="1"/>
  <c r="T51" i="13"/>
  <c r="T51" i="14" s="1"/>
  <c r="S75" i="13"/>
  <c r="S75" i="14" s="1"/>
  <c r="T75" i="13"/>
  <c r="T75" i="14" s="1"/>
  <c r="S76" i="13"/>
  <c r="S76" i="14" s="1"/>
  <c r="T76" i="13"/>
  <c r="T76" i="14" s="1"/>
  <c r="S113" i="13"/>
  <c r="S113" i="14" s="1"/>
  <c r="T113" i="13"/>
  <c r="T113" i="14" s="1"/>
  <c r="S155" i="13"/>
  <c r="S155" i="14" s="1"/>
  <c r="T155" i="13"/>
  <c r="T155" i="14" s="1"/>
  <c r="S171" i="13"/>
  <c r="S171" i="14" s="1"/>
  <c r="T171" i="13"/>
  <c r="T171" i="14" s="1"/>
  <c r="S177" i="13"/>
  <c r="S177" i="14" s="1"/>
  <c r="T177" i="13"/>
  <c r="T177" i="14" s="1"/>
  <c r="S224" i="13"/>
  <c r="S224" i="14" s="1"/>
  <c r="T224" i="13"/>
  <c r="T224" i="14" s="1"/>
  <c r="S225" i="13"/>
  <c r="S225" i="14" s="1"/>
  <c r="T225" i="13"/>
  <c r="T225" i="14" s="1"/>
  <c r="S226" i="13"/>
  <c r="S226" i="14" s="1"/>
  <c r="T226" i="13"/>
  <c r="T226" i="14" s="1"/>
  <c r="S219" i="13"/>
  <c r="S219" i="14" s="1"/>
  <c r="T219" i="13"/>
  <c r="T219" i="14" s="1"/>
  <c r="S227" i="13"/>
  <c r="S227" i="14" s="1"/>
  <c r="T227" i="13"/>
  <c r="T227" i="14" s="1"/>
  <c r="S228" i="13"/>
  <c r="S228" i="14" s="1"/>
  <c r="T228" i="13"/>
  <c r="T228" i="14" s="1"/>
  <c r="S229" i="13"/>
  <c r="S229" i="14" s="1"/>
  <c r="T229" i="13"/>
  <c r="T229" i="14" s="1"/>
  <c r="S230" i="13"/>
  <c r="S230" i="14" s="1"/>
  <c r="T230" i="13"/>
  <c r="T230" i="14" s="1"/>
  <c r="S231" i="13"/>
  <c r="S231" i="14" s="1"/>
  <c r="T231" i="13"/>
  <c r="T231" i="14" s="1"/>
  <c r="S232" i="13"/>
  <c r="S232" i="14" s="1"/>
  <c r="T232" i="13"/>
  <c r="T232" i="14" s="1"/>
  <c r="S233" i="13"/>
  <c r="S233" i="14" s="1"/>
  <c r="T233" i="13"/>
  <c r="T233" i="14" s="1"/>
  <c r="S240" i="13"/>
  <c r="S240" i="14" s="1"/>
  <c r="T240" i="13"/>
  <c r="T240" i="14" s="1"/>
  <c r="S234" i="13"/>
  <c r="S234" i="14" s="1"/>
  <c r="T234" i="13"/>
  <c r="T234" i="14" s="1"/>
  <c r="S235" i="13"/>
  <c r="S235" i="14" s="1"/>
  <c r="T235" i="13"/>
  <c r="T235" i="14" s="1"/>
  <c r="S315" i="13"/>
  <c r="S315" i="14" s="1"/>
  <c r="T315" i="13"/>
  <c r="T315" i="14" s="1"/>
  <c r="S10" i="13"/>
  <c r="T10" i="13"/>
  <c r="S11" i="13"/>
  <c r="T11" i="13"/>
  <c r="S12" i="13"/>
  <c r="T12" i="13"/>
  <c r="S13" i="13"/>
  <c r="T13" i="13"/>
  <c r="S4" i="13"/>
  <c r="T4" i="13"/>
  <c r="S14" i="13"/>
  <c r="T14" i="13"/>
  <c r="S32" i="13"/>
  <c r="S32" i="14" s="1"/>
  <c r="T32" i="13"/>
  <c r="T32" i="14" s="1"/>
  <c r="S28" i="13"/>
  <c r="T28" i="13"/>
  <c r="S47" i="13"/>
  <c r="T47" i="13"/>
  <c r="S52" i="13"/>
  <c r="S52" i="14" s="1"/>
  <c r="T52" i="13"/>
  <c r="T52" i="14" s="1"/>
  <c r="S37" i="13"/>
  <c r="T37" i="13"/>
  <c r="S329" i="13"/>
  <c r="S329" i="14" s="1"/>
  <c r="T329" i="13"/>
  <c r="T329" i="14" s="1"/>
  <c r="S284" i="13"/>
  <c r="S284" i="14" s="1"/>
  <c r="T284" i="13"/>
  <c r="T284" i="14" s="1"/>
  <c r="S72" i="13"/>
  <c r="S72" i="14" s="1"/>
  <c r="T72" i="13"/>
  <c r="T72" i="14" s="1"/>
  <c r="S73" i="13"/>
  <c r="S73" i="14" s="1"/>
  <c r="T73" i="13"/>
  <c r="T73" i="14" s="1"/>
  <c r="S68" i="13"/>
  <c r="T68" i="13"/>
  <c r="S340" i="13"/>
  <c r="S340" i="14" s="1"/>
  <c r="T340" i="13"/>
  <c r="T340" i="14" s="1"/>
  <c r="S86" i="13"/>
  <c r="T86" i="13"/>
  <c r="S90" i="13"/>
  <c r="T90" i="13"/>
  <c r="S88" i="13"/>
  <c r="S88" i="14" s="1"/>
  <c r="T88" i="13"/>
  <c r="T88" i="14" s="1"/>
  <c r="S80" i="13"/>
  <c r="T80" i="13"/>
  <c r="S109" i="13"/>
  <c r="S109" i="14" s="1"/>
  <c r="T109" i="13"/>
  <c r="T109" i="14" s="1"/>
  <c r="S125" i="13"/>
  <c r="T125" i="13"/>
  <c r="S132" i="13"/>
  <c r="T132" i="13"/>
  <c r="S135" i="13"/>
  <c r="S135" i="14" s="1"/>
  <c r="T135" i="13"/>
  <c r="T135" i="14" s="1"/>
  <c r="S136" i="13"/>
  <c r="S136" i="14" s="1"/>
  <c r="T136" i="13"/>
  <c r="T136" i="14" s="1"/>
  <c r="S137" i="13"/>
  <c r="S137" i="14" s="1"/>
  <c r="T137" i="13"/>
  <c r="T137" i="14" s="1"/>
  <c r="S138" i="13"/>
  <c r="S138" i="14" s="1"/>
  <c r="T138" i="13"/>
  <c r="T138" i="14" s="1"/>
  <c r="S168" i="13"/>
  <c r="S168" i="14" s="1"/>
  <c r="T168" i="13"/>
  <c r="T168" i="14" s="1"/>
  <c r="S139" i="13"/>
  <c r="S139" i="14" s="1"/>
  <c r="T139" i="13"/>
  <c r="T139" i="14" s="1"/>
  <c r="S140" i="13"/>
  <c r="T140" i="13"/>
  <c r="S156" i="13"/>
  <c r="S156" i="14" s="1"/>
  <c r="T156" i="13"/>
  <c r="T156" i="14" s="1"/>
  <c r="S157" i="13"/>
  <c r="S157" i="14" s="1"/>
  <c r="T157" i="13"/>
  <c r="T157" i="14" s="1"/>
  <c r="S318" i="13"/>
  <c r="T318" i="13"/>
  <c r="S169" i="13"/>
  <c r="S169" i="14" s="1"/>
  <c r="T169" i="13"/>
  <c r="T169" i="14" s="1"/>
  <c r="S170" i="13"/>
  <c r="S170" i="14" s="1"/>
  <c r="T170" i="13"/>
  <c r="T170" i="14" s="1"/>
  <c r="S91" i="13"/>
  <c r="T91" i="13"/>
  <c r="S184" i="13"/>
  <c r="T184" i="13"/>
  <c r="S189" i="13"/>
  <c r="T189" i="13"/>
  <c r="S193" i="13"/>
  <c r="T193" i="13"/>
  <c r="S197" i="13"/>
  <c r="T197" i="13"/>
  <c r="S198" i="13"/>
  <c r="T198" i="13"/>
  <c r="S199" i="13"/>
  <c r="T199" i="13"/>
  <c r="S200" i="13"/>
  <c r="T200" i="13"/>
  <c r="S201" i="13"/>
  <c r="T201" i="13"/>
  <c r="S202" i="13"/>
  <c r="T202" i="13"/>
  <c r="S203" i="13"/>
  <c r="T203" i="13"/>
  <c r="S186" i="13"/>
  <c r="S186" i="14" s="1"/>
  <c r="T186" i="13"/>
  <c r="T186" i="14" s="1"/>
  <c r="S366" i="13"/>
  <c r="S366" i="14" s="1"/>
  <c r="T366" i="13"/>
  <c r="T366" i="14" s="1"/>
  <c r="S257" i="13"/>
  <c r="T257" i="13"/>
  <c r="S261" i="13"/>
  <c r="T261" i="13"/>
  <c r="S269" i="13"/>
  <c r="T269" i="13"/>
  <c r="S270" i="13"/>
  <c r="T270" i="13"/>
  <c r="S271" i="13"/>
  <c r="T271" i="13"/>
  <c r="S272" i="13"/>
  <c r="T272" i="13"/>
  <c r="S285" i="13"/>
  <c r="T285" i="13"/>
  <c r="S264" i="13"/>
  <c r="S264" i="14" s="1"/>
  <c r="T264" i="13"/>
  <c r="T264" i="14" s="1"/>
  <c r="S348" i="13"/>
  <c r="T348" i="13"/>
  <c r="S287" i="13"/>
  <c r="T287" i="13"/>
  <c r="S290" i="13"/>
  <c r="T290" i="13"/>
  <c r="S292" i="13"/>
  <c r="S292" i="14" s="1"/>
  <c r="T292" i="13"/>
  <c r="T292" i="14" s="1"/>
  <c r="S293" i="13"/>
  <c r="S293" i="14" s="1"/>
  <c r="T293" i="13"/>
  <c r="T293" i="14" s="1"/>
  <c r="S294" i="13"/>
  <c r="S294" i="14" s="1"/>
  <c r="T294" i="13"/>
  <c r="T294" i="14" s="1"/>
  <c r="S148" i="13"/>
  <c r="T148" i="13"/>
  <c r="S298" i="13"/>
  <c r="T298" i="13"/>
  <c r="S367" i="13"/>
  <c r="S371" i="14" s="1"/>
  <c r="T367" i="13"/>
  <c r="T371" i="14" s="1"/>
  <c r="S301" i="13"/>
  <c r="S301" i="14" s="1"/>
  <c r="T301" i="13"/>
  <c r="T301" i="14" s="1"/>
  <c r="S305" i="13"/>
  <c r="T305" i="13"/>
  <c r="S307" i="13"/>
  <c r="S307" i="14" s="1"/>
  <c r="T307" i="13"/>
  <c r="T307" i="14" s="1"/>
  <c r="S320" i="13"/>
  <c r="T320" i="13"/>
  <c r="S324" i="13"/>
  <c r="T324" i="13"/>
  <c r="S330" i="13"/>
  <c r="T330" i="13"/>
  <c r="S313" i="13"/>
  <c r="T313" i="13"/>
  <c r="S309" i="13"/>
  <c r="T309" i="13"/>
  <c r="S335" i="13"/>
  <c r="T335" i="13"/>
  <c r="S341" i="13"/>
  <c r="S341" i="14" s="1"/>
  <c r="T341" i="13"/>
  <c r="T341" i="14" s="1"/>
  <c r="S342" i="13"/>
  <c r="S342" i="14" s="1"/>
  <c r="T342" i="13"/>
  <c r="T342" i="14" s="1"/>
  <c r="S345" i="13"/>
  <c r="T345" i="13"/>
  <c r="S349" i="13"/>
  <c r="T349" i="13"/>
  <c r="S357" i="13"/>
  <c r="T357" i="13"/>
  <c r="S116" i="13"/>
  <c r="S116" i="14" s="1"/>
  <c r="T116" i="13"/>
  <c r="T116" i="14" s="1"/>
  <c r="S117" i="13"/>
  <c r="S117" i="14" s="1"/>
  <c r="T117" i="13"/>
  <c r="T117" i="14" s="1"/>
  <c r="S326" i="13"/>
  <c r="S326" i="14" s="1"/>
  <c r="T326" i="13"/>
  <c r="T326" i="14" s="1"/>
  <c r="S374" i="13"/>
  <c r="S374" i="14" s="1"/>
  <c r="T374" i="13"/>
  <c r="T374" i="14" s="1"/>
  <c r="S192" i="13"/>
  <c r="T192" i="13"/>
  <c r="S64" i="13"/>
  <c r="T64" i="13"/>
  <c r="S9" i="13"/>
  <c r="T9" i="13"/>
  <c r="S15" i="13"/>
  <c r="T15" i="13"/>
  <c r="S16" i="13"/>
  <c r="T16" i="13"/>
  <c r="S17" i="13"/>
  <c r="T17" i="13"/>
  <c r="S18" i="13"/>
  <c r="T18" i="13"/>
  <c r="S5" i="13"/>
  <c r="T5" i="13"/>
  <c r="S19" i="13"/>
  <c r="T19" i="13"/>
  <c r="S29" i="13"/>
  <c r="T29" i="13"/>
  <c r="S48" i="13"/>
  <c r="T48" i="13"/>
  <c r="S38" i="13"/>
  <c r="T38" i="13"/>
  <c r="S69" i="13"/>
  <c r="T69" i="13"/>
  <c r="S87" i="13"/>
  <c r="T87" i="13"/>
  <c r="S92" i="13"/>
  <c r="T92" i="13"/>
  <c r="S81" i="13"/>
  <c r="T81" i="13"/>
  <c r="S126" i="13"/>
  <c r="T126" i="13"/>
  <c r="S133" i="13"/>
  <c r="T133" i="13"/>
  <c r="S141" i="13"/>
  <c r="T141" i="13"/>
  <c r="S319" i="13"/>
  <c r="T319" i="13"/>
  <c r="S93" i="13"/>
  <c r="T93" i="13"/>
  <c r="S185" i="13"/>
  <c r="T185" i="13"/>
  <c r="S190" i="13"/>
  <c r="T190" i="13"/>
  <c r="S194" i="13"/>
  <c r="T194" i="13"/>
  <c r="S204" i="13"/>
  <c r="T204" i="13"/>
  <c r="S205" i="13"/>
  <c r="T205" i="13"/>
  <c r="S206" i="13"/>
  <c r="T206" i="13"/>
  <c r="S207" i="13"/>
  <c r="T207" i="13"/>
  <c r="S208" i="13"/>
  <c r="T208" i="13"/>
  <c r="S209" i="13"/>
  <c r="T209" i="13"/>
  <c r="S210" i="13"/>
  <c r="T210" i="13"/>
  <c r="S258" i="13"/>
  <c r="T258" i="13"/>
  <c r="S262" i="13"/>
  <c r="T262" i="13"/>
  <c r="S273" i="13"/>
  <c r="T273" i="13"/>
  <c r="S274" i="13"/>
  <c r="T274" i="13"/>
  <c r="S275" i="13"/>
  <c r="T275" i="13"/>
  <c r="S276" i="13"/>
  <c r="T276" i="13"/>
  <c r="S286" i="13"/>
  <c r="T286" i="13"/>
  <c r="S350" i="13"/>
  <c r="T350" i="13"/>
  <c r="S288" i="13"/>
  <c r="T288" i="13"/>
  <c r="S291" i="13"/>
  <c r="T291" i="13"/>
  <c r="S149" i="13"/>
  <c r="T149" i="13"/>
  <c r="S299" i="13"/>
  <c r="T299" i="13"/>
  <c r="S306" i="13"/>
  <c r="T306" i="13"/>
  <c r="S321" i="13"/>
  <c r="T321" i="13"/>
  <c r="S325" i="13"/>
  <c r="T325" i="13"/>
  <c r="S331" i="13"/>
  <c r="T331" i="13"/>
  <c r="S314" i="13"/>
  <c r="T314" i="13"/>
  <c r="S310" i="13"/>
  <c r="T310" i="13"/>
  <c r="S336" i="13"/>
  <c r="T336" i="13"/>
  <c r="S346" i="13"/>
  <c r="T346" i="13"/>
  <c r="S351" i="13"/>
  <c r="T351" i="13"/>
  <c r="S358" i="13"/>
  <c r="T358" i="13"/>
  <c r="T308" i="13"/>
  <c r="T308" i="14" s="1"/>
  <c r="S308" i="13"/>
  <c r="S308" i="14" s="1"/>
  <c r="I3" i="13"/>
  <c r="J3" i="13"/>
  <c r="J3" i="14" s="1"/>
  <c r="K3" i="13"/>
  <c r="K3" i="14" s="1"/>
  <c r="L3" i="13"/>
  <c r="L3" i="14" s="1"/>
  <c r="M3" i="13"/>
  <c r="M3" i="14" s="1"/>
  <c r="N3" i="13"/>
  <c r="I23" i="13"/>
  <c r="J23" i="13"/>
  <c r="J23" i="14" s="1"/>
  <c r="K23" i="13"/>
  <c r="K23" i="14" s="1"/>
  <c r="L23" i="13"/>
  <c r="L23" i="14" s="1"/>
  <c r="M23" i="13"/>
  <c r="M23" i="14" s="1"/>
  <c r="N23" i="13"/>
  <c r="I21" i="13"/>
  <c r="J21" i="13"/>
  <c r="J21" i="14" s="1"/>
  <c r="K21" i="13"/>
  <c r="K21" i="14" s="1"/>
  <c r="L21" i="13"/>
  <c r="L21" i="14" s="1"/>
  <c r="M21" i="13"/>
  <c r="M21" i="14" s="1"/>
  <c r="N21" i="13"/>
  <c r="I33" i="13"/>
  <c r="J33" i="13"/>
  <c r="J33" i="14" s="1"/>
  <c r="K33" i="13"/>
  <c r="K33" i="14" s="1"/>
  <c r="L33" i="13"/>
  <c r="L33" i="14" s="1"/>
  <c r="M33" i="13"/>
  <c r="M33" i="14" s="1"/>
  <c r="N33" i="13"/>
  <c r="I59" i="13"/>
  <c r="J59" i="13"/>
  <c r="J59" i="14" s="1"/>
  <c r="K59" i="13"/>
  <c r="K59" i="14" s="1"/>
  <c r="L59" i="13"/>
  <c r="L59" i="14" s="1"/>
  <c r="M59" i="13"/>
  <c r="M59" i="14" s="1"/>
  <c r="N59" i="13"/>
  <c r="I74" i="13"/>
  <c r="J74" i="13"/>
  <c r="J74" i="14" s="1"/>
  <c r="K74" i="13"/>
  <c r="K74" i="14" s="1"/>
  <c r="L74" i="13"/>
  <c r="L74" i="14" s="1"/>
  <c r="M74" i="13"/>
  <c r="M74" i="14" s="1"/>
  <c r="N74" i="13"/>
  <c r="I99" i="13"/>
  <c r="J99" i="13"/>
  <c r="J99" i="14" s="1"/>
  <c r="K99" i="13"/>
  <c r="K99" i="14" s="1"/>
  <c r="L99" i="13"/>
  <c r="L99" i="14" s="1"/>
  <c r="M99" i="13"/>
  <c r="M99" i="14" s="1"/>
  <c r="N99" i="13"/>
  <c r="I83" i="13"/>
  <c r="J83" i="13"/>
  <c r="J83" i="14" s="1"/>
  <c r="K83" i="13"/>
  <c r="K83" i="14" s="1"/>
  <c r="L83" i="13"/>
  <c r="L83" i="14" s="1"/>
  <c r="M83" i="13"/>
  <c r="M83" i="14" s="1"/>
  <c r="N83" i="13"/>
  <c r="I106" i="13"/>
  <c r="J106" i="13"/>
  <c r="J106" i="14" s="1"/>
  <c r="K106" i="13"/>
  <c r="K106" i="14" s="1"/>
  <c r="L106" i="13"/>
  <c r="L106" i="14" s="1"/>
  <c r="M106" i="13"/>
  <c r="M106" i="14" s="1"/>
  <c r="N106" i="13"/>
  <c r="I121" i="13"/>
  <c r="J121" i="13"/>
  <c r="J121" i="14" s="1"/>
  <c r="K121" i="13"/>
  <c r="K121" i="14" s="1"/>
  <c r="L121" i="13"/>
  <c r="L121" i="14" s="1"/>
  <c r="M121" i="13"/>
  <c r="M121" i="14" s="1"/>
  <c r="N121" i="13"/>
  <c r="I128" i="13"/>
  <c r="J128" i="13"/>
  <c r="J128" i="14" s="1"/>
  <c r="K128" i="13"/>
  <c r="K128" i="14" s="1"/>
  <c r="L128" i="13"/>
  <c r="L128" i="14" s="1"/>
  <c r="M128" i="13"/>
  <c r="M128" i="14" s="1"/>
  <c r="N128" i="13"/>
  <c r="I129" i="13"/>
  <c r="J129" i="13"/>
  <c r="J129" i="14" s="1"/>
  <c r="K129" i="13"/>
  <c r="K129" i="14" s="1"/>
  <c r="L129" i="13"/>
  <c r="L129" i="14" s="1"/>
  <c r="M129" i="13"/>
  <c r="M129" i="14" s="1"/>
  <c r="N129" i="13"/>
  <c r="I158" i="13"/>
  <c r="J158" i="13"/>
  <c r="J158" i="14" s="1"/>
  <c r="K158" i="13"/>
  <c r="K158" i="14" s="1"/>
  <c r="L158" i="13"/>
  <c r="L158" i="14" s="1"/>
  <c r="M158" i="13"/>
  <c r="M158" i="14" s="1"/>
  <c r="N158" i="13"/>
  <c r="I164" i="13"/>
  <c r="J164" i="13"/>
  <c r="J164" i="14" s="1"/>
  <c r="K164" i="13"/>
  <c r="K164" i="14" s="1"/>
  <c r="L164" i="13"/>
  <c r="L164" i="14" s="1"/>
  <c r="M164" i="13"/>
  <c r="M164" i="14" s="1"/>
  <c r="N164" i="13"/>
  <c r="I166" i="13"/>
  <c r="J166" i="13"/>
  <c r="J166" i="14" s="1"/>
  <c r="K166" i="13"/>
  <c r="K166" i="14" s="1"/>
  <c r="L166" i="13"/>
  <c r="L166" i="14" s="1"/>
  <c r="M166" i="13"/>
  <c r="M166" i="14" s="1"/>
  <c r="N166" i="13"/>
  <c r="I82" i="13"/>
  <c r="J82" i="13"/>
  <c r="J82" i="14" s="1"/>
  <c r="K82" i="13"/>
  <c r="K82" i="14" s="1"/>
  <c r="L82" i="13"/>
  <c r="L82" i="14" s="1"/>
  <c r="M82" i="13"/>
  <c r="M82" i="14" s="1"/>
  <c r="N82" i="13"/>
  <c r="I196" i="13"/>
  <c r="J196" i="13"/>
  <c r="J196" i="14" s="1"/>
  <c r="K196" i="13"/>
  <c r="K196" i="14" s="1"/>
  <c r="L196" i="13"/>
  <c r="L196" i="14" s="1"/>
  <c r="M196" i="13"/>
  <c r="M196" i="14" s="1"/>
  <c r="N196" i="13"/>
  <c r="I220" i="13"/>
  <c r="J220" i="13"/>
  <c r="J220" i="14" s="1"/>
  <c r="K220" i="13"/>
  <c r="K220" i="14" s="1"/>
  <c r="L220" i="13"/>
  <c r="L220" i="14" s="1"/>
  <c r="M220" i="13"/>
  <c r="M220" i="14" s="1"/>
  <c r="N220" i="13"/>
  <c r="I249" i="13"/>
  <c r="J249" i="13"/>
  <c r="J249" i="14" s="1"/>
  <c r="K249" i="13"/>
  <c r="K249" i="14" s="1"/>
  <c r="L249" i="13"/>
  <c r="L249" i="14" s="1"/>
  <c r="M249" i="13"/>
  <c r="M249" i="14" s="1"/>
  <c r="N249" i="13"/>
  <c r="I328" i="13"/>
  <c r="J328" i="13"/>
  <c r="J328" i="14" s="1"/>
  <c r="K328" i="13"/>
  <c r="K328" i="14" s="1"/>
  <c r="L328" i="13"/>
  <c r="L328" i="14" s="1"/>
  <c r="M328" i="13"/>
  <c r="M328" i="14" s="1"/>
  <c r="N328" i="13"/>
  <c r="I337" i="13"/>
  <c r="J337" i="13"/>
  <c r="J337" i="14" s="1"/>
  <c r="K337" i="13"/>
  <c r="K337" i="14" s="1"/>
  <c r="L337" i="13"/>
  <c r="L337" i="14" s="1"/>
  <c r="M337" i="13"/>
  <c r="M337" i="14" s="1"/>
  <c r="N337" i="13"/>
  <c r="I187" i="13"/>
  <c r="J187" i="13"/>
  <c r="J187" i="14" s="1"/>
  <c r="K187" i="13"/>
  <c r="K187" i="14" s="1"/>
  <c r="L187" i="13"/>
  <c r="L187" i="14" s="1"/>
  <c r="M187" i="13"/>
  <c r="M187" i="14" s="1"/>
  <c r="N187" i="13"/>
  <c r="I355" i="13"/>
  <c r="J355" i="13"/>
  <c r="J355" i="14" s="1"/>
  <c r="K355" i="13"/>
  <c r="K355" i="14" s="1"/>
  <c r="L355" i="13"/>
  <c r="L355" i="14" s="1"/>
  <c r="M355" i="13"/>
  <c r="M355" i="14" s="1"/>
  <c r="N355" i="13"/>
  <c r="I114" i="13"/>
  <c r="J114" i="13"/>
  <c r="J114" i="14" s="1"/>
  <c r="K114" i="13"/>
  <c r="K114" i="14" s="1"/>
  <c r="L114" i="13"/>
  <c r="L114" i="14" s="1"/>
  <c r="M114" i="13"/>
  <c r="M114" i="14" s="1"/>
  <c r="N114" i="13"/>
  <c r="N114" i="14" s="1"/>
  <c r="I147" i="13"/>
  <c r="J147" i="13"/>
  <c r="J147" i="14" s="1"/>
  <c r="K147" i="13"/>
  <c r="K147" i="14" s="1"/>
  <c r="L147" i="13"/>
  <c r="L147" i="14" s="1"/>
  <c r="M147" i="13"/>
  <c r="M147" i="14" s="1"/>
  <c r="N147" i="13"/>
  <c r="N147" i="14" s="1"/>
  <c r="I115" i="13"/>
  <c r="J115" i="13"/>
  <c r="J115" i="14" s="1"/>
  <c r="K115" i="13"/>
  <c r="K115" i="14" s="1"/>
  <c r="L115" i="13"/>
  <c r="L115" i="14" s="1"/>
  <c r="M115" i="13"/>
  <c r="M115" i="14" s="1"/>
  <c r="N115" i="13"/>
  <c r="N115" i="14" s="1"/>
  <c r="I267" i="13"/>
  <c r="J267" i="13"/>
  <c r="J267" i="14" s="1"/>
  <c r="K267" i="13"/>
  <c r="K267" i="14" s="1"/>
  <c r="L267" i="13"/>
  <c r="L267" i="14" s="1"/>
  <c r="M267" i="13"/>
  <c r="M267" i="14" s="1"/>
  <c r="N267" i="13"/>
  <c r="N267" i="14" s="1"/>
  <c r="I41" i="13"/>
  <c r="J41" i="13"/>
  <c r="J41" i="14" s="1"/>
  <c r="K41" i="13"/>
  <c r="K41" i="14" s="1"/>
  <c r="L41" i="13"/>
  <c r="L41" i="14" s="1"/>
  <c r="M41" i="13"/>
  <c r="M41" i="14" s="1"/>
  <c r="N41" i="13"/>
  <c r="I42" i="13"/>
  <c r="J42" i="13"/>
  <c r="J42" i="14" s="1"/>
  <c r="K42" i="13"/>
  <c r="K42" i="14" s="1"/>
  <c r="L42" i="13"/>
  <c r="L42" i="14" s="1"/>
  <c r="M42" i="13"/>
  <c r="M42" i="14" s="1"/>
  <c r="N42" i="13"/>
  <c r="I43" i="13"/>
  <c r="J43" i="13"/>
  <c r="J43" i="14" s="1"/>
  <c r="K43" i="13"/>
  <c r="K43" i="14" s="1"/>
  <c r="L43" i="13"/>
  <c r="L43" i="14" s="1"/>
  <c r="M43" i="13"/>
  <c r="M43" i="14" s="1"/>
  <c r="N43" i="13"/>
  <c r="I89" i="13"/>
  <c r="J89" i="13"/>
  <c r="J89" i="14" s="1"/>
  <c r="K89" i="13"/>
  <c r="K89" i="14" s="1"/>
  <c r="L89" i="13"/>
  <c r="L89" i="14" s="1"/>
  <c r="M89" i="13"/>
  <c r="M89" i="14" s="1"/>
  <c r="N89" i="13"/>
  <c r="I84" i="13"/>
  <c r="J84" i="13"/>
  <c r="J84" i="14" s="1"/>
  <c r="K84" i="13"/>
  <c r="K84" i="14" s="1"/>
  <c r="L84" i="13"/>
  <c r="L84" i="14" s="1"/>
  <c r="M84" i="13"/>
  <c r="M84" i="14" s="1"/>
  <c r="N84" i="13"/>
  <c r="I103" i="13"/>
  <c r="J103" i="13"/>
  <c r="J103" i="14" s="1"/>
  <c r="K103" i="13"/>
  <c r="K103" i="14" s="1"/>
  <c r="L103" i="13"/>
  <c r="L103" i="14" s="1"/>
  <c r="M103" i="13"/>
  <c r="M103" i="14" s="1"/>
  <c r="N103" i="13"/>
  <c r="I55" i="13"/>
  <c r="J55" i="13"/>
  <c r="J55" i="14" s="1"/>
  <c r="K55" i="13"/>
  <c r="K55" i="14" s="1"/>
  <c r="L55" i="13"/>
  <c r="L55" i="14" s="1"/>
  <c r="M55" i="13"/>
  <c r="M55" i="14" s="1"/>
  <c r="N55" i="13"/>
  <c r="I130" i="13"/>
  <c r="J130" i="13"/>
  <c r="J130" i="14" s="1"/>
  <c r="K130" i="13"/>
  <c r="K130" i="14" s="1"/>
  <c r="L130" i="13"/>
  <c r="L130" i="14" s="1"/>
  <c r="M130" i="13"/>
  <c r="M130" i="14" s="1"/>
  <c r="N130" i="13"/>
  <c r="I105" i="13"/>
  <c r="J105" i="13"/>
  <c r="J105" i="14" s="1"/>
  <c r="K105" i="13"/>
  <c r="K105" i="14" s="1"/>
  <c r="L105" i="13"/>
  <c r="L105" i="14" s="1"/>
  <c r="M105" i="13"/>
  <c r="M105" i="14" s="1"/>
  <c r="N105" i="13"/>
  <c r="I222" i="13"/>
  <c r="J222" i="13"/>
  <c r="J222" i="14" s="1"/>
  <c r="K222" i="13"/>
  <c r="K222" i="14" s="1"/>
  <c r="L222" i="13"/>
  <c r="L222" i="14" s="1"/>
  <c r="M222" i="13"/>
  <c r="M222" i="14" s="1"/>
  <c r="N222" i="13"/>
  <c r="I215" i="13"/>
  <c r="J215" i="13"/>
  <c r="J215" i="14" s="1"/>
  <c r="K215" i="13"/>
  <c r="K215" i="14" s="1"/>
  <c r="L215" i="13"/>
  <c r="L215" i="14" s="1"/>
  <c r="M215" i="13"/>
  <c r="M215" i="14" s="1"/>
  <c r="N215" i="13"/>
  <c r="I217" i="13"/>
  <c r="J217" i="13"/>
  <c r="J217" i="14" s="1"/>
  <c r="K217" i="13"/>
  <c r="K217" i="14" s="1"/>
  <c r="L217" i="13"/>
  <c r="L217" i="14" s="1"/>
  <c r="M217" i="13"/>
  <c r="M217" i="14" s="1"/>
  <c r="N217" i="13"/>
  <c r="I77" i="13"/>
  <c r="J77" i="13"/>
  <c r="J77" i="14" s="1"/>
  <c r="K77" i="13"/>
  <c r="K77" i="14" s="1"/>
  <c r="L77" i="13"/>
  <c r="L77" i="14" s="1"/>
  <c r="M77" i="13"/>
  <c r="M77" i="14" s="1"/>
  <c r="N77" i="13"/>
  <c r="I242" i="13"/>
  <c r="J242" i="13"/>
  <c r="J242" i="14" s="1"/>
  <c r="K242" i="13"/>
  <c r="K242" i="14" s="1"/>
  <c r="L242" i="13"/>
  <c r="L242" i="14" s="1"/>
  <c r="M242" i="13"/>
  <c r="M242" i="14" s="1"/>
  <c r="N242" i="13"/>
  <c r="I218" i="13"/>
  <c r="J218" i="13"/>
  <c r="J218" i="14" s="1"/>
  <c r="K218" i="13"/>
  <c r="K218" i="14" s="1"/>
  <c r="L218" i="13"/>
  <c r="L218" i="14" s="1"/>
  <c r="M218" i="13"/>
  <c r="M218" i="14" s="1"/>
  <c r="N218" i="13"/>
  <c r="I281" i="13"/>
  <c r="J281" i="13"/>
  <c r="J281" i="14" s="1"/>
  <c r="K281" i="13"/>
  <c r="K281" i="14" s="1"/>
  <c r="L281" i="13"/>
  <c r="L281" i="14" s="1"/>
  <c r="M281" i="13"/>
  <c r="M281" i="14" s="1"/>
  <c r="N281" i="13"/>
  <c r="I282" i="13"/>
  <c r="J282" i="13"/>
  <c r="J282" i="14" s="1"/>
  <c r="K282" i="13"/>
  <c r="K282" i="14" s="1"/>
  <c r="L282" i="13"/>
  <c r="L282" i="14" s="1"/>
  <c r="M282" i="13"/>
  <c r="M282" i="14" s="1"/>
  <c r="N282" i="13"/>
  <c r="I283" i="13"/>
  <c r="J283" i="13"/>
  <c r="J283" i="14" s="1"/>
  <c r="K283" i="13"/>
  <c r="K283" i="14" s="1"/>
  <c r="L283" i="13"/>
  <c r="L283" i="14" s="1"/>
  <c r="M283" i="13"/>
  <c r="M283" i="14" s="1"/>
  <c r="N283" i="13"/>
  <c r="I368" i="13"/>
  <c r="J368" i="13"/>
  <c r="J367" i="14" s="1"/>
  <c r="K368" i="13"/>
  <c r="K367" i="14" s="1"/>
  <c r="L368" i="13"/>
  <c r="L367" i="14" s="1"/>
  <c r="M368" i="13"/>
  <c r="M367" i="14" s="1"/>
  <c r="N368" i="13"/>
  <c r="O368" i="13"/>
  <c r="O367" i="14" s="1"/>
  <c r="I369" i="13"/>
  <c r="J369" i="13"/>
  <c r="J368" i="14" s="1"/>
  <c r="K369" i="13"/>
  <c r="K368" i="14" s="1"/>
  <c r="L369" i="13"/>
  <c r="L368" i="14" s="1"/>
  <c r="M369" i="13"/>
  <c r="M368" i="14" s="1"/>
  <c r="N369" i="13"/>
  <c r="I370" i="13"/>
  <c r="J370" i="13"/>
  <c r="J369" i="14" s="1"/>
  <c r="K370" i="13"/>
  <c r="K369" i="14" s="1"/>
  <c r="L370" i="13"/>
  <c r="L369" i="14" s="1"/>
  <c r="M370" i="13"/>
  <c r="M369" i="14" s="1"/>
  <c r="N370" i="13"/>
  <c r="O370" i="13"/>
  <c r="O369" i="14" s="1"/>
  <c r="I371" i="13"/>
  <c r="J371" i="13"/>
  <c r="J370" i="14" s="1"/>
  <c r="K371" i="13"/>
  <c r="K370" i="14" s="1"/>
  <c r="L371" i="13"/>
  <c r="L370" i="14" s="1"/>
  <c r="M371" i="13"/>
  <c r="M370" i="14" s="1"/>
  <c r="N371" i="13"/>
  <c r="I25" i="13"/>
  <c r="J25" i="13"/>
  <c r="J25" i="14" s="1"/>
  <c r="K25" i="13"/>
  <c r="K25" i="14" s="1"/>
  <c r="L25" i="13"/>
  <c r="L25" i="14" s="1"/>
  <c r="M25" i="13"/>
  <c r="M25" i="14" s="1"/>
  <c r="N25" i="13"/>
  <c r="N25" i="14" s="1"/>
  <c r="I26" i="13"/>
  <c r="J26" i="13"/>
  <c r="J26" i="14" s="1"/>
  <c r="K26" i="13"/>
  <c r="K26" i="14" s="1"/>
  <c r="L26" i="13"/>
  <c r="L26" i="14" s="1"/>
  <c r="M26" i="13"/>
  <c r="M26" i="14" s="1"/>
  <c r="N26" i="13"/>
  <c r="N26" i="14" s="1"/>
  <c r="I27" i="13"/>
  <c r="J27" i="13"/>
  <c r="J27" i="14" s="1"/>
  <c r="K27" i="13"/>
  <c r="K27" i="14" s="1"/>
  <c r="L27" i="13"/>
  <c r="L27" i="14" s="1"/>
  <c r="M27" i="13"/>
  <c r="M27" i="14" s="1"/>
  <c r="N27" i="13"/>
  <c r="N27" i="14" s="1"/>
  <c r="I131" i="13"/>
  <c r="J131" i="13"/>
  <c r="J131" i="14" s="1"/>
  <c r="K131" i="13"/>
  <c r="K131" i="14" s="1"/>
  <c r="L131" i="13"/>
  <c r="L131" i="14" s="1"/>
  <c r="M131" i="13"/>
  <c r="M131" i="14" s="1"/>
  <c r="N131" i="13"/>
  <c r="N131" i="14" s="1"/>
  <c r="I221" i="13"/>
  <c r="J221" i="13"/>
  <c r="J221" i="14" s="1"/>
  <c r="K221" i="13"/>
  <c r="K221" i="14" s="1"/>
  <c r="L221" i="13"/>
  <c r="L221" i="14" s="1"/>
  <c r="M221" i="13"/>
  <c r="M221" i="14" s="1"/>
  <c r="N221" i="13"/>
  <c r="N221" i="14" s="1"/>
  <c r="I178" i="13"/>
  <c r="J178" i="13"/>
  <c r="J178" i="14" s="1"/>
  <c r="K178" i="13"/>
  <c r="K178" i="14" s="1"/>
  <c r="L178" i="13"/>
  <c r="L178" i="14" s="1"/>
  <c r="M178" i="13"/>
  <c r="M178" i="14" s="1"/>
  <c r="N178" i="13"/>
  <c r="I179" i="13"/>
  <c r="J179" i="13"/>
  <c r="J179" i="14" s="1"/>
  <c r="K179" i="13"/>
  <c r="K179" i="14" s="1"/>
  <c r="L179" i="13"/>
  <c r="L179" i="14" s="1"/>
  <c r="M179" i="13"/>
  <c r="M179" i="14" s="1"/>
  <c r="N179" i="13"/>
  <c r="I363" i="13"/>
  <c r="J363" i="13"/>
  <c r="J363" i="14" s="1"/>
  <c r="K363" i="13"/>
  <c r="K363" i="14" s="1"/>
  <c r="L363" i="13"/>
  <c r="L363" i="14" s="1"/>
  <c r="M363" i="13"/>
  <c r="M363" i="14" s="1"/>
  <c r="N363" i="13"/>
  <c r="I6" i="13"/>
  <c r="J6" i="13"/>
  <c r="J6" i="14" s="1"/>
  <c r="K6" i="13"/>
  <c r="K6" i="14" s="1"/>
  <c r="L6" i="13"/>
  <c r="M6" i="13"/>
  <c r="M6" i="14" s="1"/>
  <c r="N6" i="13"/>
  <c r="N6" i="14" s="1"/>
  <c r="I22" i="13"/>
  <c r="J22" i="13"/>
  <c r="J22" i="14" s="1"/>
  <c r="K22" i="13"/>
  <c r="K22" i="14" s="1"/>
  <c r="L22" i="13"/>
  <c r="M22" i="13"/>
  <c r="M22" i="14" s="1"/>
  <c r="N22" i="13"/>
  <c r="N22" i="14" s="1"/>
  <c r="I20" i="13"/>
  <c r="J20" i="13"/>
  <c r="J20" i="14" s="1"/>
  <c r="K20" i="13"/>
  <c r="K20" i="14" s="1"/>
  <c r="L20" i="13"/>
  <c r="M20" i="13"/>
  <c r="M20" i="14" s="1"/>
  <c r="N20" i="13"/>
  <c r="N20" i="14" s="1"/>
  <c r="I31" i="13"/>
  <c r="J31" i="13"/>
  <c r="J31" i="14" s="1"/>
  <c r="K31" i="13"/>
  <c r="K31" i="14" s="1"/>
  <c r="L31" i="13"/>
  <c r="M31" i="13"/>
  <c r="M31" i="14" s="1"/>
  <c r="N31" i="13"/>
  <c r="N31" i="14" s="1"/>
  <c r="I24" i="13"/>
  <c r="J24" i="13"/>
  <c r="J24" i="14" s="1"/>
  <c r="K24" i="13"/>
  <c r="K24" i="14" s="1"/>
  <c r="L24" i="13"/>
  <c r="L24" i="14" s="1"/>
  <c r="M24" i="13"/>
  <c r="M24" i="14" s="1"/>
  <c r="N24" i="13"/>
  <c r="N24" i="14" s="1"/>
  <c r="I30" i="13"/>
  <c r="J30" i="13"/>
  <c r="J30" i="14" s="1"/>
  <c r="K30" i="13"/>
  <c r="K30" i="14" s="1"/>
  <c r="L30" i="13"/>
  <c r="M30" i="13"/>
  <c r="M30" i="14" s="1"/>
  <c r="N30" i="13"/>
  <c r="N30" i="14" s="1"/>
  <c r="I40" i="13"/>
  <c r="J40" i="13"/>
  <c r="J40" i="14" s="1"/>
  <c r="K40" i="13"/>
  <c r="K40" i="14" s="1"/>
  <c r="L40" i="13"/>
  <c r="M40" i="13"/>
  <c r="M40" i="14" s="1"/>
  <c r="N40" i="13"/>
  <c r="N40" i="14" s="1"/>
  <c r="O40" i="13"/>
  <c r="O40" i="14" s="1"/>
  <c r="I44" i="13"/>
  <c r="J44" i="13"/>
  <c r="J44" i="14" s="1"/>
  <c r="K44" i="13"/>
  <c r="K44" i="14" s="1"/>
  <c r="L44" i="13"/>
  <c r="M44" i="13"/>
  <c r="M44" i="14" s="1"/>
  <c r="N44" i="13"/>
  <c r="N44" i="14" s="1"/>
  <c r="I45" i="13"/>
  <c r="J45" i="13"/>
  <c r="J45" i="14" s="1"/>
  <c r="K45" i="13"/>
  <c r="K45" i="14" s="1"/>
  <c r="L45" i="13"/>
  <c r="M45" i="13"/>
  <c r="M45" i="14" s="1"/>
  <c r="N45" i="13"/>
  <c r="N45" i="14" s="1"/>
  <c r="I46" i="13"/>
  <c r="J46" i="13"/>
  <c r="J46" i="14" s="1"/>
  <c r="K46" i="13"/>
  <c r="K46" i="14" s="1"/>
  <c r="L46" i="13"/>
  <c r="M46" i="13"/>
  <c r="M46" i="14" s="1"/>
  <c r="N46" i="13"/>
  <c r="N46" i="14" s="1"/>
  <c r="I78" i="13"/>
  <c r="J78" i="13"/>
  <c r="J78" i="14" s="1"/>
  <c r="K78" i="13"/>
  <c r="K78" i="14" s="1"/>
  <c r="L78" i="13"/>
  <c r="M78" i="13"/>
  <c r="M78" i="14" s="1"/>
  <c r="N78" i="13"/>
  <c r="N78" i="14" s="1"/>
  <c r="I79" i="13"/>
  <c r="J79" i="13"/>
  <c r="J79" i="14" s="1"/>
  <c r="K79" i="13"/>
  <c r="K79" i="14" s="1"/>
  <c r="L79" i="13"/>
  <c r="M79" i="13"/>
  <c r="M79" i="14" s="1"/>
  <c r="N79" i="13"/>
  <c r="N79" i="14" s="1"/>
  <c r="I65" i="13"/>
  <c r="J65" i="13"/>
  <c r="J65" i="14" s="1"/>
  <c r="K65" i="13"/>
  <c r="K65" i="14" s="1"/>
  <c r="L65" i="13"/>
  <c r="M65" i="13"/>
  <c r="M65" i="14" s="1"/>
  <c r="N65" i="13"/>
  <c r="N65" i="14" s="1"/>
  <c r="I67" i="13"/>
  <c r="J67" i="13"/>
  <c r="J67" i="14" s="1"/>
  <c r="K67" i="13"/>
  <c r="K67" i="14" s="1"/>
  <c r="L67" i="13"/>
  <c r="M67" i="13"/>
  <c r="M67" i="14" s="1"/>
  <c r="N67" i="13"/>
  <c r="N67" i="14" s="1"/>
  <c r="I70" i="13"/>
  <c r="J70" i="13"/>
  <c r="J70" i="14" s="1"/>
  <c r="K70" i="13"/>
  <c r="K70" i="14" s="1"/>
  <c r="L70" i="13"/>
  <c r="M70" i="13"/>
  <c r="M70" i="14" s="1"/>
  <c r="N70" i="13"/>
  <c r="N70" i="14" s="1"/>
  <c r="I71" i="13"/>
  <c r="J71" i="13"/>
  <c r="J71" i="14" s="1"/>
  <c r="K71" i="13"/>
  <c r="K71" i="14" s="1"/>
  <c r="L71" i="13"/>
  <c r="M71" i="13"/>
  <c r="M71" i="14" s="1"/>
  <c r="N71" i="13"/>
  <c r="N71" i="14" s="1"/>
  <c r="I94" i="13"/>
  <c r="J94" i="13"/>
  <c r="J94" i="14" s="1"/>
  <c r="K94" i="13"/>
  <c r="K94" i="14" s="1"/>
  <c r="L94" i="13"/>
  <c r="M94" i="13"/>
  <c r="M94" i="14" s="1"/>
  <c r="N94" i="13"/>
  <c r="N94" i="14" s="1"/>
  <c r="I96" i="13"/>
  <c r="J96" i="13"/>
  <c r="J96" i="14" s="1"/>
  <c r="K96" i="13"/>
  <c r="K96" i="14" s="1"/>
  <c r="L96" i="13"/>
  <c r="M96" i="13"/>
  <c r="M96" i="14" s="1"/>
  <c r="N96" i="13"/>
  <c r="N96" i="14" s="1"/>
  <c r="I98" i="13"/>
  <c r="J98" i="13"/>
  <c r="J98" i="14" s="1"/>
  <c r="K98" i="13"/>
  <c r="K98" i="14" s="1"/>
  <c r="L98" i="13"/>
  <c r="L98" i="14" s="1"/>
  <c r="M98" i="13"/>
  <c r="M98" i="14" s="1"/>
  <c r="N98" i="13"/>
  <c r="I100" i="13"/>
  <c r="J100" i="13"/>
  <c r="J101" i="14" s="1"/>
  <c r="K100" i="13"/>
  <c r="K101" i="14" s="1"/>
  <c r="L100" i="13"/>
  <c r="M100" i="13"/>
  <c r="M101" i="14" s="1"/>
  <c r="N100" i="13"/>
  <c r="N101" i="14" s="1"/>
  <c r="I101" i="13"/>
  <c r="J101" i="13"/>
  <c r="J100" i="14" s="1"/>
  <c r="K101" i="13"/>
  <c r="K100" i="14" s="1"/>
  <c r="L101" i="13"/>
  <c r="M101" i="13"/>
  <c r="M100" i="14" s="1"/>
  <c r="N101" i="13"/>
  <c r="N100" i="14" s="1"/>
  <c r="I102" i="13"/>
  <c r="J102" i="13"/>
  <c r="J102" i="14" s="1"/>
  <c r="K102" i="13"/>
  <c r="K102" i="14" s="1"/>
  <c r="L102" i="13"/>
  <c r="M102" i="13"/>
  <c r="M102" i="14" s="1"/>
  <c r="N102" i="13"/>
  <c r="N102" i="14" s="1"/>
  <c r="I134" i="13"/>
  <c r="J134" i="13"/>
  <c r="J134" i="14" s="1"/>
  <c r="K134" i="13"/>
  <c r="K134" i="14" s="1"/>
  <c r="L134" i="13"/>
  <c r="L134" i="14" s="1"/>
  <c r="M134" i="13"/>
  <c r="M134" i="14" s="1"/>
  <c r="N134" i="13"/>
  <c r="I277" i="13"/>
  <c r="J277" i="13"/>
  <c r="J277" i="14" s="1"/>
  <c r="K277" i="13"/>
  <c r="K277" i="14" s="1"/>
  <c r="L277" i="13"/>
  <c r="M277" i="13"/>
  <c r="M277" i="14" s="1"/>
  <c r="N277" i="13"/>
  <c r="N277" i="14" s="1"/>
  <c r="I162" i="13"/>
  <c r="J162" i="13"/>
  <c r="J162" i="14" s="1"/>
  <c r="K162" i="13"/>
  <c r="K162" i="14" s="1"/>
  <c r="L162" i="13"/>
  <c r="M162" i="13"/>
  <c r="M162" i="14" s="1"/>
  <c r="N162" i="13"/>
  <c r="N162" i="14" s="1"/>
  <c r="I160" i="13"/>
  <c r="J160" i="13"/>
  <c r="J160" i="14" s="1"/>
  <c r="K160" i="13"/>
  <c r="K160" i="14" s="1"/>
  <c r="L160" i="13"/>
  <c r="M160" i="13"/>
  <c r="M160" i="14" s="1"/>
  <c r="N160" i="13"/>
  <c r="N160" i="14" s="1"/>
  <c r="I163" i="13"/>
  <c r="J163" i="13"/>
  <c r="J163" i="14" s="1"/>
  <c r="K163" i="13"/>
  <c r="K163" i="14" s="1"/>
  <c r="L163" i="13"/>
  <c r="M163" i="13"/>
  <c r="M163" i="14" s="1"/>
  <c r="N163" i="13"/>
  <c r="N163" i="14" s="1"/>
  <c r="I53" i="13"/>
  <c r="J53" i="13"/>
  <c r="J53" i="14" s="1"/>
  <c r="K53" i="13"/>
  <c r="K53" i="14" s="1"/>
  <c r="L53" i="13"/>
  <c r="M53" i="13"/>
  <c r="M53" i="14" s="1"/>
  <c r="N53" i="13"/>
  <c r="N53" i="14" s="1"/>
  <c r="I188" i="13"/>
  <c r="J188" i="13"/>
  <c r="J188" i="14" s="1"/>
  <c r="K188" i="13"/>
  <c r="K188" i="14" s="1"/>
  <c r="L188" i="13"/>
  <c r="M188" i="13"/>
  <c r="M188" i="14" s="1"/>
  <c r="N188" i="13"/>
  <c r="N188" i="14" s="1"/>
  <c r="I243" i="13"/>
  <c r="J243" i="13"/>
  <c r="J243" i="14" s="1"/>
  <c r="K243" i="13"/>
  <c r="K243" i="14" s="1"/>
  <c r="L243" i="13"/>
  <c r="M243" i="13"/>
  <c r="M243" i="14" s="1"/>
  <c r="N243" i="13"/>
  <c r="N243" i="14" s="1"/>
  <c r="I223" i="13"/>
  <c r="J223" i="13"/>
  <c r="J223" i="14" s="1"/>
  <c r="K223" i="13"/>
  <c r="K223" i="14" s="1"/>
  <c r="L223" i="13"/>
  <c r="M223" i="13"/>
  <c r="M223" i="14" s="1"/>
  <c r="N223" i="13"/>
  <c r="N223" i="14" s="1"/>
  <c r="O223" i="13"/>
  <c r="O223" i="14" s="1"/>
  <c r="I236" i="13"/>
  <c r="J236" i="13"/>
  <c r="J236" i="14" s="1"/>
  <c r="K236" i="13"/>
  <c r="K236" i="14" s="1"/>
  <c r="L236" i="13"/>
  <c r="M236" i="13"/>
  <c r="M236" i="14" s="1"/>
  <c r="N236" i="13"/>
  <c r="N236" i="14" s="1"/>
  <c r="I237" i="13"/>
  <c r="J237" i="13"/>
  <c r="J237" i="14" s="1"/>
  <c r="K237" i="13"/>
  <c r="K237" i="14" s="1"/>
  <c r="L237" i="13"/>
  <c r="M237" i="13"/>
  <c r="M237" i="14" s="1"/>
  <c r="N237" i="13"/>
  <c r="N237" i="14" s="1"/>
  <c r="I238" i="13"/>
  <c r="J238" i="13"/>
  <c r="J238" i="14" s="1"/>
  <c r="K238" i="13"/>
  <c r="K238" i="14" s="1"/>
  <c r="L238" i="13"/>
  <c r="M238" i="13"/>
  <c r="M238" i="14" s="1"/>
  <c r="N238" i="13"/>
  <c r="N238" i="14" s="1"/>
  <c r="I239" i="13"/>
  <c r="J239" i="13"/>
  <c r="J239" i="14" s="1"/>
  <c r="K239" i="13"/>
  <c r="K239" i="14" s="1"/>
  <c r="L239" i="13"/>
  <c r="M239" i="13"/>
  <c r="M239" i="14" s="1"/>
  <c r="N239" i="13"/>
  <c r="N239" i="14" s="1"/>
  <c r="I354" i="13"/>
  <c r="J354" i="13"/>
  <c r="J354" i="14" s="1"/>
  <c r="K354" i="13"/>
  <c r="K354" i="14" s="1"/>
  <c r="L354" i="13"/>
  <c r="M354" i="13"/>
  <c r="M354" i="14" s="1"/>
  <c r="N354" i="13"/>
  <c r="N354" i="14" s="1"/>
  <c r="I244" i="13"/>
  <c r="J244" i="13"/>
  <c r="J244" i="14" s="1"/>
  <c r="K244" i="13"/>
  <c r="K244" i="14" s="1"/>
  <c r="L244" i="13"/>
  <c r="M244" i="13"/>
  <c r="M244" i="14" s="1"/>
  <c r="N244" i="13"/>
  <c r="N244" i="14" s="1"/>
  <c r="I97" i="13"/>
  <c r="J97" i="13"/>
  <c r="J97" i="14" s="1"/>
  <c r="K97" i="13"/>
  <c r="K97" i="14" s="1"/>
  <c r="L97" i="13"/>
  <c r="M97" i="13"/>
  <c r="M97" i="14" s="1"/>
  <c r="N97" i="13"/>
  <c r="N97" i="14" s="1"/>
  <c r="I245" i="13"/>
  <c r="J245" i="13"/>
  <c r="J245" i="14" s="1"/>
  <c r="K245" i="13"/>
  <c r="K245" i="14" s="1"/>
  <c r="L245" i="13"/>
  <c r="M245" i="13"/>
  <c r="M245" i="14" s="1"/>
  <c r="N245" i="13"/>
  <c r="N245" i="14" s="1"/>
  <c r="I241" i="13"/>
  <c r="J241" i="13"/>
  <c r="J241" i="14" s="1"/>
  <c r="K241" i="13"/>
  <c r="K241" i="14" s="1"/>
  <c r="L241" i="13"/>
  <c r="M241" i="13"/>
  <c r="M241" i="14" s="1"/>
  <c r="N241" i="13"/>
  <c r="N241" i="14" s="1"/>
  <c r="I212" i="13"/>
  <c r="J212" i="13"/>
  <c r="J212" i="14" s="1"/>
  <c r="K212" i="13"/>
  <c r="K212" i="14" s="1"/>
  <c r="L212" i="13"/>
  <c r="M212" i="13"/>
  <c r="M212" i="14" s="1"/>
  <c r="N212" i="13"/>
  <c r="N212" i="14" s="1"/>
  <c r="I119" i="13"/>
  <c r="J119" i="13"/>
  <c r="J119" i="14" s="1"/>
  <c r="K119" i="13"/>
  <c r="K119" i="14" s="1"/>
  <c r="L119" i="13"/>
  <c r="M119" i="13"/>
  <c r="M119" i="14" s="1"/>
  <c r="N119" i="13"/>
  <c r="N119" i="14" s="1"/>
  <c r="I120" i="13"/>
  <c r="J120" i="13"/>
  <c r="J120" i="14" s="1"/>
  <c r="K120" i="13"/>
  <c r="K120" i="14" s="1"/>
  <c r="L120" i="13"/>
  <c r="M120" i="13"/>
  <c r="M120" i="14" s="1"/>
  <c r="N120" i="13"/>
  <c r="N120" i="14" s="1"/>
  <c r="I253" i="13"/>
  <c r="J253" i="13"/>
  <c r="J253" i="14" s="1"/>
  <c r="K253" i="13"/>
  <c r="K253" i="14" s="1"/>
  <c r="L253" i="13"/>
  <c r="M253" i="13"/>
  <c r="M253" i="14" s="1"/>
  <c r="N253" i="13"/>
  <c r="N253" i="14" s="1"/>
  <c r="I255" i="13"/>
  <c r="J255" i="13"/>
  <c r="J255" i="14" s="1"/>
  <c r="K255" i="13"/>
  <c r="K255" i="14" s="1"/>
  <c r="L255" i="13"/>
  <c r="M255" i="13"/>
  <c r="M255" i="14" s="1"/>
  <c r="N255" i="13"/>
  <c r="N255" i="14" s="1"/>
  <c r="I260" i="13"/>
  <c r="J260" i="13"/>
  <c r="J260" i="14" s="1"/>
  <c r="K260" i="13"/>
  <c r="K260" i="14" s="1"/>
  <c r="L260" i="13"/>
  <c r="M260" i="13"/>
  <c r="M260" i="14" s="1"/>
  <c r="N260" i="13"/>
  <c r="N260" i="14" s="1"/>
  <c r="I256" i="13"/>
  <c r="J256" i="13"/>
  <c r="J256" i="14" s="1"/>
  <c r="K256" i="13"/>
  <c r="K256" i="14" s="1"/>
  <c r="L256" i="13"/>
  <c r="M256" i="13"/>
  <c r="M256" i="14" s="1"/>
  <c r="N256" i="13"/>
  <c r="N256" i="14" s="1"/>
  <c r="I278" i="13"/>
  <c r="J278" i="13"/>
  <c r="J278" i="14" s="1"/>
  <c r="K278" i="13"/>
  <c r="K278" i="14" s="1"/>
  <c r="L278" i="13"/>
  <c r="L278" i="14" s="1"/>
  <c r="M278" i="13"/>
  <c r="M278" i="14" s="1"/>
  <c r="N278" i="13"/>
  <c r="I57" i="13"/>
  <c r="J57" i="13"/>
  <c r="J57" i="14" s="1"/>
  <c r="K57" i="13"/>
  <c r="K57" i="14" s="1"/>
  <c r="L57" i="13"/>
  <c r="M57" i="13"/>
  <c r="M57" i="14" s="1"/>
  <c r="N57" i="13"/>
  <c r="N57" i="14" s="1"/>
  <c r="I265" i="13"/>
  <c r="J265" i="13"/>
  <c r="J265" i="14" s="1"/>
  <c r="K265" i="13"/>
  <c r="K265" i="14" s="1"/>
  <c r="L265" i="13"/>
  <c r="M265" i="13"/>
  <c r="M265" i="14" s="1"/>
  <c r="N265" i="13"/>
  <c r="N265" i="14" s="1"/>
  <c r="I268" i="13"/>
  <c r="J268" i="13"/>
  <c r="J268" i="14" s="1"/>
  <c r="K268" i="13"/>
  <c r="K268" i="14" s="1"/>
  <c r="L268" i="13"/>
  <c r="M268" i="13"/>
  <c r="M268" i="14" s="1"/>
  <c r="N268" i="13"/>
  <c r="N268" i="14" s="1"/>
  <c r="I266" i="13"/>
  <c r="J266" i="13"/>
  <c r="J266" i="14" s="1"/>
  <c r="K266" i="13"/>
  <c r="K266" i="14" s="1"/>
  <c r="L266" i="13"/>
  <c r="M266" i="13"/>
  <c r="M266" i="14" s="1"/>
  <c r="N266" i="13"/>
  <c r="N266" i="14" s="1"/>
  <c r="I296" i="13"/>
  <c r="J296" i="13"/>
  <c r="J296" i="14" s="1"/>
  <c r="K296" i="13"/>
  <c r="K296" i="14" s="1"/>
  <c r="L296" i="13"/>
  <c r="M296" i="13"/>
  <c r="M296" i="14" s="1"/>
  <c r="N296" i="13"/>
  <c r="N296" i="14" s="1"/>
  <c r="I322" i="13"/>
  <c r="J322" i="13"/>
  <c r="J322" i="14" s="1"/>
  <c r="K322" i="13"/>
  <c r="K322" i="14" s="1"/>
  <c r="L322" i="13"/>
  <c r="M322" i="13"/>
  <c r="M322" i="14" s="1"/>
  <c r="N322" i="13"/>
  <c r="N322" i="14" s="1"/>
  <c r="I312" i="13"/>
  <c r="J312" i="13"/>
  <c r="J312" i="14" s="1"/>
  <c r="K312" i="13"/>
  <c r="K312" i="14" s="1"/>
  <c r="L312" i="13"/>
  <c r="M312" i="13"/>
  <c r="M312" i="14" s="1"/>
  <c r="N312" i="13"/>
  <c r="N312" i="14" s="1"/>
  <c r="I323" i="13"/>
  <c r="J323" i="13"/>
  <c r="J323" i="14" s="1"/>
  <c r="K323" i="13"/>
  <c r="K323" i="14" s="1"/>
  <c r="L323" i="13"/>
  <c r="M323" i="13"/>
  <c r="M323" i="14" s="1"/>
  <c r="N323" i="13"/>
  <c r="N323" i="14" s="1"/>
  <c r="I343" i="13"/>
  <c r="J343" i="13"/>
  <c r="J343" i="14" s="1"/>
  <c r="K343" i="13"/>
  <c r="K343" i="14" s="1"/>
  <c r="L343" i="13"/>
  <c r="M343" i="13"/>
  <c r="M343" i="14" s="1"/>
  <c r="N343" i="13"/>
  <c r="N343" i="14" s="1"/>
  <c r="I327" i="13"/>
  <c r="J327" i="13"/>
  <c r="J327" i="14" s="1"/>
  <c r="K327" i="13"/>
  <c r="K327" i="14" s="1"/>
  <c r="L327" i="13"/>
  <c r="M327" i="13"/>
  <c r="M327" i="14" s="1"/>
  <c r="N327" i="13"/>
  <c r="N327" i="14" s="1"/>
  <c r="I332" i="13"/>
  <c r="J332" i="13"/>
  <c r="J332" i="14" s="1"/>
  <c r="K332" i="13"/>
  <c r="K332" i="14" s="1"/>
  <c r="L332" i="13"/>
  <c r="M332" i="13"/>
  <c r="M332" i="14" s="1"/>
  <c r="N332" i="13"/>
  <c r="N332" i="14" s="1"/>
  <c r="I333" i="13"/>
  <c r="J333" i="13"/>
  <c r="J333" i="14" s="1"/>
  <c r="K333" i="13"/>
  <c r="K333" i="14" s="1"/>
  <c r="L333" i="13"/>
  <c r="M333" i="13"/>
  <c r="M333" i="14" s="1"/>
  <c r="N333" i="13"/>
  <c r="N333" i="14" s="1"/>
  <c r="I334" i="13"/>
  <c r="J334" i="13"/>
  <c r="J334" i="14" s="1"/>
  <c r="K334" i="13"/>
  <c r="K334" i="14" s="1"/>
  <c r="L334" i="13"/>
  <c r="M334" i="13"/>
  <c r="M334" i="14" s="1"/>
  <c r="N334" i="13"/>
  <c r="N334" i="14" s="1"/>
  <c r="I302" i="13"/>
  <c r="J302" i="13"/>
  <c r="J302" i="14" s="1"/>
  <c r="K302" i="13"/>
  <c r="K302" i="14" s="1"/>
  <c r="L302" i="13"/>
  <c r="M302" i="13"/>
  <c r="M302" i="14" s="1"/>
  <c r="N302" i="13"/>
  <c r="N302" i="14" s="1"/>
  <c r="I344" i="13"/>
  <c r="J344" i="13"/>
  <c r="J344" i="14" s="1"/>
  <c r="K344" i="13"/>
  <c r="K344" i="14" s="1"/>
  <c r="L344" i="13"/>
  <c r="M344" i="13"/>
  <c r="M344" i="14" s="1"/>
  <c r="N344" i="13"/>
  <c r="N344" i="14" s="1"/>
  <c r="I364" i="13"/>
  <c r="J364" i="13"/>
  <c r="J364" i="14" s="1"/>
  <c r="K364" i="13"/>
  <c r="K364" i="14" s="1"/>
  <c r="L364" i="13"/>
  <c r="M364" i="13"/>
  <c r="M364" i="14" s="1"/>
  <c r="N364" i="13"/>
  <c r="N364" i="14" s="1"/>
  <c r="I359" i="13"/>
  <c r="J359" i="13"/>
  <c r="J359" i="14" s="1"/>
  <c r="K359" i="13"/>
  <c r="K359" i="14" s="1"/>
  <c r="L359" i="13"/>
  <c r="M359" i="13"/>
  <c r="M359" i="14" s="1"/>
  <c r="N359" i="13"/>
  <c r="N359" i="14" s="1"/>
  <c r="I360" i="13"/>
  <c r="J360" i="13"/>
  <c r="J360" i="14" s="1"/>
  <c r="K360" i="13"/>
  <c r="K360" i="14" s="1"/>
  <c r="L360" i="13"/>
  <c r="M360" i="13"/>
  <c r="M360" i="14" s="1"/>
  <c r="N360" i="13"/>
  <c r="N360" i="14" s="1"/>
  <c r="I361" i="13"/>
  <c r="J361" i="13"/>
  <c r="J361" i="14" s="1"/>
  <c r="K361" i="13"/>
  <c r="K361" i="14" s="1"/>
  <c r="L361" i="13"/>
  <c r="M361" i="13"/>
  <c r="M361" i="14" s="1"/>
  <c r="N361" i="13"/>
  <c r="N361" i="14" s="1"/>
  <c r="I54" i="13"/>
  <c r="J54" i="13"/>
  <c r="J54" i="14" s="1"/>
  <c r="K54" i="13"/>
  <c r="K54" i="14" s="1"/>
  <c r="L54" i="13"/>
  <c r="M54" i="13"/>
  <c r="M54" i="14" s="1"/>
  <c r="N54" i="13"/>
  <c r="N54" i="14" s="1"/>
  <c r="I362" i="13"/>
  <c r="J362" i="13"/>
  <c r="J362" i="14" s="1"/>
  <c r="K362" i="13"/>
  <c r="K362" i="14" s="1"/>
  <c r="L362" i="13"/>
  <c r="M362" i="13"/>
  <c r="M362" i="14" s="1"/>
  <c r="N362" i="13"/>
  <c r="N362" i="14" s="1"/>
  <c r="O362" i="13"/>
  <c r="O362" i="14" s="1"/>
  <c r="I191" i="13"/>
  <c r="J191" i="13"/>
  <c r="K191" i="13"/>
  <c r="L191" i="13"/>
  <c r="M191" i="13"/>
  <c r="N191" i="13"/>
  <c r="I63" i="13"/>
  <c r="J63" i="13"/>
  <c r="K63" i="13"/>
  <c r="L63" i="13"/>
  <c r="M63" i="13"/>
  <c r="N63" i="13"/>
  <c r="I7" i="13"/>
  <c r="J7" i="13"/>
  <c r="J7" i="14" s="1"/>
  <c r="K7" i="13"/>
  <c r="K7" i="14" s="1"/>
  <c r="L7" i="13"/>
  <c r="L7" i="14" s="1"/>
  <c r="M7" i="13"/>
  <c r="M7" i="14" s="1"/>
  <c r="N7" i="13"/>
  <c r="I127" i="13"/>
  <c r="J127" i="13"/>
  <c r="J127" i="14" s="1"/>
  <c r="K127" i="13"/>
  <c r="K127" i="14" s="1"/>
  <c r="L127" i="13"/>
  <c r="L127" i="14" s="1"/>
  <c r="M127" i="13"/>
  <c r="M127" i="14" s="1"/>
  <c r="N127" i="13"/>
  <c r="I183" i="13"/>
  <c r="J183" i="13"/>
  <c r="J183" i="14" s="1"/>
  <c r="K183" i="13"/>
  <c r="K183" i="14" s="1"/>
  <c r="L183" i="13"/>
  <c r="L183" i="14" s="1"/>
  <c r="M183" i="13"/>
  <c r="M183" i="14" s="1"/>
  <c r="N183" i="13"/>
  <c r="I250" i="13"/>
  <c r="J250" i="13"/>
  <c r="J250" i="14" s="1"/>
  <c r="K250" i="13"/>
  <c r="K250" i="14" s="1"/>
  <c r="L250" i="13"/>
  <c r="L250" i="14" s="1"/>
  <c r="M250" i="13"/>
  <c r="M250" i="14" s="1"/>
  <c r="N250" i="13"/>
  <c r="I251" i="13"/>
  <c r="J251" i="13"/>
  <c r="J251" i="14" s="1"/>
  <c r="K251" i="13"/>
  <c r="K251" i="14" s="1"/>
  <c r="L251" i="13"/>
  <c r="L251" i="14" s="1"/>
  <c r="M251" i="13"/>
  <c r="M251" i="14" s="1"/>
  <c r="N251" i="13"/>
  <c r="I295" i="13"/>
  <c r="J295" i="13"/>
  <c r="J295" i="14" s="1"/>
  <c r="K295" i="13"/>
  <c r="K295" i="14" s="1"/>
  <c r="L295" i="13"/>
  <c r="L295" i="14" s="1"/>
  <c r="M295" i="13"/>
  <c r="M295" i="14" s="1"/>
  <c r="N295" i="13"/>
  <c r="I316" i="13"/>
  <c r="J316" i="13"/>
  <c r="J316" i="14" s="1"/>
  <c r="K316" i="13"/>
  <c r="K316" i="14" s="1"/>
  <c r="L316" i="13"/>
  <c r="L316" i="14" s="1"/>
  <c r="M316" i="13"/>
  <c r="M316" i="14" s="1"/>
  <c r="N316" i="13"/>
  <c r="I338" i="13"/>
  <c r="J338" i="13"/>
  <c r="J338" i="14" s="1"/>
  <c r="K338" i="13"/>
  <c r="K338" i="14" s="1"/>
  <c r="L338" i="13"/>
  <c r="L338" i="14" s="1"/>
  <c r="M338" i="13"/>
  <c r="M338" i="14" s="1"/>
  <c r="N338" i="13"/>
  <c r="I375" i="13"/>
  <c r="J375" i="13"/>
  <c r="J375" i="14" s="1"/>
  <c r="K375" i="13"/>
  <c r="K375" i="14" s="1"/>
  <c r="L375" i="13"/>
  <c r="L375" i="14" s="1"/>
  <c r="M375" i="13"/>
  <c r="M375" i="14" s="1"/>
  <c r="N375" i="13"/>
  <c r="I300" i="13"/>
  <c r="J300" i="13"/>
  <c r="J300" i="14" s="1"/>
  <c r="K300" i="13"/>
  <c r="K300" i="14" s="1"/>
  <c r="L300" i="13"/>
  <c r="L300" i="14" s="1"/>
  <c r="M300" i="13"/>
  <c r="M300" i="14" s="1"/>
  <c r="N300" i="13"/>
  <c r="I34" i="13"/>
  <c r="J34" i="13"/>
  <c r="J34" i="14" s="1"/>
  <c r="K34" i="13"/>
  <c r="K34" i="14" s="1"/>
  <c r="L34" i="13"/>
  <c r="L34" i="14" s="1"/>
  <c r="M34" i="13"/>
  <c r="M34" i="14" s="1"/>
  <c r="N34" i="13"/>
  <c r="I61" i="13"/>
  <c r="J61" i="13"/>
  <c r="J61" i="14" s="1"/>
  <c r="K61" i="13"/>
  <c r="K61" i="14" s="1"/>
  <c r="L61" i="13"/>
  <c r="L61" i="14" s="1"/>
  <c r="M61" i="13"/>
  <c r="M61" i="14" s="1"/>
  <c r="N61" i="13"/>
  <c r="I150" i="13"/>
  <c r="J150" i="13"/>
  <c r="J150" i="14" s="1"/>
  <c r="K150" i="13"/>
  <c r="K150" i="14" s="1"/>
  <c r="L150" i="13"/>
  <c r="L150" i="14" s="1"/>
  <c r="M150" i="13"/>
  <c r="M150" i="14" s="1"/>
  <c r="N150" i="13"/>
  <c r="I151" i="13"/>
  <c r="J151" i="13"/>
  <c r="J151" i="14" s="1"/>
  <c r="K151" i="13"/>
  <c r="K151" i="14" s="1"/>
  <c r="L151" i="13"/>
  <c r="L151" i="14" s="1"/>
  <c r="M151" i="13"/>
  <c r="M151" i="14" s="1"/>
  <c r="N151" i="13"/>
  <c r="I152" i="13"/>
  <c r="J152" i="13"/>
  <c r="J152" i="14" s="1"/>
  <c r="K152" i="13"/>
  <c r="K152" i="14" s="1"/>
  <c r="L152" i="13"/>
  <c r="L152" i="14" s="1"/>
  <c r="M152" i="13"/>
  <c r="M152" i="14" s="1"/>
  <c r="N152" i="13"/>
  <c r="I154" i="13"/>
  <c r="J154" i="13"/>
  <c r="J154" i="14" s="1"/>
  <c r="K154" i="13"/>
  <c r="K154" i="14" s="1"/>
  <c r="L154" i="13"/>
  <c r="L154" i="14" s="1"/>
  <c r="M154" i="13"/>
  <c r="M154" i="14" s="1"/>
  <c r="N154" i="13"/>
  <c r="I172" i="13"/>
  <c r="J172" i="13"/>
  <c r="J172" i="14" s="1"/>
  <c r="K172" i="13"/>
  <c r="K172" i="14" s="1"/>
  <c r="L172" i="13"/>
  <c r="L172" i="14" s="1"/>
  <c r="M172" i="13"/>
  <c r="M172" i="14" s="1"/>
  <c r="N172" i="13"/>
  <c r="I173" i="13"/>
  <c r="J173" i="13"/>
  <c r="J173" i="14" s="1"/>
  <c r="K173" i="13"/>
  <c r="K173" i="14" s="1"/>
  <c r="L173" i="13"/>
  <c r="L173" i="14" s="1"/>
  <c r="M173" i="13"/>
  <c r="M173" i="14" s="1"/>
  <c r="N173" i="13"/>
  <c r="I174" i="13"/>
  <c r="J174" i="13"/>
  <c r="J174" i="14" s="1"/>
  <c r="K174" i="13"/>
  <c r="K174" i="14" s="1"/>
  <c r="L174" i="13"/>
  <c r="L174" i="14" s="1"/>
  <c r="M174" i="13"/>
  <c r="M174" i="14" s="1"/>
  <c r="N174" i="13"/>
  <c r="I259" i="13"/>
  <c r="J259" i="13"/>
  <c r="J259" i="14" s="1"/>
  <c r="K259" i="13"/>
  <c r="K259" i="14" s="1"/>
  <c r="L259" i="13"/>
  <c r="L259" i="14" s="1"/>
  <c r="M259" i="13"/>
  <c r="M259" i="14" s="1"/>
  <c r="N259" i="13"/>
  <c r="I352" i="13"/>
  <c r="J352" i="13"/>
  <c r="J352" i="14" s="1"/>
  <c r="K352" i="13"/>
  <c r="K352" i="14" s="1"/>
  <c r="L352" i="13"/>
  <c r="L352" i="14" s="1"/>
  <c r="M352" i="13"/>
  <c r="M352" i="14" s="1"/>
  <c r="N352" i="13"/>
  <c r="I58" i="13"/>
  <c r="J58" i="13"/>
  <c r="J58" i="14" s="1"/>
  <c r="K58" i="13"/>
  <c r="K58" i="14" s="1"/>
  <c r="L58" i="13"/>
  <c r="L58" i="14" s="1"/>
  <c r="M58" i="13"/>
  <c r="M58" i="14" s="1"/>
  <c r="N58" i="13"/>
  <c r="I161" i="13"/>
  <c r="J161" i="13"/>
  <c r="J161" i="14" s="1"/>
  <c r="K161" i="13"/>
  <c r="K161" i="14" s="1"/>
  <c r="L161" i="13"/>
  <c r="L161" i="14" s="1"/>
  <c r="M161" i="13"/>
  <c r="M161" i="14" s="1"/>
  <c r="N161" i="13"/>
  <c r="I213" i="13"/>
  <c r="J213" i="13"/>
  <c r="J213" i="14" s="1"/>
  <c r="K213" i="13"/>
  <c r="K213" i="14" s="1"/>
  <c r="L213" i="13"/>
  <c r="L213" i="14" s="1"/>
  <c r="M213" i="13"/>
  <c r="M213" i="14" s="1"/>
  <c r="N213" i="13"/>
  <c r="I214" i="13"/>
  <c r="J214" i="13"/>
  <c r="J214" i="14" s="1"/>
  <c r="K214" i="13"/>
  <c r="K214" i="14" s="1"/>
  <c r="L214" i="13"/>
  <c r="L214" i="14" s="1"/>
  <c r="M214" i="13"/>
  <c r="M214" i="14" s="1"/>
  <c r="N214" i="13"/>
  <c r="I248" i="13"/>
  <c r="J248" i="13"/>
  <c r="J248" i="14" s="1"/>
  <c r="K248" i="13"/>
  <c r="K248" i="14" s="1"/>
  <c r="L248" i="13"/>
  <c r="L248" i="14" s="1"/>
  <c r="M248" i="13"/>
  <c r="M248" i="14" s="1"/>
  <c r="N248" i="13"/>
  <c r="I279" i="13"/>
  <c r="J279" i="13"/>
  <c r="J279" i="14" s="1"/>
  <c r="K279" i="13"/>
  <c r="K279" i="14" s="1"/>
  <c r="L279" i="13"/>
  <c r="L279" i="14" s="1"/>
  <c r="M279" i="13"/>
  <c r="M279" i="14" s="1"/>
  <c r="N279" i="13"/>
  <c r="I280" i="13"/>
  <c r="J280" i="13"/>
  <c r="J280" i="14" s="1"/>
  <c r="K280" i="13"/>
  <c r="K280" i="14" s="1"/>
  <c r="L280" i="13"/>
  <c r="L280" i="14" s="1"/>
  <c r="M280" i="13"/>
  <c r="M280" i="14" s="1"/>
  <c r="N280" i="13"/>
  <c r="I85" i="13"/>
  <c r="J85" i="13"/>
  <c r="J85" i="14" s="1"/>
  <c r="K85" i="13"/>
  <c r="K85" i="14" s="1"/>
  <c r="L85" i="13"/>
  <c r="L85" i="14" s="1"/>
  <c r="M85" i="13"/>
  <c r="M85" i="14" s="1"/>
  <c r="N85" i="13"/>
  <c r="I195" i="13"/>
  <c r="J195" i="13"/>
  <c r="J195" i="14" s="1"/>
  <c r="K195" i="13"/>
  <c r="L195" i="13"/>
  <c r="L195" i="14" s="1"/>
  <c r="M195" i="13"/>
  <c r="M195" i="14" s="1"/>
  <c r="N195" i="13"/>
  <c r="N195" i="14" s="1"/>
  <c r="I356" i="13"/>
  <c r="J356" i="13"/>
  <c r="J356" i="14" s="1"/>
  <c r="K356" i="13"/>
  <c r="L356" i="13"/>
  <c r="L356" i="14" s="1"/>
  <c r="M356" i="13"/>
  <c r="M356" i="14" s="1"/>
  <c r="N356" i="13"/>
  <c r="N356" i="14" s="1"/>
  <c r="I247" i="13"/>
  <c r="J247" i="13"/>
  <c r="J247" i="14" s="1"/>
  <c r="K247" i="13"/>
  <c r="K247" i="14" s="1"/>
  <c r="L247" i="13"/>
  <c r="L247" i="14" s="1"/>
  <c r="M247" i="13"/>
  <c r="M247" i="14" s="1"/>
  <c r="N247" i="13"/>
  <c r="I36" i="13"/>
  <c r="J36" i="13"/>
  <c r="J36" i="14" s="1"/>
  <c r="K36" i="13"/>
  <c r="K36" i="14" s="1"/>
  <c r="L36" i="13"/>
  <c r="L36" i="14" s="1"/>
  <c r="M36" i="13"/>
  <c r="M36" i="14" s="1"/>
  <c r="N36" i="13"/>
  <c r="I60" i="13"/>
  <c r="J60" i="13"/>
  <c r="J60" i="14" s="1"/>
  <c r="K60" i="13"/>
  <c r="K60" i="14" s="1"/>
  <c r="L60" i="13"/>
  <c r="L60" i="14" s="1"/>
  <c r="M60" i="13"/>
  <c r="M60" i="14" s="1"/>
  <c r="N60" i="13"/>
  <c r="I62" i="13"/>
  <c r="J62" i="13"/>
  <c r="J62" i="14" s="1"/>
  <c r="K62" i="13"/>
  <c r="K62" i="14" s="1"/>
  <c r="L62" i="13"/>
  <c r="L62" i="14" s="1"/>
  <c r="M62" i="13"/>
  <c r="M62" i="14" s="1"/>
  <c r="N62" i="13"/>
  <c r="I104" i="13"/>
  <c r="J104" i="13"/>
  <c r="J104" i="14" s="1"/>
  <c r="K104" i="13"/>
  <c r="K104" i="14" s="1"/>
  <c r="L104" i="13"/>
  <c r="L104" i="14" s="1"/>
  <c r="M104" i="13"/>
  <c r="M104" i="14" s="1"/>
  <c r="N104" i="13"/>
  <c r="I111" i="13"/>
  <c r="J111" i="13"/>
  <c r="J111" i="14" s="1"/>
  <c r="K111" i="13"/>
  <c r="K111" i="14" s="1"/>
  <c r="L111" i="13"/>
  <c r="L111" i="14" s="1"/>
  <c r="M111" i="13"/>
  <c r="M111" i="14" s="1"/>
  <c r="N111" i="13"/>
  <c r="I112" i="13"/>
  <c r="J112" i="13"/>
  <c r="J112" i="14" s="1"/>
  <c r="K112" i="13"/>
  <c r="K112" i="14" s="1"/>
  <c r="L112" i="13"/>
  <c r="L112" i="14" s="1"/>
  <c r="M112" i="13"/>
  <c r="M112" i="14" s="1"/>
  <c r="N112" i="13"/>
  <c r="I167" i="13"/>
  <c r="I167" i="14" s="1"/>
  <c r="J167" i="13"/>
  <c r="J167" i="14" s="1"/>
  <c r="K167" i="13"/>
  <c r="K167" i="14" s="1"/>
  <c r="L167" i="13"/>
  <c r="L167" i="14" s="1"/>
  <c r="M167" i="13"/>
  <c r="M167" i="14" s="1"/>
  <c r="N167" i="13"/>
  <c r="I107" i="13"/>
  <c r="J107" i="13"/>
  <c r="J107" i="14" s="1"/>
  <c r="K107" i="13"/>
  <c r="K107" i="14" s="1"/>
  <c r="L107" i="13"/>
  <c r="L107" i="14" s="1"/>
  <c r="M107" i="13"/>
  <c r="M107" i="14" s="1"/>
  <c r="N107" i="13"/>
  <c r="I108" i="13"/>
  <c r="J108" i="13"/>
  <c r="J108" i="14" s="1"/>
  <c r="K108" i="13"/>
  <c r="K108" i="14" s="1"/>
  <c r="L108" i="13"/>
  <c r="L108" i="14" s="1"/>
  <c r="M108" i="13"/>
  <c r="M108" i="14" s="1"/>
  <c r="N108" i="13"/>
  <c r="I353" i="13"/>
  <c r="J353" i="13"/>
  <c r="J353" i="14" s="1"/>
  <c r="K353" i="13"/>
  <c r="K353" i="14" s="1"/>
  <c r="L353" i="13"/>
  <c r="L353" i="14" s="1"/>
  <c r="M353" i="13"/>
  <c r="M353" i="14" s="1"/>
  <c r="N353" i="13"/>
  <c r="I118" i="13"/>
  <c r="J118" i="13"/>
  <c r="J118" i="14" s="1"/>
  <c r="K118" i="13"/>
  <c r="K118" i="14" s="1"/>
  <c r="L118" i="13"/>
  <c r="L118" i="14" s="1"/>
  <c r="M118" i="13"/>
  <c r="M118" i="14" s="1"/>
  <c r="N118" i="13"/>
  <c r="I123" i="13"/>
  <c r="J123" i="13"/>
  <c r="J123" i="14" s="1"/>
  <c r="K123" i="13"/>
  <c r="K123" i="14" s="1"/>
  <c r="L123" i="13"/>
  <c r="L123" i="14" s="1"/>
  <c r="M123" i="13"/>
  <c r="M123" i="14" s="1"/>
  <c r="N123" i="13"/>
  <c r="O123" i="13"/>
  <c r="O123" i="14" s="1"/>
  <c r="I122" i="13"/>
  <c r="J122" i="13"/>
  <c r="J122" i="14" s="1"/>
  <c r="K122" i="13"/>
  <c r="K122" i="14" s="1"/>
  <c r="L122" i="13"/>
  <c r="L122" i="14" s="1"/>
  <c r="M122" i="13"/>
  <c r="M122" i="14" s="1"/>
  <c r="N122" i="13"/>
  <c r="I165" i="13"/>
  <c r="J165" i="13"/>
  <c r="J165" i="14" s="1"/>
  <c r="K165" i="13"/>
  <c r="K165" i="14" s="1"/>
  <c r="L165" i="13"/>
  <c r="L165" i="14" s="1"/>
  <c r="M165" i="13"/>
  <c r="M165" i="14" s="1"/>
  <c r="N165" i="13"/>
  <c r="I142" i="13"/>
  <c r="J142" i="13"/>
  <c r="J142" i="14" s="1"/>
  <c r="K142" i="13"/>
  <c r="K142" i="14" s="1"/>
  <c r="L142" i="13"/>
  <c r="L142" i="14" s="1"/>
  <c r="M142" i="13"/>
  <c r="M142" i="14" s="1"/>
  <c r="N142" i="13"/>
  <c r="I143" i="13"/>
  <c r="J143" i="13"/>
  <c r="J143" i="14" s="1"/>
  <c r="K143" i="13"/>
  <c r="K143" i="14" s="1"/>
  <c r="L143" i="13"/>
  <c r="L143" i="14" s="1"/>
  <c r="M143" i="13"/>
  <c r="M143" i="14" s="1"/>
  <c r="N143" i="13"/>
  <c r="I144" i="13"/>
  <c r="J144" i="13"/>
  <c r="J144" i="14" s="1"/>
  <c r="K144" i="13"/>
  <c r="K144" i="14" s="1"/>
  <c r="L144" i="13"/>
  <c r="L144" i="14" s="1"/>
  <c r="M144" i="13"/>
  <c r="M144" i="14" s="1"/>
  <c r="N144" i="13"/>
  <c r="I145" i="13"/>
  <c r="J145" i="13"/>
  <c r="J145" i="14" s="1"/>
  <c r="K145" i="13"/>
  <c r="K145" i="14" s="1"/>
  <c r="L145" i="13"/>
  <c r="L145" i="14" s="1"/>
  <c r="M145" i="13"/>
  <c r="M145" i="14" s="1"/>
  <c r="N145" i="13"/>
  <c r="I146" i="13"/>
  <c r="J146" i="13"/>
  <c r="J146" i="14" s="1"/>
  <c r="K146" i="13"/>
  <c r="K146" i="14" s="1"/>
  <c r="L146" i="13"/>
  <c r="L146" i="14" s="1"/>
  <c r="M146" i="13"/>
  <c r="M146" i="14" s="1"/>
  <c r="N146" i="13"/>
  <c r="I175" i="13"/>
  <c r="J175" i="13"/>
  <c r="J175" i="14" s="1"/>
  <c r="K175" i="13"/>
  <c r="K175" i="14" s="1"/>
  <c r="L175" i="13"/>
  <c r="L175" i="14" s="1"/>
  <c r="M175" i="13"/>
  <c r="M175" i="14" s="1"/>
  <c r="N175" i="13"/>
  <c r="I347" i="13"/>
  <c r="J347" i="13"/>
  <c r="J347" i="14" s="1"/>
  <c r="K347" i="13"/>
  <c r="K347" i="14" s="1"/>
  <c r="L347" i="13"/>
  <c r="L347" i="14" s="1"/>
  <c r="M347" i="13"/>
  <c r="M347" i="14" s="1"/>
  <c r="N347" i="13"/>
  <c r="I180" i="13"/>
  <c r="J180" i="13"/>
  <c r="J180" i="14" s="1"/>
  <c r="K180" i="13"/>
  <c r="K180" i="14" s="1"/>
  <c r="L180" i="13"/>
  <c r="L180" i="14" s="1"/>
  <c r="M180" i="13"/>
  <c r="M180" i="14" s="1"/>
  <c r="N180" i="13"/>
  <c r="I211" i="13"/>
  <c r="J211" i="13"/>
  <c r="J211" i="14" s="1"/>
  <c r="K211" i="13"/>
  <c r="K211" i="14" s="1"/>
  <c r="L211" i="13"/>
  <c r="L211" i="14" s="1"/>
  <c r="M211" i="13"/>
  <c r="M211" i="14" s="1"/>
  <c r="N211" i="13"/>
  <c r="I246" i="13"/>
  <c r="J246" i="13"/>
  <c r="J246" i="14" s="1"/>
  <c r="K246" i="13"/>
  <c r="K246" i="14" s="1"/>
  <c r="L246" i="13"/>
  <c r="L246" i="14" s="1"/>
  <c r="M246" i="13"/>
  <c r="M246" i="14" s="1"/>
  <c r="N246" i="13"/>
  <c r="I252" i="13"/>
  <c r="J252" i="13"/>
  <c r="J252" i="14" s="1"/>
  <c r="K252" i="13"/>
  <c r="K252" i="14" s="1"/>
  <c r="L252" i="13"/>
  <c r="L252" i="14" s="1"/>
  <c r="M252" i="13"/>
  <c r="M252" i="14" s="1"/>
  <c r="N252" i="13"/>
  <c r="I263" i="13"/>
  <c r="J263" i="13"/>
  <c r="J263" i="14" s="1"/>
  <c r="K263" i="13"/>
  <c r="K263" i="14" s="1"/>
  <c r="L263" i="13"/>
  <c r="L263" i="14" s="1"/>
  <c r="M263" i="13"/>
  <c r="M263" i="14" s="1"/>
  <c r="N263" i="13"/>
  <c r="I289" i="13"/>
  <c r="J289" i="13"/>
  <c r="J289" i="14" s="1"/>
  <c r="K289" i="13"/>
  <c r="K289" i="14" s="1"/>
  <c r="L289" i="13"/>
  <c r="L289" i="14" s="1"/>
  <c r="M289" i="13"/>
  <c r="M289" i="14" s="1"/>
  <c r="N289" i="13"/>
  <c r="I297" i="13"/>
  <c r="J297" i="13"/>
  <c r="J297" i="14" s="1"/>
  <c r="K297" i="13"/>
  <c r="K297" i="14" s="1"/>
  <c r="L297" i="13"/>
  <c r="L297" i="14" s="1"/>
  <c r="M297" i="13"/>
  <c r="M297" i="14" s="1"/>
  <c r="N297" i="13"/>
  <c r="O297" i="13"/>
  <c r="O297" i="14" s="1"/>
  <c r="I303" i="13"/>
  <c r="J303" i="13"/>
  <c r="J303" i="14" s="1"/>
  <c r="K303" i="13"/>
  <c r="K303" i="14" s="1"/>
  <c r="L303" i="13"/>
  <c r="L303" i="14" s="1"/>
  <c r="M303" i="13"/>
  <c r="M303" i="14" s="1"/>
  <c r="N303" i="13"/>
  <c r="I304" i="13"/>
  <c r="J304" i="13"/>
  <c r="J304" i="14" s="1"/>
  <c r="K304" i="13"/>
  <c r="K304" i="14" s="1"/>
  <c r="L304" i="13"/>
  <c r="L304" i="14" s="1"/>
  <c r="M304" i="13"/>
  <c r="M304" i="14" s="1"/>
  <c r="N304" i="13"/>
  <c r="I365" i="13"/>
  <c r="J365" i="13"/>
  <c r="J365" i="14" s="1"/>
  <c r="K365" i="13"/>
  <c r="K365" i="14" s="1"/>
  <c r="L365" i="13"/>
  <c r="L365" i="14" s="1"/>
  <c r="M365" i="13"/>
  <c r="M365" i="14" s="1"/>
  <c r="N365" i="13"/>
  <c r="I311" i="13"/>
  <c r="J311" i="13"/>
  <c r="J311" i="14" s="1"/>
  <c r="K311" i="13"/>
  <c r="K311" i="14" s="1"/>
  <c r="L311" i="13"/>
  <c r="L311" i="14" s="1"/>
  <c r="M311" i="13"/>
  <c r="M311" i="14" s="1"/>
  <c r="N311" i="13"/>
  <c r="I339" i="13"/>
  <c r="J339" i="13"/>
  <c r="J339" i="14" s="1"/>
  <c r="K339" i="13"/>
  <c r="K339" i="14" s="1"/>
  <c r="L339" i="13"/>
  <c r="L339" i="14" s="1"/>
  <c r="M339" i="13"/>
  <c r="M339" i="14" s="1"/>
  <c r="N339" i="13"/>
  <c r="I124" i="13"/>
  <c r="J124" i="13"/>
  <c r="J124" i="14" s="1"/>
  <c r="K124" i="13"/>
  <c r="K124" i="14" s="1"/>
  <c r="L124" i="13"/>
  <c r="L124" i="14" s="1"/>
  <c r="M124" i="13"/>
  <c r="M124" i="14" s="1"/>
  <c r="N124" i="13"/>
  <c r="I372" i="13"/>
  <c r="J372" i="13"/>
  <c r="J372" i="14" s="1"/>
  <c r="K372" i="13"/>
  <c r="K372" i="14" s="1"/>
  <c r="L372" i="13"/>
  <c r="L372" i="14" s="1"/>
  <c r="M372" i="13"/>
  <c r="M372" i="14" s="1"/>
  <c r="N372" i="13"/>
  <c r="I373" i="13"/>
  <c r="J373" i="13"/>
  <c r="J373" i="14" s="1"/>
  <c r="K373" i="13"/>
  <c r="K373" i="14" s="1"/>
  <c r="L373" i="13"/>
  <c r="L373" i="14" s="1"/>
  <c r="M373" i="13"/>
  <c r="M373" i="14" s="1"/>
  <c r="N373" i="13"/>
  <c r="I8" i="13"/>
  <c r="J8" i="13"/>
  <c r="K8" i="13"/>
  <c r="L8" i="13"/>
  <c r="M8" i="13"/>
  <c r="N8" i="13"/>
  <c r="I35" i="13"/>
  <c r="J35" i="13"/>
  <c r="J35" i="14" s="1"/>
  <c r="K35" i="13"/>
  <c r="K35" i="14" s="1"/>
  <c r="L35" i="13"/>
  <c r="L35" i="14" s="1"/>
  <c r="M35" i="13"/>
  <c r="M35" i="14" s="1"/>
  <c r="N35" i="13"/>
  <c r="I39" i="13"/>
  <c r="J39" i="13"/>
  <c r="J39" i="14" s="1"/>
  <c r="K39" i="13"/>
  <c r="K39" i="14" s="1"/>
  <c r="L39" i="13"/>
  <c r="L39" i="14" s="1"/>
  <c r="M39" i="13"/>
  <c r="M39" i="14" s="1"/>
  <c r="N39" i="13"/>
  <c r="I56" i="13"/>
  <c r="J56" i="13"/>
  <c r="J56" i="14" s="1"/>
  <c r="K56" i="13"/>
  <c r="K56" i="14" s="1"/>
  <c r="L56" i="13"/>
  <c r="L56" i="14" s="1"/>
  <c r="M56" i="13"/>
  <c r="M56" i="14" s="1"/>
  <c r="N56" i="13"/>
  <c r="I66" i="13"/>
  <c r="J66" i="13"/>
  <c r="J66" i="14" s="1"/>
  <c r="K66" i="13"/>
  <c r="K66" i="14" s="1"/>
  <c r="L66" i="13"/>
  <c r="L66" i="14" s="1"/>
  <c r="M66" i="13"/>
  <c r="M66" i="14" s="1"/>
  <c r="N66" i="13"/>
  <c r="I110" i="13"/>
  <c r="J110" i="13"/>
  <c r="J110" i="14" s="1"/>
  <c r="K110" i="13"/>
  <c r="K110" i="14" s="1"/>
  <c r="L110" i="13"/>
  <c r="L110" i="14" s="1"/>
  <c r="M110" i="13"/>
  <c r="M110" i="14" s="1"/>
  <c r="N110" i="13"/>
  <c r="I153" i="13"/>
  <c r="J153" i="13"/>
  <c r="J153" i="14" s="1"/>
  <c r="K153" i="13"/>
  <c r="K153" i="14" s="1"/>
  <c r="L153" i="13"/>
  <c r="L153" i="14" s="1"/>
  <c r="M153" i="13"/>
  <c r="M153" i="14" s="1"/>
  <c r="N153" i="13"/>
  <c r="I159" i="13"/>
  <c r="J159" i="13"/>
  <c r="J159" i="14" s="1"/>
  <c r="K159" i="13"/>
  <c r="K159" i="14" s="1"/>
  <c r="L159" i="13"/>
  <c r="L159" i="14" s="1"/>
  <c r="M159" i="13"/>
  <c r="M159" i="14" s="1"/>
  <c r="N159" i="13"/>
  <c r="I181" i="13"/>
  <c r="J181" i="13"/>
  <c r="J181" i="14" s="1"/>
  <c r="K181" i="13"/>
  <c r="K181" i="14" s="1"/>
  <c r="L181" i="13"/>
  <c r="L181" i="14" s="1"/>
  <c r="M181" i="13"/>
  <c r="M181" i="14" s="1"/>
  <c r="N181" i="13"/>
  <c r="I182" i="13"/>
  <c r="J182" i="13"/>
  <c r="J182" i="14" s="1"/>
  <c r="K182" i="13"/>
  <c r="K182" i="14" s="1"/>
  <c r="L182" i="13"/>
  <c r="L182" i="14" s="1"/>
  <c r="M182" i="13"/>
  <c r="M182" i="14" s="1"/>
  <c r="N182" i="13"/>
  <c r="I216" i="13"/>
  <c r="J216" i="13"/>
  <c r="J216" i="14" s="1"/>
  <c r="K216" i="13"/>
  <c r="K216" i="14" s="1"/>
  <c r="L216" i="13"/>
  <c r="L216" i="14" s="1"/>
  <c r="M216" i="13"/>
  <c r="M216" i="14" s="1"/>
  <c r="N216" i="13"/>
  <c r="I95" i="13"/>
  <c r="J95" i="13"/>
  <c r="J95" i="14" s="1"/>
  <c r="K95" i="13"/>
  <c r="K95" i="14" s="1"/>
  <c r="L95" i="13"/>
  <c r="L95" i="14" s="1"/>
  <c r="M95" i="13"/>
  <c r="M95" i="14" s="1"/>
  <c r="N95" i="13"/>
  <c r="I254" i="13"/>
  <c r="J254" i="13"/>
  <c r="J254" i="14" s="1"/>
  <c r="K254" i="13"/>
  <c r="K254" i="14" s="1"/>
  <c r="L254" i="13"/>
  <c r="L254" i="14" s="1"/>
  <c r="M254" i="13"/>
  <c r="M254" i="14" s="1"/>
  <c r="N254" i="13"/>
  <c r="I317" i="13"/>
  <c r="J317" i="13"/>
  <c r="J317" i="14" s="1"/>
  <c r="K317" i="13"/>
  <c r="K317" i="14" s="1"/>
  <c r="L317" i="13"/>
  <c r="L317" i="14" s="1"/>
  <c r="M317" i="13"/>
  <c r="M317" i="14" s="1"/>
  <c r="N317" i="13"/>
  <c r="I176" i="13"/>
  <c r="J176" i="13"/>
  <c r="J176" i="14" s="1"/>
  <c r="K176" i="13"/>
  <c r="K176" i="14" s="1"/>
  <c r="L176" i="13"/>
  <c r="L176" i="14" s="1"/>
  <c r="M176" i="13"/>
  <c r="M176" i="14" s="1"/>
  <c r="N176" i="13"/>
  <c r="I49" i="13"/>
  <c r="J49" i="13"/>
  <c r="J49" i="14" s="1"/>
  <c r="K49" i="13"/>
  <c r="K49" i="14" s="1"/>
  <c r="L49" i="13"/>
  <c r="L49" i="14" s="1"/>
  <c r="M49" i="13"/>
  <c r="M49" i="14" s="1"/>
  <c r="N49" i="13"/>
  <c r="I50" i="13"/>
  <c r="J50" i="13"/>
  <c r="J50" i="14" s="1"/>
  <c r="K50" i="13"/>
  <c r="K50" i="14" s="1"/>
  <c r="L50" i="13"/>
  <c r="L50" i="14" s="1"/>
  <c r="M50" i="13"/>
  <c r="M50" i="14" s="1"/>
  <c r="N50" i="13"/>
  <c r="I51" i="13"/>
  <c r="J51" i="13"/>
  <c r="J51" i="14" s="1"/>
  <c r="K51" i="13"/>
  <c r="K51" i="14" s="1"/>
  <c r="L51" i="13"/>
  <c r="L51" i="14" s="1"/>
  <c r="M51" i="13"/>
  <c r="M51" i="14" s="1"/>
  <c r="N51" i="13"/>
  <c r="I75" i="13"/>
  <c r="I75" i="14" s="1"/>
  <c r="J75" i="13"/>
  <c r="J75" i="14" s="1"/>
  <c r="K75" i="13"/>
  <c r="K75" i="14" s="1"/>
  <c r="L75" i="13"/>
  <c r="L75" i="14" s="1"/>
  <c r="M75" i="13"/>
  <c r="M75" i="14" s="1"/>
  <c r="N75" i="13"/>
  <c r="I76" i="13"/>
  <c r="J76" i="13"/>
  <c r="J76" i="14" s="1"/>
  <c r="K76" i="13"/>
  <c r="K76" i="14" s="1"/>
  <c r="L76" i="13"/>
  <c r="L76" i="14" s="1"/>
  <c r="M76" i="13"/>
  <c r="M76" i="14" s="1"/>
  <c r="N76" i="13"/>
  <c r="I113" i="13"/>
  <c r="J113" i="13"/>
  <c r="J113" i="14" s="1"/>
  <c r="K113" i="13"/>
  <c r="K113" i="14" s="1"/>
  <c r="L113" i="13"/>
  <c r="L113" i="14" s="1"/>
  <c r="M113" i="13"/>
  <c r="M113" i="14" s="1"/>
  <c r="N113" i="13"/>
  <c r="I155" i="13"/>
  <c r="J155" i="13"/>
  <c r="J155" i="14" s="1"/>
  <c r="K155" i="13"/>
  <c r="K155" i="14" s="1"/>
  <c r="L155" i="13"/>
  <c r="L155" i="14" s="1"/>
  <c r="M155" i="13"/>
  <c r="M155" i="14" s="1"/>
  <c r="N155" i="13"/>
  <c r="I171" i="13"/>
  <c r="J171" i="13"/>
  <c r="J171" i="14" s="1"/>
  <c r="K171" i="13"/>
  <c r="K171" i="14" s="1"/>
  <c r="L171" i="13"/>
  <c r="L171" i="14" s="1"/>
  <c r="M171" i="13"/>
  <c r="M171" i="14" s="1"/>
  <c r="N171" i="13"/>
  <c r="I177" i="13"/>
  <c r="J177" i="13"/>
  <c r="J177" i="14" s="1"/>
  <c r="K177" i="13"/>
  <c r="K177" i="14" s="1"/>
  <c r="L177" i="13"/>
  <c r="L177" i="14" s="1"/>
  <c r="M177" i="13"/>
  <c r="M177" i="14" s="1"/>
  <c r="N177" i="13"/>
  <c r="I224" i="13"/>
  <c r="J224" i="13"/>
  <c r="J224" i="14" s="1"/>
  <c r="K224" i="13"/>
  <c r="K224" i="14" s="1"/>
  <c r="L224" i="13"/>
  <c r="L224" i="14" s="1"/>
  <c r="M224" i="13"/>
  <c r="M224" i="14" s="1"/>
  <c r="N224" i="13"/>
  <c r="I225" i="13"/>
  <c r="J225" i="13"/>
  <c r="J225" i="14" s="1"/>
  <c r="K225" i="13"/>
  <c r="K225" i="14" s="1"/>
  <c r="L225" i="13"/>
  <c r="L225" i="14" s="1"/>
  <c r="M225" i="13"/>
  <c r="M225" i="14" s="1"/>
  <c r="N225" i="13"/>
  <c r="I226" i="13"/>
  <c r="J226" i="13"/>
  <c r="J226" i="14" s="1"/>
  <c r="K226" i="13"/>
  <c r="K226" i="14" s="1"/>
  <c r="L226" i="13"/>
  <c r="L226" i="14" s="1"/>
  <c r="M226" i="13"/>
  <c r="M226" i="14" s="1"/>
  <c r="N226" i="13"/>
  <c r="N226" i="14" s="1"/>
  <c r="I219" i="13"/>
  <c r="J219" i="13"/>
  <c r="J219" i="14" s="1"/>
  <c r="K219" i="13"/>
  <c r="K219" i="14" s="1"/>
  <c r="L219" i="13"/>
  <c r="L219" i="14" s="1"/>
  <c r="M219" i="13"/>
  <c r="M219" i="14" s="1"/>
  <c r="N219" i="13"/>
  <c r="I227" i="13"/>
  <c r="J227" i="13"/>
  <c r="J227" i="14" s="1"/>
  <c r="K227" i="13"/>
  <c r="K227" i="14" s="1"/>
  <c r="L227" i="13"/>
  <c r="L227" i="14" s="1"/>
  <c r="M227" i="13"/>
  <c r="M227" i="14" s="1"/>
  <c r="N227" i="13"/>
  <c r="I228" i="13"/>
  <c r="J228" i="13"/>
  <c r="J228" i="14" s="1"/>
  <c r="K228" i="13"/>
  <c r="K228" i="14" s="1"/>
  <c r="L228" i="13"/>
  <c r="L228" i="14" s="1"/>
  <c r="M228" i="13"/>
  <c r="M228" i="14" s="1"/>
  <c r="N228" i="13"/>
  <c r="I229" i="13"/>
  <c r="J229" i="13"/>
  <c r="J229" i="14" s="1"/>
  <c r="K229" i="13"/>
  <c r="K229" i="14" s="1"/>
  <c r="L229" i="13"/>
  <c r="L229" i="14" s="1"/>
  <c r="M229" i="13"/>
  <c r="M229" i="14" s="1"/>
  <c r="N229" i="13"/>
  <c r="I230" i="13"/>
  <c r="J230" i="13"/>
  <c r="J230" i="14" s="1"/>
  <c r="K230" i="13"/>
  <c r="K230" i="14" s="1"/>
  <c r="L230" i="13"/>
  <c r="L230" i="14" s="1"/>
  <c r="M230" i="13"/>
  <c r="M230" i="14" s="1"/>
  <c r="N230" i="13"/>
  <c r="I231" i="13"/>
  <c r="J231" i="13"/>
  <c r="J231" i="14" s="1"/>
  <c r="K231" i="13"/>
  <c r="K231" i="14" s="1"/>
  <c r="L231" i="13"/>
  <c r="L231" i="14" s="1"/>
  <c r="M231" i="13"/>
  <c r="M231" i="14" s="1"/>
  <c r="N231" i="13"/>
  <c r="I232" i="13"/>
  <c r="I232" i="14" s="1"/>
  <c r="J232" i="13"/>
  <c r="J232" i="14" s="1"/>
  <c r="K232" i="13"/>
  <c r="K232" i="14" s="1"/>
  <c r="L232" i="13"/>
  <c r="L232" i="14" s="1"/>
  <c r="M232" i="13"/>
  <c r="M232" i="14" s="1"/>
  <c r="N232" i="13"/>
  <c r="I233" i="13"/>
  <c r="J233" i="13"/>
  <c r="J233" i="14" s="1"/>
  <c r="K233" i="13"/>
  <c r="K233" i="14" s="1"/>
  <c r="L233" i="13"/>
  <c r="L233" i="14" s="1"/>
  <c r="M233" i="13"/>
  <c r="M233" i="14" s="1"/>
  <c r="N233" i="13"/>
  <c r="I240" i="13"/>
  <c r="J240" i="13"/>
  <c r="J240" i="14" s="1"/>
  <c r="K240" i="13"/>
  <c r="K240" i="14" s="1"/>
  <c r="L240" i="13"/>
  <c r="L240" i="14" s="1"/>
  <c r="M240" i="13"/>
  <c r="M240" i="14" s="1"/>
  <c r="N240" i="13"/>
  <c r="I234" i="13"/>
  <c r="J234" i="13"/>
  <c r="J234" i="14" s="1"/>
  <c r="K234" i="13"/>
  <c r="K234" i="14" s="1"/>
  <c r="L234" i="13"/>
  <c r="L234" i="14" s="1"/>
  <c r="M234" i="13"/>
  <c r="M234" i="14" s="1"/>
  <c r="N234" i="13"/>
  <c r="I235" i="13"/>
  <c r="J235" i="13"/>
  <c r="J235" i="14" s="1"/>
  <c r="K235" i="13"/>
  <c r="K235" i="14" s="1"/>
  <c r="L235" i="13"/>
  <c r="L235" i="14" s="1"/>
  <c r="M235" i="13"/>
  <c r="M235" i="14" s="1"/>
  <c r="N235" i="13"/>
  <c r="I315" i="13"/>
  <c r="J315" i="13"/>
  <c r="J315" i="14" s="1"/>
  <c r="K315" i="13"/>
  <c r="K315" i="14" s="1"/>
  <c r="L315" i="13"/>
  <c r="L315" i="14" s="1"/>
  <c r="M315" i="13"/>
  <c r="M315" i="14" s="1"/>
  <c r="N315" i="13"/>
  <c r="I10" i="13"/>
  <c r="J10" i="13"/>
  <c r="K10" i="13"/>
  <c r="L10" i="13"/>
  <c r="M10" i="13"/>
  <c r="N10" i="13"/>
  <c r="I11" i="13"/>
  <c r="J11" i="13"/>
  <c r="K11" i="13"/>
  <c r="L11" i="13"/>
  <c r="M11" i="13"/>
  <c r="N11" i="13"/>
  <c r="I12" i="13"/>
  <c r="J12" i="13"/>
  <c r="K12" i="13"/>
  <c r="L12" i="13"/>
  <c r="M12" i="13"/>
  <c r="N12" i="13"/>
  <c r="I13" i="13"/>
  <c r="J13" i="13"/>
  <c r="K13" i="13"/>
  <c r="L13" i="13"/>
  <c r="M13" i="13"/>
  <c r="N13" i="13"/>
  <c r="I4" i="13"/>
  <c r="J4" i="13"/>
  <c r="K4" i="13"/>
  <c r="L4" i="13"/>
  <c r="M4" i="13"/>
  <c r="N4" i="13"/>
  <c r="I14" i="13"/>
  <c r="J14" i="13"/>
  <c r="K14" i="13"/>
  <c r="L14" i="13"/>
  <c r="M14" i="13"/>
  <c r="N14" i="13"/>
  <c r="I32" i="13"/>
  <c r="J32" i="13"/>
  <c r="K32" i="13"/>
  <c r="K32" i="14" s="1"/>
  <c r="L32" i="13"/>
  <c r="L32" i="14" s="1"/>
  <c r="M32" i="13"/>
  <c r="M32" i="14" s="1"/>
  <c r="N32" i="13"/>
  <c r="N32" i="14" s="1"/>
  <c r="I28" i="13"/>
  <c r="J28" i="13"/>
  <c r="K28" i="13"/>
  <c r="L28" i="13"/>
  <c r="M28" i="13"/>
  <c r="N28" i="13"/>
  <c r="I47" i="13"/>
  <c r="J47" i="13"/>
  <c r="K47" i="13"/>
  <c r="L47" i="13"/>
  <c r="M47" i="13"/>
  <c r="N47" i="13"/>
  <c r="I52" i="13"/>
  <c r="J52" i="13"/>
  <c r="K52" i="13"/>
  <c r="K52" i="14" s="1"/>
  <c r="L52" i="13"/>
  <c r="L52" i="14" s="1"/>
  <c r="M52" i="13"/>
  <c r="M52" i="14" s="1"/>
  <c r="N52" i="13"/>
  <c r="N52" i="14" s="1"/>
  <c r="O52" i="13"/>
  <c r="O52" i="14" s="1"/>
  <c r="I37" i="13"/>
  <c r="J37" i="13"/>
  <c r="K37" i="13"/>
  <c r="L37" i="13"/>
  <c r="M37" i="13"/>
  <c r="N37" i="13"/>
  <c r="I329" i="13"/>
  <c r="J329" i="13"/>
  <c r="K329" i="13"/>
  <c r="K329" i="14" s="1"/>
  <c r="L329" i="13"/>
  <c r="L329" i="14" s="1"/>
  <c r="M329" i="13"/>
  <c r="M329" i="14" s="1"/>
  <c r="N329" i="13"/>
  <c r="N329" i="14" s="1"/>
  <c r="I284" i="13"/>
  <c r="J284" i="13"/>
  <c r="K284" i="13"/>
  <c r="K284" i="14" s="1"/>
  <c r="L284" i="13"/>
  <c r="L284" i="14" s="1"/>
  <c r="M284" i="13"/>
  <c r="M284" i="14" s="1"/>
  <c r="N284" i="13"/>
  <c r="N284" i="14" s="1"/>
  <c r="I72" i="13"/>
  <c r="J72" i="13"/>
  <c r="K72" i="13"/>
  <c r="K72" i="14" s="1"/>
  <c r="L72" i="13"/>
  <c r="L72" i="14" s="1"/>
  <c r="M72" i="13"/>
  <c r="M72" i="14" s="1"/>
  <c r="N72" i="13"/>
  <c r="N72" i="14" s="1"/>
  <c r="I73" i="13"/>
  <c r="J73" i="13"/>
  <c r="K73" i="13"/>
  <c r="K73" i="14" s="1"/>
  <c r="L73" i="13"/>
  <c r="L73" i="14" s="1"/>
  <c r="M73" i="13"/>
  <c r="M73" i="14" s="1"/>
  <c r="N73" i="13"/>
  <c r="N73" i="14" s="1"/>
  <c r="I68" i="13"/>
  <c r="J68" i="13"/>
  <c r="K68" i="13"/>
  <c r="L68" i="13"/>
  <c r="M68" i="13"/>
  <c r="N68" i="13"/>
  <c r="I340" i="13"/>
  <c r="J340" i="13"/>
  <c r="K340" i="13"/>
  <c r="K340" i="14" s="1"/>
  <c r="L340" i="13"/>
  <c r="L340" i="14" s="1"/>
  <c r="M340" i="13"/>
  <c r="M340" i="14" s="1"/>
  <c r="N340" i="13"/>
  <c r="N340" i="14" s="1"/>
  <c r="I86" i="13"/>
  <c r="J86" i="13"/>
  <c r="K86" i="13"/>
  <c r="L86" i="13"/>
  <c r="M86" i="13"/>
  <c r="N86" i="13"/>
  <c r="O86" i="13"/>
  <c r="I90" i="13"/>
  <c r="J90" i="13"/>
  <c r="K90" i="13"/>
  <c r="L90" i="13"/>
  <c r="M90" i="13"/>
  <c r="N90" i="13"/>
  <c r="I88" i="13"/>
  <c r="J88" i="13"/>
  <c r="K88" i="13"/>
  <c r="K88" i="14" s="1"/>
  <c r="L88" i="13"/>
  <c r="L88" i="14" s="1"/>
  <c r="M88" i="13"/>
  <c r="M88" i="14" s="1"/>
  <c r="N88" i="13"/>
  <c r="N88" i="14" s="1"/>
  <c r="I80" i="13"/>
  <c r="J80" i="13"/>
  <c r="K80" i="13"/>
  <c r="L80" i="13"/>
  <c r="M80" i="13"/>
  <c r="N80" i="13"/>
  <c r="I109" i="13"/>
  <c r="J109" i="13"/>
  <c r="K109" i="13"/>
  <c r="K109" i="14" s="1"/>
  <c r="L109" i="13"/>
  <c r="L109" i="14" s="1"/>
  <c r="M109" i="13"/>
  <c r="M109" i="14" s="1"/>
  <c r="N109" i="13"/>
  <c r="N109" i="14" s="1"/>
  <c r="I125" i="13"/>
  <c r="J125" i="13"/>
  <c r="K125" i="13"/>
  <c r="L125" i="13"/>
  <c r="M125" i="13"/>
  <c r="N125" i="13"/>
  <c r="I132" i="13"/>
  <c r="J132" i="13"/>
  <c r="K132" i="13"/>
  <c r="L132" i="13"/>
  <c r="M132" i="13"/>
  <c r="N132" i="13"/>
  <c r="I135" i="13"/>
  <c r="J135" i="13"/>
  <c r="K135" i="13"/>
  <c r="K135" i="14" s="1"/>
  <c r="L135" i="13"/>
  <c r="L135" i="14" s="1"/>
  <c r="M135" i="13"/>
  <c r="M135" i="14" s="1"/>
  <c r="N135" i="13"/>
  <c r="N135" i="14" s="1"/>
  <c r="I136" i="13"/>
  <c r="J136" i="13"/>
  <c r="K136" i="13"/>
  <c r="K136" i="14" s="1"/>
  <c r="L136" i="13"/>
  <c r="L136" i="14" s="1"/>
  <c r="M136" i="13"/>
  <c r="M136" i="14" s="1"/>
  <c r="N136" i="13"/>
  <c r="N136" i="14" s="1"/>
  <c r="I137" i="13"/>
  <c r="J137" i="13"/>
  <c r="K137" i="13"/>
  <c r="K137" i="14" s="1"/>
  <c r="L137" i="13"/>
  <c r="L137" i="14" s="1"/>
  <c r="M137" i="13"/>
  <c r="M137" i="14" s="1"/>
  <c r="N137" i="13"/>
  <c r="N137" i="14" s="1"/>
  <c r="I138" i="13"/>
  <c r="J138" i="13"/>
  <c r="K138" i="13"/>
  <c r="K138" i="14" s="1"/>
  <c r="L138" i="13"/>
  <c r="L138" i="14" s="1"/>
  <c r="M138" i="13"/>
  <c r="M138" i="14" s="1"/>
  <c r="N138" i="13"/>
  <c r="N138" i="14" s="1"/>
  <c r="I168" i="13"/>
  <c r="J168" i="13"/>
  <c r="K168" i="13"/>
  <c r="K168" i="14" s="1"/>
  <c r="L168" i="13"/>
  <c r="L168" i="14" s="1"/>
  <c r="M168" i="13"/>
  <c r="M168" i="14" s="1"/>
  <c r="N168" i="13"/>
  <c r="N168" i="14" s="1"/>
  <c r="I139" i="13"/>
  <c r="J139" i="13"/>
  <c r="K139" i="13"/>
  <c r="K139" i="14" s="1"/>
  <c r="L139" i="13"/>
  <c r="L139" i="14" s="1"/>
  <c r="M139" i="13"/>
  <c r="M139" i="14" s="1"/>
  <c r="N139" i="13"/>
  <c r="N139" i="14" s="1"/>
  <c r="I140" i="13"/>
  <c r="J140" i="13"/>
  <c r="K140" i="13"/>
  <c r="L140" i="13"/>
  <c r="M140" i="13"/>
  <c r="N140" i="13"/>
  <c r="I156" i="13"/>
  <c r="J156" i="13"/>
  <c r="K156" i="13"/>
  <c r="K156" i="14" s="1"/>
  <c r="L156" i="13"/>
  <c r="L156" i="14" s="1"/>
  <c r="M156" i="13"/>
  <c r="M156" i="14" s="1"/>
  <c r="N156" i="13"/>
  <c r="N156" i="14" s="1"/>
  <c r="I157" i="13"/>
  <c r="J157" i="13"/>
  <c r="K157" i="13"/>
  <c r="K157" i="14" s="1"/>
  <c r="L157" i="13"/>
  <c r="L157" i="14" s="1"/>
  <c r="M157" i="13"/>
  <c r="M157" i="14" s="1"/>
  <c r="N157" i="13"/>
  <c r="N157" i="14" s="1"/>
  <c r="I318" i="13"/>
  <c r="J318" i="13"/>
  <c r="K318" i="13"/>
  <c r="L318" i="13"/>
  <c r="M318" i="13"/>
  <c r="N318" i="13"/>
  <c r="I169" i="13"/>
  <c r="J169" i="13"/>
  <c r="K169" i="13"/>
  <c r="K169" i="14" s="1"/>
  <c r="L169" i="13"/>
  <c r="L169" i="14" s="1"/>
  <c r="M169" i="13"/>
  <c r="M169" i="14" s="1"/>
  <c r="N169" i="13"/>
  <c r="N169" i="14" s="1"/>
  <c r="I170" i="13"/>
  <c r="I170" i="14" s="1"/>
  <c r="J170" i="13"/>
  <c r="K170" i="13"/>
  <c r="K170" i="14" s="1"/>
  <c r="L170" i="13"/>
  <c r="L170" i="14" s="1"/>
  <c r="M170" i="13"/>
  <c r="M170" i="14" s="1"/>
  <c r="N170" i="13"/>
  <c r="N170" i="14" s="1"/>
  <c r="I91" i="13"/>
  <c r="J91" i="13"/>
  <c r="K91" i="13"/>
  <c r="L91" i="13"/>
  <c r="M91" i="13"/>
  <c r="N91" i="13"/>
  <c r="I184" i="13"/>
  <c r="J184" i="13"/>
  <c r="K184" i="13"/>
  <c r="L184" i="13"/>
  <c r="L184" i="14" s="1"/>
  <c r="M184" i="13"/>
  <c r="N184" i="13"/>
  <c r="I189" i="13"/>
  <c r="J189" i="13"/>
  <c r="K189" i="13"/>
  <c r="L189" i="13"/>
  <c r="M189" i="13"/>
  <c r="N189" i="13"/>
  <c r="I193" i="13"/>
  <c r="J193" i="13"/>
  <c r="K193" i="13"/>
  <c r="L193" i="13"/>
  <c r="M193" i="13"/>
  <c r="N193" i="13"/>
  <c r="I197" i="13"/>
  <c r="J197" i="13"/>
  <c r="K197" i="13"/>
  <c r="L197" i="13"/>
  <c r="M197" i="13"/>
  <c r="N197" i="13"/>
  <c r="I198" i="13"/>
  <c r="J198" i="13"/>
  <c r="K198" i="13"/>
  <c r="L198" i="13"/>
  <c r="M198" i="13"/>
  <c r="N198" i="13"/>
  <c r="N200" i="14" s="1"/>
  <c r="O198" i="13"/>
  <c r="O199" i="14" s="1"/>
  <c r="I199" i="13"/>
  <c r="J199" i="13"/>
  <c r="K199" i="13"/>
  <c r="L199" i="13"/>
  <c r="M199" i="13"/>
  <c r="N199" i="13"/>
  <c r="I200" i="13"/>
  <c r="J200" i="13"/>
  <c r="J204" i="14" s="1"/>
  <c r="K200" i="13"/>
  <c r="L200" i="13"/>
  <c r="M200" i="13"/>
  <c r="N200" i="13"/>
  <c r="O200" i="13"/>
  <c r="I201" i="13"/>
  <c r="J201" i="13"/>
  <c r="K201" i="13"/>
  <c r="L201" i="13"/>
  <c r="M201" i="13"/>
  <c r="N201" i="13"/>
  <c r="I202" i="13"/>
  <c r="J202" i="13"/>
  <c r="K202" i="13"/>
  <c r="L202" i="13"/>
  <c r="M202" i="13"/>
  <c r="N202" i="13"/>
  <c r="I203" i="13"/>
  <c r="J203" i="13"/>
  <c r="K203" i="13"/>
  <c r="L203" i="13"/>
  <c r="M203" i="13"/>
  <c r="N203" i="13"/>
  <c r="I186" i="13"/>
  <c r="J186" i="13"/>
  <c r="K186" i="13"/>
  <c r="K186" i="14" s="1"/>
  <c r="L186" i="13"/>
  <c r="L186" i="14" s="1"/>
  <c r="M186" i="13"/>
  <c r="M186" i="14" s="1"/>
  <c r="N186" i="13"/>
  <c r="N186" i="14" s="1"/>
  <c r="I366" i="13"/>
  <c r="J366" i="13"/>
  <c r="K366" i="13"/>
  <c r="K366" i="14" s="1"/>
  <c r="L366" i="13"/>
  <c r="L366" i="14" s="1"/>
  <c r="M366" i="13"/>
  <c r="M366" i="14" s="1"/>
  <c r="N366" i="13"/>
  <c r="N366" i="14" s="1"/>
  <c r="I257" i="13"/>
  <c r="J257" i="13"/>
  <c r="K257" i="13"/>
  <c r="L257" i="13"/>
  <c r="M257" i="13"/>
  <c r="N257" i="13"/>
  <c r="I261" i="13"/>
  <c r="J261" i="13"/>
  <c r="J262" i="14" s="1"/>
  <c r="K261" i="13"/>
  <c r="L261" i="13"/>
  <c r="M261" i="13"/>
  <c r="N261" i="13"/>
  <c r="I269" i="13"/>
  <c r="J269" i="13"/>
  <c r="K269" i="13"/>
  <c r="L269" i="13"/>
  <c r="L269" i="14" s="1"/>
  <c r="M269" i="13"/>
  <c r="N269" i="13"/>
  <c r="N269" i="14" s="1"/>
  <c r="I270" i="13"/>
  <c r="J270" i="13"/>
  <c r="K270" i="13"/>
  <c r="L270" i="13"/>
  <c r="M270" i="13"/>
  <c r="N270" i="13"/>
  <c r="I271" i="13"/>
  <c r="J271" i="13"/>
  <c r="K271" i="13"/>
  <c r="L271" i="13"/>
  <c r="M271" i="13"/>
  <c r="M274" i="14" s="1"/>
  <c r="N271" i="13"/>
  <c r="I272" i="13"/>
  <c r="J272" i="13"/>
  <c r="J275" i="14" s="1"/>
  <c r="K272" i="13"/>
  <c r="K276" i="14" s="1"/>
  <c r="L272" i="13"/>
  <c r="M272" i="13"/>
  <c r="N272" i="13"/>
  <c r="I285" i="13"/>
  <c r="J285" i="13"/>
  <c r="K285" i="13"/>
  <c r="L285" i="13"/>
  <c r="M285" i="13"/>
  <c r="N285" i="13"/>
  <c r="I264" i="13"/>
  <c r="J264" i="13"/>
  <c r="K264" i="13"/>
  <c r="K264" i="14" s="1"/>
  <c r="L264" i="13"/>
  <c r="L264" i="14" s="1"/>
  <c r="M264" i="13"/>
  <c r="M264" i="14" s="1"/>
  <c r="N264" i="13"/>
  <c r="N264" i="14" s="1"/>
  <c r="I348" i="13"/>
  <c r="J348" i="13"/>
  <c r="K348" i="13"/>
  <c r="L348" i="13"/>
  <c r="M348" i="13"/>
  <c r="N348" i="13"/>
  <c r="I287" i="13"/>
  <c r="J287" i="13"/>
  <c r="K287" i="13"/>
  <c r="L287" i="13"/>
  <c r="M287" i="13"/>
  <c r="N287" i="13"/>
  <c r="I290" i="13"/>
  <c r="J290" i="13"/>
  <c r="J291" i="14" s="1"/>
  <c r="K290" i="13"/>
  <c r="L290" i="13"/>
  <c r="L291" i="14" s="1"/>
  <c r="M290" i="13"/>
  <c r="N290" i="13"/>
  <c r="I292" i="13"/>
  <c r="J292" i="13"/>
  <c r="K292" i="13"/>
  <c r="K292" i="14" s="1"/>
  <c r="L292" i="13"/>
  <c r="L292" i="14" s="1"/>
  <c r="M292" i="13"/>
  <c r="M292" i="14" s="1"/>
  <c r="N292" i="13"/>
  <c r="N292" i="14" s="1"/>
  <c r="I293" i="13"/>
  <c r="J293" i="13"/>
  <c r="J293" i="14" s="1"/>
  <c r="K293" i="13"/>
  <c r="K293" i="14" s="1"/>
  <c r="L293" i="13"/>
  <c r="L293" i="14" s="1"/>
  <c r="M293" i="13"/>
  <c r="M293" i="14" s="1"/>
  <c r="N293" i="13"/>
  <c r="N293" i="14" s="1"/>
  <c r="I294" i="13"/>
  <c r="J294" i="13"/>
  <c r="K294" i="13"/>
  <c r="K294" i="14" s="1"/>
  <c r="L294" i="13"/>
  <c r="L294" i="14" s="1"/>
  <c r="M294" i="13"/>
  <c r="M294" i="14" s="1"/>
  <c r="N294" i="13"/>
  <c r="N294" i="14" s="1"/>
  <c r="I148" i="13"/>
  <c r="J148" i="13"/>
  <c r="K148" i="13"/>
  <c r="K148" i="14" s="1"/>
  <c r="L148" i="13"/>
  <c r="L149" i="14" s="1"/>
  <c r="M148" i="13"/>
  <c r="N148" i="13"/>
  <c r="I298" i="13"/>
  <c r="J298" i="13"/>
  <c r="K298" i="13"/>
  <c r="L298" i="13"/>
  <c r="M298" i="13"/>
  <c r="N298" i="13"/>
  <c r="I367" i="13"/>
  <c r="J367" i="13"/>
  <c r="K367" i="13"/>
  <c r="K371" i="14" s="1"/>
  <c r="L367" i="13"/>
  <c r="L371" i="14" s="1"/>
  <c r="M367" i="13"/>
  <c r="M371" i="14" s="1"/>
  <c r="N367" i="13"/>
  <c r="N371" i="14" s="1"/>
  <c r="I301" i="13"/>
  <c r="J301" i="13"/>
  <c r="J301" i="14" s="1"/>
  <c r="K301" i="13"/>
  <c r="L301" i="13"/>
  <c r="L301" i="14" s="1"/>
  <c r="M301" i="13"/>
  <c r="M301" i="14" s="1"/>
  <c r="N301" i="13"/>
  <c r="N301" i="14" s="1"/>
  <c r="I305" i="13"/>
  <c r="J305" i="13"/>
  <c r="K305" i="13"/>
  <c r="L305" i="13"/>
  <c r="M305" i="13"/>
  <c r="N305" i="13"/>
  <c r="I307" i="13"/>
  <c r="J307" i="13"/>
  <c r="K307" i="13"/>
  <c r="K307" i="14" s="1"/>
  <c r="L307" i="13"/>
  <c r="L307" i="14" s="1"/>
  <c r="M307" i="13"/>
  <c r="M307" i="14" s="1"/>
  <c r="N307" i="13"/>
  <c r="N307" i="14" s="1"/>
  <c r="I320" i="13"/>
  <c r="J320" i="13"/>
  <c r="K320" i="13"/>
  <c r="L320" i="13"/>
  <c r="L320" i="14" s="1"/>
  <c r="M320" i="13"/>
  <c r="M320" i="14" s="1"/>
  <c r="N320" i="13"/>
  <c r="I324" i="13"/>
  <c r="J324" i="13"/>
  <c r="K324" i="13"/>
  <c r="L324" i="13"/>
  <c r="M324" i="13"/>
  <c r="N324" i="13"/>
  <c r="I330" i="13"/>
  <c r="J330" i="13"/>
  <c r="K330" i="13"/>
  <c r="L330" i="13"/>
  <c r="M330" i="13"/>
  <c r="N330" i="13"/>
  <c r="I313" i="13"/>
  <c r="J313" i="13"/>
  <c r="J314" i="14" s="1"/>
  <c r="K313" i="13"/>
  <c r="L313" i="13"/>
  <c r="M313" i="13"/>
  <c r="N313" i="13"/>
  <c r="I309" i="13"/>
  <c r="J309" i="13"/>
  <c r="K309" i="13"/>
  <c r="L309" i="13"/>
  <c r="L310" i="14" s="1"/>
  <c r="M309" i="13"/>
  <c r="M310" i="14" s="1"/>
  <c r="N309" i="13"/>
  <c r="O309" i="13"/>
  <c r="O309" i="14" s="1"/>
  <c r="I335" i="13"/>
  <c r="J335" i="13"/>
  <c r="K335" i="13"/>
  <c r="L335" i="13"/>
  <c r="M335" i="13"/>
  <c r="N335" i="13"/>
  <c r="I341" i="13"/>
  <c r="J341" i="13"/>
  <c r="K341" i="13"/>
  <c r="K341" i="14" s="1"/>
  <c r="L341" i="13"/>
  <c r="L341" i="14" s="1"/>
  <c r="M341" i="13"/>
  <c r="M341" i="14" s="1"/>
  <c r="N341" i="13"/>
  <c r="N341" i="14" s="1"/>
  <c r="I342" i="13"/>
  <c r="J342" i="13"/>
  <c r="K342" i="13"/>
  <c r="K342" i="14" s="1"/>
  <c r="L342" i="13"/>
  <c r="L342" i="14" s="1"/>
  <c r="M342" i="13"/>
  <c r="M342" i="14" s="1"/>
  <c r="N342" i="13"/>
  <c r="N342" i="14" s="1"/>
  <c r="I345" i="13"/>
  <c r="I346" i="14" s="1"/>
  <c r="J345" i="13"/>
  <c r="J346" i="14" s="1"/>
  <c r="K345" i="13"/>
  <c r="L345" i="13"/>
  <c r="M345" i="13"/>
  <c r="N345" i="13"/>
  <c r="I349" i="13"/>
  <c r="J349" i="13"/>
  <c r="J350" i="14" s="1"/>
  <c r="K349" i="13"/>
  <c r="L349" i="13"/>
  <c r="M349" i="13"/>
  <c r="N349" i="13"/>
  <c r="I357" i="13"/>
  <c r="J357" i="13"/>
  <c r="K357" i="13"/>
  <c r="K358" i="14" s="1"/>
  <c r="L357" i="13"/>
  <c r="L357" i="14" s="1"/>
  <c r="M357" i="13"/>
  <c r="N357" i="13"/>
  <c r="I116" i="13"/>
  <c r="J116" i="13"/>
  <c r="J116" i="14" s="1"/>
  <c r="K116" i="13"/>
  <c r="K116" i="14" s="1"/>
  <c r="L116" i="13"/>
  <c r="L116" i="14" s="1"/>
  <c r="M116" i="13"/>
  <c r="M116" i="14" s="1"/>
  <c r="N116" i="13"/>
  <c r="I117" i="13"/>
  <c r="J117" i="13"/>
  <c r="J117" i="14" s="1"/>
  <c r="K117" i="13"/>
  <c r="K117" i="14" s="1"/>
  <c r="L117" i="13"/>
  <c r="L117" i="14" s="1"/>
  <c r="M117" i="13"/>
  <c r="M117" i="14" s="1"/>
  <c r="N117" i="13"/>
  <c r="I326" i="13"/>
  <c r="J326" i="13"/>
  <c r="J326" i="14" s="1"/>
  <c r="K326" i="13"/>
  <c r="K326" i="14" s="1"/>
  <c r="L326" i="13"/>
  <c r="L326" i="14" s="1"/>
  <c r="M326" i="13"/>
  <c r="M326" i="14" s="1"/>
  <c r="N326" i="13"/>
  <c r="I374" i="13"/>
  <c r="J374" i="13"/>
  <c r="J374" i="14" s="1"/>
  <c r="K374" i="13"/>
  <c r="K374" i="14" s="1"/>
  <c r="L374" i="13"/>
  <c r="L374" i="14" s="1"/>
  <c r="M374" i="13"/>
  <c r="M374" i="14" s="1"/>
  <c r="N374" i="13"/>
  <c r="N374" i="14" s="1"/>
  <c r="I192" i="13"/>
  <c r="J192" i="13"/>
  <c r="K192" i="13"/>
  <c r="L192" i="13"/>
  <c r="M192" i="13"/>
  <c r="N192" i="13"/>
  <c r="I64" i="13"/>
  <c r="J64" i="13"/>
  <c r="K64" i="13"/>
  <c r="L64" i="13"/>
  <c r="M64" i="13"/>
  <c r="N64" i="13"/>
  <c r="I9" i="13"/>
  <c r="J9" i="13"/>
  <c r="K9" i="13"/>
  <c r="L9" i="13"/>
  <c r="M9" i="13"/>
  <c r="N9" i="13"/>
  <c r="I15" i="13"/>
  <c r="J15" i="13"/>
  <c r="K15" i="13"/>
  <c r="L15" i="13"/>
  <c r="M15" i="13"/>
  <c r="N15" i="13"/>
  <c r="I16" i="13"/>
  <c r="J16" i="13"/>
  <c r="K16" i="13"/>
  <c r="L16" i="13"/>
  <c r="M16" i="13"/>
  <c r="N16" i="13"/>
  <c r="I17" i="13"/>
  <c r="J17" i="13"/>
  <c r="K17" i="13"/>
  <c r="L17" i="13"/>
  <c r="M17" i="13"/>
  <c r="N17" i="13"/>
  <c r="I18" i="13"/>
  <c r="J18" i="13"/>
  <c r="K18" i="13"/>
  <c r="L18" i="13"/>
  <c r="M18" i="13"/>
  <c r="N18" i="13"/>
  <c r="I5" i="13"/>
  <c r="J5" i="13"/>
  <c r="K5" i="13"/>
  <c r="L5" i="13"/>
  <c r="M5" i="13"/>
  <c r="N5" i="13"/>
  <c r="I19" i="13"/>
  <c r="J19" i="13"/>
  <c r="K19" i="13"/>
  <c r="L19" i="13"/>
  <c r="M19" i="13"/>
  <c r="N19" i="13"/>
  <c r="I29" i="13"/>
  <c r="J29" i="13"/>
  <c r="K29" i="13"/>
  <c r="L29" i="13"/>
  <c r="M29" i="13"/>
  <c r="N29" i="13"/>
  <c r="I48" i="13"/>
  <c r="J48" i="13"/>
  <c r="K48" i="13"/>
  <c r="L48" i="13"/>
  <c r="M48" i="13"/>
  <c r="N48" i="13"/>
  <c r="I38" i="13"/>
  <c r="J38" i="13"/>
  <c r="K38" i="13"/>
  <c r="L38" i="13"/>
  <c r="M38" i="13"/>
  <c r="N38" i="13"/>
  <c r="I69" i="13"/>
  <c r="J69" i="13"/>
  <c r="K69" i="13"/>
  <c r="L69" i="13"/>
  <c r="M69" i="13"/>
  <c r="N69" i="13"/>
  <c r="I87" i="13"/>
  <c r="J87" i="13"/>
  <c r="K87" i="13"/>
  <c r="L87" i="13"/>
  <c r="M87" i="13"/>
  <c r="N87" i="13"/>
  <c r="O87" i="13"/>
  <c r="I92" i="13"/>
  <c r="J92" i="13"/>
  <c r="K92" i="13"/>
  <c r="L92" i="13"/>
  <c r="M92" i="13"/>
  <c r="N92" i="13"/>
  <c r="I81" i="13"/>
  <c r="J81" i="13"/>
  <c r="K81" i="13"/>
  <c r="L81" i="13"/>
  <c r="M81" i="13"/>
  <c r="N81" i="13"/>
  <c r="I126" i="13"/>
  <c r="J126" i="13"/>
  <c r="K126" i="13"/>
  <c r="L126" i="13"/>
  <c r="M126" i="13"/>
  <c r="N126" i="13"/>
  <c r="I133" i="13"/>
  <c r="J133" i="13"/>
  <c r="K133" i="13"/>
  <c r="L133" i="13"/>
  <c r="M133" i="13"/>
  <c r="N133" i="13"/>
  <c r="I141" i="13"/>
  <c r="J141" i="13"/>
  <c r="K141" i="13"/>
  <c r="L141" i="13"/>
  <c r="M141" i="13"/>
  <c r="N141" i="13"/>
  <c r="I319" i="13"/>
  <c r="J319" i="13"/>
  <c r="K319" i="13"/>
  <c r="L319" i="13"/>
  <c r="M319" i="13"/>
  <c r="N319" i="13"/>
  <c r="I93" i="13"/>
  <c r="J93" i="13"/>
  <c r="K93" i="13"/>
  <c r="L93" i="13"/>
  <c r="M93" i="13"/>
  <c r="N93" i="13"/>
  <c r="I185" i="13"/>
  <c r="J185" i="13"/>
  <c r="K185" i="13"/>
  <c r="L185" i="13"/>
  <c r="M185" i="13"/>
  <c r="N185" i="13"/>
  <c r="I190" i="13"/>
  <c r="J190" i="13"/>
  <c r="K190" i="13"/>
  <c r="L190" i="13"/>
  <c r="M190" i="13"/>
  <c r="N190" i="13"/>
  <c r="I194" i="13"/>
  <c r="J194" i="13"/>
  <c r="K194" i="13"/>
  <c r="L194" i="13"/>
  <c r="M194" i="13"/>
  <c r="N194" i="13"/>
  <c r="I204" i="13"/>
  <c r="J204" i="13"/>
  <c r="K204" i="13"/>
  <c r="L204" i="13"/>
  <c r="M204" i="13"/>
  <c r="N204" i="13"/>
  <c r="I205" i="13"/>
  <c r="J205" i="13"/>
  <c r="K205" i="13"/>
  <c r="L205" i="13"/>
  <c r="M205" i="13"/>
  <c r="N205" i="13"/>
  <c r="I206" i="13"/>
  <c r="J206" i="13"/>
  <c r="K206" i="13"/>
  <c r="L206" i="13"/>
  <c r="M206" i="13"/>
  <c r="N206" i="13"/>
  <c r="I207" i="13"/>
  <c r="J207" i="13"/>
  <c r="K207" i="13"/>
  <c r="L207" i="13"/>
  <c r="M207" i="13"/>
  <c r="N207" i="13"/>
  <c r="I208" i="13"/>
  <c r="J208" i="13"/>
  <c r="K208" i="13"/>
  <c r="L208" i="13"/>
  <c r="M208" i="13"/>
  <c r="N208" i="13"/>
  <c r="I209" i="13"/>
  <c r="J209" i="13"/>
  <c r="K209" i="13"/>
  <c r="L209" i="13"/>
  <c r="M209" i="13"/>
  <c r="N209" i="13"/>
  <c r="I210" i="13"/>
  <c r="J210" i="13"/>
  <c r="K210" i="13"/>
  <c r="L210" i="13"/>
  <c r="M210" i="13"/>
  <c r="N210" i="13"/>
  <c r="I258" i="13"/>
  <c r="J258" i="13"/>
  <c r="K258" i="13"/>
  <c r="L258" i="13"/>
  <c r="M258" i="13"/>
  <c r="N258" i="13"/>
  <c r="I262" i="13"/>
  <c r="J262" i="13"/>
  <c r="K262" i="13"/>
  <c r="L262" i="13"/>
  <c r="M262" i="13"/>
  <c r="N262" i="13"/>
  <c r="I273" i="13"/>
  <c r="J273" i="13"/>
  <c r="K273" i="13"/>
  <c r="L273" i="13"/>
  <c r="M273" i="13"/>
  <c r="N273" i="13"/>
  <c r="I274" i="13"/>
  <c r="J274" i="13"/>
  <c r="K274" i="13"/>
  <c r="L274" i="13"/>
  <c r="M274" i="13"/>
  <c r="N274" i="13"/>
  <c r="I275" i="13"/>
  <c r="J275" i="13"/>
  <c r="K275" i="13"/>
  <c r="L275" i="13"/>
  <c r="M275" i="13"/>
  <c r="N275" i="13"/>
  <c r="I276" i="13"/>
  <c r="J276" i="13"/>
  <c r="K276" i="13"/>
  <c r="L276" i="13"/>
  <c r="M276" i="13"/>
  <c r="N276" i="13"/>
  <c r="I286" i="13"/>
  <c r="J286" i="13"/>
  <c r="K286" i="13"/>
  <c r="L286" i="13"/>
  <c r="M286" i="13"/>
  <c r="N286" i="13"/>
  <c r="I350" i="13"/>
  <c r="J350" i="13"/>
  <c r="K350" i="13"/>
  <c r="L350" i="13"/>
  <c r="M350" i="13"/>
  <c r="N350" i="13"/>
  <c r="I288" i="13"/>
  <c r="J288" i="13"/>
  <c r="K288" i="13"/>
  <c r="L288" i="13"/>
  <c r="M288" i="13"/>
  <c r="N288" i="13"/>
  <c r="I291" i="13"/>
  <c r="J291" i="13"/>
  <c r="K291" i="13"/>
  <c r="L291" i="13"/>
  <c r="M291" i="13"/>
  <c r="N291" i="13"/>
  <c r="I149" i="13"/>
  <c r="J149" i="13"/>
  <c r="K149" i="13"/>
  <c r="L149" i="13"/>
  <c r="M149" i="13"/>
  <c r="N149" i="13"/>
  <c r="I299" i="13"/>
  <c r="J299" i="13"/>
  <c r="K299" i="13"/>
  <c r="L299" i="13"/>
  <c r="M299" i="13"/>
  <c r="N299" i="13"/>
  <c r="I306" i="13"/>
  <c r="J306" i="13"/>
  <c r="K306" i="13"/>
  <c r="L306" i="13"/>
  <c r="M306" i="13"/>
  <c r="N306" i="13"/>
  <c r="I321" i="13"/>
  <c r="J321" i="13"/>
  <c r="K321" i="13"/>
  <c r="L321" i="13"/>
  <c r="M321" i="13"/>
  <c r="N321" i="13"/>
  <c r="I325" i="13"/>
  <c r="J325" i="13"/>
  <c r="K325" i="13"/>
  <c r="L325" i="13"/>
  <c r="M325" i="13"/>
  <c r="N325" i="13"/>
  <c r="I331" i="13"/>
  <c r="J331" i="13"/>
  <c r="K331" i="13"/>
  <c r="L331" i="13"/>
  <c r="M331" i="13"/>
  <c r="N331" i="13"/>
  <c r="I314" i="13"/>
  <c r="J314" i="13"/>
  <c r="K314" i="13"/>
  <c r="L314" i="13"/>
  <c r="M314" i="13"/>
  <c r="N314" i="13"/>
  <c r="I310" i="13"/>
  <c r="J310" i="13"/>
  <c r="K310" i="13"/>
  <c r="L310" i="13"/>
  <c r="M310" i="13"/>
  <c r="N310" i="13"/>
  <c r="I336" i="13"/>
  <c r="J336" i="13"/>
  <c r="K336" i="13"/>
  <c r="L336" i="13"/>
  <c r="M336" i="13"/>
  <c r="N336" i="13"/>
  <c r="I346" i="13"/>
  <c r="J346" i="13"/>
  <c r="K346" i="13"/>
  <c r="L346" i="13"/>
  <c r="M346" i="13"/>
  <c r="N346" i="13"/>
  <c r="I351" i="13"/>
  <c r="J351" i="13"/>
  <c r="K351" i="13"/>
  <c r="L351" i="13"/>
  <c r="M351" i="13"/>
  <c r="N351" i="13"/>
  <c r="I358" i="13"/>
  <c r="J358" i="13"/>
  <c r="K358" i="13"/>
  <c r="L358" i="13"/>
  <c r="M358" i="13"/>
  <c r="N358" i="13"/>
  <c r="N308" i="13"/>
  <c r="M308" i="13"/>
  <c r="M308" i="14" s="1"/>
  <c r="L308" i="13"/>
  <c r="L308" i="14" s="1"/>
  <c r="K308" i="13"/>
  <c r="K308" i="14" s="1"/>
  <c r="J308" i="13"/>
  <c r="J308" i="14" s="1"/>
  <c r="I308" i="13"/>
  <c r="F3" i="13"/>
  <c r="F3" i="14" s="1"/>
  <c r="G3" i="13"/>
  <c r="P3" i="13" s="1"/>
  <c r="P3" i="14" s="1"/>
  <c r="F23" i="13"/>
  <c r="F23" i="14" s="1"/>
  <c r="G23" i="13"/>
  <c r="F21" i="13"/>
  <c r="F21" i="14" s="1"/>
  <c r="G21" i="13"/>
  <c r="F33" i="13"/>
  <c r="F33" i="14" s="1"/>
  <c r="G33" i="13"/>
  <c r="F59" i="13"/>
  <c r="F59" i="14" s="1"/>
  <c r="G59" i="13"/>
  <c r="F74" i="13"/>
  <c r="F74" i="14" s="1"/>
  <c r="G74" i="13"/>
  <c r="F99" i="13"/>
  <c r="F99" i="14" s="1"/>
  <c r="G99" i="13"/>
  <c r="F83" i="13"/>
  <c r="F83" i="14" s="1"/>
  <c r="G83" i="13"/>
  <c r="P83" i="13" s="1"/>
  <c r="P83" i="14" s="1"/>
  <c r="F106" i="13"/>
  <c r="F106" i="14" s="1"/>
  <c r="G106" i="13"/>
  <c r="P106" i="13" s="1"/>
  <c r="P106" i="14" s="1"/>
  <c r="F121" i="13"/>
  <c r="F121" i="14" s="1"/>
  <c r="G121" i="13"/>
  <c r="F128" i="13"/>
  <c r="F128" i="14" s="1"/>
  <c r="G128" i="13"/>
  <c r="P128" i="13" s="1"/>
  <c r="P128" i="14" s="1"/>
  <c r="F129" i="13"/>
  <c r="F129" i="14" s="1"/>
  <c r="G129" i="13"/>
  <c r="F158" i="13"/>
  <c r="F158" i="14" s="1"/>
  <c r="G158" i="13"/>
  <c r="X158" i="13" s="1"/>
  <c r="X158" i="14" s="1"/>
  <c r="F164" i="13"/>
  <c r="F164" i="14" s="1"/>
  <c r="G164" i="13"/>
  <c r="F166" i="13"/>
  <c r="F166" i="14" s="1"/>
  <c r="G166" i="13"/>
  <c r="F82" i="13"/>
  <c r="F82" i="14" s="1"/>
  <c r="G82" i="13"/>
  <c r="F196" i="13"/>
  <c r="F196" i="14" s="1"/>
  <c r="G196" i="13"/>
  <c r="F220" i="13"/>
  <c r="F220" i="14" s="1"/>
  <c r="G220" i="13"/>
  <c r="F249" i="13"/>
  <c r="F249" i="14" s="1"/>
  <c r="G249" i="13"/>
  <c r="F328" i="13"/>
  <c r="F328" i="14" s="1"/>
  <c r="G328" i="13"/>
  <c r="F337" i="13"/>
  <c r="F337" i="14" s="1"/>
  <c r="G337" i="13"/>
  <c r="F187" i="13"/>
  <c r="F187" i="14" s="1"/>
  <c r="G187" i="13"/>
  <c r="F355" i="13"/>
  <c r="F355" i="14" s="1"/>
  <c r="G355" i="13"/>
  <c r="F114" i="13"/>
  <c r="F114" i="14" s="1"/>
  <c r="G114" i="13"/>
  <c r="F147" i="13"/>
  <c r="F147" i="14" s="1"/>
  <c r="G147" i="13"/>
  <c r="F115" i="13"/>
  <c r="F115" i="14" s="1"/>
  <c r="G115" i="13"/>
  <c r="F267" i="13"/>
  <c r="F267" i="14" s="1"/>
  <c r="G267" i="13"/>
  <c r="F41" i="13"/>
  <c r="F41" i="14" s="1"/>
  <c r="G41" i="13"/>
  <c r="P41" i="13" s="1"/>
  <c r="P41" i="14" s="1"/>
  <c r="F42" i="13"/>
  <c r="F42" i="14" s="1"/>
  <c r="G42" i="13"/>
  <c r="P42" i="13" s="1"/>
  <c r="P42" i="14" s="1"/>
  <c r="F43" i="13"/>
  <c r="F43" i="14" s="1"/>
  <c r="G43" i="13"/>
  <c r="P43" i="13" s="1"/>
  <c r="P43" i="14" s="1"/>
  <c r="F89" i="13"/>
  <c r="F89" i="14" s="1"/>
  <c r="G89" i="13"/>
  <c r="P89" i="13" s="1"/>
  <c r="P89" i="14" s="1"/>
  <c r="F84" i="13"/>
  <c r="F84" i="14" s="1"/>
  <c r="G84" i="13"/>
  <c r="F103" i="13"/>
  <c r="F103" i="14" s="1"/>
  <c r="G103" i="13"/>
  <c r="F55" i="13"/>
  <c r="F55" i="14" s="1"/>
  <c r="G55" i="13"/>
  <c r="P55" i="13" s="1"/>
  <c r="P55" i="14" s="1"/>
  <c r="F130" i="13"/>
  <c r="F130" i="14" s="1"/>
  <c r="G130" i="13"/>
  <c r="F105" i="13"/>
  <c r="F105" i="14" s="1"/>
  <c r="G105" i="13"/>
  <c r="F222" i="13"/>
  <c r="F222" i="14" s="1"/>
  <c r="G222" i="13"/>
  <c r="F215" i="13"/>
  <c r="F215" i="14" s="1"/>
  <c r="G215" i="13"/>
  <c r="F217" i="13"/>
  <c r="F217" i="14" s="1"/>
  <c r="G217" i="13"/>
  <c r="F77" i="13"/>
  <c r="F77" i="14" s="1"/>
  <c r="G77" i="13"/>
  <c r="F242" i="13"/>
  <c r="F242" i="14" s="1"/>
  <c r="G242" i="13"/>
  <c r="F218" i="13"/>
  <c r="F218" i="14" s="1"/>
  <c r="G218" i="13"/>
  <c r="P218" i="13" s="1"/>
  <c r="P218" i="14" s="1"/>
  <c r="F281" i="13"/>
  <c r="F281" i="14" s="1"/>
  <c r="G281" i="13"/>
  <c r="P281" i="13" s="1"/>
  <c r="P281" i="14" s="1"/>
  <c r="F282" i="13"/>
  <c r="F282" i="14" s="1"/>
  <c r="G282" i="13"/>
  <c r="P282" i="13" s="1"/>
  <c r="P282" i="14" s="1"/>
  <c r="F283" i="13"/>
  <c r="F283" i="14" s="1"/>
  <c r="G283" i="13"/>
  <c r="F368" i="13"/>
  <c r="F367" i="14" s="1"/>
  <c r="G368" i="13"/>
  <c r="F369" i="13"/>
  <c r="F368" i="14" s="1"/>
  <c r="G369" i="13"/>
  <c r="F370" i="13"/>
  <c r="F369" i="14" s="1"/>
  <c r="G370" i="13"/>
  <c r="F371" i="13"/>
  <c r="F370" i="14" s="1"/>
  <c r="G371" i="13"/>
  <c r="P371" i="13" s="1"/>
  <c r="P370" i="14" s="1"/>
  <c r="F25" i="13"/>
  <c r="F25" i="14" s="1"/>
  <c r="G25" i="13"/>
  <c r="P25" i="13" s="1"/>
  <c r="F26" i="13"/>
  <c r="F26" i="14" s="1"/>
  <c r="G26" i="13"/>
  <c r="F27" i="13"/>
  <c r="F27" i="14" s="1"/>
  <c r="G27" i="13"/>
  <c r="F131" i="13"/>
  <c r="F131" i="14" s="1"/>
  <c r="G131" i="13"/>
  <c r="P131" i="13" s="1"/>
  <c r="F221" i="13"/>
  <c r="F221" i="14" s="1"/>
  <c r="G221" i="13"/>
  <c r="F178" i="13"/>
  <c r="F178" i="14" s="1"/>
  <c r="G178" i="13"/>
  <c r="F179" i="13"/>
  <c r="F179" i="14" s="1"/>
  <c r="G179" i="13"/>
  <c r="F363" i="13"/>
  <c r="F363" i="14" s="1"/>
  <c r="G363" i="13"/>
  <c r="F6" i="13"/>
  <c r="F6" i="14" s="1"/>
  <c r="G6" i="13"/>
  <c r="F22" i="13"/>
  <c r="F22" i="14" s="1"/>
  <c r="G22" i="13"/>
  <c r="F20" i="13"/>
  <c r="F20" i="14" s="1"/>
  <c r="G20" i="13"/>
  <c r="F31" i="13"/>
  <c r="F31" i="14" s="1"/>
  <c r="G31" i="13"/>
  <c r="F24" i="13"/>
  <c r="F24" i="14" s="1"/>
  <c r="G24" i="13"/>
  <c r="F30" i="13"/>
  <c r="F30" i="14" s="1"/>
  <c r="G30" i="13"/>
  <c r="P30" i="13" s="1"/>
  <c r="P30" i="14" s="1"/>
  <c r="F40" i="13"/>
  <c r="F40" i="14" s="1"/>
  <c r="G40" i="13"/>
  <c r="P40" i="13" s="1"/>
  <c r="P40" i="14" s="1"/>
  <c r="F44" i="13"/>
  <c r="F44" i="14" s="1"/>
  <c r="G44" i="13"/>
  <c r="P44" i="13" s="1"/>
  <c r="P44" i="14" s="1"/>
  <c r="F45" i="13"/>
  <c r="F45" i="14" s="1"/>
  <c r="G45" i="13"/>
  <c r="F46" i="13"/>
  <c r="F46" i="14" s="1"/>
  <c r="G46" i="13"/>
  <c r="F78" i="13"/>
  <c r="F78" i="14" s="1"/>
  <c r="G78" i="13"/>
  <c r="F79" i="13"/>
  <c r="F79" i="14" s="1"/>
  <c r="G79" i="13"/>
  <c r="F65" i="13"/>
  <c r="F65" i="14" s="1"/>
  <c r="G65" i="13"/>
  <c r="P65" i="13" s="1"/>
  <c r="P65" i="14" s="1"/>
  <c r="F67" i="13"/>
  <c r="F67" i="14" s="1"/>
  <c r="G67" i="13"/>
  <c r="F70" i="13"/>
  <c r="F70" i="14" s="1"/>
  <c r="G70" i="13"/>
  <c r="P70" i="13" s="1"/>
  <c r="P70" i="14" s="1"/>
  <c r="F71" i="13"/>
  <c r="F71" i="14" s="1"/>
  <c r="G71" i="13"/>
  <c r="P71" i="13" s="1"/>
  <c r="P71" i="14" s="1"/>
  <c r="F94" i="13"/>
  <c r="F94" i="14" s="1"/>
  <c r="G94" i="13"/>
  <c r="P94" i="13" s="1"/>
  <c r="P94" i="14" s="1"/>
  <c r="F96" i="13"/>
  <c r="F96" i="14" s="1"/>
  <c r="G96" i="13"/>
  <c r="F98" i="13"/>
  <c r="F98" i="14" s="1"/>
  <c r="G98" i="13"/>
  <c r="P98" i="13" s="1"/>
  <c r="P98" i="14" s="1"/>
  <c r="F100" i="13"/>
  <c r="F101" i="14" s="1"/>
  <c r="G100" i="13"/>
  <c r="F101" i="13"/>
  <c r="F100" i="14" s="1"/>
  <c r="G101" i="13"/>
  <c r="F102" i="13"/>
  <c r="F102" i="14" s="1"/>
  <c r="G102" i="13"/>
  <c r="F134" i="13"/>
  <c r="F134" i="14" s="1"/>
  <c r="G134" i="13"/>
  <c r="F277" i="13"/>
  <c r="F277" i="14" s="1"/>
  <c r="G277" i="13"/>
  <c r="F162" i="13"/>
  <c r="F162" i="14" s="1"/>
  <c r="G162" i="13"/>
  <c r="F160" i="13"/>
  <c r="F160" i="14" s="1"/>
  <c r="G160" i="13"/>
  <c r="F163" i="13"/>
  <c r="F163" i="14" s="1"/>
  <c r="G163" i="13"/>
  <c r="P163" i="13" s="1"/>
  <c r="P163" i="14" s="1"/>
  <c r="F53" i="13"/>
  <c r="F53" i="14" s="1"/>
  <c r="G53" i="13"/>
  <c r="X53" i="13" s="1"/>
  <c r="X53" i="14" s="1"/>
  <c r="F188" i="13"/>
  <c r="F188" i="14" s="1"/>
  <c r="G188" i="13"/>
  <c r="F243" i="13"/>
  <c r="F243" i="14" s="1"/>
  <c r="G243" i="13"/>
  <c r="F223" i="13"/>
  <c r="F223" i="14" s="1"/>
  <c r="G223" i="13"/>
  <c r="P223" i="13" s="1"/>
  <c r="P223" i="14" s="1"/>
  <c r="F236" i="13"/>
  <c r="F236" i="14" s="1"/>
  <c r="G236" i="13"/>
  <c r="F237" i="13"/>
  <c r="F237" i="14" s="1"/>
  <c r="G237" i="13"/>
  <c r="F238" i="13"/>
  <c r="F238" i="14" s="1"/>
  <c r="G238" i="13"/>
  <c r="P238" i="13" s="1"/>
  <c r="P238" i="14" s="1"/>
  <c r="F239" i="13"/>
  <c r="F239" i="14" s="1"/>
  <c r="G239" i="13"/>
  <c r="X239" i="13" s="1"/>
  <c r="X239" i="14" s="1"/>
  <c r="F354" i="13"/>
  <c r="F354" i="14" s="1"/>
  <c r="G354" i="13"/>
  <c r="P354" i="13" s="1"/>
  <c r="P354" i="14" s="1"/>
  <c r="F244" i="13"/>
  <c r="F244" i="14" s="1"/>
  <c r="G244" i="13"/>
  <c r="P244" i="13" s="1"/>
  <c r="P244" i="14" s="1"/>
  <c r="F97" i="13"/>
  <c r="F97" i="14" s="1"/>
  <c r="G97" i="13"/>
  <c r="P97" i="13" s="1"/>
  <c r="P97" i="14" s="1"/>
  <c r="F245" i="13"/>
  <c r="F245" i="14" s="1"/>
  <c r="G245" i="13"/>
  <c r="F241" i="13"/>
  <c r="F241" i="14" s="1"/>
  <c r="G241" i="13"/>
  <c r="F212" i="13"/>
  <c r="F212" i="14" s="1"/>
  <c r="G212" i="13"/>
  <c r="F119" i="13"/>
  <c r="F119" i="14" s="1"/>
  <c r="G119" i="13"/>
  <c r="X119" i="13" s="1"/>
  <c r="X119" i="14" s="1"/>
  <c r="F120" i="13"/>
  <c r="F120" i="14" s="1"/>
  <c r="G120" i="13"/>
  <c r="F253" i="13"/>
  <c r="F253" i="14" s="1"/>
  <c r="G253" i="13"/>
  <c r="F255" i="13"/>
  <c r="F255" i="14" s="1"/>
  <c r="G255" i="13"/>
  <c r="F260" i="13"/>
  <c r="F260" i="14" s="1"/>
  <c r="G260" i="13"/>
  <c r="F256" i="13"/>
  <c r="F256" i="14" s="1"/>
  <c r="G256" i="13"/>
  <c r="F278" i="13"/>
  <c r="F278" i="14" s="1"/>
  <c r="G278" i="13"/>
  <c r="P278" i="13" s="1"/>
  <c r="P278" i="14" s="1"/>
  <c r="F57" i="13"/>
  <c r="F57" i="14" s="1"/>
  <c r="G57" i="13"/>
  <c r="P57" i="13" s="1"/>
  <c r="P57" i="14" s="1"/>
  <c r="F265" i="13"/>
  <c r="F265" i="14" s="1"/>
  <c r="G265" i="13"/>
  <c r="F268" i="13"/>
  <c r="F268" i="14" s="1"/>
  <c r="G268" i="13"/>
  <c r="F266" i="13"/>
  <c r="F266" i="14" s="1"/>
  <c r="G266" i="13"/>
  <c r="F296" i="13"/>
  <c r="F296" i="14" s="1"/>
  <c r="G296" i="13"/>
  <c r="F322" i="13"/>
  <c r="F322" i="14" s="1"/>
  <c r="G322" i="13"/>
  <c r="F312" i="13"/>
  <c r="F312" i="14" s="1"/>
  <c r="G312" i="13"/>
  <c r="F323" i="13"/>
  <c r="F323" i="14" s="1"/>
  <c r="G323" i="13"/>
  <c r="X323" i="13" s="1"/>
  <c r="X323" i="14" s="1"/>
  <c r="F343" i="13"/>
  <c r="F343" i="14" s="1"/>
  <c r="G343" i="13"/>
  <c r="P343" i="13" s="1"/>
  <c r="P343" i="14" s="1"/>
  <c r="F327" i="13"/>
  <c r="F327" i="14" s="1"/>
  <c r="G327" i="13"/>
  <c r="F332" i="13"/>
  <c r="F332" i="14" s="1"/>
  <c r="G332" i="13"/>
  <c r="P332" i="13" s="1"/>
  <c r="P332" i="14" s="1"/>
  <c r="F333" i="13"/>
  <c r="F333" i="14" s="1"/>
  <c r="G333" i="13"/>
  <c r="F334" i="13"/>
  <c r="F334" i="14" s="1"/>
  <c r="G334" i="13"/>
  <c r="P334" i="13" s="1"/>
  <c r="P334" i="14" s="1"/>
  <c r="F302" i="13"/>
  <c r="F302" i="14" s="1"/>
  <c r="G302" i="13"/>
  <c r="X302" i="13" s="1"/>
  <c r="X302" i="14" s="1"/>
  <c r="F344" i="13"/>
  <c r="F344" i="14" s="1"/>
  <c r="G344" i="13"/>
  <c r="F364" i="13"/>
  <c r="F364" i="14" s="1"/>
  <c r="G364" i="13"/>
  <c r="F359" i="13"/>
  <c r="F359" i="14" s="1"/>
  <c r="G359" i="13"/>
  <c r="F360" i="13"/>
  <c r="F360" i="14" s="1"/>
  <c r="G360" i="13"/>
  <c r="F361" i="13"/>
  <c r="F361" i="14" s="1"/>
  <c r="G361" i="13"/>
  <c r="F54" i="13"/>
  <c r="F54" i="14" s="1"/>
  <c r="G54" i="13"/>
  <c r="F362" i="13"/>
  <c r="F362" i="14" s="1"/>
  <c r="G362" i="13"/>
  <c r="F191" i="13"/>
  <c r="G191" i="13"/>
  <c r="F63" i="13"/>
  <c r="G63" i="13"/>
  <c r="P63" i="13" s="1"/>
  <c r="F7" i="13"/>
  <c r="F7" i="14" s="1"/>
  <c r="G7" i="13"/>
  <c r="F127" i="13"/>
  <c r="F127" i="14" s="1"/>
  <c r="G127" i="13"/>
  <c r="F183" i="13"/>
  <c r="F183" i="14" s="1"/>
  <c r="G183" i="13"/>
  <c r="F250" i="13"/>
  <c r="F250" i="14" s="1"/>
  <c r="G250" i="13"/>
  <c r="P250" i="13" s="1"/>
  <c r="P250" i="14" s="1"/>
  <c r="F251" i="13"/>
  <c r="F251" i="14" s="1"/>
  <c r="G251" i="13"/>
  <c r="P251" i="13" s="1"/>
  <c r="P251" i="14" s="1"/>
  <c r="F295" i="13"/>
  <c r="F295" i="14" s="1"/>
  <c r="G295" i="13"/>
  <c r="F316" i="13"/>
  <c r="F316" i="14" s="1"/>
  <c r="G316" i="13"/>
  <c r="F338" i="13"/>
  <c r="F338" i="14" s="1"/>
  <c r="G338" i="13"/>
  <c r="F375" i="13"/>
  <c r="F375" i="14" s="1"/>
  <c r="G375" i="13"/>
  <c r="F300" i="13"/>
  <c r="F300" i="14" s="1"/>
  <c r="G300" i="13"/>
  <c r="F34" i="13"/>
  <c r="F34" i="14" s="1"/>
  <c r="G34" i="13"/>
  <c r="F61" i="13"/>
  <c r="F61" i="14" s="1"/>
  <c r="G61" i="13"/>
  <c r="F150" i="13"/>
  <c r="F150" i="14" s="1"/>
  <c r="G150" i="13"/>
  <c r="F151" i="13"/>
  <c r="F151" i="14" s="1"/>
  <c r="G151" i="13"/>
  <c r="F152" i="13"/>
  <c r="F152" i="14" s="1"/>
  <c r="G152" i="13"/>
  <c r="F154" i="13"/>
  <c r="F154" i="14" s="1"/>
  <c r="G154" i="13"/>
  <c r="F172" i="13"/>
  <c r="F172" i="14" s="1"/>
  <c r="G172" i="13"/>
  <c r="F173" i="13"/>
  <c r="F173" i="14" s="1"/>
  <c r="G173" i="13"/>
  <c r="F174" i="13"/>
  <c r="F174" i="14" s="1"/>
  <c r="G174" i="13"/>
  <c r="P174" i="13" s="1"/>
  <c r="P174" i="14" s="1"/>
  <c r="F259" i="13"/>
  <c r="F259" i="14" s="1"/>
  <c r="G259" i="13"/>
  <c r="P259" i="13" s="1"/>
  <c r="P259" i="14" s="1"/>
  <c r="F352" i="13"/>
  <c r="F352" i="14" s="1"/>
  <c r="G352" i="13"/>
  <c r="F58" i="13"/>
  <c r="F58" i="14" s="1"/>
  <c r="G58" i="13"/>
  <c r="F161" i="13"/>
  <c r="F161" i="14" s="1"/>
  <c r="G161" i="13"/>
  <c r="F213" i="13"/>
  <c r="F213" i="14" s="1"/>
  <c r="G213" i="13"/>
  <c r="F214" i="13"/>
  <c r="F214" i="14" s="1"/>
  <c r="G214" i="13"/>
  <c r="F248" i="13"/>
  <c r="F248" i="14" s="1"/>
  <c r="G248" i="13"/>
  <c r="F279" i="13"/>
  <c r="F279" i="14" s="1"/>
  <c r="G279" i="13"/>
  <c r="P279" i="13" s="1"/>
  <c r="P279" i="14" s="1"/>
  <c r="F280" i="13"/>
  <c r="F280" i="14" s="1"/>
  <c r="G280" i="13"/>
  <c r="P280" i="13" s="1"/>
  <c r="P280" i="14" s="1"/>
  <c r="F85" i="13"/>
  <c r="F85" i="14" s="1"/>
  <c r="G85" i="13"/>
  <c r="F195" i="13"/>
  <c r="F195" i="14" s="1"/>
  <c r="G195" i="13"/>
  <c r="F356" i="13"/>
  <c r="F356" i="14" s="1"/>
  <c r="G356" i="13"/>
  <c r="F247" i="13"/>
  <c r="F247" i="14" s="1"/>
  <c r="G247" i="13"/>
  <c r="F36" i="13"/>
  <c r="F36" i="14" s="1"/>
  <c r="G36" i="13"/>
  <c r="F60" i="13"/>
  <c r="F60" i="14" s="1"/>
  <c r="G60" i="13"/>
  <c r="P60" i="13" s="1"/>
  <c r="P60" i="14" s="1"/>
  <c r="F62" i="13"/>
  <c r="F62" i="14" s="1"/>
  <c r="G62" i="13"/>
  <c r="F104" i="13"/>
  <c r="F104" i="14" s="1"/>
  <c r="G104" i="13"/>
  <c r="F111" i="13"/>
  <c r="F111" i="14" s="1"/>
  <c r="G111" i="13"/>
  <c r="F112" i="13"/>
  <c r="F112" i="14" s="1"/>
  <c r="G112" i="13"/>
  <c r="F167" i="13"/>
  <c r="F167" i="14" s="1"/>
  <c r="G167" i="13"/>
  <c r="F107" i="13"/>
  <c r="F107" i="14" s="1"/>
  <c r="G107" i="13"/>
  <c r="F108" i="13"/>
  <c r="F108" i="14" s="1"/>
  <c r="G108" i="13"/>
  <c r="P108" i="13" s="1"/>
  <c r="P108" i="14" s="1"/>
  <c r="F353" i="13"/>
  <c r="F353" i="14" s="1"/>
  <c r="G353" i="13"/>
  <c r="P353" i="13" s="1"/>
  <c r="P353" i="14" s="1"/>
  <c r="F118" i="13"/>
  <c r="F118" i="14" s="1"/>
  <c r="G118" i="13"/>
  <c r="F123" i="13"/>
  <c r="F123" i="14" s="1"/>
  <c r="G123" i="13"/>
  <c r="P123" i="13" s="1"/>
  <c r="P123" i="14" s="1"/>
  <c r="F122" i="13"/>
  <c r="F122" i="14" s="1"/>
  <c r="G122" i="13"/>
  <c r="F165" i="13"/>
  <c r="F165" i="14" s="1"/>
  <c r="G165" i="13"/>
  <c r="P165" i="13" s="1"/>
  <c r="P165" i="14" s="1"/>
  <c r="F142" i="13"/>
  <c r="F142" i="14" s="1"/>
  <c r="G142" i="13"/>
  <c r="P142" i="13" s="1"/>
  <c r="P142" i="14" s="1"/>
  <c r="F143" i="13"/>
  <c r="F143" i="14" s="1"/>
  <c r="G143" i="13"/>
  <c r="F144" i="13"/>
  <c r="F144" i="14" s="1"/>
  <c r="G144" i="13"/>
  <c r="F145" i="13"/>
  <c r="F145" i="14" s="1"/>
  <c r="G145" i="13"/>
  <c r="F146" i="13"/>
  <c r="F146" i="14" s="1"/>
  <c r="G146" i="13"/>
  <c r="F175" i="13"/>
  <c r="F175" i="14" s="1"/>
  <c r="G175" i="13"/>
  <c r="F347" i="13"/>
  <c r="F347" i="14" s="1"/>
  <c r="G347" i="13"/>
  <c r="F180" i="13"/>
  <c r="F180" i="14" s="1"/>
  <c r="G180" i="13"/>
  <c r="F211" i="13"/>
  <c r="F211" i="14" s="1"/>
  <c r="G211" i="13"/>
  <c r="P211" i="13" s="1"/>
  <c r="P211" i="14" s="1"/>
  <c r="F246" i="13"/>
  <c r="F246" i="14" s="1"/>
  <c r="G246" i="13"/>
  <c r="F252" i="13"/>
  <c r="F252" i="14" s="1"/>
  <c r="G252" i="13"/>
  <c r="F263" i="13"/>
  <c r="F263" i="14" s="1"/>
  <c r="G263" i="13"/>
  <c r="F289" i="13"/>
  <c r="F289" i="14" s="1"/>
  <c r="G289" i="13"/>
  <c r="F297" i="13"/>
  <c r="F297" i="14" s="1"/>
  <c r="G297" i="13"/>
  <c r="F303" i="13"/>
  <c r="F303" i="14" s="1"/>
  <c r="G303" i="13"/>
  <c r="P303" i="13" s="1"/>
  <c r="P303" i="14" s="1"/>
  <c r="F304" i="13"/>
  <c r="F304" i="14" s="1"/>
  <c r="G304" i="13"/>
  <c r="P304" i="13" s="1"/>
  <c r="P304" i="14" s="1"/>
  <c r="F365" i="13"/>
  <c r="F365" i="14" s="1"/>
  <c r="G365" i="13"/>
  <c r="F311" i="13"/>
  <c r="F311" i="14" s="1"/>
  <c r="G311" i="13"/>
  <c r="P311" i="13" s="1"/>
  <c r="P311" i="14" s="1"/>
  <c r="F339" i="13"/>
  <c r="F339" i="14" s="1"/>
  <c r="G339" i="13"/>
  <c r="P339" i="13" s="1"/>
  <c r="P339" i="14" s="1"/>
  <c r="F124" i="13"/>
  <c r="F124" i="14" s="1"/>
  <c r="G124" i="13"/>
  <c r="F372" i="13"/>
  <c r="F372" i="14" s="1"/>
  <c r="G372" i="13"/>
  <c r="F373" i="13"/>
  <c r="F373" i="14" s="1"/>
  <c r="G373" i="13"/>
  <c r="F8" i="13"/>
  <c r="G8" i="13"/>
  <c r="F35" i="13"/>
  <c r="F35" i="14" s="1"/>
  <c r="G35" i="13"/>
  <c r="F39" i="13"/>
  <c r="F39" i="14" s="1"/>
  <c r="G39" i="13"/>
  <c r="F56" i="13"/>
  <c r="F56" i="14" s="1"/>
  <c r="G56" i="13"/>
  <c r="F66" i="13"/>
  <c r="F66" i="14" s="1"/>
  <c r="G66" i="13"/>
  <c r="F110" i="13"/>
  <c r="F110" i="14" s="1"/>
  <c r="G110" i="13"/>
  <c r="F153" i="13"/>
  <c r="F153" i="14" s="1"/>
  <c r="G153" i="13"/>
  <c r="P153" i="13" s="1"/>
  <c r="P153" i="14" s="1"/>
  <c r="F159" i="13"/>
  <c r="F159" i="14" s="1"/>
  <c r="G159" i="13"/>
  <c r="P159" i="13" s="1"/>
  <c r="P159" i="14" s="1"/>
  <c r="F181" i="13"/>
  <c r="F181" i="14" s="1"/>
  <c r="G181" i="13"/>
  <c r="F182" i="13"/>
  <c r="F182" i="14" s="1"/>
  <c r="G182" i="13"/>
  <c r="F216" i="13"/>
  <c r="F216" i="14" s="1"/>
  <c r="G216" i="13"/>
  <c r="F95" i="13"/>
  <c r="F95" i="14" s="1"/>
  <c r="G95" i="13"/>
  <c r="F254" i="13"/>
  <c r="F254" i="14" s="1"/>
  <c r="G254" i="13"/>
  <c r="F317" i="13"/>
  <c r="F317" i="14" s="1"/>
  <c r="G317" i="13"/>
  <c r="F176" i="13"/>
  <c r="F176" i="14" s="1"/>
  <c r="G176" i="13"/>
  <c r="P176" i="13" s="1"/>
  <c r="P176" i="14" s="1"/>
  <c r="F49" i="13"/>
  <c r="F49" i="14" s="1"/>
  <c r="G49" i="13"/>
  <c r="P49" i="13" s="1"/>
  <c r="P49" i="14" s="1"/>
  <c r="F50" i="13"/>
  <c r="F50" i="14" s="1"/>
  <c r="G50" i="13"/>
  <c r="F51" i="13"/>
  <c r="F51" i="14" s="1"/>
  <c r="G51" i="13"/>
  <c r="P51" i="13" s="1"/>
  <c r="P51" i="14" s="1"/>
  <c r="F75" i="13"/>
  <c r="F75" i="14" s="1"/>
  <c r="G75" i="13"/>
  <c r="F76" i="13"/>
  <c r="F76" i="14" s="1"/>
  <c r="G76" i="13"/>
  <c r="F113" i="13"/>
  <c r="F113" i="14" s="1"/>
  <c r="G113" i="13"/>
  <c r="F155" i="13"/>
  <c r="F155" i="14" s="1"/>
  <c r="G155" i="13"/>
  <c r="F171" i="13"/>
  <c r="F171" i="14" s="1"/>
  <c r="G171" i="13"/>
  <c r="F177" i="13"/>
  <c r="F177" i="14" s="1"/>
  <c r="G177" i="13"/>
  <c r="F224" i="13"/>
  <c r="F224" i="14" s="1"/>
  <c r="G224" i="13"/>
  <c r="F225" i="13"/>
  <c r="F225" i="14" s="1"/>
  <c r="G225" i="13"/>
  <c r="F226" i="13"/>
  <c r="F226" i="14" s="1"/>
  <c r="G226" i="13"/>
  <c r="F219" i="13"/>
  <c r="F219" i="14" s="1"/>
  <c r="G219" i="13"/>
  <c r="F227" i="13"/>
  <c r="F227" i="14" s="1"/>
  <c r="G227" i="13"/>
  <c r="F228" i="13"/>
  <c r="F228" i="14" s="1"/>
  <c r="G228" i="13"/>
  <c r="P228" i="13" s="1"/>
  <c r="P228" i="14" s="1"/>
  <c r="F229" i="13"/>
  <c r="F229" i="14" s="1"/>
  <c r="G229" i="13"/>
  <c r="F230" i="13"/>
  <c r="F230" i="14" s="1"/>
  <c r="G230" i="13"/>
  <c r="F231" i="13"/>
  <c r="F231" i="14" s="1"/>
  <c r="G231" i="13"/>
  <c r="F232" i="13"/>
  <c r="F232" i="14" s="1"/>
  <c r="G232" i="13"/>
  <c r="P232" i="13" s="1"/>
  <c r="P232" i="14" s="1"/>
  <c r="F233" i="13"/>
  <c r="F233" i="14" s="1"/>
  <c r="G233" i="13"/>
  <c r="P233" i="13" s="1"/>
  <c r="P233" i="14" s="1"/>
  <c r="F240" i="13"/>
  <c r="F240" i="14" s="1"/>
  <c r="G240" i="13"/>
  <c r="F234" i="13"/>
  <c r="F234" i="14" s="1"/>
  <c r="G234" i="13"/>
  <c r="F235" i="13"/>
  <c r="F235" i="14" s="1"/>
  <c r="G235" i="13"/>
  <c r="F315" i="13"/>
  <c r="F315" i="14" s="1"/>
  <c r="G315" i="13"/>
  <c r="F10" i="13"/>
  <c r="G10" i="13"/>
  <c r="X10" i="13" s="1"/>
  <c r="F11" i="13"/>
  <c r="F13" i="14" s="1"/>
  <c r="G11" i="13"/>
  <c r="F12" i="13"/>
  <c r="G12" i="13"/>
  <c r="F13" i="13"/>
  <c r="F17" i="14" s="1"/>
  <c r="G13" i="13"/>
  <c r="F4" i="13"/>
  <c r="G4" i="13"/>
  <c r="F14" i="13"/>
  <c r="F19" i="14" s="1"/>
  <c r="G14" i="13"/>
  <c r="F32" i="13"/>
  <c r="F32" i="14" s="1"/>
  <c r="G32" i="13"/>
  <c r="F28" i="13"/>
  <c r="F28" i="14" s="1"/>
  <c r="G28" i="13"/>
  <c r="F47" i="13"/>
  <c r="G47" i="13"/>
  <c r="F52" i="13"/>
  <c r="F52" i="14" s="1"/>
  <c r="G52" i="13"/>
  <c r="F37" i="13"/>
  <c r="G37" i="13"/>
  <c r="F329" i="13"/>
  <c r="F329" i="14" s="1"/>
  <c r="G329" i="13"/>
  <c r="X329" i="13" s="1"/>
  <c r="X329" i="14" s="1"/>
  <c r="F284" i="13"/>
  <c r="F284" i="14" s="1"/>
  <c r="G284" i="13"/>
  <c r="F72" i="13"/>
  <c r="F72" i="14" s="1"/>
  <c r="G72" i="13"/>
  <c r="P72" i="13" s="1"/>
  <c r="P72" i="14" s="1"/>
  <c r="F73" i="13"/>
  <c r="F73" i="14" s="1"/>
  <c r="G73" i="13"/>
  <c r="F68" i="13"/>
  <c r="F68" i="14" s="1"/>
  <c r="G68" i="13"/>
  <c r="F340" i="13"/>
  <c r="F340" i="14" s="1"/>
  <c r="G340" i="13"/>
  <c r="F86" i="13"/>
  <c r="G86" i="13"/>
  <c r="F90" i="13"/>
  <c r="F91" i="14" s="1"/>
  <c r="G90" i="13"/>
  <c r="F88" i="13"/>
  <c r="F88" i="14" s="1"/>
  <c r="F80" i="13"/>
  <c r="F80" i="14" s="1"/>
  <c r="G80" i="13"/>
  <c r="F109" i="13"/>
  <c r="F109" i="14" s="1"/>
  <c r="G109" i="13"/>
  <c r="F125" i="13"/>
  <c r="G125" i="13"/>
  <c r="F132" i="13"/>
  <c r="G132" i="13"/>
  <c r="F135" i="13"/>
  <c r="F135" i="14" s="1"/>
  <c r="G135" i="13"/>
  <c r="F136" i="13"/>
  <c r="F136" i="14" s="1"/>
  <c r="G136" i="13"/>
  <c r="F137" i="13"/>
  <c r="F137" i="14" s="1"/>
  <c r="G137" i="13"/>
  <c r="F138" i="13"/>
  <c r="F138" i="14" s="1"/>
  <c r="G138" i="13"/>
  <c r="F168" i="13"/>
  <c r="F168" i="14" s="1"/>
  <c r="G168" i="13"/>
  <c r="F139" i="13"/>
  <c r="F139" i="14" s="1"/>
  <c r="G139" i="13"/>
  <c r="F140" i="13"/>
  <c r="G140" i="13"/>
  <c r="F156" i="13"/>
  <c r="F156" i="14" s="1"/>
  <c r="G156" i="13"/>
  <c r="F157" i="13"/>
  <c r="F157" i="14" s="1"/>
  <c r="G157" i="13"/>
  <c r="P157" i="13" s="1"/>
  <c r="P157" i="14" s="1"/>
  <c r="F318" i="13"/>
  <c r="G318" i="13"/>
  <c r="P318" i="13" s="1"/>
  <c r="F169" i="13"/>
  <c r="F169" i="14" s="1"/>
  <c r="G169" i="13"/>
  <c r="P169" i="13" s="1"/>
  <c r="P169" i="14" s="1"/>
  <c r="F170" i="13"/>
  <c r="F170" i="14" s="1"/>
  <c r="G170" i="13"/>
  <c r="F91" i="13"/>
  <c r="G91" i="13"/>
  <c r="F184" i="13"/>
  <c r="F185" i="14" s="1"/>
  <c r="G184" i="13"/>
  <c r="F189" i="13"/>
  <c r="G189" i="13"/>
  <c r="F193" i="13"/>
  <c r="F194" i="14" s="1"/>
  <c r="G193" i="13"/>
  <c r="F197" i="13"/>
  <c r="G197" i="13"/>
  <c r="F198" i="13"/>
  <c r="F200" i="14" s="1"/>
  <c r="G198" i="13"/>
  <c r="F199" i="13"/>
  <c r="G199" i="13"/>
  <c r="F200" i="13"/>
  <c r="F204" i="14" s="1"/>
  <c r="G200" i="13"/>
  <c r="F201" i="13"/>
  <c r="G201" i="13"/>
  <c r="X201" i="13" s="1"/>
  <c r="F202" i="13"/>
  <c r="F208" i="14" s="1"/>
  <c r="G202" i="13"/>
  <c r="F203" i="13"/>
  <c r="G203" i="13"/>
  <c r="F186" i="13"/>
  <c r="F186" i="14" s="1"/>
  <c r="G186" i="13"/>
  <c r="F366" i="13"/>
  <c r="F366" i="14" s="1"/>
  <c r="G366" i="13"/>
  <c r="P366" i="13" s="1"/>
  <c r="P366" i="14" s="1"/>
  <c r="F257" i="13"/>
  <c r="G257" i="13"/>
  <c r="P257" i="13" s="1"/>
  <c r="P257" i="14" s="1"/>
  <c r="F261" i="13"/>
  <c r="F262" i="14" s="1"/>
  <c r="G261" i="13"/>
  <c r="F269" i="13"/>
  <c r="G269" i="13"/>
  <c r="F270" i="13"/>
  <c r="F272" i="14" s="1"/>
  <c r="G270" i="13"/>
  <c r="F271" i="13"/>
  <c r="G271" i="13"/>
  <c r="F272" i="13"/>
  <c r="F276" i="14" s="1"/>
  <c r="G272" i="13"/>
  <c r="F285" i="13"/>
  <c r="G285" i="13"/>
  <c r="X285" i="13" s="1"/>
  <c r="F264" i="13"/>
  <c r="F264" i="14" s="1"/>
  <c r="G264" i="13"/>
  <c r="F348" i="13"/>
  <c r="G348" i="13"/>
  <c r="F287" i="13"/>
  <c r="F287" i="14" s="1"/>
  <c r="G287" i="13"/>
  <c r="F290" i="13"/>
  <c r="G290" i="13"/>
  <c r="F292" i="13"/>
  <c r="F292" i="14" s="1"/>
  <c r="G292" i="13"/>
  <c r="F293" i="13"/>
  <c r="F293" i="14" s="1"/>
  <c r="G293" i="13"/>
  <c r="F294" i="13"/>
  <c r="F294" i="14" s="1"/>
  <c r="G294" i="13"/>
  <c r="F148" i="13"/>
  <c r="G148" i="13"/>
  <c r="F298" i="13"/>
  <c r="G298" i="13"/>
  <c r="P298" i="13" s="1"/>
  <c r="P299" i="14" s="1"/>
  <c r="F367" i="13"/>
  <c r="F371" i="14" s="1"/>
  <c r="G367" i="13"/>
  <c r="F301" i="13"/>
  <c r="F301" i="14" s="1"/>
  <c r="G301" i="13"/>
  <c r="F305" i="13"/>
  <c r="G305" i="13"/>
  <c r="F307" i="13"/>
  <c r="F307" i="14" s="1"/>
  <c r="G307" i="13"/>
  <c r="F320" i="13"/>
  <c r="F321" i="14" s="1"/>
  <c r="G320" i="13"/>
  <c r="F324" i="13"/>
  <c r="G324" i="13"/>
  <c r="F330" i="13"/>
  <c r="F331" i="14" s="1"/>
  <c r="G330" i="13"/>
  <c r="F313" i="13"/>
  <c r="G313" i="13"/>
  <c r="F309" i="13"/>
  <c r="F310" i="14" s="1"/>
  <c r="G309" i="13"/>
  <c r="F335" i="13"/>
  <c r="G335" i="13"/>
  <c r="F341" i="13"/>
  <c r="F341" i="14" s="1"/>
  <c r="G341" i="13"/>
  <c r="F342" i="13"/>
  <c r="F342" i="14" s="1"/>
  <c r="G342" i="13"/>
  <c r="F345" i="13"/>
  <c r="G345" i="13"/>
  <c r="F349" i="13"/>
  <c r="G349" i="13"/>
  <c r="F357" i="13"/>
  <c r="G357" i="13"/>
  <c r="F116" i="13"/>
  <c r="F116" i="14" s="1"/>
  <c r="G116" i="13"/>
  <c r="F117" i="13"/>
  <c r="F117" i="14" s="1"/>
  <c r="G117" i="13"/>
  <c r="F326" i="13"/>
  <c r="F326" i="14" s="1"/>
  <c r="G326" i="13"/>
  <c r="P326" i="13" s="1"/>
  <c r="P326" i="14" s="1"/>
  <c r="F374" i="13"/>
  <c r="F374" i="14" s="1"/>
  <c r="G374" i="13"/>
  <c r="F192" i="13"/>
  <c r="F64" i="13"/>
  <c r="F9" i="13"/>
  <c r="F15" i="13"/>
  <c r="F16" i="13"/>
  <c r="F17" i="13"/>
  <c r="F18" i="13"/>
  <c r="F5" i="13"/>
  <c r="F19" i="13"/>
  <c r="F29" i="13"/>
  <c r="F48" i="13"/>
  <c r="F38" i="13"/>
  <c r="F69" i="13"/>
  <c r="F87" i="13"/>
  <c r="F92" i="13"/>
  <c r="F81" i="13"/>
  <c r="F126" i="13"/>
  <c r="F133" i="13"/>
  <c r="F141" i="13"/>
  <c r="F319" i="13"/>
  <c r="F93" i="13"/>
  <c r="F185" i="13"/>
  <c r="F190" i="13"/>
  <c r="F194" i="13"/>
  <c r="F204" i="13"/>
  <c r="F205" i="13"/>
  <c r="F206" i="13"/>
  <c r="F207" i="13"/>
  <c r="F208" i="13"/>
  <c r="F209" i="13"/>
  <c r="F210" i="13"/>
  <c r="F258" i="13"/>
  <c r="P258" i="13"/>
  <c r="F262" i="13"/>
  <c r="P262" i="13"/>
  <c r="F273" i="13"/>
  <c r="F274" i="13"/>
  <c r="F275" i="13"/>
  <c r="F276" i="13"/>
  <c r="F286" i="13"/>
  <c r="F350" i="13"/>
  <c r="F288" i="13"/>
  <c r="F291" i="13"/>
  <c r="F149" i="13"/>
  <c r="F299" i="13"/>
  <c r="F306" i="13"/>
  <c r="F321" i="13"/>
  <c r="F325" i="13"/>
  <c r="F331" i="13"/>
  <c r="P331" i="13"/>
  <c r="F314" i="13"/>
  <c r="P314" i="13"/>
  <c r="F310" i="13"/>
  <c r="F336" i="13"/>
  <c r="F346" i="13"/>
  <c r="F351" i="13"/>
  <c r="F358" i="13"/>
  <c r="G308" i="13"/>
  <c r="F308" i="13"/>
  <c r="F308" i="14" s="1"/>
  <c r="E3" i="13"/>
  <c r="E3" i="14" s="1"/>
  <c r="E23" i="13"/>
  <c r="E23" i="14" s="1"/>
  <c r="E21" i="13"/>
  <c r="E21" i="14" s="1"/>
  <c r="E33" i="13"/>
  <c r="E33" i="14" s="1"/>
  <c r="E59" i="13"/>
  <c r="E59" i="14" s="1"/>
  <c r="E74" i="13"/>
  <c r="E74" i="14" s="1"/>
  <c r="E99" i="13"/>
  <c r="E99" i="14" s="1"/>
  <c r="E83" i="13"/>
  <c r="E83" i="14" s="1"/>
  <c r="E106" i="13"/>
  <c r="E106" i="14" s="1"/>
  <c r="E121" i="13"/>
  <c r="E121" i="14" s="1"/>
  <c r="E128" i="13"/>
  <c r="E128" i="14" s="1"/>
  <c r="E129" i="13"/>
  <c r="E129" i="14" s="1"/>
  <c r="E158" i="13"/>
  <c r="E158" i="14" s="1"/>
  <c r="E164" i="13"/>
  <c r="E164" i="14" s="1"/>
  <c r="E166" i="13"/>
  <c r="E166" i="14" s="1"/>
  <c r="E82" i="13"/>
  <c r="E82" i="14" s="1"/>
  <c r="E196" i="13"/>
  <c r="E196" i="14" s="1"/>
  <c r="E220" i="13"/>
  <c r="E220" i="14" s="1"/>
  <c r="E249" i="13"/>
  <c r="E249" i="14" s="1"/>
  <c r="E328" i="13"/>
  <c r="E328" i="14" s="1"/>
  <c r="E337" i="13"/>
  <c r="E337" i="14" s="1"/>
  <c r="E187" i="13"/>
  <c r="E187" i="14" s="1"/>
  <c r="E355" i="13"/>
  <c r="E355" i="14" s="1"/>
  <c r="E114" i="13"/>
  <c r="E114" i="14" s="1"/>
  <c r="E147" i="13"/>
  <c r="E147" i="14" s="1"/>
  <c r="E115" i="13"/>
  <c r="E115" i="14" s="1"/>
  <c r="E267" i="13"/>
  <c r="E267" i="14" s="1"/>
  <c r="E41" i="13"/>
  <c r="E41" i="14" s="1"/>
  <c r="E42" i="13"/>
  <c r="E42" i="14" s="1"/>
  <c r="E43" i="13"/>
  <c r="E43" i="14" s="1"/>
  <c r="E89" i="13"/>
  <c r="E89" i="14" s="1"/>
  <c r="E84" i="13"/>
  <c r="E84" i="14" s="1"/>
  <c r="E103" i="13"/>
  <c r="E103" i="14" s="1"/>
  <c r="E55" i="13"/>
  <c r="E55" i="14" s="1"/>
  <c r="E130" i="13"/>
  <c r="E130" i="14" s="1"/>
  <c r="E105" i="13"/>
  <c r="E105" i="14" s="1"/>
  <c r="E222" i="13"/>
  <c r="E222" i="14" s="1"/>
  <c r="E215" i="13"/>
  <c r="E215" i="14" s="1"/>
  <c r="E217" i="13"/>
  <c r="E217" i="14" s="1"/>
  <c r="E77" i="13"/>
  <c r="E77" i="14" s="1"/>
  <c r="E242" i="13"/>
  <c r="E242" i="14" s="1"/>
  <c r="E218" i="13"/>
  <c r="E218" i="14" s="1"/>
  <c r="E281" i="13"/>
  <c r="E281" i="14" s="1"/>
  <c r="E282" i="13"/>
  <c r="E282" i="14" s="1"/>
  <c r="E283" i="13"/>
  <c r="E283" i="14" s="1"/>
  <c r="E368" i="13"/>
  <c r="E367" i="14" s="1"/>
  <c r="E369" i="13"/>
  <c r="E368" i="14" s="1"/>
  <c r="E370" i="13"/>
  <c r="E369" i="14" s="1"/>
  <c r="E371" i="13"/>
  <c r="E370" i="14" s="1"/>
  <c r="E25" i="13"/>
  <c r="E25" i="14" s="1"/>
  <c r="E26" i="13"/>
  <c r="E26" i="14" s="1"/>
  <c r="E27" i="13"/>
  <c r="E27" i="14" s="1"/>
  <c r="E131" i="13"/>
  <c r="E131" i="14" s="1"/>
  <c r="E221" i="13"/>
  <c r="E221" i="14" s="1"/>
  <c r="E178" i="13"/>
  <c r="E178" i="14" s="1"/>
  <c r="E179" i="13"/>
  <c r="E179" i="14" s="1"/>
  <c r="E363" i="13"/>
  <c r="E363" i="14" s="1"/>
  <c r="E6" i="13"/>
  <c r="E6" i="14" s="1"/>
  <c r="E22" i="13"/>
  <c r="E22" i="14" s="1"/>
  <c r="E20" i="13"/>
  <c r="E20" i="14" s="1"/>
  <c r="E31" i="13"/>
  <c r="E31" i="14" s="1"/>
  <c r="E24" i="13"/>
  <c r="E24" i="14" s="1"/>
  <c r="E30" i="13"/>
  <c r="E30" i="14" s="1"/>
  <c r="E40" i="13"/>
  <c r="E40" i="14" s="1"/>
  <c r="E44" i="13"/>
  <c r="E44" i="14" s="1"/>
  <c r="E45" i="13"/>
  <c r="E45" i="14" s="1"/>
  <c r="E46" i="13"/>
  <c r="E46" i="14" s="1"/>
  <c r="E78" i="13"/>
  <c r="E78" i="14" s="1"/>
  <c r="E79" i="13"/>
  <c r="E79" i="14" s="1"/>
  <c r="E65" i="13"/>
  <c r="E65" i="14" s="1"/>
  <c r="E67" i="13"/>
  <c r="E67" i="14" s="1"/>
  <c r="E70" i="13"/>
  <c r="E70" i="14" s="1"/>
  <c r="E71" i="13"/>
  <c r="E71" i="14" s="1"/>
  <c r="E94" i="13"/>
  <c r="E94" i="14" s="1"/>
  <c r="E96" i="13"/>
  <c r="E96" i="14" s="1"/>
  <c r="E98" i="13"/>
  <c r="E98" i="14" s="1"/>
  <c r="E100" i="13"/>
  <c r="E101" i="14" s="1"/>
  <c r="E101" i="13"/>
  <c r="E100" i="14" s="1"/>
  <c r="E102" i="13"/>
  <c r="E102" i="14" s="1"/>
  <c r="E134" i="13"/>
  <c r="E134" i="14" s="1"/>
  <c r="E277" i="13"/>
  <c r="E277" i="14" s="1"/>
  <c r="E162" i="13"/>
  <c r="E162" i="14" s="1"/>
  <c r="E160" i="13"/>
  <c r="E160" i="14" s="1"/>
  <c r="E163" i="13"/>
  <c r="E163" i="14" s="1"/>
  <c r="E53" i="13"/>
  <c r="E53" i="14" s="1"/>
  <c r="E188" i="13"/>
  <c r="E188" i="14" s="1"/>
  <c r="E243" i="13"/>
  <c r="E243" i="14" s="1"/>
  <c r="E223" i="13"/>
  <c r="E223" i="14" s="1"/>
  <c r="E236" i="13"/>
  <c r="E236" i="14" s="1"/>
  <c r="E237" i="13"/>
  <c r="E237" i="14" s="1"/>
  <c r="E238" i="13"/>
  <c r="E238" i="14" s="1"/>
  <c r="E239" i="13"/>
  <c r="E239" i="14" s="1"/>
  <c r="E354" i="13"/>
  <c r="E354" i="14" s="1"/>
  <c r="E244" i="13"/>
  <c r="E244" i="14" s="1"/>
  <c r="E97" i="13"/>
  <c r="E97" i="14" s="1"/>
  <c r="E245" i="13"/>
  <c r="E245" i="14" s="1"/>
  <c r="E241" i="13"/>
  <c r="E241" i="14" s="1"/>
  <c r="E212" i="13"/>
  <c r="E212" i="14" s="1"/>
  <c r="E119" i="13"/>
  <c r="E119" i="14" s="1"/>
  <c r="E120" i="13"/>
  <c r="E120" i="14" s="1"/>
  <c r="E253" i="13"/>
  <c r="E253" i="14" s="1"/>
  <c r="E255" i="13"/>
  <c r="E255" i="14" s="1"/>
  <c r="E260" i="13"/>
  <c r="E260" i="14" s="1"/>
  <c r="E256" i="13"/>
  <c r="E256" i="14" s="1"/>
  <c r="E278" i="13"/>
  <c r="E278" i="14" s="1"/>
  <c r="E57" i="13"/>
  <c r="E57" i="14" s="1"/>
  <c r="E265" i="13"/>
  <c r="E265" i="14" s="1"/>
  <c r="E268" i="13"/>
  <c r="E268" i="14" s="1"/>
  <c r="E266" i="13"/>
  <c r="E266" i="14" s="1"/>
  <c r="E296" i="13"/>
  <c r="E296" i="14" s="1"/>
  <c r="E322" i="13"/>
  <c r="E322" i="14" s="1"/>
  <c r="E312" i="13"/>
  <c r="E312" i="14" s="1"/>
  <c r="E323" i="13"/>
  <c r="E323" i="14" s="1"/>
  <c r="E343" i="13"/>
  <c r="E343" i="14" s="1"/>
  <c r="E327" i="13"/>
  <c r="E327" i="14" s="1"/>
  <c r="E332" i="13"/>
  <c r="E332" i="14" s="1"/>
  <c r="E333" i="13"/>
  <c r="E333" i="14" s="1"/>
  <c r="E334" i="13"/>
  <c r="E334" i="14" s="1"/>
  <c r="E302" i="13"/>
  <c r="E302" i="14" s="1"/>
  <c r="E344" i="13"/>
  <c r="E344" i="14" s="1"/>
  <c r="E364" i="13"/>
  <c r="E364" i="14" s="1"/>
  <c r="E359" i="13"/>
  <c r="E359" i="14" s="1"/>
  <c r="E360" i="13"/>
  <c r="E360" i="14" s="1"/>
  <c r="E361" i="13"/>
  <c r="E361" i="14" s="1"/>
  <c r="E54" i="13"/>
  <c r="E54" i="14" s="1"/>
  <c r="E362" i="13"/>
  <c r="E362" i="14" s="1"/>
  <c r="E191" i="13"/>
  <c r="E63" i="13"/>
  <c r="E7" i="13"/>
  <c r="E7" i="14" s="1"/>
  <c r="E127" i="13"/>
  <c r="E127" i="14" s="1"/>
  <c r="E183" i="13"/>
  <c r="E183" i="14" s="1"/>
  <c r="E250" i="13"/>
  <c r="E250" i="14" s="1"/>
  <c r="E251" i="13"/>
  <c r="E251" i="14" s="1"/>
  <c r="E295" i="13"/>
  <c r="E295" i="14" s="1"/>
  <c r="E316" i="13"/>
  <c r="E316" i="14" s="1"/>
  <c r="E338" i="13"/>
  <c r="E338" i="14" s="1"/>
  <c r="E375" i="13"/>
  <c r="E375" i="14" s="1"/>
  <c r="E300" i="13"/>
  <c r="E300" i="14" s="1"/>
  <c r="E34" i="13"/>
  <c r="E34" i="14" s="1"/>
  <c r="E61" i="13"/>
  <c r="E61" i="14" s="1"/>
  <c r="E150" i="13"/>
  <c r="E150" i="14" s="1"/>
  <c r="E151" i="13"/>
  <c r="E151" i="14" s="1"/>
  <c r="E152" i="13"/>
  <c r="E152" i="14" s="1"/>
  <c r="E154" i="13"/>
  <c r="E154" i="14" s="1"/>
  <c r="E172" i="13"/>
  <c r="E172" i="14" s="1"/>
  <c r="E173" i="13"/>
  <c r="E173" i="14" s="1"/>
  <c r="E174" i="13"/>
  <c r="E174" i="14" s="1"/>
  <c r="E259" i="13"/>
  <c r="E259" i="14" s="1"/>
  <c r="E352" i="13"/>
  <c r="E352" i="14" s="1"/>
  <c r="E58" i="13"/>
  <c r="E58" i="14" s="1"/>
  <c r="E161" i="13"/>
  <c r="E161" i="14" s="1"/>
  <c r="E213" i="13"/>
  <c r="E213" i="14" s="1"/>
  <c r="E214" i="13"/>
  <c r="E214" i="14" s="1"/>
  <c r="E248" i="13"/>
  <c r="E248" i="14" s="1"/>
  <c r="E279" i="13"/>
  <c r="E279" i="14" s="1"/>
  <c r="E280" i="13"/>
  <c r="E280" i="14" s="1"/>
  <c r="E85" i="13"/>
  <c r="E85" i="14" s="1"/>
  <c r="E195" i="13"/>
  <c r="E195" i="14" s="1"/>
  <c r="E356" i="13"/>
  <c r="E356" i="14" s="1"/>
  <c r="E247" i="13"/>
  <c r="E247" i="14" s="1"/>
  <c r="E36" i="13"/>
  <c r="E36" i="14" s="1"/>
  <c r="E60" i="13"/>
  <c r="E60" i="14" s="1"/>
  <c r="E62" i="13"/>
  <c r="E62" i="14" s="1"/>
  <c r="E104" i="13"/>
  <c r="E104" i="14" s="1"/>
  <c r="E111" i="13"/>
  <c r="E111" i="14" s="1"/>
  <c r="E112" i="13"/>
  <c r="E112" i="14" s="1"/>
  <c r="E167" i="13"/>
  <c r="E167" i="14" s="1"/>
  <c r="E107" i="13"/>
  <c r="E107" i="14" s="1"/>
  <c r="E108" i="13"/>
  <c r="E108" i="14" s="1"/>
  <c r="E353" i="13"/>
  <c r="E353" i="14" s="1"/>
  <c r="E118" i="13"/>
  <c r="E118" i="14" s="1"/>
  <c r="E123" i="13"/>
  <c r="E123" i="14" s="1"/>
  <c r="E122" i="13"/>
  <c r="E122" i="14" s="1"/>
  <c r="E165" i="13"/>
  <c r="E165" i="14" s="1"/>
  <c r="E142" i="13"/>
  <c r="E142" i="14" s="1"/>
  <c r="E143" i="13"/>
  <c r="E143" i="14" s="1"/>
  <c r="E144" i="13"/>
  <c r="E144" i="14" s="1"/>
  <c r="E145" i="13"/>
  <c r="E145" i="14" s="1"/>
  <c r="E146" i="13"/>
  <c r="E146" i="14" s="1"/>
  <c r="E175" i="13"/>
  <c r="E175" i="14" s="1"/>
  <c r="E347" i="13"/>
  <c r="E347" i="14" s="1"/>
  <c r="E180" i="13"/>
  <c r="E180" i="14" s="1"/>
  <c r="E211" i="13"/>
  <c r="E211" i="14" s="1"/>
  <c r="E246" i="13"/>
  <c r="E246" i="14" s="1"/>
  <c r="E252" i="13"/>
  <c r="E252" i="14" s="1"/>
  <c r="E263" i="13"/>
  <c r="E263" i="14" s="1"/>
  <c r="E289" i="13"/>
  <c r="E289" i="14" s="1"/>
  <c r="E297" i="13"/>
  <c r="E297" i="14" s="1"/>
  <c r="E303" i="13"/>
  <c r="E303" i="14" s="1"/>
  <c r="E304" i="13"/>
  <c r="E304" i="14" s="1"/>
  <c r="E365" i="13"/>
  <c r="E365" i="14" s="1"/>
  <c r="E311" i="13"/>
  <c r="E311" i="14" s="1"/>
  <c r="E339" i="13"/>
  <c r="E339" i="14" s="1"/>
  <c r="E124" i="13"/>
  <c r="E124" i="14" s="1"/>
  <c r="E372" i="13"/>
  <c r="E372" i="14" s="1"/>
  <c r="E373" i="13"/>
  <c r="E373" i="14" s="1"/>
  <c r="E8" i="13"/>
  <c r="E35" i="13"/>
  <c r="E35" i="14" s="1"/>
  <c r="E39" i="13"/>
  <c r="E39" i="14" s="1"/>
  <c r="E56" i="13"/>
  <c r="E56" i="14" s="1"/>
  <c r="E66" i="13"/>
  <c r="E66" i="14" s="1"/>
  <c r="E110" i="13"/>
  <c r="E110" i="14" s="1"/>
  <c r="E153" i="13"/>
  <c r="E153" i="14" s="1"/>
  <c r="E159" i="13"/>
  <c r="E159" i="14" s="1"/>
  <c r="E181" i="13"/>
  <c r="E181" i="14" s="1"/>
  <c r="E182" i="13"/>
  <c r="E182" i="14" s="1"/>
  <c r="E216" i="13"/>
  <c r="E216" i="14" s="1"/>
  <c r="E95" i="13"/>
  <c r="E95" i="14" s="1"/>
  <c r="E254" i="13"/>
  <c r="E254" i="14" s="1"/>
  <c r="E317" i="13"/>
  <c r="E317" i="14" s="1"/>
  <c r="E176" i="13"/>
  <c r="E176" i="14" s="1"/>
  <c r="E49" i="13"/>
  <c r="E49" i="14" s="1"/>
  <c r="E50" i="13"/>
  <c r="E50" i="14" s="1"/>
  <c r="E51" i="13"/>
  <c r="E51" i="14" s="1"/>
  <c r="E75" i="13"/>
  <c r="E75" i="14" s="1"/>
  <c r="E76" i="13"/>
  <c r="E76" i="14" s="1"/>
  <c r="E113" i="13"/>
  <c r="E113" i="14" s="1"/>
  <c r="E155" i="13"/>
  <c r="E155" i="14" s="1"/>
  <c r="E171" i="13"/>
  <c r="E171" i="14" s="1"/>
  <c r="E177" i="13"/>
  <c r="E177" i="14" s="1"/>
  <c r="E224" i="13"/>
  <c r="E224" i="14" s="1"/>
  <c r="E225" i="13"/>
  <c r="E225" i="14" s="1"/>
  <c r="E226" i="13"/>
  <c r="E226" i="14" s="1"/>
  <c r="E219" i="13"/>
  <c r="E219" i="14" s="1"/>
  <c r="E227" i="13"/>
  <c r="E227" i="14" s="1"/>
  <c r="E228" i="13"/>
  <c r="E228" i="14" s="1"/>
  <c r="E229" i="13"/>
  <c r="E229" i="14" s="1"/>
  <c r="E230" i="13"/>
  <c r="E230" i="14" s="1"/>
  <c r="E231" i="13"/>
  <c r="E231" i="14" s="1"/>
  <c r="E232" i="13"/>
  <c r="E232" i="14" s="1"/>
  <c r="E233" i="13"/>
  <c r="E233" i="14" s="1"/>
  <c r="E240" i="13"/>
  <c r="E240" i="14" s="1"/>
  <c r="E234" i="13"/>
  <c r="E234" i="14" s="1"/>
  <c r="E235" i="13"/>
  <c r="E235" i="14" s="1"/>
  <c r="E315" i="13"/>
  <c r="E315" i="14" s="1"/>
  <c r="E10" i="13"/>
  <c r="E11" i="13"/>
  <c r="E12" i="13"/>
  <c r="E13" i="13"/>
  <c r="E4" i="13"/>
  <c r="E14" i="13"/>
  <c r="E32" i="13"/>
  <c r="E32" i="14" s="1"/>
  <c r="E28" i="13"/>
  <c r="E47" i="13"/>
  <c r="E52" i="13"/>
  <c r="E52" i="14" s="1"/>
  <c r="E37" i="13"/>
  <c r="E329" i="13"/>
  <c r="E329" i="14" s="1"/>
  <c r="E284" i="13"/>
  <c r="E284" i="14" s="1"/>
  <c r="E72" i="13"/>
  <c r="E72" i="14" s="1"/>
  <c r="E73" i="13"/>
  <c r="E73" i="14" s="1"/>
  <c r="E68" i="13"/>
  <c r="E340" i="13"/>
  <c r="E340" i="14" s="1"/>
  <c r="E86" i="13"/>
  <c r="E90" i="13"/>
  <c r="E88" i="13"/>
  <c r="E88" i="14" s="1"/>
  <c r="E80" i="13"/>
  <c r="E109" i="13"/>
  <c r="E109" i="14" s="1"/>
  <c r="E125" i="13"/>
  <c r="E132" i="13"/>
  <c r="E135" i="13"/>
  <c r="E135" i="14" s="1"/>
  <c r="E136" i="13"/>
  <c r="E136" i="14" s="1"/>
  <c r="E137" i="13"/>
  <c r="E137" i="14" s="1"/>
  <c r="E138" i="13"/>
  <c r="E138" i="14" s="1"/>
  <c r="E168" i="13"/>
  <c r="E168" i="14" s="1"/>
  <c r="E139" i="13"/>
  <c r="E139" i="14" s="1"/>
  <c r="E140" i="13"/>
  <c r="E156" i="13"/>
  <c r="E156" i="14" s="1"/>
  <c r="E157" i="13"/>
  <c r="E157" i="14" s="1"/>
  <c r="E318" i="13"/>
  <c r="E169" i="13"/>
  <c r="E169" i="14" s="1"/>
  <c r="E170" i="13"/>
  <c r="E170" i="14" s="1"/>
  <c r="E91" i="13"/>
  <c r="E184" i="13"/>
  <c r="E189" i="13"/>
  <c r="E193" i="13"/>
  <c r="E197" i="13"/>
  <c r="E198" i="13"/>
  <c r="E199" i="13"/>
  <c r="E200" i="13"/>
  <c r="E201" i="13"/>
  <c r="E202" i="13"/>
  <c r="E203" i="13"/>
  <c r="E186" i="13"/>
  <c r="E186" i="14" s="1"/>
  <c r="E366" i="13"/>
  <c r="E366" i="14" s="1"/>
  <c r="E257" i="13"/>
  <c r="E261" i="13"/>
  <c r="E269" i="13"/>
  <c r="E270" i="13"/>
  <c r="E271" i="13"/>
  <c r="E272" i="13"/>
  <c r="E285" i="13"/>
  <c r="E264" i="13"/>
  <c r="E264" i="14" s="1"/>
  <c r="E348" i="13"/>
  <c r="E287" i="13"/>
  <c r="E290" i="13"/>
  <c r="E292" i="13"/>
  <c r="E292" i="14" s="1"/>
  <c r="E293" i="13"/>
  <c r="E293" i="14" s="1"/>
  <c r="E294" i="13"/>
  <c r="E294" i="14" s="1"/>
  <c r="E148" i="13"/>
  <c r="E298" i="13"/>
  <c r="E367" i="13"/>
  <c r="E371" i="14" s="1"/>
  <c r="E301" i="13"/>
  <c r="E301" i="14" s="1"/>
  <c r="E305" i="13"/>
  <c r="E307" i="13"/>
  <c r="E307" i="14" s="1"/>
  <c r="E320" i="13"/>
  <c r="E324" i="13"/>
  <c r="E330" i="13"/>
  <c r="E313" i="13"/>
  <c r="E309" i="13"/>
  <c r="E335" i="13"/>
  <c r="E341" i="13"/>
  <c r="E341" i="14" s="1"/>
  <c r="E342" i="13"/>
  <c r="E342" i="14" s="1"/>
  <c r="E345" i="13"/>
  <c r="E349" i="13"/>
  <c r="E357" i="13"/>
  <c r="E116" i="13"/>
  <c r="E116" i="14" s="1"/>
  <c r="E117" i="13"/>
  <c r="E117" i="14" s="1"/>
  <c r="E326" i="13"/>
  <c r="E326" i="14" s="1"/>
  <c r="E374" i="13"/>
  <c r="E374" i="14" s="1"/>
  <c r="E308" i="13"/>
  <c r="G52" i="11"/>
  <c r="G97" i="11" s="1"/>
  <c r="AN46" i="10"/>
  <c r="AN45" i="10"/>
  <c r="AN44" i="10"/>
  <c r="AO44" i="10" s="1"/>
  <c r="AP44" i="10" s="1"/>
  <c r="C23" i="6" s="1"/>
  <c r="AN43" i="10"/>
  <c r="AO43" i="10" s="1"/>
  <c r="AP43" i="10" s="1"/>
  <c r="C20" i="6" s="1"/>
  <c r="AO42" i="10"/>
  <c r="AP42" i="10" s="1"/>
  <c r="AN42" i="10"/>
  <c r="AN41" i="10"/>
  <c r="AO41" i="10" s="1"/>
  <c r="AP41" i="10" s="1"/>
  <c r="C19" i="6" s="1"/>
  <c r="AN40" i="10"/>
  <c r="AO40" i="10" s="1"/>
  <c r="AP40" i="10" s="1"/>
  <c r="C18" i="6" s="1"/>
  <c r="AN39" i="10"/>
  <c r="AO39" i="10" s="1"/>
  <c r="AP39" i="10" s="1"/>
  <c r="AO38" i="10"/>
  <c r="AP38" i="10" s="1"/>
  <c r="AN38" i="10"/>
  <c r="AN37" i="10"/>
  <c r="AO37" i="10" s="1"/>
  <c r="AP37" i="10" s="1"/>
  <c r="C17" i="6" s="1"/>
  <c r="AO17" i="10"/>
  <c r="AP17" i="10" s="1"/>
  <c r="AN17" i="10"/>
  <c r="AN16" i="10"/>
  <c r="AO16" i="10" s="1"/>
  <c r="AP16" i="10" s="1"/>
  <c r="AN15" i="10"/>
  <c r="AO15" i="10" s="1"/>
  <c r="AP15" i="10" s="1"/>
  <c r="C9" i="6" s="1"/>
  <c r="AF15" i="10" a="1"/>
  <c r="AF15" i="10" s="1"/>
  <c r="AO14" i="10"/>
  <c r="AP14" i="10" s="1"/>
  <c r="AN14" i="10"/>
  <c r="AF14" i="10" a="1"/>
  <c r="AF14" i="10" s="1"/>
  <c r="AN13" i="10"/>
  <c r="AO13" i="10" s="1"/>
  <c r="AP13" i="10" s="1"/>
  <c r="AF13" i="10" a="1"/>
  <c r="AF13" i="10" s="1"/>
  <c r="AO12" i="10"/>
  <c r="AP12" i="10" s="1"/>
  <c r="C8" i="6" s="1"/>
  <c r="AN12" i="10"/>
  <c r="AF12" i="10" a="1"/>
  <c r="AF12" i="10" s="1"/>
  <c r="AF11" i="10" a="1"/>
  <c r="AF11" i="10" s="1"/>
  <c r="AN10" i="10"/>
  <c r="AO10" i="10" s="1"/>
  <c r="AP10" i="10" s="1"/>
  <c r="C7" i="6" s="1"/>
  <c r="AF10" i="10" a="1"/>
  <c r="AF10" i="10" s="1"/>
  <c r="AF9" i="10" a="1"/>
  <c r="AF9" i="10" s="1"/>
  <c r="AF6" i="10"/>
  <c r="AG6" i="10" s="1"/>
  <c r="AH6" i="10" s="1"/>
  <c r="AF6" i="10" a="1"/>
  <c r="AF5" i="10"/>
  <c r="AN8" i="10" s="1"/>
  <c r="AO8" i="10" s="1"/>
  <c r="AP8" i="10" s="1"/>
  <c r="AF5" i="10" a="1"/>
  <c r="AF4" i="10"/>
  <c r="AG4" i="10" s="1"/>
  <c r="AO2" i="10"/>
  <c r="B59" i="8"/>
  <c r="B60" i="8" s="1"/>
  <c r="B62" i="8" s="1"/>
  <c r="V53" i="8"/>
  <c r="AA4" i="8" s="1"/>
  <c r="V51" i="8"/>
  <c r="V48" i="8"/>
  <c r="V47" i="8"/>
  <c r="AA8" i="8" s="1"/>
  <c r="V46" i="8"/>
  <c r="V41" i="8"/>
  <c r="V40" i="8"/>
  <c r="V39" i="8"/>
  <c r="V35" i="8"/>
  <c r="AA15" i="8" s="1"/>
  <c r="AH33" i="8"/>
  <c r="AI33" i="8" s="1"/>
  <c r="V32" i="8"/>
  <c r="V31" i="8"/>
  <c r="V30" i="8"/>
  <c r="V27" i="8"/>
  <c r="AA9" i="8" s="1"/>
  <c r="V26" i="8"/>
  <c r="AA13" i="8" s="1"/>
  <c r="V23" i="8"/>
  <c r="AA19" i="8" s="1"/>
  <c r="AH41" i="8" s="1"/>
  <c r="AI41" i="8" s="1"/>
  <c r="AA22" i="8"/>
  <c r="AB22" i="8" s="1"/>
  <c r="AA21" i="8"/>
  <c r="AB21" i="8" s="1"/>
  <c r="AA20" i="8"/>
  <c r="AB20" i="8" s="1"/>
  <c r="AA18" i="8"/>
  <c r="AB18" i="8" s="1"/>
  <c r="V18" i="8"/>
  <c r="AA17" i="8"/>
  <c r="AB17" i="8" s="1"/>
  <c r="V17" i="8"/>
  <c r="AA16" i="8"/>
  <c r="AB16" i="8" s="1"/>
  <c r="V16" i="8"/>
  <c r="AA14" i="8"/>
  <c r="AB14" i="8" s="1"/>
  <c r="V13" i="8"/>
  <c r="AA3" i="8" s="1"/>
  <c r="AA12" i="8"/>
  <c r="AH29" i="8" s="1"/>
  <c r="AI29" i="8" s="1"/>
  <c r="V12" i="8"/>
  <c r="AA10" i="8"/>
  <c r="AH25" i="8" s="1"/>
  <c r="AI25" i="8" s="1"/>
  <c r="AA7" i="8"/>
  <c r="AH16" i="8" s="1"/>
  <c r="AI16" i="8" s="1"/>
  <c r="V7" i="8"/>
  <c r="AA6" i="8"/>
  <c r="AH11" i="8" s="1"/>
  <c r="AI11" i="8" s="1"/>
  <c r="V6" i="8"/>
  <c r="AA11" i="8" s="1"/>
  <c r="AA5" i="8"/>
  <c r="AH10" i="8" s="1"/>
  <c r="AI10" i="8" s="1"/>
  <c r="H119" i="7"/>
  <c r="I119" i="7" s="1"/>
  <c r="H120" i="7"/>
  <c r="I120" i="7" s="1"/>
  <c r="H121" i="7"/>
  <c r="I121" i="7" s="1"/>
  <c r="H122" i="7"/>
  <c r="I122" i="7" s="1"/>
  <c r="H123" i="7"/>
  <c r="I123" i="7" s="1"/>
  <c r="H124" i="7"/>
  <c r="I124" i="7" s="1"/>
  <c r="H125" i="7"/>
  <c r="I125" i="7" s="1"/>
  <c r="H126" i="7"/>
  <c r="I126" i="7" s="1"/>
  <c r="H127" i="7"/>
  <c r="I127" i="7" s="1"/>
  <c r="H128" i="7"/>
  <c r="I128" i="7" s="1"/>
  <c r="H129" i="7"/>
  <c r="I129" i="7" s="1"/>
  <c r="H130" i="7"/>
  <c r="I130" i="7" s="1"/>
  <c r="H131" i="7"/>
  <c r="I131" i="7" s="1"/>
  <c r="H132" i="7"/>
  <c r="I132" i="7" s="1"/>
  <c r="H133" i="7"/>
  <c r="I133" i="7" s="1"/>
  <c r="H134" i="7"/>
  <c r="I134" i="7" s="1"/>
  <c r="H135" i="7"/>
  <c r="I135" i="7" s="1"/>
  <c r="H136" i="7"/>
  <c r="I136" i="7" s="1"/>
  <c r="H137" i="7"/>
  <c r="I137" i="7" s="1"/>
  <c r="H138" i="7"/>
  <c r="I138" i="7" s="1"/>
  <c r="H139" i="7"/>
  <c r="I139" i="7" s="1"/>
  <c r="H140" i="7"/>
  <c r="I140" i="7" s="1"/>
  <c r="H141" i="7"/>
  <c r="I141" i="7" s="1"/>
  <c r="H142" i="7"/>
  <c r="I142" i="7" s="1"/>
  <c r="H143" i="7"/>
  <c r="I143" i="7" s="1"/>
  <c r="H144" i="7"/>
  <c r="I144" i="7" s="1"/>
  <c r="H145" i="7"/>
  <c r="I145" i="7" s="1"/>
  <c r="H146" i="7"/>
  <c r="I146" i="7" s="1"/>
  <c r="H179" i="7"/>
  <c r="I179" i="7" s="1"/>
  <c r="H182" i="7"/>
  <c r="I182" i="7" s="1"/>
  <c r="H199" i="7"/>
  <c r="I199" i="7" s="1"/>
  <c r="G177" i="7"/>
  <c r="H177" i="7" s="1"/>
  <c r="I177" i="7" s="1"/>
  <c r="G176" i="7"/>
  <c r="H176" i="7" s="1"/>
  <c r="I176" i="7" s="1"/>
  <c r="G198" i="7"/>
  <c r="H198" i="7" s="1"/>
  <c r="I198" i="7" s="1"/>
  <c r="G155" i="7"/>
  <c r="H155" i="7" s="1"/>
  <c r="I155" i="7" s="1"/>
  <c r="H190" i="7"/>
  <c r="I190" i="7" s="1"/>
  <c r="H153" i="7"/>
  <c r="I153" i="7" s="1"/>
  <c r="H183" i="7"/>
  <c r="I183" i="7" s="1"/>
  <c r="H192" i="7"/>
  <c r="I192" i="7" s="1"/>
  <c r="H204" i="7"/>
  <c r="I204" i="7" s="1"/>
  <c r="G203" i="7"/>
  <c r="H203" i="7" s="1"/>
  <c r="I203" i="7" s="1"/>
  <c r="G197" i="7"/>
  <c r="H197" i="7" s="1"/>
  <c r="I197" i="7" s="1"/>
  <c r="G193" i="7"/>
  <c r="H193" i="7" s="1"/>
  <c r="I193" i="7" s="1"/>
  <c r="H158" i="7"/>
  <c r="I158" i="7" s="1"/>
  <c r="G205" i="7"/>
  <c r="H205" i="7" s="1"/>
  <c r="I205" i="7" s="1"/>
  <c r="G150" i="7"/>
  <c r="H150" i="7" s="1"/>
  <c r="I150" i="7" s="1"/>
  <c r="G168" i="7"/>
  <c r="H168" i="7" s="1"/>
  <c r="I168" i="7" s="1"/>
  <c r="G201" i="7"/>
  <c r="H201" i="7" s="1"/>
  <c r="I201" i="7" s="1"/>
  <c r="H207" i="7"/>
  <c r="I207" i="7" s="1"/>
  <c r="G154" i="7"/>
  <c r="H154" i="7" s="1"/>
  <c r="I154" i="7" s="1"/>
  <c r="G157" i="7"/>
  <c r="H157" i="7" s="1"/>
  <c r="I157" i="7" s="1"/>
  <c r="G163" i="7"/>
  <c r="H163" i="7" s="1"/>
  <c r="I163" i="7" s="1"/>
  <c r="G164" i="7"/>
  <c r="H164" i="7" s="1"/>
  <c r="I164" i="7" s="1"/>
  <c r="G175" i="7"/>
  <c r="H175" i="7" s="1"/>
  <c r="I175" i="7" s="1"/>
  <c r="G202" i="7"/>
  <c r="H202" i="7" s="1"/>
  <c r="I202" i="7" s="1"/>
  <c r="H181" i="7"/>
  <c r="I181" i="7" s="1"/>
  <c r="G206" i="7"/>
  <c r="H206" i="7" s="1"/>
  <c r="I206" i="7" s="1"/>
  <c r="G147" i="7"/>
  <c r="H147" i="7" s="1"/>
  <c r="I147" i="7" s="1"/>
  <c r="G148" i="7"/>
  <c r="H148" i="7" s="1"/>
  <c r="I148" i="7" s="1"/>
  <c r="H191" i="7"/>
  <c r="I191" i="7" s="1"/>
  <c r="I167" i="7"/>
  <c r="G156" i="7"/>
  <c r="H156" i="7" s="1"/>
  <c r="I156" i="7" s="1"/>
  <c r="H152" i="7"/>
  <c r="I152" i="7" s="1"/>
  <c r="H172" i="7"/>
  <c r="I172" i="7" s="1"/>
  <c r="G196" i="7"/>
  <c r="H196" i="7" s="1"/>
  <c r="I196" i="7" s="1"/>
  <c r="H186" i="7"/>
  <c r="I186" i="7" s="1"/>
  <c r="G184" i="7"/>
  <c r="H184" i="7" s="1"/>
  <c r="I184" i="7" s="1"/>
  <c r="G187" i="7"/>
  <c r="H187" i="7" s="1"/>
  <c r="I187" i="7" s="1"/>
  <c r="G188" i="7"/>
  <c r="I188" i="7" s="1"/>
  <c r="G189" i="7"/>
  <c r="H189" i="7" s="1"/>
  <c r="I189" i="7" s="1"/>
  <c r="G169" i="7"/>
  <c r="H169" i="7" s="1"/>
  <c r="I169" i="7" s="1"/>
  <c r="H170" i="7"/>
  <c r="I170" i="7" s="1"/>
  <c r="G195" i="7"/>
  <c r="H195" i="7" s="1"/>
  <c r="I195" i="7" s="1"/>
  <c r="H173" i="7"/>
  <c r="I173" i="7" s="1"/>
  <c r="H151" i="7"/>
  <c r="I151" i="7" s="1"/>
  <c r="H174" i="7"/>
  <c r="I174" i="7" s="1"/>
  <c r="H165" i="7"/>
  <c r="I165" i="7" s="1"/>
  <c r="H178" i="7"/>
  <c r="I178" i="7" s="1"/>
  <c r="G149" i="7"/>
  <c r="H149" i="7" s="1"/>
  <c r="I149" i="7" s="1"/>
  <c r="G166" i="7"/>
  <c r="H166" i="7" s="1"/>
  <c r="I166" i="7" s="1"/>
  <c r="G160" i="7"/>
  <c r="H160" i="7" s="1"/>
  <c r="I160" i="7" s="1"/>
  <c r="H161" i="7"/>
  <c r="I161" i="7" s="1"/>
  <c r="H162" i="7"/>
  <c r="I162" i="7" s="1"/>
  <c r="G159" i="7"/>
  <c r="I159" i="7" s="1"/>
  <c r="G200" i="7"/>
  <c r="H200" i="7" s="1"/>
  <c r="I200" i="7" s="1"/>
  <c r="G185" i="7"/>
  <c r="H185" i="7" s="1"/>
  <c r="I185" i="7" s="1"/>
  <c r="H171" i="7"/>
  <c r="I171" i="7" s="1"/>
  <c r="H194" i="7"/>
  <c r="I194" i="7" s="1"/>
  <c r="H180" i="7"/>
  <c r="I180" i="7" s="1"/>
  <c r="G208" i="7"/>
  <c r="H208" i="7" s="1"/>
  <c r="I208" i="7" s="1"/>
  <c r="G209" i="7"/>
  <c r="H209" i="7" s="1"/>
  <c r="I209" i="7" s="1"/>
  <c r="G103" i="7"/>
  <c r="H103" i="7" s="1"/>
  <c r="I103" i="7" s="1"/>
  <c r="G210" i="7"/>
  <c r="H210" i="7" s="1"/>
  <c r="I210" i="7" s="1"/>
  <c r="G211" i="7"/>
  <c r="H211" i="7" s="1"/>
  <c r="I211" i="7" s="1"/>
  <c r="G212" i="7"/>
  <c r="H212" i="7" s="1"/>
  <c r="I212" i="7" s="1"/>
  <c r="G213" i="7"/>
  <c r="H213" i="7" s="1"/>
  <c r="I213" i="7" s="1"/>
  <c r="G214" i="7"/>
  <c r="H214" i="7" s="1"/>
  <c r="I214" i="7" s="1"/>
  <c r="G215" i="7"/>
  <c r="H215" i="7" s="1"/>
  <c r="I215" i="7" s="1"/>
  <c r="G216" i="7"/>
  <c r="H216" i="7" s="1"/>
  <c r="I216" i="7" s="1"/>
  <c r="G217" i="7"/>
  <c r="H217" i="7" s="1"/>
  <c r="I217" i="7" s="1"/>
  <c r="G218" i="7"/>
  <c r="H218" i="7" s="1"/>
  <c r="I218" i="7" s="1"/>
  <c r="G219" i="7"/>
  <c r="H219" i="7" s="1"/>
  <c r="I219" i="7" s="1"/>
  <c r="G220" i="7"/>
  <c r="H220" i="7" s="1"/>
  <c r="I220" i="7" s="1"/>
  <c r="G221" i="7"/>
  <c r="H221" i="7" s="1"/>
  <c r="I221" i="7" s="1"/>
  <c r="G222" i="7"/>
  <c r="H222" i="7" s="1"/>
  <c r="I222" i="7" s="1"/>
  <c r="G223" i="7"/>
  <c r="H223" i="7" s="1"/>
  <c r="I223" i="7" s="1"/>
  <c r="G224" i="7"/>
  <c r="H224" i="7" s="1"/>
  <c r="I224" i="7" s="1"/>
  <c r="G225" i="7"/>
  <c r="H225" i="7" s="1"/>
  <c r="I225" i="7" s="1"/>
  <c r="G226" i="7"/>
  <c r="H226" i="7" s="1"/>
  <c r="I226" i="7" s="1"/>
  <c r="G227" i="7"/>
  <c r="H227" i="7" s="1"/>
  <c r="I227" i="7" s="1"/>
  <c r="G228" i="7"/>
  <c r="H228" i="7" s="1"/>
  <c r="I228" i="7" s="1"/>
  <c r="G229" i="7"/>
  <c r="H229" i="7" s="1"/>
  <c r="I229" i="7" s="1"/>
  <c r="G230" i="7"/>
  <c r="H230" i="7" s="1"/>
  <c r="I230" i="7" s="1"/>
  <c r="G231" i="7"/>
  <c r="H231" i="7" s="1"/>
  <c r="I231" i="7" s="1"/>
  <c r="G232" i="7"/>
  <c r="H232" i="7" s="1"/>
  <c r="I232" i="7" s="1"/>
  <c r="G233" i="7"/>
  <c r="H233" i="7" s="1"/>
  <c r="I233" i="7" s="1"/>
  <c r="G234" i="7"/>
  <c r="H234" i="7" s="1"/>
  <c r="I234" i="7" s="1"/>
  <c r="G235" i="7"/>
  <c r="H235" i="7" s="1"/>
  <c r="I235" i="7" s="1"/>
  <c r="G236" i="7"/>
  <c r="H236" i="7" s="1"/>
  <c r="I236" i="7" s="1"/>
  <c r="G237" i="7"/>
  <c r="H237" i="7" s="1"/>
  <c r="I237" i="7" s="1"/>
  <c r="G238" i="7"/>
  <c r="H238" i="7" s="1"/>
  <c r="I238" i="7" s="1"/>
  <c r="G239" i="7"/>
  <c r="H239" i="7" s="1"/>
  <c r="I239" i="7" s="1"/>
  <c r="G240" i="7"/>
  <c r="H240" i="7" s="1"/>
  <c r="I240" i="7" s="1"/>
  <c r="G241" i="7"/>
  <c r="H241" i="7" s="1"/>
  <c r="G242" i="7"/>
  <c r="H242" i="7" s="1"/>
  <c r="G243" i="7"/>
  <c r="H243" i="7" s="1"/>
  <c r="G244" i="7"/>
  <c r="H244" i="7" s="1"/>
  <c r="I244" i="7" s="1"/>
  <c r="G245" i="7"/>
  <c r="H245" i="7" s="1"/>
  <c r="I245" i="7" s="1"/>
  <c r="G246" i="7"/>
  <c r="H246" i="7" s="1"/>
  <c r="I246" i="7" s="1"/>
  <c r="G247" i="7"/>
  <c r="H247" i="7" s="1"/>
  <c r="G248" i="7"/>
  <c r="H248" i="7" s="1"/>
  <c r="G249" i="7"/>
  <c r="H249" i="7" s="1"/>
  <c r="G250" i="7"/>
  <c r="H250" i="7" s="1"/>
  <c r="I250" i="7" s="1"/>
  <c r="G251" i="7"/>
  <c r="G43" i="7"/>
  <c r="H43" i="7" s="1"/>
  <c r="I43" i="7" s="1"/>
  <c r="G71" i="7"/>
  <c r="H71" i="7" s="1"/>
  <c r="I71" i="7" s="1"/>
  <c r="G106" i="7"/>
  <c r="H106" i="7" s="1"/>
  <c r="I106" i="7" s="1"/>
  <c r="G252" i="7"/>
  <c r="H252" i="7" s="1"/>
  <c r="G253" i="7"/>
  <c r="H253" i="7" s="1"/>
  <c r="I253" i="7" s="1"/>
  <c r="G254" i="7"/>
  <c r="H254" i="7" s="1"/>
  <c r="I254" i="7" s="1"/>
  <c r="G255" i="7"/>
  <c r="H255" i="7" s="1"/>
  <c r="I255" i="7" s="1"/>
  <c r="G11" i="7"/>
  <c r="H11" i="7" s="1"/>
  <c r="I11" i="7" s="1"/>
  <c r="G256" i="7"/>
  <c r="H256" i="7" s="1"/>
  <c r="I256" i="7" s="1"/>
  <c r="G257" i="7"/>
  <c r="H257" i="7" s="1"/>
  <c r="I257" i="7" s="1"/>
  <c r="G258" i="7"/>
  <c r="H258" i="7" s="1"/>
  <c r="I258" i="7" s="1"/>
  <c r="G259" i="7"/>
  <c r="H259" i="7" s="1"/>
  <c r="I259" i="7" s="1"/>
  <c r="G260" i="7"/>
  <c r="H260" i="7" s="1"/>
  <c r="I260" i="7" s="1"/>
  <c r="G261" i="7"/>
  <c r="H261" i="7" s="1"/>
  <c r="I261" i="7" s="1"/>
  <c r="G262" i="7"/>
  <c r="G263" i="7"/>
  <c r="H263" i="7" s="1"/>
  <c r="I263" i="7" s="1"/>
  <c r="G264" i="7"/>
  <c r="H264" i="7" s="1"/>
  <c r="I264" i="7" s="1"/>
  <c r="G265" i="7"/>
  <c r="H265" i="7" s="1"/>
  <c r="I265" i="7" s="1"/>
  <c r="G266" i="7"/>
  <c r="H266" i="7" s="1"/>
  <c r="I266" i="7" s="1"/>
  <c r="G267" i="7"/>
  <c r="H267" i="7" s="1"/>
  <c r="I267" i="7" s="1"/>
  <c r="G268" i="7"/>
  <c r="H268" i="7" s="1"/>
  <c r="I268" i="7" s="1"/>
  <c r="G269" i="7"/>
  <c r="H269" i="7" s="1"/>
  <c r="I269" i="7" s="1"/>
  <c r="G270" i="7"/>
  <c r="H270" i="7" s="1"/>
  <c r="I270" i="7" s="1"/>
  <c r="G271" i="7"/>
  <c r="H271" i="7" s="1"/>
  <c r="I271" i="7" s="1"/>
  <c r="G272" i="7"/>
  <c r="H272" i="7" s="1"/>
  <c r="I272" i="7" s="1"/>
  <c r="G273" i="7"/>
  <c r="H273" i="7" s="1"/>
  <c r="I273" i="7" s="1"/>
  <c r="G274" i="7"/>
  <c r="H274" i="7" s="1"/>
  <c r="I274" i="7" s="1"/>
  <c r="G275" i="7"/>
  <c r="H275" i="7" s="1"/>
  <c r="I275" i="7" s="1"/>
  <c r="G276" i="7"/>
  <c r="H276" i="7" s="1"/>
  <c r="I276" i="7" s="1"/>
  <c r="G277" i="7"/>
  <c r="H277" i="7" s="1"/>
  <c r="I277" i="7" s="1"/>
  <c r="G278" i="7"/>
  <c r="H278" i="7" s="1"/>
  <c r="I278" i="7" s="1"/>
  <c r="G279" i="7"/>
  <c r="H279" i="7" s="1"/>
  <c r="I279" i="7" s="1"/>
  <c r="G280" i="7"/>
  <c r="H280" i="7" s="1"/>
  <c r="I280" i="7" s="1"/>
  <c r="G281" i="7"/>
  <c r="H281" i="7" s="1"/>
  <c r="I281" i="7" s="1"/>
  <c r="G282" i="7"/>
  <c r="H282" i="7" s="1"/>
  <c r="I282" i="7" s="1"/>
  <c r="G283" i="7"/>
  <c r="H283" i="7" s="1"/>
  <c r="I283" i="7" s="1"/>
  <c r="G284" i="7"/>
  <c r="H284" i="7" s="1"/>
  <c r="I284" i="7" s="1"/>
  <c r="G285" i="7"/>
  <c r="H285" i="7" s="1"/>
  <c r="I285" i="7" s="1"/>
  <c r="G286" i="7"/>
  <c r="H286" i="7" s="1"/>
  <c r="I286" i="7" s="1"/>
  <c r="G287" i="7"/>
  <c r="H287" i="7" s="1"/>
  <c r="I287" i="7" s="1"/>
  <c r="G288" i="7"/>
  <c r="H288" i="7" s="1"/>
  <c r="I288" i="7" s="1"/>
  <c r="G289" i="7"/>
  <c r="H289" i="7" s="1"/>
  <c r="I289" i="7" s="1"/>
  <c r="G290" i="7"/>
  <c r="H290" i="7" s="1"/>
  <c r="I290" i="7" s="1"/>
  <c r="G291" i="7"/>
  <c r="H291" i="7" s="1"/>
  <c r="I291" i="7" s="1"/>
  <c r="G292" i="7"/>
  <c r="H292" i="7" s="1"/>
  <c r="I292" i="7" s="1"/>
  <c r="G293" i="7"/>
  <c r="H293" i="7" s="1"/>
  <c r="I293" i="7" s="1"/>
  <c r="G294" i="7"/>
  <c r="H294" i="7" s="1"/>
  <c r="I294" i="7" s="1"/>
  <c r="G295" i="7"/>
  <c r="H295" i="7" s="1"/>
  <c r="I295" i="7" s="1"/>
  <c r="G296" i="7"/>
  <c r="H296" i="7" s="1"/>
  <c r="G297" i="7"/>
  <c r="H297" i="7" s="1"/>
  <c r="G298" i="7"/>
  <c r="H298" i="7" s="1"/>
  <c r="I298" i="7" s="1"/>
  <c r="G299" i="7"/>
  <c r="H299" i="7" s="1"/>
  <c r="I299" i="7" s="1"/>
  <c r="G300" i="7"/>
  <c r="H300" i="7" s="1"/>
  <c r="G301" i="7"/>
  <c r="H301" i="7" s="1"/>
  <c r="G302" i="7"/>
  <c r="H302" i="7" s="1"/>
  <c r="G303" i="7"/>
  <c r="H303" i="7" s="1"/>
  <c r="I303" i="7" s="1"/>
  <c r="G304" i="7"/>
  <c r="G305" i="7"/>
  <c r="H305" i="7" s="1"/>
  <c r="I305" i="7" s="1"/>
  <c r="G306" i="7"/>
  <c r="H306" i="7" s="1"/>
  <c r="I306" i="7" s="1"/>
  <c r="G307" i="7"/>
  <c r="H307" i="7" s="1"/>
  <c r="I307" i="7" s="1"/>
  <c r="G39" i="7"/>
  <c r="H39" i="7" s="1"/>
  <c r="I39" i="7" s="1"/>
  <c r="G96" i="7"/>
  <c r="H96" i="7" s="1"/>
  <c r="I96" i="7" s="1"/>
  <c r="G99" i="7"/>
  <c r="H99" i="7" s="1"/>
  <c r="I99" i="7" s="1"/>
  <c r="G90" i="7"/>
  <c r="H90" i="7" s="1"/>
  <c r="I90" i="7" s="1"/>
  <c r="G102" i="7"/>
  <c r="H102" i="7" s="1"/>
  <c r="I102" i="7" s="1"/>
  <c r="G308" i="7"/>
  <c r="H308" i="7" s="1"/>
  <c r="I308" i="7" s="1"/>
  <c r="G309" i="7"/>
  <c r="H309" i="7" s="1"/>
  <c r="I309" i="7" s="1"/>
  <c r="G310" i="7"/>
  <c r="H310" i="7" s="1"/>
  <c r="G311" i="7"/>
  <c r="H311" i="7" s="1"/>
  <c r="I311" i="7" s="1"/>
  <c r="G312" i="7"/>
  <c r="H312" i="7" s="1"/>
  <c r="I312" i="7" s="1"/>
  <c r="G30" i="7"/>
  <c r="H30" i="7" s="1"/>
  <c r="I30" i="7" s="1"/>
  <c r="G313" i="7"/>
  <c r="H313" i="7" s="1"/>
  <c r="I313" i="7" s="1"/>
  <c r="G314" i="7"/>
  <c r="H314" i="7" s="1"/>
  <c r="I314" i="7" s="1"/>
  <c r="G315" i="7"/>
  <c r="H315" i="7" s="1"/>
  <c r="I315" i="7" s="1"/>
  <c r="G316" i="7"/>
  <c r="H316" i="7" s="1"/>
  <c r="I316" i="7" s="1"/>
  <c r="G317" i="7"/>
  <c r="H317" i="7" s="1"/>
  <c r="I317" i="7" s="1"/>
  <c r="G318" i="7"/>
  <c r="H318" i="7" s="1"/>
  <c r="I318" i="7" s="1"/>
  <c r="G319" i="7"/>
  <c r="H319" i="7" s="1"/>
  <c r="I319" i="7" s="1"/>
  <c r="G320" i="7"/>
  <c r="H320" i="7" s="1"/>
  <c r="I320" i="7" s="1"/>
  <c r="G321" i="7"/>
  <c r="H321" i="7" s="1"/>
  <c r="I321" i="7" s="1"/>
  <c r="G322" i="7"/>
  <c r="H322" i="7" s="1"/>
  <c r="I322" i="7" s="1"/>
  <c r="G323" i="7"/>
  <c r="H323" i="7" s="1"/>
  <c r="I323" i="7" s="1"/>
  <c r="G324" i="7"/>
  <c r="H324" i="7" s="1"/>
  <c r="I324" i="7" s="1"/>
  <c r="G325" i="7"/>
  <c r="H325" i="7" s="1"/>
  <c r="I325" i="7" s="1"/>
  <c r="G326" i="7"/>
  <c r="H326" i="7" s="1"/>
  <c r="I326" i="7" s="1"/>
  <c r="G327" i="7"/>
  <c r="H327" i="7" s="1"/>
  <c r="I327" i="7" s="1"/>
  <c r="G328" i="7"/>
  <c r="H328" i="7" s="1"/>
  <c r="I328" i="7" s="1"/>
  <c r="G329" i="7"/>
  <c r="H329" i="7" s="1"/>
  <c r="I329" i="7" s="1"/>
  <c r="G330" i="7"/>
  <c r="H330" i="7" s="1"/>
  <c r="I330" i="7" s="1"/>
  <c r="G331" i="7"/>
  <c r="H331" i="7" s="1"/>
  <c r="I331" i="7" s="1"/>
  <c r="G332" i="7"/>
  <c r="H332" i="7" s="1"/>
  <c r="I332" i="7" s="1"/>
  <c r="G333" i="7"/>
  <c r="H333" i="7" s="1"/>
  <c r="I333" i="7" s="1"/>
  <c r="G334" i="7"/>
  <c r="H334" i="7" s="1"/>
  <c r="I334" i="7" s="1"/>
  <c r="G335" i="7"/>
  <c r="H335" i="7" s="1"/>
  <c r="I335" i="7" s="1"/>
  <c r="G336" i="7"/>
  <c r="H336" i="7" s="1"/>
  <c r="I336" i="7" s="1"/>
  <c r="G337" i="7"/>
  <c r="H337" i="7" s="1"/>
  <c r="I337" i="7" s="1"/>
  <c r="G338" i="7"/>
  <c r="H338" i="7" s="1"/>
  <c r="I338" i="7" s="1"/>
  <c r="G339" i="7"/>
  <c r="H339" i="7" s="1"/>
  <c r="I339" i="7" s="1"/>
  <c r="G340" i="7"/>
  <c r="H340" i="7" s="1"/>
  <c r="I340" i="7" s="1"/>
  <c r="G341" i="7"/>
  <c r="H341" i="7" s="1"/>
  <c r="I341" i="7" s="1"/>
  <c r="G342" i="7"/>
  <c r="H342" i="7" s="1"/>
  <c r="I342" i="7" s="1"/>
  <c r="G343" i="7"/>
  <c r="H343" i="7" s="1"/>
  <c r="I343" i="7" s="1"/>
  <c r="G344" i="7"/>
  <c r="H344" i="7" s="1"/>
  <c r="I344" i="7" s="1"/>
  <c r="G345" i="7"/>
  <c r="H345" i="7" s="1"/>
  <c r="I345" i="7" s="1"/>
  <c r="G346" i="7"/>
  <c r="H346" i="7" s="1"/>
  <c r="I346" i="7" s="1"/>
  <c r="G347" i="7"/>
  <c r="H347" i="7" s="1"/>
  <c r="I347" i="7" s="1"/>
  <c r="G348" i="7"/>
  <c r="H348" i="7" s="1"/>
  <c r="I348" i="7" s="1"/>
  <c r="G349" i="7"/>
  <c r="H349" i="7" s="1"/>
  <c r="I349" i="7" s="1"/>
  <c r="G350" i="7"/>
  <c r="H350" i="7" s="1"/>
  <c r="I350" i="7" s="1"/>
  <c r="G351" i="7"/>
  <c r="H351" i="7" s="1"/>
  <c r="I351" i="7" s="1"/>
  <c r="G352" i="7"/>
  <c r="H352" i="7" s="1"/>
  <c r="I352" i="7" s="1"/>
  <c r="G353" i="7"/>
  <c r="H353" i="7" s="1"/>
  <c r="I353" i="7" s="1"/>
  <c r="G354" i="7"/>
  <c r="H354" i="7" s="1"/>
  <c r="I354" i="7" s="1"/>
  <c r="G355" i="7"/>
  <c r="H355" i="7" s="1"/>
  <c r="I355" i="7" s="1"/>
  <c r="G356" i="7"/>
  <c r="H356" i="7" s="1"/>
  <c r="I356" i="7" s="1"/>
  <c r="G357" i="7"/>
  <c r="H357" i="7" s="1"/>
  <c r="I357" i="7" s="1"/>
  <c r="G358" i="7"/>
  <c r="H358" i="7" s="1"/>
  <c r="I358" i="7" s="1"/>
  <c r="G359" i="7"/>
  <c r="H359" i="7" s="1"/>
  <c r="I359" i="7" s="1"/>
  <c r="G360" i="7"/>
  <c r="H360" i="7" s="1"/>
  <c r="I360" i="7" s="1"/>
  <c r="G361" i="7"/>
  <c r="H361" i="7" s="1"/>
  <c r="I361" i="7" s="1"/>
  <c r="G362" i="7"/>
  <c r="H362" i="7" s="1"/>
  <c r="I362" i="7" s="1"/>
  <c r="G363" i="7"/>
  <c r="H363" i="7" s="1"/>
  <c r="I363" i="7" s="1"/>
  <c r="G364" i="7"/>
  <c r="H364" i="7" s="1"/>
  <c r="I364" i="7" s="1"/>
  <c r="G365" i="7"/>
  <c r="H365" i="7" s="1"/>
  <c r="I365" i="7" s="1"/>
  <c r="G366" i="7"/>
  <c r="H366" i="7" s="1"/>
  <c r="I366" i="7" s="1"/>
  <c r="G367" i="7"/>
  <c r="H367" i="7" s="1"/>
  <c r="I367" i="7" s="1"/>
  <c r="G368" i="7"/>
  <c r="H368" i="7" s="1"/>
  <c r="I368" i="7" s="1"/>
  <c r="G369" i="7"/>
  <c r="H369" i="7" s="1"/>
  <c r="I369" i="7" s="1"/>
  <c r="G370" i="7"/>
  <c r="H370" i="7" s="1"/>
  <c r="I370" i="7" s="1"/>
  <c r="G371" i="7"/>
  <c r="H371" i="7" s="1"/>
  <c r="I371" i="7" s="1"/>
  <c r="G372" i="7"/>
  <c r="H372" i="7" s="1"/>
  <c r="I372" i="7" s="1"/>
  <c r="G373" i="7"/>
  <c r="H373" i="7" s="1"/>
  <c r="I373" i="7" s="1"/>
  <c r="G374" i="7"/>
  <c r="H374" i="7" s="1"/>
  <c r="I374" i="7" s="1"/>
  <c r="G375" i="7"/>
  <c r="H375" i="7" s="1"/>
  <c r="I375" i="7" s="1"/>
  <c r="G376" i="7"/>
  <c r="H376" i="7" s="1"/>
  <c r="I376" i="7" s="1"/>
  <c r="G377" i="7"/>
  <c r="H377" i="7" s="1"/>
  <c r="I377" i="7" s="1"/>
  <c r="G378" i="7"/>
  <c r="H378" i="7" s="1"/>
  <c r="I378" i="7" s="1"/>
  <c r="G379" i="7"/>
  <c r="H379" i="7" s="1"/>
  <c r="I379" i="7" s="1"/>
  <c r="G380" i="7"/>
  <c r="H380" i="7" s="1"/>
  <c r="I380" i="7" s="1"/>
  <c r="G381" i="7"/>
  <c r="H381" i="7" s="1"/>
  <c r="G382" i="7"/>
  <c r="H382" i="7" s="1"/>
  <c r="G383" i="7"/>
  <c r="H383" i="7" s="1"/>
  <c r="I383" i="7" s="1"/>
  <c r="G384" i="7"/>
  <c r="H384" i="7" s="1"/>
  <c r="I384" i="7" s="1"/>
  <c r="G385" i="7"/>
  <c r="H385" i="7" s="1"/>
  <c r="I385" i="7" s="1"/>
  <c r="G386" i="7"/>
  <c r="H386" i="7" s="1"/>
  <c r="G387" i="7"/>
  <c r="H387" i="7" s="1"/>
  <c r="G388" i="7"/>
  <c r="H388" i="7" s="1"/>
  <c r="G389" i="7"/>
  <c r="H389" i="7" s="1"/>
  <c r="I389" i="7" s="1"/>
  <c r="G390" i="7"/>
  <c r="G391" i="7"/>
  <c r="H391" i="7" s="1"/>
  <c r="I391" i="7" s="1"/>
  <c r="G392" i="7"/>
  <c r="H392" i="7" s="1"/>
  <c r="I392" i="7" s="1"/>
  <c r="G46" i="7"/>
  <c r="H46" i="7" s="1"/>
  <c r="I46" i="7" s="1"/>
  <c r="G110" i="7"/>
  <c r="H110" i="7" s="1"/>
  <c r="I110" i="7" s="1"/>
  <c r="G61" i="7"/>
  <c r="H61" i="7" s="1"/>
  <c r="I61" i="7" s="1"/>
  <c r="G393" i="7"/>
  <c r="H393" i="7" s="1"/>
  <c r="I393" i="7" s="1"/>
  <c r="G394" i="7"/>
  <c r="H394" i="7" s="1"/>
  <c r="I394" i="7" s="1"/>
  <c r="G395" i="7"/>
  <c r="H395" i="7" s="1"/>
  <c r="I395" i="7" s="1"/>
  <c r="G396" i="7"/>
  <c r="H396" i="7" s="1"/>
  <c r="I396" i="7" s="1"/>
  <c r="G397" i="7"/>
  <c r="H397" i="7" s="1"/>
  <c r="I397" i="7" s="1"/>
  <c r="G398" i="7"/>
  <c r="H398" i="7" s="1"/>
  <c r="I398" i="7" s="1"/>
  <c r="G399" i="7"/>
  <c r="H399" i="7" s="1"/>
  <c r="I399" i="7" s="1"/>
  <c r="G400" i="7"/>
  <c r="H400" i="7" s="1"/>
  <c r="I400" i="7" s="1"/>
  <c r="G401" i="7"/>
  <c r="H401" i="7" s="1"/>
  <c r="I401" i="7" s="1"/>
  <c r="G402" i="7"/>
  <c r="H402" i="7" s="1"/>
  <c r="I402" i="7" s="1"/>
  <c r="G403" i="7"/>
  <c r="H403" i="7" s="1"/>
  <c r="I403" i="7" s="1"/>
  <c r="G404" i="7"/>
  <c r="H404" i="7" s="1"/>
  <c r="I404" i="7" s="1"/>
  <c r="G405" i="7"/>
  <c r="H405" i="7" s="1"/>
  <c r="I405" i="7" s="1"/>
  <c r="G406" i="7"/>
  <c r="H406" i="7" s="1"/>
  <c r="I406" i="7" s="1"/>
  <c r="G407" i="7"/>
  <c r="H407" i="7" s="1"/>
  <c r="I407" i="7" s="1"/>
  <c r="G408" i="7"/>
  <c r="H408" i="7" s="1"/>
  <c r="I408" i="7" s="1"/>
  <c r="G409" i="7"/>
  <c r="H409" i="7" s="1"/>
  <c r="I409" i="7" s="1"/>
  <c r="G410" i="7"/>
  <c r="H410" i="7" s="1"/>
  <c r="I410" i="7" s="1"/>
  <c r="G411" i="7"/>
  <c r="H411" i="7" s="1"/>
  <c r="I411" i="7" s="1"/>
  <c r="G412" i="7"/>
  <c r="H412" i="7" s="1"/>
  <c r="I412" i="7" s="1"/>
  <c r="G413" i="7"/>
  <c r="H413" i="7" s="1"/>
  <c r="I413" i="7" s="1"/>
  <c r="G414" i="7"/>
  <c r="H414" i="7" s="1"/>
  <c r="I414" i="7" s="1"/>
  <c r="G415" i="7"/>
  <c r="H415" i="7" s="1"/>
  <c r="I415" i="7" s="1"/>
  <c r="G416" i="7"/>
  <c r="H416" i="7" s="1"/>
  <c r="I416" i="7" s="1"/>
  <c r="G417" i="7"/>
  <c r="H417" i="7" s="1"/>
  <c r="I417" i="7" s="1"/>
  <c r="G418" i="7"/>
  <c r="H418" i="7" s="1"/>
  <c r="I418" i="7" s="1"/>
  <c r="G419" i="7"/>
  <c r="H419" i="7" s="1"/>
  <c r="I419" i="7" s="1"/>
  <c r="G420" i="7"/>
  <c r="H420" i="7" s="1"/>
  <c r="I420" i="7" s="1"/>
  <c r="G421" i="7"/>
  <c r="H421" i="7" s="1"/>
  <c r="I421" i="7" s="1"/>
  <c r="G422" i="7"/>
  <c r="H422" i="7" s="1"/>
  <c r="I422" i="7" s="1"/>
  <c r="G423" i="7"/>
  <c r="H423" i="7" s="1"/>
  <c r="I423" i="7" s="1"/>
  <c r="G424" i="7"/>
  <c r="H424" i="7" s="1"/>
  <c r="I424" i="7" s="1"/>
  <c r="G425" i="7"/>
  <c r="H425" i="7" s="1"/>
  <c r="I425" i="7" s="1"/>
  <c r="G426" i="7"/>
  <c r="H426" i="7" s="1"/>
  <c r="G427" i="7"/>
  <c r="H427" i="7" s="1"/>
  <c r="G428" i="7"/>
  <c r="H428" i="7" s="1"/>
  <c r="I428" i="7" s="1"/>
  <c r="G429" i="7"/>
  <c r="H429" i="7" s="1"/>
  <c r="I429" i="7" s="1"/>
  <c r="G430" i="7"/>
  <c r="H430" i="7" s="1"/>
  <c r="I430" i="7" s="1"/>
  <c r="G431" i="7"/>
  <c r="H431" i="7" s="1"/>
  <c r="I431" i="7" s="1"/>
  <c r="G432" i="7"/>
  <c r="G433" i="7"/>
  <c r="H433" i="7" s="1"/>
  <c r="I433" i="7" s="1"/>
  <c r="G434" i="7"/>
  <c r="H434" i="7" s="1"/>
  <c r="I434" i="7" s="1"/>
  <c r="G435" i="7"/>
  <c r="H435" i="7" s="1"/>
  <c r="I435" i="7" s="1"/>
  <c r="G436" i="7"/>
  <c r="H436" i="7" s="1"/>
  <c r="I436" i="7" s="1"/>
  <c r="G437" i="7"/>
  <c r="G438" i="7"/>
  <c r="H438" i="7" s="1"/>
  <c r="I438" i="7" s="1"/>
  <c r="G439" i="7"/>
  <c r="H439" i="7" s="1"/>
  <c r="I439" i="7" s="1"/>
  <c r="G440" i="7"/>
  <c r="H440" i="7" s="1"/>
  <c r="I440" i="7" s="1"/>
  <c r="G441" i="7"/>
  <c r="H441" i="7" s="1"/>
  <c r="I441" i="7" s="1"/>
  <c r="G442" i="7"/>
  <c r="H442" i="7" s="1"/>
  <c r="I442" i="7" s="1"/>
  <c r="G443" i="7"/>
  <c r="H443" i="7" s="1"/>
  <c r="I443" i="7" s="1"/>
  <c r="G444" i="7"/>
  <c r="H444" i="7" s="1"/>
  <c r="I444" i="7" s="1"/>
  <c r="G445" i="7"/>
  <c r="H445" i="7" s="1"/>
  <c r="I445" i="7" s="1"/>
  <c r="G446" i="7"/>
  <c r="H446" i="7" s="1"/>
  <c r="I446" i="7" s="1"/>
  <c r="G23" i="7"/>
  <c r="H23" i="7" s="1"/>
  <c r="I23" i="7" s="1"/>
  <c r="G68" i="7"/>
  <c r="H68" i="7" s="1"/>
  <c r="I68" i="7" s="1"/>
  <c r="G447" i="7"/>
  <c r="H447" i="7" s="1"/>
  <c r="I447" i="7" s="1"/>
  <c r="G448" i="7"/>
  <c r="H448" i="7" s="1"/>
  <c r="I448" i="7" s="1"/>
  <c r="G449" i="7"/>
  <c r="H449" i="7" s="1"/>
  <c r="I449" i="7" s="1"/>
  <c r="G450" i="7"/>
  <c r="H450" i="7" s="1"/>
  <c r="I450" i="7" s="1"/>
  <c r="G451" i="7"/>
  <c r="H451" i="7" s="1"/>
  <c r="I451" i="7" s="1"/>
  <c r="G452" i="7"/>
  <c r="H452" i="7" s="1"/>
  <c r="I452" i="7" s="1"/>
  <c r="G453" i="7"/>
  <c r="H453" i="7" s="1"/>
  <c r="I453" i="7" s="1"/>
  <c r="G454" i="7"/>
  <c r="H454" i="7" s="1"/>
  <c r="I454" i="7" s="1"/>
  <c r="G48" i="7"/>
  <c r="H48" i="7" s="1"/>
  <c r="I48" i="7" s="1"/>
  <c r="G455" i="7"/>
  <c r="H455" i="7" s="1"/>
  <c r="I455" i="7" s="1"/>
  <c r="G456" i="7"/>
  <c r="H456" i="7" s="1"/>
  <c r="I456" i="7" s="1"/>
  <c r="G457" i="7"/>
  <c r="H457" i="7" s="1"/>
  <c r="I457" i="7" s="1"/>
  <c r="G458" i="7"/>
  <c r="H458" i="7" s="1"/>
  <c r="I458" i="7" s="1"/>
  <c r="G459" i="7"/>
  <c r="H459" i="7" s="1"/>
  <c r="I459" i="7" s="1"/>
  <c r="G460" i="7"/>
  <c r="H460" i="7" s="1"/>
  <c r="I460" i="7" s="1"/>
  <c r="G461" i="7"/>
  <c r="H461" i="7" s="1"/>
  <c r="I461" i="7" s="1"/>
  <c r="G462" i="7"/>
  <c r="H462" i="7" s="1"/>
  <c r="I462" i="7" s="1"/>
  <c r="G463" i="7"/>
  <c r="H463" i="7" s="1"/>
  <c r="I463" i="7" s="1"/>
  <c r="G29" i="7"/>
  <c r="H29" i="7" s="1"/>
  <c r="I29" i="7" s="1"/>
  <c r="G464" i="7"/>
  <c r="H464" i="7" s="1"/>
  <c r="I464" i="7" s="1"/>
  <c r="G465" i="7"/>
  <c r="H465" i="7" s="1"/>
  <c r="G466" i="7"/>
  <c r="H466" i="7" s="1"/>
  <c r="I466" i="7" s="1"/>
  <c r="G467" i="7"/>
  <c r="H467" i="7" s="1"/>
  <c r="G468" i="7"/>
  <c r="H468" i="7" s="1"/>
  <c r="I468" i="7" s="1"/>
  <c r="G469" i="7"/>
  <c r="H469" i="7" s="1"/>
  <c r="G470" i="7"/>
  <c r="H470" i="7" s="1"/>
  <c r="G471" i="7"/>
  <c r="H471" i="7" s="1"/>
  <c r="I471" i="7" s="1"/>
  <c r="G472" i="7"/>
  <c r="H472" i="7" s="1"/>
  <c r="I472" i="7" s="1"/>
  <c r="G473" i="7"/>
  <c r="H473" i="7" s="1"/>
  <c r="I473" i="7" s="1"/>
  <c r="G474" i="7"/>
  <c r="H474" i="7" s="1"/>
  <c r="I474" i="7" s="1"/>
  <c r="G475" i="7"/>
  <c r="H475" i="7" s="1"/>
  <c r="I475" i="7" s="1"/>
  <c r="G476" i="7"/>
  <c r="H476" i="7" s="1"/>
  <c r="G477" i="7"/>
  <c r="H477" i="7" s="1"/>
  <c r="I477" i="7" s="1"/>
  <c r="G478" i="7"/>
  <c r="H478" i="7" s="1"/>
  <c r="I478" i="7" s="1"/>
  <c r="G479" i="7"/>
  <c r="H479" i="7" s="1"/>
  <c r="I479" i="7" s="1"/>
  <c r="G480" i="7"/>
  <c r="H480" i="7" s="1"/>
  <c r="I480" i="7" s="1"/>
  <c r="G481" i="7"/>
  <c r="H481" i="7" s="1"/>
  <c r="I481" i="7" s="1"/>
  <c r="G482" i="7"/>
  <c r="H482" i="7" s="1"/>
  <c r="I482" i="7" s="1"/>
  <c r="G483" i="7"/>
  <c r="H483" i="7" s="1"/>
  <c r="I483" i="7" s="1"/>
  <c r="G484" i="7"/>
  <c r="H484" i="7" s="1"/>
  <c r="I484" i="7" s="1"/>
  <c r="G485" i="7"/>
  <c r="H485" i="7" s="1"/>
  <c r="I485" i="7" s="1"/>
  <c r="G486" i="7"/>
  <c r="H486" i="7" s="1"/>
  <c r="I486" i="7" s="1"/>
  <c r="G487" i="7"/>
  <c r="H487" i="7" s="1"/>
  <c r="I487" i="7" s="1"/>
  <c r="G488" i="7"/>
  <c r="H488" i="7" s="1"/>
  <c r="G489" i="7"/>
  <c r="H489" i="7" s="1"/>
  <c r="I489" i="7" s="1"/>
  <c r="G490" i="7"/>
  <c r="H490" i="7" s="1"/>
  <c r="I490" i="7" s="1"/>
  <c r="G491" i="7"/>
  <c r="H491" i="7" s="1"/>
  <c r="I491" i="7" s="1"/>
  <c r="G492" i="7"/>
  <c r="H492" i="7" s="1"/>
  <c r="I492" i="7" s="1"/>
  <c r="G493" i="7"/>
  <c r="H493" i="7" s="1"/>
  <c r="I493" i="7" s="1"/>
  <c r="G36" i="7"/>
  <c r="H36" i="7" s="1"/>
  <c r="I36" i="7" s="1"/>
  <c r="G494" i="7"/>
  <c r="H494" i="7" s="1"/>
  <c r="I494" i="7" s="1"/>
  <c r="G495" i="7"/>
  <c r="H495" i="7" s="1"/>
  <c r="I495" i="7" s="1"/>
  <c r="G496" i="7"/>
  <c r="H496" i="7" s="1"/>
  <c r="I496" i="7" s="1"/>
  <c r="G497" i="7"/>
  <c r="H497" i="7" s="1"/>
  <c r="I497" i="7" s="1"/>
  <c r="G498" i="7"/>
  <c r="H498" i="7" s="1"/>
  <c r="I498" i="7" s="1"/>
  <c r="G499" i="7"/>
  <c r="H499" i="7" s="1"/>
  <c r="I499" i="7" s="1"/>
  <c r="G500" i="7"/>
  <c r="H500" i="7" s="1"/>
  <c r="I500" i="7" s="1"/>
  <c r="G501" i="7"/>
  <c r="H501" i="7" s="1"/>
  <c r="I501" i="7" s="1"/>
  <c r="G502" i="7"/>
  <c r="H502" i="7" s="1"/>
  <c r="I502" i="7" s="1"/>
  <c r="G503" i="7"/>
  <c r="H503" i="7" s="1"/>
  <c r="I503" i="7" s="1"/>
  <c r="G504" i="7"/>
  <c r="H504" i="7" s="1"/>
  <c r="I504" i="7" s="1"/>
  <c r="G505" i="7"/>
  <c r="H505" i="7" s="1"/>
  <c r="I505" i="7" s="1"/>
  <c r="G506" i="7"/>
  <c r="H506" i="7" s="1"/>
  <c r="I506" i="7" s="1"/>
  <c r="G507" i="7"/>
  <c r="H507" i="7" s="1"/>
  <c r="I507" i="7" s="1"/>
  <c r="G508" i="7"/>
  <c r="H508" i="7" s="1"/>
  <c r="I508" i="7" s="1"/>
  <c r="G509" i="7"/>
  <c r="H509" i="7" s="1"/>
  <c r="I509" i="7" s="1"/>
  <c r="G510" i="7"/>
  <c r="H510" i="7" s="1"/>
  <c r="I510" i="7" s="1"/>
  <c r="G511" i="7"/>
  <c r="H511" i="7" s="1"/>
  <c r="I511" i="7" s="1"/>
  <c r="G512" i="7"/>
  <c r="G513" i="7"/>
  <c r="H513" i="7" s="1"/>
  <c r="I513" i="7" s="1"/>
  <c r="G514" i="7"/>
  <c r="H514" i="7" s="1"/>
  <c r="I514" i="7" s="1"/>
  <c r="G515" i="7"/>
  <c r="H515" i="7" s="1"/>
  <c r="I515" i="7" s="1"/>
  <c r="G516" i="7"/>
  <c r="H516" i="7" s="1"/>
  <c r="I516" i="7" s="1"/>
  <c r="G517" i="7"/>
  <c r="H517" i="7" s="1"/>
  <c r="I517" i="7" s="1"/>
  <c r="G518" i="7"/>
  <c r="H518" i="7" s="1"/>
  <c r="I518" i="7" s="1"/>
  <c r="G519" i="7"/>
  <c r="H519" i="7" s="1"/>
  <c r="I519" i="7" s="1"/>
  <c r="G520" i="7"/>
  <c r="H520" i="7" s="1"/>
  <c r="I520" i="7" s="1"/>
  <c r="G521" i="7"/>
  <c r="H521" i="7" s="1"/>
  <c r="I521" i="7" s="1"/>
  <c r="G522" i="7"/>
  <c r="H522" i="7" s="1"/>
  <c r="I522" i="7" s="1"/>
  <c r="G523" i="7"/>
  <c r="H523" i="7" s="1"/>
  <c r="I523" i="7" s="1"/>
  <c r="G524" i="7"/>
  <c r="H524" i="7" s="1"/>
  <c r="I524" i="7" s="1"/>
  <c r="G525" i="7"/>
  <c r="H525" i="7" s="1"/>
  <c r="I525" i="7" s="1"/>
  <c r="G526" i="7"/>
  <c r="H526" i="7" s="1"/>
  <c r="I526" i="7" s="1"/>
  <c r="G527" i="7"/>
  <c r="H527" i="7" s="1"/>
  <c r="I527" i="7" s="1"/>
  <c r="G528" i="7"/>
  <c r="H528" i="7" s="1"/>
  <c r="I528" i="7" s="1"/>
  <c r="G529" i="7"/>
  <c r="H529" i="7" s="1"/>
  <c r="I529" i="7" s="1"/>
  <c r="G530" i="7"/>
  <c r="H530" i="7" s="1"/>
  <c r="I530" i="7" s="1"/>
  <c r="G531" i="7"/>
  <c r="H531" i="7" s="1"/>
  <c r="I531" i="7" s="1"/>
  <c r="G532" i="7"/>
  <c r="H532" i="7" s="1"/>
  <c r="I532" i="7" s="1"/>
  <c r="G533" i="7"/>
  <c r="H533" i="7" s="1"/>
  <c r="I533" i="7" s="1"/>
  <c r="G534" i="7"/>
  <c r="H534" i="7" s="1"/>
  <c r="I534" i="7" s="1"/>
  <c r="G56" i="7"/>
  <c r="H56" i="7" s="1"/>
  <c r="I56" i="7" s="1"/>
  <c r="G116" i="7"/>
  <c r="H116" i="7" s="1"/>
  <c r="I116" i="7" s="1"/>
  <c r="G535" i="7"/>
  <c r="H535" i="7" s="1"/>
  <c r="I535" i="7" s="1"/>
  <c r="G536" i="7"/>
  <c r="H536" i="7" s="1"/>
  <c r="I536" i="7" s="1"/>
  <c r="G537" i="7"/>
  <c r="H537" i="7" s="1"/>
  <c r="I537" i="7" s="1"/>
  <c r="G538" i="7"/>
  <c r="H538" i="7" s="1"/>
  <c r="I538" i="7" s="1"/>
  <c r="G539" i="7"/>
  <c r="H539" i="7" s="1"/>
  <c r="I539" i="7" s="1"/>
  <c r="G540" i="7"/>
  <c r="H540" i="7" s="1"/>
  <c r="I540" i="7" s="1"/>
  <c r="G541" i="7"/>
  <c r="H541" i="7" s="1"/>
  <c r="I541" i="7" s="1"/>
  <c r="G542" i="7"/>
  <c r="H542" i="7" s="1"/>
  <c r="I542" i="7" s="1"/>
  <c r="G543" i="7"/>
  <c r="H543" i="7" s="1"/>
  <c r="I543" i="7" s="1"/>
  <c r="G544" i="7"/>
  <c r="H544" i="7" s="1"/>
  <c r="I544" i="7" s="1"/>
  <c r="G545" i="7"/>
  <c r="H545" i="7" s="1"/>
  <c r="I545" i="7" s="1"/>
  <c r="G546" i="7"/>
  <c r="H546" i="7" s="1"/>
  <c r="I546" i="7" s="1"/>
  <c r="G547" i="7"/>
  <c r="H547" i="7" s="1"/>
  <c r="I547" i="7" s="1"/>
  <c r="G548" i="7"/>
  <c r="H548" i="7" s="1"/>
  <c r="I548" i="7" s="1"/>
  <c r="G549" i="7"/>
  <c r="H549" i="7" s="1"/>
  <c r="I549" i="7" s="1"/>
  <c r="G550" i="7"/>
  <c r="H550" i="7" s="1"/>
  <c r="I550" i="7" s="1"/>
  <c r="G551" i="7"/>
  <c r="H551" i="7" s="1"/>
  <c r="I551" i="7" s="1"/>
  <c r="G552" i="7"/>
  <c r="H552" i="7" s="1"/>
  <c r="I552" i="7" s="1"/>
  <c r="G553" i="7"/>
  <c r="H553" i="7" s="1"/>
  <c r="I553" i="7" s="1"/>
  <c r="G554" i="7"/>
  <c r="H554" i="7" s="1"/>
  <c r="I554" i="7" s="1"/>
  <c r="G555" i="7"/>
  <c r="H555" i="7" s="1"/>
  <c r="I555" i="7" s="1"/>
  <c r="G556" i="7"/>
  <c r="H556" i="7" s="1"/>
  <c r="I556" i="7" s="1"/>
  <c r="G557" i="7"/>
  <c r="H557" i="7" s="1"/>
  <c r="I557" i="7" s="1"/>
  <c r="G558" i="7"/>
  <c r="H558" i="7" s="1"/>
  <c r="I558" i="7" s="1"/>
  <c r="G559" i="7"/>
  <c r="H559" i="7" s="1"/>
  <c r="I559" i="7" s="1"/>
  <c r="G560" i="7"/>
  <c r="H560" i="7" s="1"/>
  <c r="I560" i="7" s="1"/>
  <c r="G561" i="7"/>
  <c r="H561" i="7" s="1"/>
  <c r="I561" i="7" s="1"/>
  <c r="G562" i="7"/>
  <c r="H562" i="7" s="1"/>
  <c r="I562" i="7" s="1"/>
  <c r="G563" i="7"/>
  <c r="H563" i="7" s="1"/>
  <c r="I563" i="7" s="1"/>
  <c r="G564" i="7"/>
  <c r="H564" i="7" s="1"/>
  <c r="I564" i="7" s="1"/>
  <c r="G565" i="7"/>
  <c r="H565" i="7" s="1"/>
  <c r="I565" i="7" s="1"/>
  <c r="G566" i="7"/>
  <c r="H566" i="7" s="1"/>
  <c r="I566" i="7" s="1"/>
  <c r="G567" i="7"/>
  <c r="H567" i="7" s="1"/>
  <c r="I567" i="7" s="1"/>
  <c r="G568" i="7"/>
  <c r="H568" i="7" s="1"/>
  <c r="I568" i="7" s="1"/>
  <c r="G15" i="7"/>
  <c r="H15" i="7" s="1"/>
  <c r="I15" i="7" s="1"/>
  <c r="G47" i="7"/>
  <c r="H47" i="7" s="1"/>
  <c r="I47" i="7" s="1"/>
  <c r="G65" i="7"/>
  <c r="H65" i="7" s="1"/>
  <c r="I65" i="7" s="1"/>
  <c r="G89" i="7"/>
  <c r="H89" i="7" s="1"/>
  <c r="I89" i="7" s="1"/>
  <c r="G91" i="7"/>
  <c r="G92" i="7"/>
  <c r="H92" i="7" s="1"/>
  <c r="I92" i="7" s="1"/>
  <c r="G93" i="7"/>
  <c r="H93" i="7" s="1"/>
  <c r="I93" i="7" s="1"/>
  <c r="G94" i="7"/>
  <c r="H94" i="7" s="1"/>
  <c r="I94" i="7" s="1"/>
  <c r="G95" i="7"/>
  <c r="H95" i="7" s="1"/>
  <c r="I95" i="7" s="1"/>
  <c r="G97" i="7"/>
  <c r="H97" i="7" s="1"/>
  <c r="I97" i="7" s="1"/>
  <c r="G98" i="7"/>
  <c r="H98" i="7" s="1"/>
  <c r="I98" i="7" s="1"/>
  <c r="G107" i="7"/>
  <c r="H107" i="7" s="1"/>
  <c r="I107" i="7" s="1"/>
  <c r="G108" i="7"/>
  <c r="H108" i="7" s="1"/>
  <c r="I108" i="7" s="1"/>
  <c r="G109" i="7"/>
  <c r="H109" i="7" s="1"/>
  <c r="I109" i="7" s="1"/>
  <c r="G111" i="7"/>
  <c r="H111" i="7" s="1"/>
  <c r="I111" i="7" s="1"/>
  <c r="G112" i="7"/>
  <c r="H112" i="7" s="1"/>
  <c r="I112" i="7" s="1"/>
  <c r="G115" i="7"/>
  <c r="H115" i="7" s="1"/>
  <c r="I115" i="7" s="1"/>
  <c r="G117" i="7"/>
  <c r="H117" i="7" s="1"/>
  <c r="I117" i="7" s="1"/>
  <c r="G82" i="7"/>
  <c r="H82" i="7" s="1"/>
  <c r="I82" i="7" s="1"/>
  <c r="G100" i="7"/>
  <c r="H100" i="7" s="1"/>
  <c r="I100" i="7" s="1"/>
  <c r="G67" i="7"/>
  <c r="H67" i="7" s="1"/>
  <c r="I67" i="7" s="1"/>
  <c r="G76" i="7"/>
  <c r="H76" i="7" s="1"/>
  <c r="I76" i="7" s="1"/>
  <c r="G105" i="7"/>
  <c r="H105" i="7" s="1"/>
  <c r="I105" i="7" s="1"/>
  <c r="G101" i="7"/>
  <c r="H101" i="7" s="1"/>
  <c r="I101" i="7" s="1"/>
  <c r="G104" i="7"/>
  <c r="H104" i="7" s="1"/>
  <c r="I104" i="7" s="1"/>
  <c r="G32" i="7"/>
  <c r="H32" i="7" s="1"/>
  <c r="I32" i="7" s="1"/>
  <c r="G22" i="7"/>
  <c r="H22" i="7" s="1"/>
  <c r="I22" i="7" s="1"/>
  <c r="G52" i="7"/>
  <c r="H52" i="7" s="1"/>
  <c r="I52" i="7" s="1"/>
  <c r="G45" i="7"/>
  <c r="H45" i="7" s="1"/>
  <c r="I45" i="7" s="1"/>
  <c r="G569" i="7"/>
  <c r="H569" i="7" s="1"/>
  <c r="I569" i="7" s="1"/>
  <c r="G570" i="7"/>
  <c r="H570" i="7" s="1"/>
  <c r="I570" i="7" s="1"/>
  <c r="G571" i="7"/>
  <c r="H571" i="7" s="1"/>
  <c r="I571" i="7" s="1"/>
  <c r="G572" i="7"/>
  <c r="H572" i="7" s="1"/>
  <c r="I572" i="7" s="1"/>
  <c r="G573" i="7"/>
  <c r="H573" i="7" s="1"/>
  <c r="I573" i="7" s="1"/>
  <c r="G574" i="7"/>
  <c r="H574" i="7" s="1"/>
  <c r="I574" i="7" s="1"/>
  <c r="G575" i="7"/>
  <c r="H575" i="7" s="1"/>
  <c r="I575" i="7" s="1"/>
  <c r="G576" i="7"/>
  <c r="H576" i="7" s="1"/>
  <c r="I576" i="7" s="1"/>
  <c r="G577" i="7"/>
  <c r="H577" i="7" s="1"/>
  <c r="I577" i="7" s="1"/>
  <c r="G578" i="7"/>
  <c r="H578" i="7" s="1"/>
  <c r="I578" i="7" s="1"/>
  <c r="G579" i="7"/>
  <c r="H579" i="7" s="1"/>
  <c r="I579" i="7" s="1"/>
  <c r="G580" i="7"/>
  <c r="H580" i="7" s="1"/>
  <c r="I580" i="7" s="1"/>
  <c r="G581" i="7"/>
  <c r="H581" i="7" s="1"/>
  <c r="I581" i="7" s="1"/>
  <c r="G582" i="7"/>
  <c r="H582" i="7" s="1"/>
  <c r="I582" i="7" s="1"/>
  <c r="G583" i="7"/>
  <c r="H583" i="7" s="1"/>
  <c r="I583" i="7" s="1"/>
  <c r="G584" i="7"/>
  <c r="H584" i="7" s="1"/>
  <c r="I584" i="7" s="1"/>
  <c r="G585" i="7"/>
  <c r="H585" i="7" s="1"/>
  <c r="I585" i="7" s="1"/>
  <c r="G586" i="7"/>
  <c r="H586" i="7" s="1"/>
  <c r="I586" i="7" s="1"/>
  <c r="G587" i="7"/>
  <c r="H587" i="7" s="1"/>
  <c r="I587" i="7" s="1"/>
  <c r="G588" i="7"/>
  <c r="H588" i="7" s="1"/>
  <c r="I588" i="7" s="1"/>
  <c r="G589" i="7"/>
  <c r="H589" i="7" s="1"/>
  <c r="I589" i="7" s="1"/>
  <c r="G590" i="7"/>
  <c r="H590" i="7" s="1"/>
  <c r="I590" i="7" s="1"/>
  <c r="G591" i="7"/>
  <c r="H591" i="7" s="1"/>
  <c r="I591" i="7" s="1"/>
  <c r="G592" i="7"/>
  <c r="H592" i="7" s="1"/>
  <c r="I592" i="7" s="1"/>
  <c r="G593" i="7"/>
  <c r="H593" i="7" s="1"/>
  <c r="I593" i="7" s="1"/>
  <c r="G594" i="7"/>
  <c r="H594" i="7" s="1"/>
  <c r="I594" i="7" s="1"/>
  <c r="G595" i="7"/>
  <c r="H595" i="7" s="1"/>
  <c r="I595" i="7" s="1"/>
  <c r="G596" i="7"/>
  <c r="H596" i="7" s="1"/>
  <c r="I596" i="7" s="1"/>
  <c r="G597" i="7"/>
  <c r="H597" i="7" s="1"/>
  <c r="I597" i="7" s="1"/>
  <c r="G598" i="7"/>
  <c r="H598" i="7" s="1"/>
  <c r="I598" i="7" s="1"/>
  <c r="G599" i="7"/>
  <c r="H599" i="7" s="1"/>
  <c r="I599" i="7" s="1"/>
  <c r="G600" i="7"/>
  <c r="H600" i="7" s="1"/>
  <c r="I600" i="7" s="1"/>
  <c r="G601" i="7"/>
  <c r="H601" i="7" s="1"/>
  <c r="I601" i="7" s="1"/>
  <c r="G602" i="7"/>
  <c r="H602" i="7" s="1"/>
  <c r="I602" i="7" s="1"/>
  <c r="G603" i="7"/>
  <c r="H603" i="7" s="1"/>
  <c r="I603" i="7" s="1"/>
  <c r="G604" i="7"/>
  <c r="H604" i="7" s="1"/>
  <c r="I604" i="7" s="1"/>
  <c r="G605" i="7"/>
  <c r="H605" i="7" s="1"/>
  <c r="I605" i="7" s="1"/>
  <c r="G113" i="7"/>
  <c r="H113" i="7" s="1"/>
  <c r="I113" i="7" s="1"/>
  <c r="G606" i="7"/>
  <c r="H606" i="7" s="1"/>
  <c r="I606" i="7" s="1"/>
  <c r="G607" i="7"/>
  <c r="H607" i="7" s="1"/>
  <c r="G608" i="7"/>
  <c r="H608" i="7" s="1"/>
  <c r="G609" i="7"/>
  <c r="H609" i="7" s="1"/>
  <c r="I609" i="7" s="1"/>
  <c r="G610" i="7"/>
  <c r="H610" i="7" s="1"/>
  <c r="I610" i="7" s="1"/>
  <c r="G611" i="7"/>
  <c r="H611" i="7" s="1"/>
  <c r="I611" i="7" s="1"/>
  <c r="G612" i="7"/>
  <c r="H612" i="7" s="1"/>
  <c r="I612" i="7" s="1"/>
  <c r="G66" i="7"/>
  <c r="H66" i="7" s="1"/>
  <c r="I66" i="7" s="1"/>
  <c r="G613" i="7"/>
  <c r="H613" i="7" s="1"/>
  <c r="I613" i="7" s="1"/>
  <c r="G614" i="7"/>
  <c r="H614" i="7" s="1"/>
  <c r="I614" i="7" s="1"/>
  <c r="G615" i="7"/>
  <c r="H615" i="7" s="1"/>
  <c r="I615" i="7" s="1"/>
  <c r="G616" i="7"/>
  <c r="H616" i="7" s="1"/>
  <c r="I616" i="7" s="1"/>
  <c r="G617" i="7"/>
  <c r="H617" i="7" s="1"/>
  <c r="I617" i="7" s="1"/>
  <c r="G618" i="7"/>
  <c r="H618" i="7" s="1"/>
  <c r="I618" i="7" s="1"/>
  <c r="G619" i="7"/>
  <c r="G620" i="7"/>
  <c r="H620" i="7" s="1"/>
  <c r="I620" i="7" s="1"/>
  <c r="G88" i="7"/>
  <c r="H88" i="7" s="1"/>
  <c r="I88" i="7" s="1"/>
  <c r="G87" i="7"/>
  <c r="H87" i="7" s="1"/>
  <c r="I87" i="7" s="1"/>
  <c r="G86" i="7"/>
  <c r="H86" i="7" s="1"/>
  <c r="I86" i="7" s="1"/>
  <c r="G85" i="7"/>
  <c r="H85" i="7" s="1"/>
  <c r="I85" i="7" s="1"/>
  <c r="G84" i="7"/>
  <c r="H84" i="7" s="1"/>
  <c r="I84" i="7" s="1"/>
  <c r="G83" i="7"/>
  <c r="H83" i="7" s="1"/>
  <c r="I83" i="7" s="1"/>
  <c r="G81" i="7"/>
  <c r="H81" i="7" s="1"/>
  <c r="I81" i="7" s="1"/>
  <c r="G80" i="7"/>
  <c r="H80" i="7" s="1"/>
  <c r="I80" i="7" s="1"/>
  <c r="G79" i="7"/>
  <c r="H79" i="7" s="1"/>
  <c r="I79" i="7" s="1"/>
  <c r="G78" i="7"/>
  <c r="H78" i="7" s="1"/>
  <c r="I78" i="7" s="1"/>
  <c r="G77" i="7"/>
  <c r="H77" i="7" s="1"/>
  <c r="I77" i="7" s="1"/>
  <c r="G75" i="7"/>
  <c r="H75" i="7" s="1"/>
  <c r="I75" i="7" s="1"/>
  <c r="G74" i="7"/>
  <c r="H74" i="7" s="1"/>
  <c r="I74" i="7" s="1"/>
  <c r="G73" i="7"/>
  <c r="H73" i="7" s="1"/>
  <c r="I73" i="7" s="1"/>
  <c r="G72" i="7"/>
  <c r="H72" i="7" s="1"/>
  <c r="I72" i="7" s="1"/>
  <c r="G621" i="7"/>
  <c r="H621" i="7" s="1"/>
  <c r="I621" i="7" s="1"/>
  <c r="G19" i="7"/>
  <c r="H19" i="7" s="1"/>
  <c r="I19" i="7" s="1"/>
  <c r="G26" i="7"/>
  <c r="H26" i="7" s="1"/>
  <c r="I26" i="7" s="1"/>
  <c r="G64" i="7"/>
  <c r="H64" i="7" s="1"/>
  <c r="I64" i="7" s="1"/>
  <c r="G63" i="7"/>
  <c r="H63" i="7" s="1"/>
  <c r="I63" i="7" s="1"/>
  <c r="G62" i="7"/>
  <c r="H62" i="7" s="1"/>
  <c r="I62" i="7" s="1"/>
  <c r="G60" i="7"/>
  <c r="H60" i="7" s="1"/>
  <c r="I60" i="7" s="1"/>
  <c r="G59" i="7"/>
  <c r="H59" i="7" s="1"/>
  <c r="I59" i="7" s="1"/>
  <c r="G58" i="7"/>
  <c r="H58" i="7" s="1"/>
  <c r="I58" i="7" s="1"/>
  <c r="G57" i="7"/>
  <c r="H57" i="7" s="1"/>
  <c r="I57" i="7" s="1"/>
  <c r="G114" i="7"/>
  <c r="H114" i="7" s="1"/>
  <c r="I114" i="7" s="1"/>
  <c r="G55" i="7"/>
  <c r="H55" i="7" s="1"/>
  <c r="I55" i="7" s="1"/>
  <c r="G54" i="7"/>
  <c r="H54" i="7" s="1"/>
  <c r="I54" i="7" s="1"/>
  <c r="G53" i="7"/>
  <c r="H53" i="7" s="1"/>
  <c r="I53" i="7" s="1"/>
  <c r="G51" i="7"/>
  <c r="H51" i="7" s="1"/>
  <c r="I51" i="7" s="1"/>
  <c r="G50" i="7"/>
  <c r="H50" i="7" s="1"/>
  <c r="I50" i="7" s="1"/>
  <c r="G49" i="7"/>
  <c r="H49" i="7" s="1"/>
  <c r="I49" i="7" s="1"/>
  <c r="G622" i="7"/>
  <c r="H622" i="7" s="1"/>
  <c r="I622" i="7" s="1"/>
  <c r="G623" i="7"/>
  <c r="H623" i="7" s="1"/>
  <c r="I623" i="7" s="1"/>
  <c r="G624" i="7"/>
  <c r="H624" i="7" s="1"/>
  <c r="I624" i="7" s="1"/>
  <c r="G14" i="7"/>
  <c r="H14" i="7" s="1"/>
  <c r="I14" i="7" s="1"/>
  <c r="G625" i="7"/>
  <c r="H625" i="7" s="1"/>
  <c r="I625" i="7" s="1"/>
  <c r="G626" i="7"/>
  <c r="H626" i="7" s="1"/>
  <c r="I626" i="7" s="1"/>
  <c r="G44" i="7"/>
  <c r="H44" i="7" s="1"/>
  <c r="I44" i="7" s="1"/>
  <c r="G627" i="7"/>
  <c r="H627" i="7" s="1"/>
  <c r="G628" i="7"/>
  <c r="H628" i="7" s="1"/>
  <c r="I628" i="7" s="1"/>
  <c r="G629" i="7"/>
  <c r="H629" i="7" s="1"/>
  <c r="I629" i="7" s="1"/>
  <c r="G630" i="7"/>
  <c r="H630" i="7" s="1"/>
  <c r="G42" i="7"/>
  <c r="H42" i="7" s="1"/>
  <c r="I42" i="7" s="1"/>
  <c r="G41" i="7"/>
  <c r="H41" i="7" s="1"/>
  <c r="I41" i="7" s="1"/>
  <c r="G40" i="7"/>
  <c r="H40" i="7" s="1"/>
  <c r="I40" i="7" s="1"/>
  <c r="G631" i="7"/>
  <c r="H631" i="7" s="1"/>
  <c r="I631" i="7" s="1"/>
  <c r="G632" i="7"/>
  <c r="H632" i="7" s="1"/>
  <c r="I632" i="7" s="1"/>
  <c r="G633" i="7"/>
  <c r="H633" i="7" s="1"/>
  <c r="I633" i="7" s="1"/>
  <c r="G38" i="7"/>
  <c r="H38" i="7" s="1"/>
  <c r="I38" i="7" s="1"/>
  <c r="G37" i="7"/>
  <c r="H37" i="7" s="1"/>
  <c r="I37" i="7" s="1"/>
  <c r="G35" i="7"/>
  <c r="G34" i="7"/>
  <c r="H34" i="7" s="1"/>
  <c r="I34" i="7" s="1"/>
  <c r="G634" i="7"/>
  <c r="H634" i="7" s="1"/>
  <c r="I634" i="7" s="1"/>
  <c r="G33" i="7"/>
  <c r="H33" i="7" s="1"/>
  <c r="I33" i="7" s="1"/>
  <c r="G635" i="7"/>
  <c r="H635" i="7" s="1"/>
  <c r="I635" i="7" s="1"/>
  <c r="G28" i="7"/>
  <c r="H28" i="7" s="1"/>
  <c r="I28" i="7" s="1"/>
  <c r="G27" i="7"/>
  <c r="H27" i="7" s="1"/>
  <c r="I27" i="7" s="1"/>
  <c r="G636" i="7"/>
  <c r="H636" i="7" s="1"/>
  <c r="I636" i="7" s="1"/>
  <c r="G25" i="7"/>
  <c r="H25" i="7" s="1"/>
  <c r="I25" i="7" s="1"/>
  <c r="G21" i="7"/>
  <c r="H21" i="7" s="1"/>
  <c r="I21" i="7" s="1"/>
  <c r="G20" i="7"/>
  <c r="H20" i="7" s="1"/>
  <c r="I20" i="7" s="1"/>
  <c r="G69" i="7"/>
  <c r="H69" i="7" s="1"/>
  <c r="G637" i="7"/>
  <c r="H637" i="7" s="1"/>
  <c r="I637" i="7" s="1"/>
  <c r="G638" i="7"/>
  <c r="H638" i="7" s="1"/>
  <c r="I638" i="7" s="1"/>
  <c r="G18" i="7"/>
  <c r="H18" i="7" s="1"/>
  <c r="I18" i="7" s="1"/>
  <c r="G17" i="7"/>
  <c r="H17" i="7" s="1"/>
  <c r="I17" i="7" s="1"/>
  <c r="G16" i="7"/>
  <c r="H16" i="7" s="1"/>
  <c r="I16" i="7" s="1"/>
  <c r="G639" i="7"/>
  <c r="H639" i="7" s="1"/>
  <c r="I639" i="7" s="1"/>
  <c r="G24" i="7"/>
  <c r="H24" i="7" s="1"/>
  <c r="I24" i="7" s="1"/>
  <c r="G640" i="7"/>
  <c r="H640" i="7" s="1"/>
  <c r="I640" i="7" s="1"/>
  <c r="G31" i="7"/>
  <c r="H31" i="7" s="1"/>
  <c r="I31" i="7" s="1"/>
  <c r="G641" i="7"/>
  <c r="H641" i="7" s="1"/>
  <c r="I641" i="7" s="1"/>
  <c r="G13" i="7"/>
  <c r="H13" i="7" s="1"/>
  <c r="I13" i="7" s="1"/>
  <c r="G642" i="7"/>
  <c r="H642" i="7" s="1"/>
  <c r="I642" i="7" s="1"/>
  <c r="G12" i="7"/>
  <c r="H12" i="7" s="1"/>
  <c r="I12" i="7" s="1"/>
  <c r="G10" i="7"/>
  <c r="H10" i="7" s="1"/>
  <c r="I10" i="7" s="1"/>
  <c r="G9" i="7"/>
  <c r="H9" i="7" s="1"/>
  <c r="I9" i="7" s="1"/>
  <c r="G643" i="7"/>
  <c r="H643" i="7" s="1"/>
  <c r="I643" i="7" s="1"/>
  <c r="G8" i="7"/>
  <c r="H8" i="7" s="1"/>
  <c r="I8" i="7" s="1"/>
  <c r="G7" i="7"/>
  <c r="H7" i="7" s="1"/>
  <c r="I7" i="7" s="1"/>
  <c r="G70" i="7"/>
  <c r="H70" i="7" s="1"/>
  <c r="I70" i="7" s="1"/>
  <c r="G644" i="7"/>
  <c r="H644" i="7" s="1"/>
  <c r="I644" i="7" s="1"/>
  <c r="G6" i="7"/>
  <c r="H6" i="7" s="1"/>
  <c r="I6" i="7" s="1"/>
  <c r="G645" i="7"/>
  <c r="H645" i="7" s="1"/>
  <c r="I645" i="7" s="1"/>
  <c r="G5" i="7"/>
  <c r="H5" i="7" s="1"/>
  <c r="I5" i="7" s="1"/>
  <c r="G4" i="7"/>
  <c r="H4" i="7" s="1"/>
  <c r="I4" i="7" s="1"/>
  <c r="G646" i="7"/>
  <c r="H646" i="7" s="1"/>
  <c r="I646" i="7" s="1"/>
  <c r="G647" i="7"/>
  <c r="H647" i="7" s="1"/>
  <c r="I647" i="7" s="1"/>
  <c r="G648" i="7"/>
  <c r="H648" i="7" s="1"/>
  <c r="I648" i="7" s="1"/>
  <c r="H118" i="7"/>
  <c r="I118" i="7" s="1"/>
  <c r="L648" i="7"/>
  <c r="E648" i="7"/>
  <c r="L647" i="7"/>
  <c r="E647" i="7"/>
  <c r="L646" i="7"/>
  <c r="E646" i="7"/>
  <c r="L4" i="7"/>
  <c r="E4" i="7"/>
  <c r="L5" i="7"/>
  <c r="E5" i="7"/>
  <c r="L645" i="7"/>
  <c r="E645" i="7"/>
  <c r="L6" i="7"/>
  <c r="E6" i="7"/>
  <c r="L644" i="7"/>
  <c r="E644" i="7"/>
  <c r="L70" i="7"/>
  <c r="E70" i="7"/>
  <c r="L7" i="7"/>
  <c r="E7" i="7"/>
  <c r="L8" i="7"/>
  <c r="E8" i="7"/>
  <c r="L643" i="7"/>
  <c r="E643" i="7"/>
  <c r="L9" i="7"/>
  <c r="E9" i="7"/>
  <c r="L10" i="7"/>
  <c r="E10" i="7"/>
  <c r="L12" i="7"/>
  <c r="E12" i="7"/>
  <c r="L642" i="7"/>
  <c r="E642" i="7"/>
  <c r="L13" i="7"/>
  <c r="E13" i="7"/>
  <c r="L641" i="7"/>
  <c r="E641" i="7"/>
  <c r="L31" i="7"/>
  <c r="E31" i="7"/>
  <c r="L640" i="7"/>
  <c r="E640" i="7"/>
  <c r="L24" i="7"/>
  <c r="E24" i="7"/>
  <c r="L639" i="7"/>
  <c r="E639" i="7"/>
  <c r="L16" i="7"/>
  <c r="E16" i="7"/>
  <c r="L17" i="7"/>
  <c r="E17" i="7"/>
  <c r="L18" i="7"/>
  <c r="E18" i="7"/>
  <c r="L638" i="7"/>
  <c r="E638" i="7"/>
  <c r="L637" i="7"/>
  <c r="E637" i="7"/>
  <c r="L69" i="7"/>
  <c r="E69" i="7"/>
  <c r="L20" i="7"/>
  <c r="E20" i="7"/>
  <c r="L21" i="7"/>
  <c r="E21" i="7"/>
  <c r="L25" i="7"/>
  <c r="E25" i="7"/>
  <c r="L636" i="7"/>
  <c r="E636" i="7"/>
  <c r="L27" i="7"/>
  <c r="E27" i="7"/>
  <c r="L28" i="7"/>
  <c r="E28" i="7"/>
  <c r="L635" i="7"/>
  <c r="E635" i="7"/>
  <c r="L33" i="7"/>
  <c r="E33" i="7"/>
  <c r="L634" i="7"/>
  <c r="E634" i="7"/>
  <c r="L34" i="7"/>
  <c r="E34" i="7"/>
  <c r="L35" i="7"/>
  <c r="I35" i="7"/>
  <c r="E35" i="7"/>
  <c r="L37" i="7"/>
  <c r="E37" i="7"/>
  <c r="L38" i="7"/>
  <c r="E38" i="7"/>
  <c r="L633" i="7"/>
  <c r="E633" i="7"/>
  <c r="L632" i="7"/>
  <c r="E632" i="7"/>
  <c r="L631" i="7"/>
  <c r="E631" i="7"/>
  <c r="L40" i="7"/>
  <c r="E40" i="7"/>
  <c r="L41" i="7"/>
  <c r="E41" i="7"/>
  <c r="L42" i="7"/>
  <c r="E42" i="7"/>
  <c r="L630" i="7"/>
  <c r="E630" i="7"/>
  <c r="L629" i="7"/>
  <c r="E629" i="7"/>
  <c r="L628" i="7"/>
  <c r="E628" i="7"/>
  <c r="L627" i="7"/>
  <c r="E627" i="7"/>
  <c r="L44" i="7"/>
  <c r="E44" i="7"/>
  <c r="L626" i="7"/>
  <c r="E626" i="7"/>
  <c r="L625" i="7"/>
  <c r="E625" i="7"/>
  <c r="L14" i="7"/>
  <c r="E14" i="7"/>
  <c r="L624" i="7"/>
  <c r="E624" i="7"/>
  <c r="L623" i="7"/>
  <c r="E623" i="7"/>
  <c r="L622" i="7"/>
  <c r="E622" i="7"/>
  <c r="L49" i="7"/>
  <c r="E49" i="7"/>
  <c r="L50" i="7"/>
  <c r="E50" i="7"/>
  <c r="L51" i="7"/>
  <c r="E51" i="7"/>
  <c r="L53" i="7"/>
  <c r="E53" i="7"/>
  <c r="L54" i="7"/>
  <c r="E54" i="7"/>
  <c r="L55" i="7"/>
  <c r="E55" i="7"/>
  <c r="L114" i="7"/>
  <c r="E114" i="7"/>
  <c r="L57" i="7"/>
  <c r="E57" i="7"/>
  <c r="L58" i="7"/>
  <c r="E58" i="7"/>
  <c r="L59" i="7"/>
  <c r="E59" i="7"/>
  <c r="L60" i="7"/>
  <c r="E60" i="7"/>
  <c r="L62" i="7"/>
  <c r="E62" i="7"/>
  <c r="L63" i="7"/>
  <c r="E63" i="7"/>
  <c r="L64" i="7"/>
  <c r="E64" i="7"/>
  <c r="L26" i="7"/>
  <c r="E26" i="7"/>
  <c r="L19" i="7"/>
  <c r="E19" i="7"/>
  <c r="L621" i="7"/>
  <c r="E621" i="7"/>
  <c r="L72" i="7"/>
  <c r="E72" i="7"/>
  <c r="L73" i="7"/>
  <c r="E73" i="7"/>
  <c r="L74" i="7"/>
  <c r="E74" i="7"/>
  <c r="L75" i="7"/>
  <c r="E75" i="7"/>
  <c r="L77" i="7"/>
  <c r="E77" i="7"/>
  <c r="L78" i="7"/>
  <c r="E78" i="7"/>
  <c r="L79" i="7"/>
  <c r="E79" i="7"/>
  <c r="L80" i="7"/>
  <c r="E80" i="7"/>
  <c r="L81" i="7"/>
  <c r="E81" i="7"/>
  <c r="L83" i="7"/>
  <c r="E83" i="7"/>
  <c r="L84" i="7"/>
  <c r="E84" i="7"/>
  <c r="L85" i="7"/>
  <c r="E85" i="7"/>
  <c r="L86" i="7"/>
  <c r="E86" i="7"/>
  <c r="L87" i="7"/>
  <c r="E87" i="7"/>
  <c r="L88" i="7"/>
  <c r="E88" i="7"/>
  <c r="L620" i="7"/>
  <c r="E620" i="7"/>
  <c r="L619" i="7"/>
  <c r="I619" i="7"/>
  <c r="E619" i="7"/>
  <c r="L618" i="7"/>
  <c r="E618" i="7"/>
  <c r="L617" i="7"/>
  <c r="E617" i="7"/>
  <c r="L616" i="7"/>
  <c r="E616" i="7"/>
  <c r="L615" i="7"/>
  <c r="E615" i="7"/>
  <c r="L614" i="7"/>
  <c r="E614" i="7"/>
  <c r="L613" i="7"/>
  <c r="E613" i="7"/>
  <c r="L66" i="7"/>
  <c r="E66" i="7"/>
  <c r="L612" i="7"/>
  <c r="E612" i="7"/>
  <c r="L611" i="7"/>
  <c r="E611" i="7"/>
  <c r="L610" i="7"/>
  <c r="E610" i="7"/>
  <c r="L609" i="7"/>
  <c r="E609" i="7"/>
  <c r="L608" i="7"/>
  <c r="E608" i="7"/>
  <c r="L607" i="7"/>
  <c r="E607" i="7"/>
  <c r="L606" i="7"/>
  <c r="E606" i="7"/>
  <c r="L113" i="7"/>
  <c r="E113" i="7"/>
  <c r="L605" i="7"/>
  <c r="E605" i="7"/>
  <c r="L604" i="7"/>
  <c r="E604" i="7"/>
  <c r="L603" i="7"/>
  <c r="E603" i="7"/>
  <c r="L602" i="7"/>
  <c r="E602" i="7"/>
  <c r="L601" i="7"/>
  <c r="E601" i="7"/>
  <c r="L600" i="7"/>
  <c r="E600" i="7"/>
  <c r="L599" i="7"/>
  <c r="E599" i="7"/>
  <c r="L598" i="7"/>
  <c r="E598" i="7"/>
  <c r="L597" i="7"/>
  <c r="E597" i="7"/>
  <c r="L596" i="7"/>
  <c r="E596" i="7"/>
  <c r="L595" i="7"/>
  <c r="E595" i="7"/>
  <c r="L594" i="7"/>
  <c r="E594" i="7"/>
  <c r="L593" i="7"/>
  <c r="E593" i="7"/>
  <c r="L592" i="7"/>
  <c r="E592" i="7"/>
  <c r="L591" i="7"/>
  <c r="E591" i="7"/>
  <c r="L590" i="7"/>
  <c r="E590" i="7"/>
  <c r="L589" i="7"/>
  <c r="E589" i="7"/>
  <c r="L588" i="7"/>
  <c r="E588" i="7"/>
  <c r="L587" i="7"/>
  <c r="E587" i="7"/>
  <c r="L586" i="7"/>
  <c r="E586" i="7"/>
  <c r="L585" i="7"/>
  <c r="E585" i="7"/>
  <c r="L584" i="7"/>
  <c r="E584" i="7"/>
  <c r="L583" i="7"/>
  <c r="E583" i="7"/>
  <c r="L582" i="7"/>
  <c r="E582" i="7"/>
  <c r="L581" i="7"/>
  <c r="E581" i="7"/>
  <c r="L580" i="7"/>
  <c r="E580" i="7"/>
  <c r="L579" i="7"/>
  <c r="E579" i="7"/>
  <c r="L578" i="7"/>
  <c r="E578" i="7"/>
  <c r="L577" i="7"/>
  <c r="E577" i="7"/>
  <c r="L576" i="7"/>
  <c r="E576" i="7"/>
  <c r="L575" i="7"/>
  <c r="E575" i="7"/>
  <c r="L574" i="7"/>
  <c r="E574" i="7"/>
  <c r="L573" i="7"/>
  <c r="E573" i="7"/>
  <c r="L572" i="7"/>
  <c r="E572" i="7"/>
  <c r="L571" i="7"/>
  <c r="E571" i="7"/>
  <c r="L570" i="7"/>
  <c r="E570" i="7"/>
  <c r="L569" i="7"/>
  <c r="E569" i="7"/>
  <c r="L45" i="7"/>
  <c r="E45" i="7"/>
  <c r="L52" i="7"/>
  <c r="E52" i="7"/>
  <c r="L22" i="7"/>
  <c r="E22" i="7"/>
  <c r="L32" i="7"/>
  <c r="E32" i="7"/>
  <c r="L104" i="7"/>
  <c r="E104" i="7"/>
  <c r="L101" i="7"/>
  <c r="E101" i="7"/>
  <c r="L105" i="7"/>
  <c r="E105" i="7"/>
  <c r="L76" i="7"/>
  <c r="E76" i="7"/>
  <c r="L67" i="7"/>
  <c r="E67" i="7"/>
  <c r="L100" i="7"/>
  <c r="E100" i="7"/>
  <c r="L82" i="7"/>
  <c r="E82" i="7"/>
  <c r="L117" i="7"/>
  <c r="E117" i="7"/>
  <c r="L115" i="7"/>
  <c r="E115" i="7"/>
  <c r="L112" i="7"/>
  <c r="E112" i="7"/>
  <c r="L111" i="7"/>
  <c r="E111" i="7"/>
  <c r="L109" i="7"/>
  <c r="E109" i="7"/>
  <c r="L108" i="7"/>
  <c r="E108" i="7"/>
  <c r="L107" i="7"/>
  <c r="E107" i="7"/>
  <c r="L98" i="7"/>
  <c r="E98" i="7"/>
  <c r="L97" i="7"/>
  <c r="E97" i="7"/>
  <c r="L95" i="7"/>
  <c r="E95" i="7"/>
  <c r="L94" i="7"/>
  <c r="E94" i="7"/>
  <c r="L93" i="7"/>
  <c r="E93" i="7"/>
  <c r="L92" i="7"/>
  <c r="E92" i="7"/>
  <c r="L91" i="7"/>
  <c r="I91" i="7"/>
  <c r="E91" i="7"/>
  <c r="L89" i="7"/>
  <c r="E89" i="7"/>
  <c r="L65" i="7"/>
  <c r="E65" i="7"/>
  <c r="L47" i="7"/>
  <c r="E47" i="7"/>
  <c r="L15" i="7"/>
  <c r="E15" i="7"/>
  <c r="L568" i="7"/>
  <c r="E568" i="7"/>
  <c r="L567" i="7"/>
  <c r="E567" i="7"/>
  <c r="L566" i="7"/>
  <c r="E566" i="7"/>
  <c r="L565" i="7"/>
  <c r="E565" i="7"/>
  <c r="L564" i="7"/>
  <c r="E564" i="7"/>
  <c r="L563" i="7"/>
  <c r="E563" i="7"/>
  <c r="L562" i="7"/>
  <c r="E562" i="7"/>
  <c r="L561" i="7"/>
  <c r="E561" i="7"/>
  <c r="L560" i="7"/>
  <c r="E560" i="7"/>
  <c r="L559" i="7"/>
  <c r="E559" i="7"/>
  <c r="L558" i="7"/>
  <c r="E558" i="7"/>
  <c r="L557" i="7"/>
  <c r="E557" i="7"/>
  <c r="L556" i="7"/>
  <c r="E556" i="7"/>
  <c r="L555" i="7"/>
  <c r="E555" i="7"/>
  <c r="L554" i="7"/>
  <c r="E554" i="7"/>
  <c r="L553" i="7"/>
  <c r="E553" i="7"/>
  <c r="L552" i="7"/>
  <c r="E552" i="7"/>
  <c r="L551" i="7"/>
  <c r="E551" i="7"/>
  <c r="L550" i="7"/>
  <c r="E550" i="7"/>
  <c r="L549" i="7"/>
  <c r="E549" i="7"/>
  <c r="L548" i="7"/>
  <c r="E548" i="7"/>
  <c r="L547" i="7"/>
  <c r="E547" i="7"/>
  <c r="L546" i="7"/>
  <c r="E546" i="7"/>
  <c r="L545" i="7"/>
  <c r="E545" i="7"/>
  <c r="L544" i="7"/>
  <c r="E544" i="7"/>
  <c r="L543" i="7"/>
  <c r="E543" i="7"/>
  <c r="L542" i="7"/>
  <c r="E542" i="7"/>
  <c r="L541" i="7"/>
  <c r="E541" i="7"/>
  <c r="L540" i="7"/>
  <c r="E540" i="7"/>
  <c r="L539" i="7"/>
  <c r="E539" i="7"/>
  <c r="L538" i="7"/>
  <c r="E538" i="7"/>
  <c r="L537" i="7"/>
  <c r="E537" i="7"/>
  <c r="L536" i="7"/>
  <c r="E536" i="7"/>
  <c r="L535" i="7"/>
  <c r="E535" i="7"/>
  <c r="L116" i="7"/>
  <c r="E116" i="7"/>
  <c r="L56" i="7"/>
  <c r="E56" i="7"/>
  <c r="L534" i="7"/>
  <c r="E534" i="7"/>
  <c r="L533" i="7"/>
  <c r="E533" i="7"/>
  <c r="L532" i="7"/>
  <c r="E532" i="7"/>
  <c r="L531" i="7"/>
  <c r="E531" i="7"/>
  <c r="L530" i="7"/>
  <c r="E530" i="7"/>
  <c r="L529" i="7"/>
  <c r="E529" i="7"/>
  <c r="L528" i="7"/>
  <c r="E528" i="7"/>
  <c r="L527" i="7"/>
  <c r="E527" i="7"/>
  <c r="L526" i="7"/>
  <c r="E526" i="7"/>
  <c r="L525" i="7"/>
  <c r="E525" i="7"/>
  <c r="L524" i="7"/>
  <c r="E524" i="7"/>
  <c r="L523" i="7"/>
  <c r="E523" i="7"/>
  <c r="L522" i="7"/>
  <c r="E522" i="7"/>
  <c r="L521" i="7"/>
  <c r="E521" i="7"/>
  <c r="L520" i="7"/>
  <c r="E520" i="7"/>
  <c r="L519" i="7"/>
  <c r="E519" i="7"/>
  <c r="L518" i="7"/>
  <c r="E518" i="7"/>
  <c r="L517" i="7"/>
  <c r="E517" i="7"/>
  <c r="L516" i="7"/>
  <c r="E516" i="7"/>
  <c r="L515" i="7"/>
  <c r="E515" i="7"/>
  <c r="L514" i="7"/>
  <c r="E514" i="7"/>
  <c r="L513" i="7"/>
  <c r="E513" i="7"/>
  <c r="L512" i="7"/>
  <c r="I512" i="7"/>
  <c r="E512" i="7"/>
  <c r="L511" i="7"/>
  <c r="E511" i="7"/>
  <c r="L510" i="7"/>
  <c r="E510" i="7"/>
  <c r="L509" i="7"/>
  <c r="E509" i="7"/>
  <c r="L508" i="7"/>
  <c r="E508" i="7"/>
  <c r="L507" i="7"/>
  <c r="E507" i="7"/>
  <c r="L506" i="7"/>
  <c r="E506" i="7"/>
  <c r="L505" i="7"/>
  <c r="E505" i="7"/>
  <c r="L504" i="7"/>
  <c r="E504" i="7"/>
  <c r="L503" i="7"/>
  <c r="E503" i="7"/>
  <c r="L502" i="7"/>
  <c r="E502" i="7"/>
  <c r="L501" i="7"/>
  <c r="E501" i="7"/>
  <c r="L500" i="7"/>
  <c r="E500" i="7"/>
  <c r="L499" i="7"/>
  <c r="E499" i="7"/>
  <c r="L498" i="7"/>
  <c r="E498" i="7"/>
  <c r="L497" i="7"/>
  <c r="E497" i="7"/>
  <c r="L496" i="7"/>
  <c r="E496" i="7"/>
  <c r="L495" i="7"/>
  <c r="E495" i="7"/>
  <c r="L494" i="7"/>
  <c r="E494" i="7"/>
  <c r="L36" i="7"/>
  <c r="E36" i="7"/>
  <c r="L493" i="7"/>
  <c r="E493" i="7"/>
  <c r="L492" i="7"/>
  <c r="E492" i="7"/>
  <c r="L491" i="7"/>
  <c r="E491" i="7"/>
  <c r="L490" i="7"/>
  <c r="E490" i="7"/>
  <c r="L489" i="7"/>
  <c r="E489" i="7"/>
  <c r="L488" i="7"/>
  <c r="E488" i="7"/>
  <c r="L487" i="7"/>
  <c r="E487" i="7"/>
  <c r="L486" i="7"/>
  <c r="E486" i="7"/>
  <c r="L485" i="7"/>
  <c r="E485" i="7"/>
  <c r="L484" i="7"/>
  <c r="E484" i="7"/>
  <c r="L483" i="7"/>
  <c r="E483" i="7"/>
  <c r="L482" i="7"/>
  <c r="E482" i="7"/>
  <c r="L481" i="7"/>
  <c r="E481" i="7"/>
  <c r="L480" i="7"/>
  <c r="E480" i="7"/>
  <c r="L479" i="7"/>
  <c r="E479" i="7"/>
  <c r="L478" i="7"/>
  <c r="E478" i="7"/>
  <c r="L477" i="7"/>
  <c r="E477" i="7"/>
  <c r="L476" i="7"/>
  <c r="E476" i="7"/>
  <c r="L475" i="7"/>
  <c r="E475" i="7"/>
  <c r="L474" i="7"/>
  <c r="E474" i="7"/>
  <c r="L473" i="7"/>
  <c r="E473" i="7"/>
  <c r="L472" i="7"/>
  <c r="E472" i="7"/>
  <c r="L471" i="7"/>
  <c r="E471" i="7"/>
  <c r="L470" i="7"/>
  <c r="E470" i="7"/>
  <c r="L469" i="7"/>
  <c r="E469" i="7"/>
  <c r="L468" i="7"/>
  <c r="E468" i="7"/>
  <c r="L467" i="7"/>
  <c r="E467" i="7"/>
  <c r="L466" i="7"/>
  <c r="E466" i="7"/>
  <c r="L465" i="7"/>
  <c r="E465" i="7"/>
  <c r="L464" i="7"/>
  <c r="E464" i="7"/>
  <c r="L29" i="7"/>
  <c r="E29" i="7"/>
  <c r="L463" i="7"/>
  <c r="E463" i="7"/>
  <c r="L462" i="7"/>
  <c r="E462" i="7"/>
  <c r="L461" i="7"/>
  <c r="E461" i="7"/>
  <c r="L460" i="7"/>
  <c r="E460" i="7"/>
  <c r="L459" i="7"/>
  <c r="E459" i="7"/>
  <c r="L458" i="7"/>
  <c r="E458" i="7"/>
  <c r="L457" i="7"/>
  <c r="E457" i="7"/>
  <c r="L456" i="7"/>
  <c r="E456" i="7"/>
  <c r="L455" i="7"/>
  <c r="E455" i="7"/>
  <c r="L48" i="7"/>
  <c r="E48" i="7"/>
  <c r="L454" i="7"/>
  <c r="E454" i="7"/>
  <c r="L453" i="7"/>
  <c r="E453" i="7"/>
  <c r="L452" i="7"/>
  <c r="E452" i="7"/>
  <c r="L451" i="7"/>
  <c r="E451" i="7"/>
  <c r="L450" i="7"/>
  <c r="E450" i="7"/>
  <c r="L449" i="7"/>
  <c r="E449" i="7"/>
  <c r="L448" i="7"/>
  <c r="E448" i="7"/>
  <c r="L447" i="7"/>
  <c r="E447" i="7"/>
  <c r="L68" i="7"/>
  <c r="E68" i="7"/>
  <c r="L23" i="7"/>
  <c r="E23" i="7"/>
  <c r="L446" i="7"/>
  <c r="E446" i="7"/>
  <c r="L445" i="7"/>
  <c r="E445" i="7"/>
  <c r="L444" i="7"/>
  <c r="E444" i="7"/>
  <c r="L443" i="7"/>
  <c r="E443" i="7"/>
  <c r="L442" i="7"/>
  <c r="E442" i="7"/>
  <c r="L441" i="7"/>
  <c r="E441" i="7"/>
  <c r="L440" i="7"/>
  <c r="E440" i="7"/>
  <c r="L439" i="7"/>
  <c r="E439" i="7"/>
  <c r="L438" i="7"/>
  <c r="E438" i="7"/>
  <c r="L437" i="7"/>
  <c r="I437" i="7"/>
  <c r="E437" i="7"/>
  <c r="L436" i="7"/>
  <c r="E436" i="7"/>
  <c r="L435" i="7"/>
  <c r="E435" i="7"/>
  <c r="L434" i="7"/>
  <c r="E434" i="7"/>
  <c r="L433" i="7"/>
  <c r="E433" i="7"/>
  <c r="L432" i="7"/>
  <c r="I432" i="7"/>
  <c r="E432" i="7"/>
  <c r="L431" i="7"/>
  <c r="E431" i="7"/>
  <c r="L430" i="7"/>
  <c r="E430" i="7"/>
  <c r="L429" i="7"/>
  <c r="E429" i="7"/>
  <c r="L428" i="7"/>
  <c r="E428" i="7"/>
  <c r="L427" i="7"/>
  <c r="E427" i="7"/>
  <c r="L426" i="7"/>
  <c r="E426" i="7"/>
  <c r="L425" i="7"/>
  <c r="E425" i="7"/>
  <c r="L424" i="7"/>
  <c r="E424" i="7"/>
  <c r="L423" i="7"/>
  <c r="E423" i="7"/>
  <c r="L422" i="7"/>
  <c r="E422" i="7"/>
  <c r="L421" i="7"/>
  <c r="E421" i="7"/>
  <c r="L420" i="7"/>
  <c r="E420" i="7"/>
  <c r="L419" i="7"/>
  <c r="E419" i="7"/>
  <c r="L418" i="7"/>
  <c r="E418" i="7"/>
  <c r="L417" i="7"/>
  <c r="E417" i="7"/>
  <c r="L416" i="7"/>
  <c r="E416" i="7"/>
  <c r="L415" i="7"/>
  <c r="E415" i="7"/>
  <c r="L414" i="7"/>
  <c r="E414" i="7"/>
  <c r="L413" i="7"/>
  <c r="E413" i="7"/>
  <c r="L412" i="7"/>
  <c r="E412" i="7"/>
  <c r="L411" i="7"/>
  <c r="E411" i="7"/>
  <c r="L410" i="7"/>
  <c r="E410" i="7"/>
  <c r="L409" i="7"/>
  <c r="E409" i="7"/>
  <c r="L408" i="7"/>
  <c r="E408" i="7"/>
  <c r="L407" i="7"/>
  <c r="E407" i="7"/>
  <c r="L406" i="7"/>
  <c r="E406" i="7"/>
  <c r="L405" i="7"/>
  <c r="E405" i="7"/>
  <c r="L404" i="7"/>
  <c r="E404" i="7"/>
  <c r="L403" i="7"/>
  <c r="E403" i="7"/>
  <c r="L402" i="7"/>
  <c r="E402" i="7"/>
  <c r="L401" i="7"/>
  <c r="E401" i="7"/>
  <c r="L400" i="7"/>
  <c r="E400" i="7"/>
  <c r="L399" i="7"/>
  <c r="E399" i="7"/>
  <c r="L398" i="7"/>
  <c r="E398" i="7"/>
  <c r="L397" i="7"/>
  <c r="E397" i="7"/>
  <c r="L396" i="7"/>
  <c r="E396" i="7"/>
  <c r="L395" i="7"/>
  <c r="E395" i="7"/>
  <c r="L394" i="7"/>
  <c r="E394" i="7"/>
  <c r="L393" i="7"/>
  <c r="E393" i="7"/>
  <c r="L61" i="7"/>
  <c r="E61" i="7"/>
  <c r="L110" i="7"/>
  <c r="E110" i="7"/>
  <c r="L46" i="7"/>
  <c r="E46" i="7"/>
  <c r="L392" i="7"/>
  <c r="E392" i="7"/>
  <c r="L391" i="7"/>
  <c r="E391" i="7"/>
  <c r="L390" i="7"/>
  <c r="I390" i="7"/>
  <c r="E390" i="7"/>
  <c r="L389" i="7"/>
  <c r="E389" i="7"/>
  <c r="L388" i="7"/>
  <c r="E388" i="7"/>
  <c r="L387" i="7"/>
  <c r="E387" i="7"/>
  <c r="L386" i="7"/>
  <c r="E386" i="7"/>
  <c r="L385" i="7"/>
  <c r="E385" i="7"/>
  <c r="L384" i="7"/>
  <c r="E384" i="7"/>
  <c r="L383" i="7"/>
  <c r="E383" i="7"/>
  <c r="L382" i="7"/>
  <c r="E382" i="7"/>
  <c r="L381" i="7"/>
  <c r="E381" i="7"/>
  <c r="L380" i="7"/>
  <c r="E380" i="7"/>
  <c r="L379" i="7"/>
  <c r="E379" i="7"/>
  <c r="L378" i="7"/>
  <c r="E378" i="7"/>
  <c r="L377" i="7"/>
  <c r="E377" i="7"/>
  <c r="L376" i="7"/>
  <c r="E376" i="7"/>
  <c r="L375" i="7"/>
  <c r="E375" i="7"/>
  <c r="L374" i="7"/>
  <c r="E374" i="7"/>
  <c r="L373" i="7"/>
  <c r="E373" i="7"/>
  <c r="L372" i="7"/>
  <c r="E372" i="7"/>
  <c r="L371" i="7"/>
  <c r="E371" i="7"/>
  <c r="L370" i="7"/>
  <c r="E370" i="7"/>
  <c r="L369" i="7"/>
  <c r="E369" i="7"/>
  <c r="L368" i="7"/>
  <c r="E368" i="7"/>
  <c r="L367" i="7"/>
  <c r="E367" i="7"/>
  <c r="L366" i="7"/>
  <c r="E366" i="7"/>
  <c r="L365" i="7"/>
  <c r="E365" i="7"/>
  <c r="L364" i="7"/>
  <c r="E364" i="7"/>
  <c r="L363" i="7"/>
  <c r="E363" i="7"/>
  <c r="L362" i="7"/>
  <c r="E362" i="7"/>
  <c r="L361" i="7"/>
  <c r="E361" i="7"/>
  <c r="L360" i="7"/>
  <c r="E360" i="7"/>
  <c r="L359" i="7"/>
  <c r="E359" i="7"/>
  <c r="L358" i="7"/>
  <c r="E358" i="7"/>
  <c r="L357" i="7"/>
  <c r="E357" i="7"/>
  <c r="L356" i="7"/>
  <c r="E356" i="7"/>
  <c r="L355" i="7"/>
  <c r="E355" i="7"/>
  <c r="L354" i="7"/>
  <c r="E354" i="7"/>
  <c r="L353" i="7"/>
  <c r="E353" i="7"/>
  <c r="L352" i="7"/>
  <c r="E352" i="7"/>
  <c r="L351" i="7"/>
  <c r="E351" i="7"/>
  <c r="L350" i="7"/>
  <c r="E350" i="7"/>
  <c r="L349" i="7"/>
  <c r="E349" i="7"/>
  <c r="L348" i="7"/>
  <c r="E348" i="7"/>
  <c r="L347" i="7"/>
  <c r="E347" i="7"/>
  <c r="L346" i="7"/>
  <c r="E346" i="7"/>
  <c r="L345" i="7"/>
  <c r="E345" i="7"/>
  <c r="L344" i="7"/>
  <c r="E344" i="7"/>
  <c r="L343" i="7"/>
  <c r="E343" i="7"/>
  <c r="L342" i="7"/>
  <c r="E342" i="7"/>
  <c r="L341" i="7"/>
  <c r="E341" i="7"/>
  <c r="L340" i="7"/>
  <c r="E340" i="7"/>
  <c r="L339" i="7"/>
  <c r="E339" i="7"/>
  <c r="L338" i="7"/>
  <c r="E338" i="7"/>
  <c r="L337" i="7"/>
  <c r="E337" i="7"/>
  <c r="L336" i="7"/>
  <c r="E336" i="7"/>
  <c r="L335" i="7"/>
  <c r="E335" i="7"/>
  <c r="L334" i="7"/>
  <c r="E334" i="7"/>
  <c r="L333" i="7"/>
  <c r="E333" i="7"/>
  <c r="L332" i="7"/>
  <c r="E332" i="7"/>
  <c r="L331" i="7"/>
  <c r="E331" i="7"/>
  <c r="L330" i="7"/>
  <c r="E330" i="7"/>
  <c r="L329" i="7"/>
  <c r="E329" i="7"/>
  <c r="L328" i="7"/>
  <c r="E328" i="7"/>
  <c r="L327" i="7"/>
  <c r="E327" i="7"/>
  <c r="L326" i="7"/>
  <c r="E326" i="7"/>
  <c r="L325" i="7"/>
  <c r="E325" i="7"/>
  <c r="L324" i="7"/>
  <c r="E324" i="7"/>
  <c r="L323" i="7"/>
  <c r="E323" i="7"/>
  <c r="L322" i="7"/>
  <c r="E322" i="7"/>
  <c r="L321" i="7"/>
  <c r="E321" i="7"/>
  <c r="L320" i="7"/>
  <c r="E320" i="7"/>
  <c r="L319" i="7"/>
  <c r="E319" i="7"/>
  <c r="L318" i="7"/>
  <c r="E318" i="7"/>
  <c r="L317" i="7"/>
  <c r="E317" i="7"/>
  <c r="L316" i="7"/>
  <c r="E316" i="7"/>
  <c r="L315" i="7"/>
  <c r="E315" i="7"/>
  <c r="L314" i="7"/>
  <c r="E314" i="7"/>
  <c r="L313" i="7"/>
  <c r="E313" i="7"/>
  <c r="L30" i="7"/>
  <c r="E30" i="7"/>
  <c r="L312" i="7"/>
  <c r="E312" i="7"/>
  <c r="L311" i="7"/>
  <c r="E311" i="7"/>
  <c r="L310" i="7"/>
  <c r="E310" i="7"/>
  <c r="L309" i="7"/>
  <c r="E309" i="7"/>
  <c r="L308" i="7"/>
  <c r="E308" i="7"/>
  <c r="L102" i="7"/>
  <c r="E102" i="7"/>
  <c r="L90" i="7"/>
  <c r="E90" i="7"/>
  <c r="L99" i="7"/>
  <c r="E99" i="7"/>
  <c r="L96" i="7"/>
  <c r="E96" i="7"/>
  <c r="L39" i="7"/>
  <c r="E39" i="7"/>
  <c r="L307" i="7"/>
  <c r="E307" i="7"/>
  <c r="L306" i="7"/>
  <c r="E306" i="7"/>
  <c r="L305" i="7"/>
  <c r="E305" i="7"/>
  <c r="L304" i="7"/>
  <c r="I304" i="7"/>
  <c r="E304" i="7"/>
  <c r="L303" i="7"/>
  <c r="E303" i="7"/>
  <c r="L302" i="7"/>
  <c r="E302" i="7"/>
  <c r="L301" i="7"/>
  <c r="E301" i="7"/>
  <c r="L300" i="7"/>
  <c r="E300" i="7"/>
  <c r="L299" i="7"/>
  <c r="E299" i="7"/>
  <c r="L298" i="7"/>
  <c r="E298" i="7"/>
  <c r="L297" i="7"/>
  <c r="E297" i="7"/>
  <c r="L296" i="7"/>
  <c r="E296" i="7"/>
  <c r="L295" i="7"/>
  <c r="E295" i="7"/>
  <c r="L294" i="7"/>
  <c r="E294" i="7"/>
  <c r="L293" i="7"/>
  <c r="E293" i="7"/>
  <c r="L292" i="7"/>
  <c r="E292" i="7"/>
  <c r="L291" i="7"/>
  <c r="E291" i="7"/>
  <c r="L290" i="7"/>
  <c r="E290" i="7"/>
  <c r="L289" i="7"/>
  <c r="E289" i="7"/>
  <c r="L288" i="7"/>
  <c r="E288" i="7"/>
  <c r="L287" i="7"/>
  <c r="E287" i="7"/>
  <c r="L286" i="7"/>
  <c r="E286" i="7"/>
  <c r="L285" i="7"/>
  <c r="E285" i="7"/>
  <c r="L284" i="7"/>
  <c r="E284" i="7"/>
  <c r="L283" i="7"/>
  <c r="E283" i="7"/>
  <c r="L282" i="7"/>
  <c r="E282" i="7"/>
  <c r="L281" i="7"/>
  <c r="E281" i="7"/>
  <c r="L280" i="7"/>
  <c r="E280" i="7"/>
  <c r="L279" i="7"/>
  <c r="E279" i="7"/>
  <c r="L278" i="7"/>
  <c r="E278" i="7"/>
  <c r="L277" i="7"/>
  <c r="E277" i="7"/>
  <c r="L276" i="7"/>
  <c r="E276" i="7"/>
  <c r="L275" i="7"/>
  <c r="E275" i="7"/>
  <c r="L274" i="7"/>
  <c r="E274" i="7"/>
  <c r="L273" i="7"/>
  <c r="E273" i="7"/>
  <c r="L272" i="7"/>
  <c r="E272" i="7"/>
  <c r="L271" i="7"/>
  <c r="E271" i="7"/>
  <c r="L270" i="7"/>
  <c r="E270" i="7"/>
  <c r="L269" i="7"/>
  <c r="E269" i="7"/>
  <c r="L268" i="7"/>
  <c r="E268" i="7"/>
  <c r="L267" i="7"/>
  <c r="E267" i="7"/>
  <c r="L266" i="7"/>
  <c r="E266" i="7"/>
  <c r="L265" i="7"/>
  <c r="E265" i="7"/>
  <c r="L264" i="7"/>
  <c r="E264" i="7"/>
  <c r="L263" i="7"/>
  <c r="E263" i="7"/>
  <c r="L262" i="7"/>
  <c r="H262" i="7"/>
  <c r="I262" i="7" s="1"/>
  <c r="E262" i="7"/>
  <c r="L261" i="7"/>
  <c r="E261" i="7"/>
  <c r="L260" i="7"/>
  <c r="E260" i="7"/>
  <c r="L259" i="7"/>
  <c r="E259" i="7"/>
  <c r="L258" i="7"/>
  <c r="E258" i="7"/>
  <c r="L257" i="7"/>
  <c r="E257" i="7"/>
  <c r="L256" i="7"/>
  <c r="E256" i="7"/>
  <c r="L11" i="7"/>
  <c r="E11" i="7"/>
  <c r="L255" i="7"/>
  <c r="E255" i="7"/>
  <c r="L254" i="7"/>
  <c r="E254" i="7"/>
  <c r="L253" i="7"/>
  <c r="E253" i="7"/>
  <c r="L252" i="7"/>
  <c r="E252" i="7"/>
  <c r="L106" i="7"/>
  <c r="E106" i="7"/>
  <c r="L71" i="7"/>
  <c r="E71" i="7"/>
  <c r="L43" i="7"/>
  <c r="E43" i="7"/>
  <c r="L251" i="7"/>
  <c r="I251" i="7"/>
  <c r="E251" i="7"/>
  <c r="L250" i="7"/>
  <c r="E250" i="7"/>
  <c r="L249" i="7"/>
  <c r="E249" i="7"/>
  <c r="L248" i="7"/>
  <c r="E248" i="7"/>
  <c r="L247" i="7"/>
  <c r="E247" i="7"/>
  <c r="L246" i="7"/>
  <c r="E246" i="7"/>
  <c r="L245" i="7"/>
  <c r="E245" i="7"/>
  <c r="L244" i="7"/>
  <c r="E244" i="7"/>
  <c r="L243" i="7"/>
  <c r="E243" i="7"/>
  <c r="L242" i="7"/>
  <c r="E242" i="7"/>
  <c r="L241" i="7"/>
  <c r="E241" i="7"/>
  <c r="L240" i="7"/>
  <c r="E240" i="7"/>
  <c r="L239" i="7"/>
  <c r="E239" i="7"/>
  <c r="L238" i="7"/>
  <c r="E238" i="7"/>
  <c r="L237" i="7"/>
  <c r="E237" i="7"/>
  <c r="L236" i="7"/>
  <c r="E236" i="7"/>
  <c r="L235" i="7"/>
  <c r="E235" i="7"/>
  <c r="L234" i="7"/>
  <c r="E234" i="7"/>
  <c r="L233" i="7"/>
  <c r="E233" i="7"/>
  <c r="L232" i="7"/>
  <c r="E232" i="7"/>
  <c r="L231" i="7"/>
  <c r="E231" i="7"/>
  <c r="L230" i="7"/>
  <c r="E230" i="7"/>
  <c r="L229" i="7"/>
  <c r="E229" i="7"/>
  <c r="L228" i="7"/>
  <c r="E228" i="7"/>
  <c r="L227" i="7"/>
  <c r="E227" i="7"/>
  <c r="L226" i="7"/>
  <c r="E226" i="7"/>
  <c r="L225" i="7"/>
  <c r="E225" i="7"/>
  <c r="L224" i="7"/>
  <c r="E224" i="7"/>
  <c r="L223" i="7"/>
  <c r="E223" i="7"/>
  <c r="L222" i="7"/>
  <c r="E222" i="7"/>
  <c r="L221" i="7"/>
  <c r="E221" i="7"/>
  <c r="L220" i="7"/>
  <c r="E220" i="7"/>
  <c r="L219" i="7"/>
  <c r="E219" i="7"/>
  <c r="L218" i="7"/>
  <c r="E218" i="7"/>
  <c r="L217" i="7"/>
  <c r="E217" i="7"/>
  <c r="L216" i="7"/>
  <c r="E216" i="7"/>
  <c r="L215" i="7"/>
  <c r="E215" i="7"/>
  <c r="L214" i="7"/>
  <c r="E214" i="7"/>
  <c r="L213" i="7"/>
  <c r="E213" i="7"/>
  <c r="L212" i="7"/>
  <c r="E212" i="7"/>
  <c r="L211" i="7"/>
  <c r="E211" i="7"/>
  <c r="L210" i="7"/>
  <c r="E210" i="7"/>
  <c r="L103" i="7"/>
  <c r="E103" i="7"/>
  <c r="L209" i="7"/>
  <c r="E209" i="7"/>
  <c r="L208" i="7"/>
  <c r="E208" i="7"/>
  <c r="L180" i="7"/>
  <c r="E180" i="7"/>
  <c r="L194" i="7"/>
  <c r="E194" i="7"/>
  <c r="L171" i="7"/>
  <c r="E171" i="7"/>
  <c r="L185" i="7"/>
  <c r="E185" i="7"/>
  <c r="L200" i="7"/>
  <c r="E200" i="7"/>
  <c r="L159" i="7"/>
  <c r="E159" i="7"/>
  <c r="L162" i="7"/>
  <c r="E162" i="7"/>
  <c r="L161" i="7"/>
  <c r="E161" i="7"/>
  <c r="L160" i="7"/>
  <c r="E160" i="7"/>
  <c r="L166" i="7"/>
  <c r="E166" i="7"/>
  <c r="L149" i="7"/>
  <c r="E149" i="7"/>
  <c r="L178" i="7"/>
  <c r="E178" i="7"/>
  <c r="L165" i="7"/>
  <c r="E165" i="7"/>
  <c r="L174" i="7"/>
  <c r="E174" i="7"/>
  <c r="L151" i="7"/>
  <c r="E151" i="7"/>
  <c r="L173" i="7"/>
  <c r="E173" i="7"/>
  <c r="L195" i="7"/>
  <c r="E195" i="7"/>
  <c r="L170" i="7"/>
  <c r="E170" i="7"/>
  <c r="L169" i="7"/>
  <c r="E169" i="7"/>
  <c r="L189" i="7"/>
  <c r="E189" i="7"/>
  <c r="L188" i="7"/>
  <c r="E188" i="7"/>
  <c r="L187" i="7"/>
  <c r="E187" i="7"/>
  <c r="L184" i="7"/>
  <c r="E184" i="7"/>
  <c r="L186" i="7"/>
  <c r="E186" i="7"/>
  <c r="L196" i="7"/>
  <c r="E196" i="7"/>
  <c r="L172" i="7"/>
  <c r="E172" i="7"/>
  <c r="L152" i="7"/>
  <c r="E152" i="7"/>
  <c r="L156" i="7"/>
  <c r="E156" i="7"/>
  <c r="L167" i="7"/>
  <c r="E167" i="7"/>
  <c r="L191" i="7"/>
  <c r="E191" i="7"/>
  <c r="L148" i="7"/>
  <c r="E148" i="7"/>
  <c r="L147" i="7"/>
  <c r="E147" i="7"/>
  <c r="L206" i="7"/>
  <c r="E206" i="7"/>
  <c r="L181" i="7"/>
  <c r="E181" i="7"/>
  <c r="L202" i="7"/>
  <c r="E202" i="7"/>
  <c r="L175" i="7"/>
  <c r="E175" i="7"/>
  <c r="L164" i="7"/>
  <c r="E164" i="7"/>
  <c r="L163" i="7"/>
  <c r="E163" i="7"/>
  <c r="L157" i="7"/>
  <c r="E157" i="7"/>
  <c r="L154" i="7"/>
  <c r="E154" i="7"/>
  <c r="L207" i="7"/>
  <c r="E207" i="7"/>
  <c r="L201" i="7"/>
  <c r="E201" i="7"/>
  <c r="L168" i="7"/>
  <c r="E168" i="7"/>
  <c r="L150" i="7"/>
  <c r="E150" i="7"/>
  <c r="L205" i="7"/>
  <c r="E205" i="7"/>
  <c r="L158" i="7"/>
  <c r="E158" i="7"/>
  <c r="L193" i="7"/>
  <c r="E193" i="7"/>
  <c r="L197" i="7"/>
  <c r="E197" i="7"/>
  <c r="L203" i="7"/>
  <c r="E203" i="7"/>
  <c r="L204" i="7"/>
  <c r="E204" i="7"/>
  <c r="L192" i="7"/>
  <c r="E192" i="7"/>
  <c r="L183" i="7"/>
  <c r="E183" i="7"/>
  <c r="L153" i="7"/>
  <c r="E153" i="7"/>
  <c r="L190" i="7"/>
  <c r="E190" i="7"/>
  <c r="L155" i="7"/>
  <c r="E155" i="7"/>
  <c r="L198" i="7"/>
  <c r="E198" i="7"/>
  <c r="L176" i="7"/>
  <c r="E176" i="7"/>
  <c r="L177" i="7"/>
  <c r="E177" i="7"/>
  <c r="L199" i="7"/>
  <c r="E199" i="7"/>
  <c r="L182" i="7"/>
  <c r="E182" i="7"/>
  <c r="L179" i="7"/>
  <c r="E179" i="7"/>
  <c r="L146" i="7"/>
  <c r="E146" i="7"/>
  <c r="L145" i="7"/>
  <c r="E145" i="7"/>
  <c r="L144" i="7"/>
  <c r="E144" i="7"/>
  <c r="L143" i="7"/>
  <c r="E143" i="7"/>
  <c r="L142" i="7"/>
  <c r="E142" i="7"/>
  <c r="L141" i="7"/>
  <c r="E141" i="7"/>
  <c r="L140" i="7"/>
  <c r="E140" i="7"/>
  <c r="L139" i="7"/>
  <c r="E139" i="7"/>
  <c r="L138" i="7"/>
  <c r="E138" i="7"/>
  <c r="L137" i="7"/>
  <c r="E137" i="7"/>
  <c r="L136" i="7"/>
  <c r="E136" i="7"/>
  <c r="L135" i="7"/>
  <c r="E135" i="7"/>
  <c r="L134" i="7"/>
  <c r="E134" i="7"/>
  <c r="L133" i="7"/>
  <c r="E133" i="7"/>
  <c r="L132" i="7"/>
  <c r="E132" i="7"/>
  <c r="L131" i="7"/>
  <c r="E131" i="7"/>
  <c r="L130" i="7"/>
  <c r="E130" i="7"/>
  <c r="L129" i="7"/>
  <c r="E129" i="7"/>
  <c r="L128" i="7"/>
  <c r="E128" i="7"/>
  <c r="L127" i="7"/>
  <c r="E127" i="7"/>
  <c r="L126" i="7"/>
  <c r="E126" i="7"/>
  <c r="L125" i="7"/>
  <c r="E125" i="7"/>
  <c r="L124" i="7"/>
  <c r="E124" i="7"/>
  <c r="L123" i="7"/>
  <c r="E123" i="7"/>
  <c r="L122" i="7"/>
  <c r="E122" i="7"/>
  <c r="L121" i="7"/>
  <c r="E121" i="7"/>
  <c r="L120" i="7"/>
  <c r="E120" i="7"/>
  <c r="L119" i="7"/>
  <c r="E119" i="7"/>
  <c r="L118" i="7"/>
  <c r="E118" i="7"/>
  <c r="H2" i="5"/>
  <c r="I2" i="5"/>
  <c r="H126" i="5"/>
  <c r="I126" i="5"/>
  <c r="H513" i="5"/>
  <c r="I513" i="5"/>
  <c r="H130" i="5"/>
  <c r="I130" i="5"/>
  <c r="H5" i="5"/>
  <c r="I5" i="5"/>
  <c r="H133" i="5"/>
  <c r="I133" i="5"/>
  <c r="H8" i="5"/>
  <c r="I8" i="5"/>
  <c r="H136" i="5"/>
  <c r="I136" i="5"/>
  <c r="H139" i="5"/>
  <c r="I139" i="5"/>
  <c r="H143" i="5"/>
  <c r="I143" i="5"/>
  <c r="H11" i="5"/>
  <c r="I11" i="5"/>
  <c r="H615" i="5"/>
  <c r="I615" i="5"/>
  <c r="H516" i="5"/>
  <c r="I516" i="5"/>
  <c r="H618" i="5"/>
  <c r="I618" i="5"/>
  <c r="H147" i="5"/>
  <c r="I147" i="5"/>
  <c r="H80" i="5"/>
  <c r="I80" i="5"/>
  <c r="H151" i="5"/>
  <c r="I151" i="5"/>
  <c r="H155" i="5"/>
  <c r="I155" i="5"/>
  <c r="H156" i="5"/>
  <c r="I156" i="5"/>
  <c r="H160" i="5"/>
  <c r="I160" i="5"/>
  <c r="H161" i="5"/>
  <c r="I161" i="5"/>
  <c r="H671" i="5"/>
  <c r="I671" i="5"/>
  <c r="H165" i="5"/>
  <c r="I165" i="5"/>
  <c r="H169" i="5"/>
  <c r="I169" i="5"/>
  <c r="H621" i="5"/>
  <c r="I621" i="5"/>
  <c r="H171" i="5"/>
  <c r="I171" i="5"/>
  <c r="H14" i="5"/>
  <c r="I14" i="5"/>
  <c r="H624" i="5"/>
  <c r="I624" i="5"/>
  <c r="H518" i="5"/>
  <c r="I518" i="5"/>
  <c r="H520" i="5"/>
  <c r="I520" i="5"/>
  <c r="H174" i="5"/>
  <c r="I174" i="5"/>
  <c r="H626" i="5"/>
  <c r="I626" i="5"/>
  <c r="H178" i="5"/>
  <c r="I178" i="5"/>
  <c r="H182" i="5"/>
  <c r="I182" i="5"/>
  <c r="H186" i="5"/>
  <c r="I186" i="5"/>
  <c r="H187" i="5"/>
  <c r="I187" i="5"/>
  <c r="H17" i="5"/>
  <c r="I17" i="5"/>
  <c r="H191" i="5"/>
  <c r="I191" i="5"/>
  <c r="H629" i="5"/>
  <c r="I629" i="5"/>
  <c r="H20" i="5"/>
  <c r="I20" i="5"/>
  <c r="H23" i="5"/>
  <c r="I23" i="5"/>
  <c r="H194" i="5"/>
  <c r="I194" i="5"/>
  <c r="H631" i="5"/>
  <c r="I631" i="5"/>
  <c r="H198" i="5"/>
  <c r="I198" i="5"/>
  <c r="H202" i="5"/>
  <c r="I202" i="5"/>
  <c r="H206" i="5"/>
  <c r="I206" i="5"/>
  <c r="H26" i="5"/>
  <c r="I26" i="5"/>
  <c r="H208" i="5"/>
  <c r="I208" i="5"/>
  <c r="H212" i="5"/>
  <c r="I212" i="5"/>
  <c r="H216" i="5"/>
  <c r="I216" i="5"/>
  <c r="H523" i="5"/>
  <c r="I523" i="5"/>
  <c r="H29" i="5"/>
  <c r="I29" i="5"/>
  <c r="H526" i="5"/>
  <c r="I526" i="5"/>
  <c r="H220" i="5"/>
  <c r="I220" i="5"/>
  <c r="H634" i="5"/>
  <c r="I634" i="5"/>
  <c r="H530" i="5"/>
  <c r="I530" i="5"/>
  <c r="H873" i="5"/>
  <c r="I873" i="5"/>
  <c r="H532" i="5"/>
  <c r="I532" i="5"/>
  <c r="H222" i="5"/>
  <c r="I222" i="5"/>
  <c r="H32" i="5"/>
  <c r="I32" i="5"/>
  <c r="H535" i="5"/>
  <c r="I535" i="5"/>
  <c r="H538" i="5"/>
  <c r="I538" i="5"/>
  <c r="H226" i="5"/>
  <c r="I226" i="5"/>
  <c r="H35" i="5"/>
  <c r="I35" i="5"/>
  <c r="H227" i="5"/>
  <c r="I227" i="5"/>
  <c r="H230" i="5"/>
  <c r="I230" i="5"/>
  <c r="H541" i="5"/>
  <c r="I541" i="5"/>
  <c r="H544" i="5"/>
  <c r="I544" i="5"/>
  <c r="H547" i="5"/>
  <c r="I547" i="5"/>
  <c r="H550" i="5"/>
  <c r="I550" i="5"/>
  <c r="H553" i="5"/>
  <c r="I553" i="5"/>
  <c r="H637" i="5"/>
  <c r="I637" i="5"/>
  <c r="H639" i="5"/>
  <c r="I639" i="5"/>
  <c r="H38" i="5"/>
  <c r="I38" i="5"/>
  <c r="H642" i="5"/>
  <c r="I642" i="5"/>
  <c r="H234" i="5"/>
  <c r="I234" i="5"/>
  <c r="H238" i="5"/>
  <c r="I238" i="5"/>
  <c r="H239" i="5"/>
  <c r="I239" i="5"/>
  <c r="H41" i="5"/>
  <c r="I41" i="5"/>
  <c r="H554" i="5"/>
  <c r="I554" i="5"/>
  <c r="H44" i="5"/>
  <c r="I44" i="5"/>
  <c r="H555" i="5"/>
  <c r="I555" i="5"/>
  <c r="H686" i="5"/>
  <c r="I686" i="5"/>
  <c r="H47" i="5"/>
  <c r="I47" i="5"/>
  <c r="H473" i="5"/>
  <c r="I473" i="5"/>
  <c r="H557" i="5"/>
  <c r="I557" i="5"/>
  <c r="H692" i="5"/>
  <c r="I692" i="5"/>
  <c r="H120" i="5"/>
  <c r="I120" i="5"/>
  <c r="H559" i="5"/>
  <c r="I559" i="5"/>
  <c r="H560" i="5"/>
  <c r="I560" i="5"/>
  <c r="H645" i="5"/>
  <c r="I645" i="5"/>
  <c r="H383" i="5"/>
  <c r="I383" i="5"/>
  <c r="H647" i="5"/>
  <c r="I647" i="5"/>
  <c r="H648" i="5"/>
  <c r="I648" i="5"/>
  <c r="H562" i="5"/>
  <c r="I562" i="5"/>
  <c r="H563" i="5"/>
  <c r="I563" i="5"/>
  <c r="H49" i="5"/>
  <c r="I49" i="5"/>
  <c r="H243" i="5"/>
  <c r="I243" i="5"/>
  <c r="H564" i="5"/>
  <c r="I564" i="5"/>
  <c r="H52" i="5"/>
  <c r="I52" i="5"/>
  <c r="H566" i="5"/>
  <c r="I566" i="5"/>
  <c r="H649" i="5"/>
  <c r="I649" i="5"/>
  <c r="H246" i="5"/>
  <c r="I246" i="5"/>
  <c r="H421" i="5"/>
  <c r="I421" i="5"/>
  <c r="H652" i="5"/>
  <c r="I652" i="5"/>
  <c r="H105" i="5"/>
  <c r="I105" i="5"/>
  <c r="H249" i="5"/>
  <c r="I249" i="5"/>
  <c r="H699" i="5"/>
  <c r="I699" i="5"/>
  <c r="H253" i="5"/>
  <c r="I253" i="5"/>
  <c r="H257" i="5"/>
  <c r="I257" i="5"/>
  <c r="H708" i="5"/>
  <c r="I708" i="5"/>
  <c r="H261" i="5"/>
  <c r="I261" i="5"/>
  <c r="H654" i="5"/>
  <c r="I654" i="5"/>
  <c r="H110" i="5"/>
  <c r="I110" i="5"/>
  <c r="H265" i="5"/>
  <c r="I265" i="5"/>
  <c r="H266" i="5"/>
  <c r="I266" i="5"/>
  <c r="H655" i="5"/>
  <c r="I655" i="5"/>
  <c r="H569" i="5"/>
  <c r="I569" i="5"/>
  <c r="H486" i="5"/>
  <c r="I486" i="5"/>
  <c r="H572" i="5"/>
  <c r="I572" i="5"/>
  <c r="H58" i="5"/>
  <c r="I58" i="5"/>
  <c r="H573" i="5"/>
  <c r="I573" i="5"/>
  <c r="H270" i="5"/>
  <c r="I270" i="5"/>
  <c r="H656" i="5"/>
  <c r="I656" i="5"/>
  <c r="H273" i="5"/>
  <c r="I273" i="5"/>
  <c r="H277" i="5"/>
  <c r="I277" i="5"/>
  <c r="H576" i="5"/>
  <c r="I576" i="5"/>
  <c r="H281" i="5"/>
  <c r="I281" i="5"/>
  <c r="H61" i="5"/>
  <c r="I61" i="5"/>
  <c r="H285" i="5"/>
  <c r="I285" i="5"/>
  <c r="H289" i="5"/>
  <c r="I289" i="5"/>
  <c r="H292" i="5"/>
  <c r="I292" i="5"/>
  <c r="H114" i="5"/>
  <c r="I114" i="5"/>
  <c r="H295" i="5"/>
  <c r="I295" i="5"/>
  <c r="H578" i="5"/>
  <c r="I578" i="5"/>
  <c r="H296" i="5"/>
  <c r="I296" i="5"/>
  <c r="H581" i="5"/>
  <c r="I581" i="5"/>
  <c r="H299" i="5"/>
  <c r="I299" i="5"/>
  <c r="H659" i="5"/>
  <c r="I659" i="5"/>
  <c r="H498" i="5"/>
  <c r="I498" i="5"/>
  <c r="H584" i="5"/>
  <c r="I584" i="5"/>
  <c r="H300" i="5"/>
  <c r="I300" i="5"/>
  <c r="H586" i="5"/>
  <c r="I586" i="5"/>
  <c r="H588" i="5"/>
  <c r="I588" i="5"/>
  <c r="H62" i="5"/>
  <c r="I62" i="5"/>
  <c r="H591" i="5"/>
  <c r="I591" i="5"/>
  <c r="H315" i="5"/>
  <c r="I315" i="5"/>
  <c r="H714" i="5"/>
  <c r="I714" i="5"/>
  <c r="H661" i="5"/>
  <c r="I661" i="5"/>
  <c r="H665" i="5"/>
  <c r="I665" i="5"/>
  <c r="H666" i="5"/>
  <c r="I666" i="5"/>
  <c r="H318" i="5"/>
  <c r="I318" i="5"/>
  <c r="H876" i="5"/>
  <c r="I876" i="5"/>
  <c r="H667" i="5"/>
  <c r="I667" i="5"/>
  <c r="H322" i="5"/>
  <c r="I322" i="5"/>
  <c r="H65" i="5"/>
  <c r="I65" i="5"/>
  <c r="H326" i="5"/>
  <c r="I326" i="5"/>
  <c r="H330" i="5"/>
  <c r="I330" i="5"/>
  <c r="H334" i="5"/>
  <c r="I334" i="5"/>
  <c r="H594" i="5"/>
  <c r="I594" i="5"/>
  <c r="H668" i="5"/>
  <c r="I668" i="5"/>
  <c r="H338" i="5"/>
  <c r="I338" i="5"/>
  <c r="H71" i="5"/>
  <c r="I71" i="5"/>
  <c r="H341" i="5"/>
  <c r="I341" i="5"/>
  <c r="H342" i="5"/>
  <c r="I342" i="5"/>
  <c r="H74" i="5"/>
  <c r="I74" i="5"/>
  <c r="H597" i="5"/>
  <c r="I597" i="5"/>
  <c r="H600" i="5"/>
  <c r="I600" i="5"/>
  <c r="H346" i="5"/>
  <c r="I346" i="5"/>
  <c r="H76" i="5"/>
  <c r="I76" i="5"/>
  <c r="H350" i="5"/>
  <c r="I350" i="5"/>
  <c r="H351" i="5"/>
  <c r="I351" i="5"/>
  <c r="H602" i="5"/>
  <c r="I602" i="5"/>
  <c r="H355" i="5"/>
  <c r="I355" i="5"/>
  <c r="H123" i="5"/>
  <c r="I123" i="5"/>
  <c r="H359" i="5"/>
  <c r="I359" i="5"/>
  <c r="H603" i="5"/>
  <c r="I603" i="5"/>
  <c r="H363" i="5"/>
  <c r="I363" i="5"/>
  <c r="H605" i="5"/>
  <c r="I605" i="5"/>
  <c r="H606" i="5"/>
  <c r="I606" i="5"/>
  <c r="H879" i="5"/>
  <c r="I879" i="5"/>
  <c r="H609" i="5"/>
  <c r="I609" i="5"/>
  <c r="H364" i="5"/>
  <c r="I364" i="5"/>
  <c r="H3" i="5"/>
  <c r="I3" i="5"/>
  <c r="H435" i="5"/>
  <c r="I435" i="5"/>
  <c r="H718" i="5"/>
  <c r="I718" i="5"/>
  <c r="H127" i="5"/>
  <c r="I127" i="5"/>
  <c r="H514" i="5"/>
  <c r="I514" i="5"/>
  <c r="H371" i="5"/>
  <c r="I371" i="5"/>
  <c r="H611" i="5"/>
  <c r="I611" i="5"/>
  <c r="H723" i="5"/>
  <c r="I723" i="5"/>
  <c r="H131" i="5"/>
  <c r="I131" i="5"/>
  <c r="H6" i="5"/>
  <c r="I6" i="5"/>
  <c r="H409" i="5"/>
  <c r="I409" i="5"/>
  <c r="H134" i="5"/>
  <c r="I134" i="5"/>
  <c r="H9" i="5"/>
  <c r="I9" i="5"/>
  <c r="H137" i="5"/>
  <c r="I137" i="5"/>
  <c r="H730" i="5"/>
  <c r="I730" i="5"/>
  <c r="H140" i="5"/>
  <c r="I140" i="5"/>
  <c r="H437" i="5"/>
  <c r="I437" i="5"/>
  <c r="H144" i="5"/>
  <c r="I144" i="5"/>
  <c r="H439" i="5"/>
  <c r="I439" i="5"/>
  <c r="H12" i="5"/>
  <c r="I12" i="5"/>
  <c r="H79" i="5"/>
  <c r="I79" i="5"/>
  <c r="H440" i="5"/>
  <c r="I440" i="5"/>
  <c r="H670" i="5"/>
  <c r="I670" i="5"/>
  <c r="H616" i="5"/>
  <c r="I616" i="5"/>
  <c r="H619" i="5"/>
  <c r="I619" i="5"/>
  <c r="H148" i="5"/>
  <c r="I148" i="5"/>
  <c r="H81" i="5"/>
  <c r="I81" i="5"/>
  <c r="H152" i="5"/>
  <c r="I152" i="5"/>
  <c r="H83" i="5"/>
  <c r="I83" i="5"/>
  <c r="H84" i="5"/>
  <c r="I84" i="5"/>
  <c r="H157" i="5"/>
  <c r="I157" i="5"/>
  <c r="H162" i="5"/>
  <c r="I162" i="5"/>
  <c r="H672" i="5"/>
  <c r="I672" i="5"/>
  <c r="H166" i="5"/>
  <c r="I166" i="5"/>
  <c r="H675" i="5"/>
  <c r="I675" i="5"/>
  <c r="H170" i="5"/>
  <c r="I170" i="5"/>
  <c r="H85" i="5"/>
  <c r="I85" i="5"/>
  <c r="H622" i="5"/>
  <c r="I622" i="5"/>
  <c r="H172" i="5"/>
  <c r="I172" i="5"/>
  <c r="H442" i="5"/>
  <c r="I442" i="5"/>
  <c r="H410" i="5"/>
  <c r="I410" i="5"/>
  <c r="H15" i="5"/>
  <c r="I15" i="5"/>
  <c r="H444" i="5"/>
  <c r="I444" i="5"/>
  <c r="H521" i="5"/>
  <c r="I521" i="5"/>
  <c r="H447" i="5"/>
  <c r="I447" i="5"/>
  <c r="H175" i="5"/>
  <c r="I175" i="5"/>
  <c r="H627" i="5"/>
  <c r="I627" i="5"/>
  <c r="H179" i="5"/>
  <c r="I179" i="5"/>
  <c r="H183" i="5"/>
  <c r="I183" i="5"/>
  <c r="H413" i="5"/>
  <c r="I413" i="5"/>
  <c r="H188" i="5"/>
  <c r="I188" i="5"/>
  <c r="H18" i="5"/>
  <c r="I18" i="5"/>
  <c r="H676" i="5"/>
  <c r="I676" i="5"/>
  <c r="H86" i="5"/>
  <c r="I86" i="5"/>
  <c r="H192" i="5"/>
  <c r="I192" i="5"/>
  <c r="H21" i="5"/>
  <c r="I21" i="5"/>
  <c r="H24" i="5"/>
  <c r="I24" i="5"/>
  <c r="H88" i="5"/>
  <c r="I88" i="5"/>
  <c r="H90" i="5"/>
  <c r="I90" i="5"/>
  <c r="H195" i="5"/>
  <c r="I195" i="5"/>
  <c r="H632" i="5"/>
  <c r="I632" i="5"/>
  <c r="H199" i="5"/>
  <c r="I199" i="5"/>
  <c r="H203" i="5"/>
  <c r="I203" i="5"/>
  <c r="H27" i="5"/>
  <c r="I27" i="5"/>
  <c r="H209" i="5"/>
  <c r="I209" i="5"/>
  <c r="H448" i="5"/>
  <c r="I448" i="5"/>
  <c r="H213" i="5"/>
  <c r="I213" i="5"/>
  <c r="H217" i="5"/>
  <c r="I217" i="5"/>
  <c r="H92" i="5"/>
  <c r="I92" i="5"/>
  <c r="H524" i="5"/>
  <c r="I524" i="5"/>
  <c r="H679" i="5"/>
  <c r="I679" i="5"/>
  <c r="H94" i="5"/>
  <c r="I94" i="5"/>
  <c r="H30" i="5"/>
  <c r="I30" i="5"/>
  <c r="H527" i="5"/>
  <c r="I527" i="5"/>
  <c r="H95" i="5"/>
  <c r="I95" i="5"/>
  <c r="H635" i="5"/>
  <c r="I635" i="5"/>
  <c r="H680" i="5"/>
  <c r="I680" i="5"/>
  <c r="H874" i="5"/>
  <c r="I874" i="5"/>
  <c r="H533" i="5"/>
  <c r="I533" i="5"/>
  <c r="H96" i="5"/>
  <c r="I96" i="5"/>
  <c r="H223" i="5"/>
  <c r="I223" i="5"/>
  <c r="H33" i="5"/>
  <c r="I33" i="5"/>
  <c r="H536" i="5"/>
  <c r="I536" i="5"/>
  <c r="H97" i="5"/>
  <c r="I97" i="5"/>
  <c r="H98" i="5"/>
  <c r="I98" i="5"/>
  <c r="H539" i="5"/>
  <c r="I539" i="5"/>
  <c r="H376" i="5"/>
  <c r="I376" i="5"/>
  <c r="H451" i="5"/>
  <c r="I451" i="5"/>
  <c r="H36" i="5"/>
  <c r="I36" i="5"/>
  <c r="H99" i="5"/>
  <c r="I99" i="5"/>
  <c r="H228" i="5"/>
  <c r="I228" i="5"/>
  <c r="H231" i="5"/>
  <c r="I231" i="5"/>
  <c r="H542" i="5"/>
  <c r="I542" i="5"/>
  <c r="H545" i="5"/>
  <c r="I545" i="5"/>
  <c r="H548" i="5"/>
  <c r="I548" i="5"/>
  <c r="H551" i="5"/>
  <c r="I551" i="5"/>
  <c r="H414" i="5"/>
  <c r="I414" i="5"/>
  <c r="H452" i="5"/>
  <c r="I452" i="5"/>
  <c r="H455" i="5"/>
  <c r="I455" i="5"/>
  <c r="H640" i="5"/>
  <c r="I640" i="5"/>
  <c r="H458" i="5"/>
  <c r="I458" i="5"/>
  <c r="H683" i="5"/>
  <c r="I683" i="5"/>
  <c r="H39" i="5"/>
  <c r="I39" i="5"/>
  <c r="H643" i="5"/>
  <c r="I643" i="5"/>
  <c r="H235" i="5"/>
  <c r="I235" i="5"/>
  <c r="H415" i="5"/>
  <c r="I415" i="5"/>
  <c r="H240" i="5"/>
  <c r="I240" i="5"/>
  <c r="H42" i="5"/>
  <c r="I42" i="5"/>
  <c r="H100" i="5"/>
  <c r="I100" i="5"/>
  <c r="H45" i="5"/>
  <c r="I45" i="5"/>
  <c r="H461" i="5"/>
  <c r="I461" i="5"/>
  <c r="H418" i="5"/>
  <c r="I418" i="5"/>
  <c r="H464" i="5"/>
  <c r="I464" i="5"/>
  <c r="H465" i="5"/>
  <c r="I465" i="5"/>
  <c r="H467" i="5"/>
  <c r="I467" i="5"/>
  <c r="H419" i="5"/>
  <c r="I419" i="5"/>
  <c r="H468" i="5"/>
  <c r="I468" i="5"/>
  <c r="H687" i="5"/>
  <c r="I687" i="5"/>
  <c r="H688" i="5"/>
  <c r="I688" i="5"/>
  <c r="H48" i="5"/>
  <c r="I48" i="5"/>
  <c r="H470" i="5"/>
  <c r="I470" i="5"/>
  <c r="H474" i="5"/>
  <c r="I474" i="5"/>
  <c r="H477" i="5"/>
  <c r="I477" i="5"/>
  <c r="H480" i="5"/>
  <c r="I480" i="5"/>
  <c r="H481" i="5"/>
  <c r="I481" i="5"/>
  <c r="H693" i="5"/>
  <c r="I693" i="5"/>
  <c r="H121" i="5"/>
  <c r="I121" i="5"/>
  <c r="H101" i="5"/>
  <c r="I101" i="5"/>
  <c r="H380" i="5"/>
  <c r="I380" i="5"/>
  <c r="H420" i="5"/>
  <c r="I420" i="5"/>
  <c r="H482" i="5"/>
  <c r="I482" i="5"/>
  <c r="H384" i="5"/>
  <c r="I384" i="5"/>
  <c r="H50" i="5"/>
  <c r="I50" i="5"/>
  <c r="H483" i="5"/>
  <c r="I483" i="5"/>
  <c r="H244" i="5"/>
  <c r="I244" i="5"/>
  <c r="H367" i="5"/>
  <c r="I367" i="5"/>
  <c r="H785" i="5"/>
  <c r="I785" i="5"/>
  <c r="H53" i="5"/>
  <c r="I53" i="5"/>
  <c r="H789" i="5"/>
  <c r="I789" i="5"/>
  <c r="H102" i="5"/>
  <c r="I102" i="5"/>
  <c r="H650" i="5"/>
  <c r="I650" i="5"/>
  <c r="H485" i="5"/>
  <c r="I485" i="5"/>
  <c r="H247" i="5"/>
  <c r="I247" i="5"/>
  <c r="H422" i="5"/>
  <c r="I422" i="5"/>
  <c r="H103" i="5"/>
  <c r="I103" i="5"/>
  <c r="H106" i="5"/>
  <c r="I106" i="5"/>
  <c r="H696" i="5"/>
  <c r="I696" i="5"/>
  <c r="H108" i="5"/>
  <c r="I108" i="5"/>
  <c r="H250" i="5"/>
  <c r="I250" i="5"/>
  <c r="H700" i="5"/>
  <c r="I700" i="5"/>
  <c r="H793" i="5"/>
  <c r="I793" i="5"/>
  <c r="H254" i="5"/>
  <c r="I254" i="5"/>
  <c r="H258" i="5"/>
  <c r="I258" i="5"/>
  <c r="H709" i="5"/>
  <c r="I709" i="5"/>
  <c r="H262" i="5"/>
  <c r="I262" i="5"/>
  <c r="H712" i="5"/>
  <c r="I712" i="5"/>
  <c r="H796" i="5"/>
  <c r="I796" i="5"/>
  <c r="H111" i="5"/>
  <c r="I111" i="5"/>
  <c r="H388" i="5"/>
  <c r="I388" i="5"/>
  <c r="H113" i="5"/>
  <c r="I113" i="5"/>
  <c r="H267" i="5"/>
  <c r="I267" i="5"/>
  <c r="H570" i="5"/>
  <c r="I570" i="5"/>
  <c r="H487" i="5"/>
  <c r="I487" i="5"/>
  <c r="H425" i="5"/>
  <c r="I425" i="5"/>
  <c r="H59" i="5"/>
  <c r="I59" i="5"/>
  <c r="H389" i="5"/>
  <c r="I389" i="5"/>
  <c r="H574" i="5"/>
  <c r="I574" i="5"/>
  <c r="H271" i="5"/>
  <c r="I271" i="5"/>
  <c r="H391" i="5"/>
  <c r="I391" i="5"/>
  <c r="H274" i="5"/>
  <c r="I274" i="5"/>
  <c r="H489" i="5"/>
  <c r="I489" i="5"/>
  <c r="H278" i="5"/>
  <c r="I278" i="5"/>
  <c r="H428" i="5"/>
  <c r="I428" i="5"/>
  <c r="H282" i="5"/>
  <c r="I282" i="5"/>
  <c r="H286" i="5"/>
  <c r="I286" i="5"/>
  <c r="H290" i="5"/>
  <c r="I290" i="5"/>
  <c r="H807" i="5"/>
  <c r="I807" i="5"/>
  <c r="H293" i="5"/>
  <c r="I293" i="5"/>
  <c r="H429" i="5"/>
  <c r="I429" i="5"/>
  <c r="H115" i="5"/>
  <c r="I115" i="5"/>
  <c r="H432" i="5"/>
  <c r="I432" i="5"/>
  <c r="H492" i="5"/>
  <c r="I492" i="5"/>
  <c r="H494" i="5"/>
  <c r="I494" i="5"/>
  <c r="H579" i="5"/>
  <c r="I579" i="5"/>
  <c r="H392" i="5"/>
  <c r="I392" i="5"/>
  <c r="H297" i="5"/>
  <c r="I297" i="5"/>
  <c r="H713" i="5"/>
  <c r="I713" i="5"/>
  <c r="H582" i="5"/>
  <c r="I582" i="5"/>
  <c r="H495" i="5"/>
  <c r="I495" i="5"/>
  <c r="H660" i="5"/>
  <c r="I660" i="5"/>
  <c r="H499" i="5"/>
  <c r="I499" i="5"/>
  <c r="H301" i="5"/>
  <c r="I301" i="5"/>
  <c r="H589" i="5"/>
  <c r="I589" i="5"/>
  <c r="H63" i="5"/>
  <c r="I63" i="5"/>
  <c r="H433" i="5"/>
  <c r="I433" i="5"/>
  <c r="H501" i="5"/>
  <c r="I501" i="5"/>
  <c r="H502" i="5"/>
  <c r="I502" i="5"/>
  <c r="H592" i="5"/>
  <c r="I592" i="5"/>
  <c r="H316" i="5"/>
  <c r="I316" i="5"/>
  <c r="H715" i="5"/>
  <c r="I715" i="5"/>
  <c r="H396" i="5"/>
  <c r="I396" i="5"/>
  <c r="H663" i="5"/>
  <c r="I663" i="5"/>
  <c r="H400" i="5"/>
  <c r="I400" i="5"/>
  <c r="H319" i="5"/>
  <c r="I319" i="5"/>
  <c r="H434" i="5"/>
  <c r="I434" i="5"/>
  <c r="H846" i="5"/>
  <c r="I846" i="5"/>
  <c r="H877" i="5"/>
  <c r="I877" i="5"/>
  <c r="H323" i="5"/>
  <c r="I323" i="5"/>
  <c r="H66" i="5"/>
  <c r="I66" i="5"/>
  <c r="H850" i="5"/>
  <c r="I850" i="5"/>
  <c r="H327" i="5"/>
  <c r="I327" i="5"/>
  <c r="H331" i="5"/>
  <c r="I331" i="5"/>
  <c r="H335" i="5"/>
  <c r="I335" i="5"/>
  <c r="H401" i="5"/>
  <c r="I401" i="5"/>
  <c r="H595" i="5"/>
  <c r="I595" i="5"/>
  <c r="H339" i="5"/>
  <c r="I339" i="5"/>
  <c r="H503" i="5"/>
  <c r="I503" i="5"/>
  <c r="H72" i="5"/>
  <c r="I72" i="5"/>
  <c r="H343" i="5"/>
  <c r="I343" i="5"/>
  <c r="H75" i="5"/>
  <c r="I75" i="5"/>
  <c r="H598" i="5"/>
  <c r="I598" i="5"/>
  <c r="H117" i="5"/>
  <c r="I117" i="5"/>
  <c r="H862" i="5"/>
  <c r="I862" i="5"/>
  <c r="H506" i="5"/>
  <c r="I506" i="5"/>
  <c r="H509" i="5"/>
  <c r="I509" i="5"/>
  <c r="H347" i="5"/>
  <c r="I347" i="5"/>
  <c r="H77" i="5"/>
  <c r="I77" i="5"/>
  <c r="H866" i="5"/>
  <c r="I866" i="5"/>
  <c r="H511" i="5"/>
  <c r="I511" i="5"/>
  <c r="H352" i="5"/>
  <c r="I352" i="5"/>
  <c r="H356" i="5"/>
  <c r="I356" i="5"/>
  <c r="H124" i="5"/>
  <c r="I124" i="5"/>
  <c r="H360" i="5"/>
  <c r="I360" i="5"/>
  <c r="H870" i="5"/>
  <c r="I870" i="5"/>
  <c r="H118" i="5"/>
  <c r="I118" i="5"/>
  <c r="H607" i="5"/>
  <c r="I607" i="5"/>
  <c r="H405" i="5"/>
  <c r="I405" i="5"/>
  <c r="H512" i="5"/>
  <c r="I512" i="5"/>
  <c r="H128" i="5"/>
  <c r="I128" i="5"/>
  <c r="H141" i="5"/>
  <c r="I141" i="5"/>
  <c r="H145" i="5"/>
  <c r="I145" i="5"/>
  <c r="H149" i="5"/>
  <c r="I149" i="5"/>
  <c r="H153" i="5"/>
  <c r="I153" i="5"/>
  <c r="H158" i="5"/>
  <c r="I158" i="5"/>
  <c r="H163" i="5"/>
  <c r="I163" i="5"/>
  <c r="H167" i="5"/>
  <c r="I167" i="5"/>
  <c r="H173" i="5"/>
  <c r="I173" i="5"/>
  <c r="H176" i="5"/>
  <c r="I176" i="5"/>
  <c r="H180" i="5"/>
  <c r="I180" i="5"/>
  <c r="H184" i="5"/>
  <c r="I184" i="5"/>
  <c r="H189" i="5"/>
  <c r="I189" i="5"/>
  <c r="H196" i="5"/>
  <c r="I196" i="5"/>
  <c r="H200" i="5"/>
  <c r="I200" i="5"/>
  <c r="H204" i="5"/>
  <c r="I204" i="5"/>
  <c r="H207" i="5"/>
  <c r="I207" i="5"/>
  <c r="H210" i="5"/>
  <c r="I210" i="5"/>
  <c r="H214" i="5"/>
  <c r="I214" i="5"/>
  <c r="H218" i="5"/>
  <c r="I218" i="5"/>
  <c r="H221" i="5"/>
  <c r="I221" i="5"/>
  <c r="H224" i="5"/>
  <c r="I224" i="5"/>
  <c r="H229" i="5"/>
  <c r="I229" i="5"/>
  <c r="H232" i="5"/>
  <c r="I232" i="5"/>
  <c r="H236" i="5"/>
  <c r="I236" i="5"/>
  <c r="H241" i="5"/>
  <c r="I241" i="5"/>
  <c r="H251" i="5"/>
  <c r="I251" i="5"/>
  <c r="H255" i="5"/>
  <c r="I255" i="5"/>
  <c r="H259" i="5"/>
  <c r="I259" i="5"/>
  <c r="H263" i="5"/>
  <c r="I263" i="5"/>
  <c r="H268" i="5"/>
  <c r="I268" i="5"/>
  <c r="H275" i="5"/>
  <c r="I275" i="5"/>
  <c r="H279" i="5"/>
  <c r="I279" i="5"/>
  <c r="H283" i="5"/>
  <c r="I283" i="5"/>
  <c r="H287" i="5"/>
  <c r="I287" i="5"/>
  <c r="H320" i="5"/>
  <c r="I320" i="5"/>
  <c r="H324" i="5"/>
  <c r="I324" i="5"/>
  <c r="H328" i="5"/>
  <c r="I328" i="5"/>
  <c r="H332" i="5"/>
  <c r="I332" i="5"/>
  <c r="H336" i="5"/>
  <c r="I336" i="5"/>
  <c r="H344" i="5"/>
  <c r="I344" i="5"/>
  <c r="H348" i="5"/>
  <c r="I348" i="5"/>
  <c r="H353" i="5"/>
  <c r="I353" i="5"/>
  <c r="H357" i="5"/>
  <c r="I357" i="5"/>
  <c r="H361" i="5"/>
  <c r="I361" i="5"/>
  <c r="H368" i="5"/>
  <c r="I368" i="5"/>
  <c r="H372" i="5"/>
  <c r="I372" i="5"/>
  <c r="H377" i="5"/>
  <c r="I377" i="5"/>
  <c r="H381" i="5"/>
  <c r="I381" i="5"/>
  <c r="H385" i="5"/>
  <c r="I385" i="5"/>
  <c r="H393" i="5"/>
  <c r="I393" i="5"/>
  <c r="H402" i="5"/>
  <c r="I402" i="5"/>
  <c r="H406" i="5"/>
  <c r="I406" i="5"/>
  <c r="H411" i="5"/>
  <c r="I411" i="5"/>
  <c r="H416" i="5"/>
  <c r="I416" i="5"/>
  <c r="H423" i="5"/>
  <c r="I423" i="5"/>
  <c r="H426" i="5"/>
  <c r="I426" i="5"/>
  <c r="H430" i="5"/>
  <c r="I430" i="5"/>
  <c r="H436" i="5"/>
  <c r="I436" i="5"/>
  <c r="H438" i="5"/>
  <c r="I438" i="5"/>
  <c r="H441" i="5"/>
  <c r="I441" i="5"/>
  <c r="H443" i="5"/>
  <c r="I443" i="5"/>
  <c r="H445" i="5"/>
  <c r="I445" i="5"/>
  <c r="H449" i="5"/>
  <c r="I449" i="5"/>
  <c r="H453" i="5"/>
  <c r="I453" i="5"/>
  <c r="H456" i="5"/>
  <c r="I456" i="5"/>
  <c r="H459" i="5"/>
  <c r="I459" i="5"/>
  <c r="H462" i="5"/>
  <c r="I462" i="5"/>
  <c r="H466" i="5"/>
  <c r="I466" i="5"/>
  <c r="H469" i="5"/>
  <c r="I469" i="5"/>
  <c r="H471" i="5"/>
  <c r="I471" i="5"/>
  <c r="H475" i="5"/>
  <c r="I475" i="5"/>
  <c r="H478" i="5"/>
  <c r="I478" i="5"/>
  <c r="H484" i="5"/>
  <c r="I484" i="5"/>
  <c r="H488" i="5"/>
  <c r="I488" i="5"/>
  <c r="H491" i="5"/>
  <c r="I491" i="5"/>
  <c r="H493" i="5"/>
  <c r="I493" i="5"/>
  <c r="H496" i="5"/>
  <c r="I496" i="5"/>
  <c r="H500" i="5"/>
  <c r="I500" i="5"/>
  <c r="H504" i="5"/>
  <c r="I504" i="5"/>
  <c r="H507" i="5"/>
  <c r="I507" i="5"/>
  <c r="H612" i="5"/>
  <c r="I612" i="5"/>
  <c r="H673" i="5"/>
  <c r="I673" i="5"/>
  <c r="H677" i="5"/>
  <c r="I677" i="5"/>
  <c r="H681" i="5"/>
  <c r="I681" i="5"/>
  <c r="H684" i="5"/>
  <c r="I684" i="5"/>
  <c r="H689" i="5"/>
  <c r="I689" i="5"/>
  <c r="H694" i="5"/>
  <c r="I694" i="5"/>
  <c r="H697" i="5"/>
  <c r="I697" i="5"/>
  <c r="H701" i="5"/>
  <c r="I701" i="5"/>
  <c r="H710" i="5"/>
  <c r="I710" i="5"/>
  <c r="H716" i="5"/>
  <c r="I716" i="5"/>
  <c r="H719" i="5"/>
  <c r="I719" i="5"/>
  <c r="H722" i="5"/>
  <c r="I722" i="5"/>
  <c r="H724" i="5"/>
  <c r="I724" i="5"/>
  <c r="H727" i="5"/>
  <c r="I727" i="5"/>
  <c r="H731" i="5"/>
  <c r="I731" i="5"/>
  <c r="H734" i="5"/>
  <c r="I734" i="5"/>
  <c r="H737" i="5"/>
  <c r="I737" i="5"/>
  <c r="H740" i="5"/>
  <c r="I740" i="5"/>
  <c r="H744" i="5"/>
  <c r="I744" i="5"/>
  <c r="H747" i="5"/>
  <c r="I747" i="5"/>
  <c r="H754" i="5"/>
  <c r="I754" i="5"/>
  <c r="H757" i="5"/>
  <c r="I757" i="5"/>
  <c r="H759" i="5"/>
  <c r="I759" i="5"/>
  <c r="H766" i="5"/>
  <c r="I766" i="5"/>
  <c r="H769" i="5"/>
  <c r="I769" i="5"/>
  <c r="H772" i="5"/>
  <c r="I772" i="5"/>
  <c r="H776" i="5"/>
  <c r="I776" i="5"/>
  <c r="H786" i="5"/>
  <c r="I786" i="5"/>
  <c r="H790" i="5"/>
  <c r="I790" i="5"/>
  <c r="H794" i="5"/>
  <c r="I794" i="5"/>
  <c r="H798" i="5"/>
  <c r="I798" i="5"/>
  <c r="H801" i="5"/>
  <c r="I801" i="5"/>
  <c r="H804" i="5"/>
  <c r="I804" i="5"/>
  <c r="H808" i="5"/>
  <c r="I808" i="5"/>
  <c r="H811" i="5"/>
  <c r="I811" i="5"/>
  <c r="H814" i="5"/>
  <c r="I814" i="5"/>
  <c r="H817" i="5"/>
  <c r="I817" i="5"/>
  <c r="H820" i="5"/>
  <c r="I820" i="5"/>
  <c r="H824" i="5"/>
  <c r="I824" i="5"/>
  <c r="H825" i="5"/>
  <c r="I825" i="5"/>
  <c r="H828" i="5"/>
  <c r="I828" i="5"/>
  <c r="H830" i="5"/>
  <c r="I830" i="5"/>
  <c r="H831" i="5"/>
  <c r="I831" i="5"/>
  <c r="H835" i="5"/>
  <c r="I835" i="5"/>
  <c r="H838" i="5"/>
  <c r="I838" i="5"/>
  <c r="H843" i="5"/>
  <c r="I843" i="5"/>
  <c r="H847" i="5"/>
  <c r="I847" i="5"/>
  <c r="H851" i="5"/>
  <c r="I851" i="5"/>
  <c r="H854" i="5"/>
  <c r="I854" i="5"/>
  <c r="H857" i="5"/>
  <c r="I857" i="5"/>
  <c r="H863" i="5"/>
  <c r="I863" i="5"/>
  <c r="H867" i="5"/>
  <c r="I867" i="5"/>
  <c r="H872" i="5"/>
  <c r="I872" i="5"/>
  <c r="H4" i="5"/>
  <c r="I4" i="5"/>
  <c r="H7" i="5"/>
  <c r="I7" i="5"/>
  <c r="H10" i="5"/>
  <c r="I10" i="5"/>
  <c r="H13" i="5"/>
  <c r="I13" i="5"/>
  <c r="H16" i="5"/>
  <c r="I16" i="5"/>
  <c r="H19" i="5"/>
  <c r="I19" i="5"/>
  <c r="H22" i="5"/>
  <c r="I22" i="5"/>
  <c r="H25" i="5"/>
  <c r="I25" i="5"/>
  <c r="H28" i="5"/>
  <c r="I28" i="5"/>
  <c r="H31" i="5"/>
  <c r="I31" i="5"/>
  <c r="H34" i="5"/>
  <c r="I34" i="5"/>
  <c r="H37" i="5"/>
  <c r="I37" i="5"/>
  <c r="H40" i="5"/>
  <c r="I40" i="5"/>
  <c r="H43" i="5"/>
  <c r="I43" i="5"/>
  <c r="H46" i="5"/>
  <c r="I46" i="5"/>
  <c r="H51" i="5"/>
  <c r="I51" i="5"/>
  <c r="H54" i="5"/>
  <c r="I54" i="5"/>
  <c r="H60" i="5"/>
  <c r="I60" i="5"/>
  <c r="H64" i="5"/>
  <c r="I64" i="5"/>
  <c r="H67" i="5"/>
  <c r="I67" i="5"/>
  <c r="H73" i="5"/>
  <c r="I73" i="5"/>
  <c r="H78" i="5"/>
  <c r="I78" i="5"/>
  <c r="H82" i="5"/>
  <c r="I82" i="5"/>
  <c r="H87" i="5"/>
  <c r="I87" i="5"/>
  <c r="H89" i="5"/>
  <c r="I89" i="5"/>
  <c r="H91" i="5"/>
  <c r="I91" i="5"/>
  <c r="H93" i="5"/>
  <c r="I93" i="5"/>
  <c r="H104" i="5"/>
  <c r="I104" i="5"/>
  <c r="H107" i="5"/>
  <c r="I107" i="5"/>
  <c r="H109" i="5"/>
  <c r="I109" i="5"/>
  <c r="H112" i="5"/>
  <c r="I112" i="5"/>
  <c r="H116" i="5"/>
  <c r="I116" i="5"/>
  <c r="H119" i="5"/>
  <c r="I119" i="5"/>
  <c r="H122" i="5"/>
  <c r="I122" i="5"/>
  <c r="H125" i="5"/>
  <c r="I125" i="5"/>
  <c r="H129" i="5"/>
  <c r="I129" i="5"/>
  <c r="H132" i="5"/>
  <c r="I132" i="5"/>
  <c r="H135" i="5"/>
  <c r="I135" i="5"/>
  <c r="H138" i="5"/>
  <c r="I138" i="5"/>
  <c r="H142" i="5"/>
  <c r="I142" i="5"/>
  <c r="H146" i="5"/>
  <c r="I146" i="5"/>
  <c r="H150" i="5"/>
  <c r="I150" i="5"/>
  <c r="H154" i="5"/>
  <c r="I154" i="5"/>
  <c r="H159" i="5"/>
  <c r="I159" i="5"/>
  <c r="H164" i="5"/>
  <c r="I164" i="5"/>
  <c r="H168" i="5"/>
  <c r="I168" i="5"/>
  <c r="H177" i="5"/>
  <c r="I177" i="5"/>
  <c r="H181" i="5"/>
  <c r="I181" i="5"/>
  <c r="H185" i="5"/>
  <c r="I185" i="5"/>
  <c r="H190" i="5"/>
  <c r="I190" i="5"/>
  <c r="H193" i="5"/>
  <c r="I193" i="5"/>
  <c r="H197" i="5"/>
  <c r="I197" i="5"/>
  <c r="H201" i="5"/>
  <c r="I201" i="5"/>
  <c r="H205" i="5"/>
  <c r="I205" i="5"/>
  <c r="H211" i="5"/>
  <c r="I211" i="5"/>
  <c r="H215" i="5"/>
  <c r="I215" i="5"/>
  <c r="H219" i="5"/>
  <c r="I219" i="5"/>
  <c r="H225" i="5"/>
  <c r="I225" i="5"/>
  <c r="H233" i="5"/>
  <c r="I233" i="5"/>
  <c r="H237" i="5"/>
  <c r="I237" i="5"/>
  <c r="H242" i="5"/>
  <c r="I242" i="5"/>
  <c r="H245" i="5"/>
  <c r="I245" i="5"/>
  <c r="H248" i="5"/>
  <c r="I248" i="5"/>
  <c r="H252" i="5"/>
  <c r="I252" i="5"/>
  <c r="H256" i="5"/>
  <c r="I256" i="5"/>
  <c r="H260" i="5"/>
  <c r="I260" i="5"/>
  <c r="H264" i="5"/>
  <c r="I264" i="5"/>
  <c r="H269" i="5"/>
  <c r="I269" i="5"/>
  <c r="H272" i="5"/>
  <c r="I272" i="5"/>
  <c r="H276" i="5"/>
  <c r="I276" i="5"/>
  <c r="H280" i="5"/>
  <c r="I280" i="5"/>
  <c r="H284" i="5"/>
  <c r="I284" i="5"/>
  <c r="H288" i="5"/>
  <c r="I288" i="5"/>
  <c r="H291" i="5"/>
  <c r="I291" i="5"/>
  <c r="H294" i="5"/>
  <c r="I294" i="5"/>
  <c r="H298" i="5"/>
  <c r="I298" i="5"/>
  <c r="H302" i="5"/>
  <c r="I302" i="5"/>
  <c r="H317" i="5"/>
  <c r="I317" i="5"/>
  <c r="H321" i="5"/>
  <c r="I321" i="5"/>
  <c r="H325" i="5"/>
  <c r="I325" i="5"/>
  <c r="H329" i="5"/>
  <c r="I329" i="5"/>
  <c r="H333" i="5"/>
  <c r="I333" i="5"/>
  <c r="H337" i="5"/>
  <c r="I337" i="5"/>
  <c r="H340" i="5"/>
  <c r="I340" i="5"/>
  <c r="H345" i="5"/>
  <c r="I345" i="5"/>
  <c r="H349" i="5"/>
  <c r="I349" i="5"/>
  <c r="H354" i="5"/>
  <c r="I354" i="5"/>
  <c r="H358" i="5"/>
  <c r="I358" i="5"/>
  <c r="H362" i="5"/>
  <c r="I362" i="5"/>
  <c r="H373" i="5"/>
  <c r="I373" i="5"/>
  <c r="H378" i="5"/>
  <c r="I378" i="5"/>
  <c r="H382" i="5"/>
  <c r="I382" i="5"/>
  <c r="H386" i="5"/>
  <c r="I386" i="5"/>
  <c r="H394" i="5"/>
  <c r="I394" i="5"/>
  <c r="H397" i="5"/>
  <c r="I397" i="5"/>
  <c r="H403" i="5"/>
  <c r="I403" i="5"/>
  <c r="H407" i="5"/>
  <c r="I407" i="5"/>
  <c r="H412" i="5"/>
  <c r="I412" i="5"/>
  <c r="H417" i="5"/>
  <c r="I417" i="5"/>
  <c r="H424" i="5"/>
  <c r="I424" i="5"/>
  <c r="H427" i="5"/>
  <c r="I427" i="5"/>
  <c r="H431" i="5"/>
  <c r="I431" i="5"/>
  <c r="H446" i="5"/>
  <c r="I446" i="5"/>
  <c r="H450" i="5"/>
  <c r="I450" i="5"/>
  <c r="H454" i="5"/>
  <c r="I454" i="5"/>
  <c r="H457" i="5"/>
  <c r="I457" i="5"/>
  <c r="H460" i="5"/>
  <c r="I460" i="5"/>
  <c r="H463" i="5"/>
  <c r="I463" i="5"/>
  <c r="H472" i="5"/>
  <c r="I472" i="5"/>
  <c r="H476" i="5"/>
  <c r="I476" i="5"/>
  <c r="H479" i="5"/>
  <c r="I479" i="5"/>
  <c r="H490" i="5"/>
  <c r="I490" i="5"/>
  <c r="H497" i="5"/>
  <c r="I497" i="5"/>
  <c r="H505" i="5"/>
  <c r="I505" i="5"/>
  <c r="H508" i="5"/>
  <c r="I508" i="5"/>
  <c r="H510" i="5"/>
  <c r="I510" i="5"/>
  <c r="H515" i="5"/>
  <c r="I515" i="5"/>
  <c r="H517" i="5"/>
  <c r="I517" i="5"/>
  <c r="H519" i="5"/>
  <c r="I519" i="5"/>
  <c r="H522" i="5"/>
  <c r="I522" i="5"/>
  <c r="H525" i="5"/>
  <c r="I525" i="5"/>
  <c r="H528" i="5"/>
  <c r="I528" i="5"/>
  <c r="H531" i="5"/>
  <c r="I531" i="5"/>
  <c r="H534" i="5"/>
  <c r="I534" i="5"/>
  <c r="H537" i="5"/>
  <c r="I537" i="5"/>
  <c r="H540" i="5"/>
  <c r="I540" i="5"/>
  <c r="H543" i="5"/>
  <c r="I543" i="5"/>
  <c r="H546" i="5"/>
  <c r="I546" i="5"/>
  <c r="H549" i="5"/>
  <c r="I549" i="5"/>
  <c r="H552" i="5"/>
  <c r="I552" i="5"/>
  <c r="H556" i="5"/>
  <c r="I556" i="5"/>
  <c r="H558" i="5"/>
  <c r="I558" i="5"/>
  <c r="H561" i="5"/>
  <c r="I561" i="5"/>
  <c r="H565" i="5"/>
  <c r="I565" i="5"/>
  <c r="H567" i="5"/>
  <c r="I567" i="5"/>
  <c r="H568" i="5"/>
  <c r="I568" i="5"/>
  <c r="H571" i="5"/>
  <c r="I571" i="5"/>
  <c r="H575" i="5"/>
  <c r="I575" i="5"/>
  <c r="H577" i="5"/>
  <c r="I577" i="5"/>
  <c r="H580" i="5"/>
  <c r="I580" i="5"/>
  <c r="H583" i="5"/>
  <c r="I583" i="5"/>
  <c r="H585" i="5"/>
  <c r="I585" i="5"/>
  <c r="H587" i="5"/>
  <c r="I587" i="5"/>
  <c r="H590" i="5"/>
  <c r="I590" i="5"/>
  <c r="H593" i="5"/>
  <c r="I593" i="5"/>
  <c r="H596" i="5"/>
  <c r="I596" i="5"/>
  <c r="H599" i="5"/>
  <c r="I599" i="5"/>
  <c r="H601" i="5"/>
  <c r="I601" i="5"/>
  <c r="H604" i="5"/>
  <c r="I604" i="5"/>
  <c r="H608" i="5"/>
  <c r="I608" i="5"/>
  <c r="H617" i="5"/>
  <c r="I617" i="5"/>
  <c r="H620" i="5"/>
  <c r="I620" i="5"/>
  <c r="H623" i="5"/>
  <c r="I623" i="5"/>
  <c r="H625" i="5"/>
  <c r="I625" i="5"/>
  <c r="H628" i="5"/>
  <c r="I628" i="5"/>
  <c r="H630" i="5"/>
  <c r="I630" i="5"/>
  <c r="H633" i="5"/>
  <c r="I633" i="5"/>
  <c r="H636" i="5"/>
  <c r="I636" i="5"/>
  <c r="H638" i="5"/>
  <c r="I638" i="5"/>
  <c r="H641" i="5"/>
  <c r="I641" i="5"/>
  <c r="H644" i="5"/>
  <c r="I644" i="5"/>
  <c r="H646" i="5"/>
  <c r="I646" i="5"/>
  <c r="H651" i="5"/>
  <c r="I651" i="5"/>
  <c r="H653" i="5"/>
  <c r="I653" i="5"/>
  <c r="H657" i="5"/>
  <c r="I657" i="5"/>
  <c r="H658" i="5"/>
  <c r="I658" i="5"/>
  <c r="H662" i="5"/>
  <c r="I662" i="5"/>
  <c r="H664" i="5"/>
  <c r="I664" i="5"/>
  <c r="H669" i="5"/>
  <c r="I669" i="5"/>
  <c r="H674" i="5"/>
  <c r="I674" i="5"/>
  <c r="H678" i="5"/>
  <c r="I678" i="5"/>
  <c r="H682" i="5"/>
  <c r="I682" i="5"/>
  <c r="H685" i="5"/>
  <c r="I685" i="5"/>
  <c r="H690" i="5"/>
  <c r="I690" i="5"/>
  <c r="H695" i="5"/>
  <c r="I695" i="5"/>
  <c r="H698" i="5"/>
  <c r="I698" i="5"/>
  <c r="H702" i="5"/>
  <c r="I702" i="5"/>
  <c r="H711" i="5"/>
  <c r="I711" i="5"/>
  <c r="H717" i="5"/>
  <c r="I717" i="5"/>
  <c r="H875" i="5"/>
  <c r="I875" i="5"/>
  <c r="H878" i="5"/>
  <c r="I878" i="5"/>
  <c r="H880" i="5"/>
  <c r="I880" i="5"/>
  <c r="H365" i="5"/>
  <c r="I365" i="5"/>
  <c r="H369" i="5"/>
  <c r="I369" i="5"/>
  <c r="H610" i="5"/>
  <c r="I610" i="5"/>
  <c r="H613" i="5"/>
  <c r="I613" i="5"/>
  <c r="H720" i="5"/>
  <c r="I720" i="5"/>
  <c r="H725" i="5"/>
  <c r="I725" i="5"/>
  <c r="H728" i="5"/>
  <c r="I728" i="5"/>
  <c r="H732" i="5"/>
  <c r="I732" i="5"/>
  <c r="H735" i="5"/>
  <c r="I735" i="5"/>
  <c r="H738" i="5"/>
  <c r="I738" i="5"/>
  <c r="H741" i="5"/>
  <c r="I741" i="5"/>
  <c r="H743" i="5"/>
  <c r="I743" i="5"/>
  <c r="H745" i="5"/>
  <c r="I745" i="5"/>
  <c r="H748" i="5"/>
  <c r="I748" i="5"/>
  <c r="H752" i="5"/>
  <c r="I752" i="5"/>
  <c r="H755" i="5"/>
  <c r="I755" i="5"/>
  <c r="H758" i="5"/>
  <c r="I758" i="5"/>
  <c r="H760" i="5"/>
  <c r="I760" i="5"/>
  <c r="H762" i="5"/>
  <c r="I762" i="5"/>
  <c r="H764" i="5"/>
  <c r="I764" i="5"/>
  <c r="H767" i="5"/>
  <c r="I767" i="5"/>
  <c r="H770" i="5"/>
  <c r="I770" i="5"/>
  <c r="H773" i="5"/>
  <c r="I773" i="5"/>
  <c r="H774" i="5"/>
  <c r="I774" i="5"/>
  <c r="H777" i="5"/>
  <c r="I777" i="5"/>
  <c r="H780" i="5"/>
  <c r="I780" i="5"/>
  <c r="H782" i="5"/>
  <c r="I782" i="5"/>
  <c r="H787" i="5"/>
  <c r="I787" i="5"/>
  <c r="H791" i="5"/>
  <c r="I791" i="5"/>
  <c r="H795" i="5"/>
  <c r="I795" i="5"/>
  <c r="H797" i="5"/>
  <c r="I797" i="5"/>
  <c r="H799" i="5"/>
  <c r="I799" i="5"/>
  <c r="H802" i="5"/>
  <c r="I802" i="5"/>
  <c r="H805" i="5"/>
  <c r="I805" i="5"/>
  <c r="H809" i="5"/>
  <c r="I809" i="5"/>
  <c r="H812" i="5"/>
  <c r="I812" i="5"/>
  <c r="H815" i="5"/>
  <c r="I815" i="5"/>
  <c r="H818" i="5"/>
  <c r="I818" i="5"/>
  <c r="H821" i="5"/>
  <c r="I821" i="5"/>
  <c r="H826" i="5"/>
  <c r="I826" i="5"/>
  <c r="H829" i="5"/>
  <c r="I829" i="5"/>
  <c r="H832" i="5"/>
  <c r="I832" i="5"/>
  <c r="H836" i="5"/>
  <c r="I836" i="5"/>
  <c r="H839" i="5"/>
  <c r="I839" i="5"/>
  <c r="H841" i="5"/>
  <c r="I841" i="5"/>
  <c r="H844" i="5"/>
  <c r="I844" i="5"/>
  <c r="H848" i="5"/>
  <c r="I848" i="5"/>
  <c r="H852" i="5"/>
  <c r="I852" i="5"/>
  <c r="H855" i="5"/>
  <c r="I855" i="5"/>
  <c r="H858" i="5"/>
  <c r="I858" i="5"/>
  <c r="H860" i="5"/>
  <c r="I860" i="5"/>
  <c r="H864" i="5"/>
  <c r="I864" i="5"/>
  <c r="H868" i="5"/>
  <c r="I868" i="5"/>
  <c r="H366" i="5"/>
  <c r="I366" i="5"/>
  <c r="H370" i="5"/>
  <c r="I370" i="5"/>
  <c r="H374" i="5"/>
  <c r="I374" i="5"/>
  <c r="H375" i="5"/>
  <c r="I375" i="5"/>
  <c r="H387" i="5"/>
  <c r="I387" i="5"/>
  <c r="H395" i="5"/>
  <c r="I395" i="5"/>
  <c r="H398" i="5"/>
  <c r="I398" i="5"/>
  <c r="H399" i="5"/>
  <c r="I399" i="5"/>
  <c r="H408" i="5"/>
  <c r="I408" i="5"/>
  <c r="H614" i="5"/>
  <c r="I614" i="5"/>
  <c r="H703" i="5"/>
  <c r="I703" i="5"/>
  <c r="H721" i="5"/>
  <c r="I721" i="5"/>
  <c r="H726" i="5"/>
  <c r="I726" i="5"/>
  <c r="H729" i="5"/>
  <c r="I729" i="5"/>
  <c r="H733" i="5"/>
  <c r="I733" i="5"/>
  <c r="H736" i="5"/>
  <c r="I736" i="5"/>
  <c r="H739" i="5"/>
  <c r="I739" i="5"/>
  <c r="H742" i="5"/>
  <c r="I742" i="5"/>
  <c r="H746" i="5"/>
  <c r="I746" i="5"/>
  <c r="H749" i="5"/>
  <c r="I749" i="5"/>
  <c r="H753" i="5"/>
  <c r="I753" i="5"/>
  <c r="H756" i="5"/>
  <c r="I756" i="5"/>
  <c r="H763" i="5"/>
  <c r="I763" i="5"/>
  <c r="H765" i="5"/>
  <c r="I765" i="5"/>
  <c r="H771" i="5"/>
  <c r="I771" i="5"/>
  <c r="H775" i="5"/>
  <c r="I775" i="5"/>
  <c r="H778" i="5"/>
  <c r="I778" i="5"/>
  <c r="H779" i="5"/>
  <c r="I779" i="5"/>
  <c r="H781" i="5"/>
  <c r="I781" i="5"/>
  <c r="H783" i="5"/>
  <c r="I783" i="5"/>
  <c r="H784" i="5"/>
  <c r="I784" i="5"/>
  <c r="H788" i="5"/>
  <c r="I788" i="5"/>
  <c r="H792" i="5"/>
  <c r="I792" i="5"/>
  <c r="H803" i="5"/>
  <c r="I803" i="5"/>
  <c r="H806" i="5"/>
  <c r="I806" i="5"/>
  <c r="H810" i="5"/>
  <c r="I810" i="5"/>
  <c r="H813" i="5"/>
  <c r="I813" i="5"/>
  <c r="H816" i="5"/>
  <c r="I816" i="5"/>
  <c r="H822" i="5"/>
  <c r="I822" i="5"/>
  <c r="H823" i="5"/>
  <c r="I823" i="5"/>
  <c r="H827" i="5"/>
  <c r="I827" i="5"/>
  <c r="H833" i="5"/>
  <c r="I833" i="5"/>
  <c r="H834" i="5"/>
  <c r="I834" i="5"/>
  <c r="H837" i="5"/>
  <c r="I837" i="5"/>
  <c r="H845" i="5"/>
  <c r="I845" i="5"/>
  <c r="H849" i="5"/>
  <c r="I849" i="5"/>
  <c r="H853" i="5"/>
  <c r="I853" i="5"/>
  <c r="H859" i="5"/>
  <c r="I859" i="5"/>
  <c r="H865" i="5"/>
  <c r="I865" i="5"/>
  <c r="H869" i="5"/>
  <c r="I869" i="5"/>
  <c r="H871" i="5"/>
  <c r="I871" i="5"/>
  <c r="H691" i="5"/>
  <c r="I691" i="5"/>
  <c r="H303" i="5"/>
  <c r="I303" i="5"/>
  <c r="H304" i="5"/>
  <c r="I304" i="5"/>
  <c r="H305" i="5"/>
  <c r="I305" i="5"/>
  <c r="H306" i="5"/>
  <c r="I306" i="5"/>
  <c r="H307" i="5"/>
  <c r="I307" i="5"/>
  <c r="H308" i="5"/>
  <c r="I308" i="5"/>
  <c r="H309" i="5"/>
  <c r="I309" i="5"/>
  <c r="H310" i="5"/>
  <c r="I310" i="5"/>
  <c r="H311" i="5"/>
  <c r="I311" i="5"/>
  <c r="H312" i="5"/>
  <c r="I312" i="5"/>
  <c r="H313" i="5"/>
  <c r="I313" i="5"/>
  <c r="H314" i="5"/>
  <c r="I314" i="5"/>
  <c r="H704" i="5"/>
  <c r="I704" i="5"/>
  <c r="H705" i="5"/>
  <c r="I705" i="5"/>
  <c r="H706" i="5"/>
  <c r="I706" i="5"/>
  <c r="H707" i="5"/>
  <c r="I707" i="5"/>
  <c r="I529" i="5"/>
  <c r="H529" i="5"/>
  <c r="W32" i="6"/>
  <c r="X31" i="6"/>
  <c r="X30" i="6"/>
  <c r="X28" i="6"/>
  <c r="AA31" i="6"/>
  <c r="AA32" i="6" s="1"/>
  <c r="X27" i="6"/>
  <c r="X26" i="6"/>
  <c r="X25" i="6"/>
  <c r="X24" i="6"/>
  <c r="X19" i="6"/>
  <c r="AC23" i="6"/>
  <c r="X18" i="6"/>
  <c r="AO30" i="1" s="1"/>
  <c r="AC22" i="6"/>
  <c r="X17" i="6"/>
  <c r="AC21" i="6"/>
  <c r="AC20" i="6"/>
  <c r="AC19" i="6"/>
  <c r="AC18" i="6"/>
  <c r="AE17" i="6"/>
  <c r="Z24" i="13" s="1"/>
  <c r="Z24" i="14" s="1"/>
  <c r="AA36" i="6"/>
  <c r="AA38" i="6" s="1"/>
  <c r="AD14" i="6"/>
  <c r="AB13" i="6"/>
  <c r="AC13" i="6" s="1"/>
  <c r="AD12" i="6"/>
  <c r="AB11" i="6"/>
  <c r="W6" i="6"/>
  <c r="O239" i="13" s="1"/>
  <c r="O239" i="14" s="1"/>
  <c r="F707" i="5"/>
  <c r="M707" i="5" s="1"/>
  <c r="E707" i="5"/>
  <c r="F706" i="5"/>
  <c r="M706" i="5" s="1"/>
  <c r="E706" i="5"/>
  <c r="F705" i="5"/>
  <c r="M705" i="5" s="1"/>
  <c r="E705" i="5"/>
  <c r="F704" i="5"/>
  <c r="M704" i="5" s="1"/>
  <c r="E704" i="5"/>
  <c r="F314" i="5"/>
  <c r="M314" i="5" s="1"/>
  <c r="E314" i="5"/>
  <c r="F313" i="5"/>
  <c r="M313" i="5" s="1"/>
  <c r="E313" i="5"/>
  <c r="F312" i="5"/>
  <c r="M312" i="5" s="1"/>
  <c r="E312" i="5"/>
  <c r="F311" i="5"/>
  <c r="M311" i="5" s="1"/>
  <c r="E311" i="5"/>
  <c r="F310" i="5"/>
  <c r="M310" i="5" s="1"/>
  <c r="E310" i="5"/>
  <c r="F309" i="5"/>
  <c r="M309" i="5" s="1"/>
  <c r="E309" i="5"/>
  <c r="F308" i="5"/>
  <c r="M308" i="5" s="1"/>
  <c r="E308" i="5"/>
  <c r="F307" i="5"/>
  <c r="M307" i="5" s="1"/>
  <c r="E307" i="5"/>
  <c r="F306" i="5"/>
  <c r="M306" i="5" s="1"/>
  <c r="E306" i="5"/>
  <c r="F305" i="5"/>
  <c r="M305" i="5" s="1"/>
  <c r="E305" i="5"/>
  <c r="F304" i="5"/>
  <c r="M304" i="5" s="1"/>
  <c r="E304" i="5"/>
  <c r="F303" i="5"/>
  <c r="M303" i="5" s="1"/>
  <c r="E303" i="5"/>
  <c r="F691" i="5"/>
  <c r="M691" i="5" s="1"/>
  <c r="E691" i="5"/>
  <c r="F871" i="5"/>
  <c r="M871" i="5" s="1"/>
  <c r="E871" i="5"/>
  <c r="F869" i="5"/>
  <c r="M869" i="5" s="1"/>
  <c r="E869" i="5"/>
  <c r="F865" i="5"/>
  <c r="M865" i="5" s="1"/>
  <c r="E865" i="5"/>
  <c r="F859" i="5"/>
  <c r="M859" i="5" s="1"/>
  <c r="E859" i="5"/>
  <c r="F853" i="5"/>
  <c r="M853" i="5" s="1"/>
  <c r="E853" i="5"/>
  <c r="F849" i="5"/>
  <c r="M849" i="5" s="1"/>
  <c r="E849" i="5"/>
  <c r="F845" i="5"/>
  <c r="M845" i="5" s="1"/>
  <c r="E845" i="5"/>
  <c r="F837" i="5"/>
  <c r="M837" i="5" s="1"/>
  <c r="E837" i="5"/>
  <c r="F834" i="5"/>
  <c r="M834" i="5" s="1"/>
  <c r="E834" i="5"/>
  <c r="F833" i="5"/>
  <c r="M833" i="5" s="1"/>
  <c r="E833" i="5"/>
  <c r="F827" i="5"/>
  <c r="M827" i="5" s="1"/>
  <c r="E827" i="5"/>
  <c r="F823" i="5"/>
  <c r="M823" i="5" s="1"/>
  <c r="E823" i="5"/>
  <c r="F822" i="5"/>
  <c r="M822" i="5" s="1"/>
  <c r="E822" i="5"/>
  <c r="F816" i="5"/>
  <c r="M816" i="5" s="1"/>
  <c r="E816" i="5"/>
  <c r="F813" i="5"/>
  <c r="M813" i="5" s="1"/>
  <c r="E813" i="5"/>
  <c r="F810" i="5"/>
  <c r="M810" i="5" s="1"/>
  <c r="E810" i="5"/>
  <c r="F806" i="5"/>
  <c r="M806" i="5" s="1"/>
  <c r="E806" i="5"/>
  <c r="F803" i="5"/>
  <c r="M803" i="5" s="1"/>
  <c r="E803" i="5"/>
  <c r="F792" i="5"/>
  <c r="M792" i="5" s="1"/>
  <c r="E792" i="5"/>
  <c r="F788" i="5"/>
  <c r="M788" i="5" s="1"/>
  <c r="E788" i="5"/>
  <c r="F784" i="5"/>
  <c r="M784" i="5" s="1"/>
  <c r="E784" i="5"/>
  <c r="F783" i="5"/>
  <c r="M783" i="5" s="1"/>
  <c r="E783" i="5"/>
  <c r="F781" i="5"/>
  <c r="M781" i="5" s="1"/>
  <c r="E781" i="5"/>
  <c r="F779" i="5"/>
  <c r="M779" i="5" s="1"/>
  <c r="E779" i="5"/>
  <c r="F778" i="5"/>
  <c r="M778" i="5" s="1"/>
  <c r="E778" i="5"/>
  <c r="F775" i="5"/>
  <c r="M775" i="5" s="1"/>
  <c r="E775" i="5"/>
  <c r="F771" i="5"/>
  <c r="M771" i="5" s="1"/>
  <c r="E771" i="5"/>
  <c r="F765" i="5"/>
  <c r="M765" i="5" s="1"/>
  <c r="E765" i="5"/>
  <c r="F763" i="5"/>
  <c r="M763" i="5" s="1"/>
  <c r="E763" i="5"/>
  <c r="F756" i="5"/>
  <c r="M756" i="5" s="1"/>
  <c r="E756" i="5"/>
  <c r="F753" i="5"/>
  <c r="M753" i="5" s="1"/>
  <c r="E753" i="5"/>
  <c r="F749" i="5"/>
  <c r="M749" i="5" s="1"/>
  <c r="E749" i="5"/>
  <c r="F746" i="5"/>
  <c r="M746" i="5" s="1"/>
  <c r="E746" i="5"/>
  <c r="F742" i="5"/>
  <c r="M742" i="5" s="1"/>
  <c r="E742" i="5"/>
  <c r="F739" i="5"/>
  <c r="M739" i="5" s="1"/>
  <c r="E739" i="5"/>
  <c r="F736" i="5"/>
  <c r="M736" i="5" s="1"/>
  <c r="E736" i="5"/>
  <c r="F733" i="5"/>
  <c r="M733" i="5" s="1"/>
  <c r="E733" i="5"/>
  <c r="F729" i="5"/>
  <c r="M729" i="5" s="1"/>
  <c r="E729" i="5"/>
  <c r="F726" i="5"/>
  <c r="M726" i="5" s="1"/>
  <c r="E726" i="5"/>
  <c r="F721" i="5"/>
  <c r="M721" i="5" s="1"/>
  <c r="E721" i="5"/>
  <c r="F703" i="5"/>
  <c r="M703" i="5" s="1"/>
  <c r="E703" i="5"/>
  <c r="F614" i="5"/>
  <c r="M614" i="5" s="1"/>
  <c r="E614" i="5"/>
  <c r="F408" i="5"/>
  <c r="M408" i="5" s="1"/>
  <c r="E408" i="5"/>
  <c r="F399" i="5"/>
  <c r="M399" i="5" s="1"/>
  <c r="E399" i="5"/>
  <c r="F398" i="5"/>
  <c r="M398" i="5" s="1"/>
  <c r="E398" i="5"/>
  <c r="F395" i="5"/>
  <c r="M395" i="5" s="1"/>
  <c r="E395" i="5"/>
  <c r="F387" i="5"/>
  <c r="M387" i="5" s="1"/>
  <c r="E387" i="5"/>
  <c r="F375" i="5"/>
  <c r="M375" i="5" s="1"/>
  <c r="E375" i="5"/>
  <c r="F374" i="5"/>
  <c r="M374" i="5" s="1"/>
  <c r="E374" i="5"/>
  <c r="F370" i="5"/>
  <c r="M370" i="5" s="1"/>
  <c r="E370" i="5"/>
  <c r="F366" i="5"/>
  <c r="M366" i="5" s="1"/>
  <c r="E366" i="5"/>
  <c r="F868" i="5"/>
  <c r="M868" i="5" s="1"/>
  <c r="E868" i="5"/>
  <c r="F864" i="5"/>
  <c r="M864" i="5" s="1"/>
  <c r="E864" i="5"/>
  <c r="F860" i="5"/>
  <c r="M860" i="5" s="1"/>
  <c r="E860" i="5"/>
  <c r="F858" i="5"/>
  <c r="M858" i="5" s="1"/>
  <c r="E858" i="5"/>
  <c r="F855" i="5"/>
  <c r="M855" i="5" s="1"/>
  <c r="E855" i="5"/>
  <c r="F852" i="5"/>
  <c r="M852" i="5" s="1"/>
  <c r="E852" i="5"/>
  <c r="F848" i="5"/>
  <c r="M848" i="5" s="1"/>
  <c r="E848" i="5"/>
  <c r="F844" i="5"/>
  <c r="M844" i="5" s="1"/>
  <c r="E844" i="5"/>
  <c r="F841" i="5"/>
  <c r="M841" i="5" s="1"/>
  <c r="E841" i="5"/>
  <c r="F839" i="5"/>
  <c r="M839" i="5" s="1"/>
  <c r="E839" i="5"/>
  <c r="F836" i="5"/>
  <c r="M836" i="5" s="1"/>
  <c r="E836" i="5"/>
  <c r="F832" i="5"/>
  <c r="M832" i="5" s="1"/>
  <c r="E832" i="5"/>
  <c r="F829" i="5"/>
  <c r="M829" i="5" s="1"/>
  <c r="E829" i="5"/>
  <c r="F826" i="5"/>
  <c r="M826" i="5" s="1"/>
  <c r="E826" i="5"/>
  <c r="F821" i="5"/>
  <c r="M821" i="5" s="1"/>
  <c r="E821" i="5"/>
  <c r="F818" i="5"/>
  <c r="M818" i="5" s="1"/>
  <c r="E818" i="5"/>
  <c r="F815" i="5"/>
  <c r="M815" i="5" s="1"/>
  <c r="E815" i="5"/>
  <c r="F812" i="5"/>
  <c r="M812" i="5" s="1"/>
  <c r="E812" i="5"/>
  <c r="F809" i="5"/>
  <c r="M809" i="5" s="1"/>
  <c r="E809" i="5"/>
  <c r="F805" i="5"/>
  <c r="M805" i="5" s="1"/>
  <c r="E805" i="5"/>
  <c r="F802" i="5"/>
  <c r="M802" i="5" s="1"/>
  <c r="E802" i="5"/>
  <c r="F799" i="5"/>
  <c r="M799" i="5" s="1"/>
  <c r="E799" i="5"/>
  <c r="F797" i="5"/>
  <c r="M797" i="5" s="1"/>
  <c r="E797" i="5"/>
  <c r="F795" i="5"/>
  <c r="M795" i="5" s="1"/>
  <c r="E795" i="5"/>
  <c r="F791" i="5"/>
  <c r="M791" i="5" s="1"/>
  <c r="E791" i="5"/>
  <c r="F787" i="5"/>
  <c r="M787" i="5" s="1"/>
  <c r="E787" i="5"/>
  <c r="F782" i="5"/>
  <c r="M782" i="5" s="1"/>
  <c r="E782" i="5"/>
  <c r="F780" i="5"/>
  <c r="M780" i="5" s="1"/>
  <c r="E780" i="5"/>
  <c r="F777" i="5"/>
  <c r="M777" i="5" s="1"/>
  <c r="E777" i="5"/>
  <c r="F774" i="5"/>
  <c r="M774" i="5" s="1"/>
  <c r="E774" i="5"/>
  <c r="F773" i="5"/>
  <c r="M773" i="5" s="1"/>
  <c r="E773" i="5"/>
  <c r="F770" i="5"/>
  <c r="M770" i="5" s="1"/>
  <c r="E770" i="5"/>
  <c r="F767" i="5"/>
  <c r="M767" i="5" s="1"/>
  <c r="E767" i="5"/>
  <c r="F764" i="5"/>
  <c r="M764" i="5" s="1"/>
  <c r="E764" i="5"/>
  <c r="F762" i="5"/>
  <c r="M762" i="5" s="1"/>
  <c r="E762" i="5"/>
  <c r="F760" i="5"/>
  <c r="M760" i="5" s="1"/>
  <c r="E760" i="5"/>
  <c r="F758" i="5"/>
  <c r="M758" i="5" s="1"/>
  <c r="E758" i="5"/>
  <c r="F755" i="5"/>
  <c r="M755" i="5" s="1"/>
  <c r="E755" i="5"/>
  <c r="F752" i="5"/>
  <c r="M752" i="5" s="1"/>
  <c r="E752" i="5"/>
  <c r="F748" i="5"/>
  <c r="M748" i="5" s="1"/>
  <c r="E748" i="5"/>
  <c r="F745" i="5"/>
  <c r="M745" i="5" s="1"/>
  <c r="E745" i="5"/>
  <c r="F743" i="5"/>
  <c r="M743" i="5" s="1"/>
  <c r="E743" i="5"/>
  <c r="F741" i="5"/>
  <c r="M741" i="5" s="1"/>
  <c r="E741" i="5"/>
  <c r="F738" i="5"/>
  <c r="M738" i="5" s="1"/>
  <c r="E738" i="5"/>
  <c r="F735" i="5"/>
  <c r="M735" i="5" s="1"/>
  <c r="E735" i="5"/>
  <c r="F732" i="5"/>
  <c r="M732" i="5" s="1"/>
  <c r="E732" i="5"/>
  <c r="F728" i="5"/>
  <c r="M728" i="5" s="1"/>
  <c r="E728" i="5"/>
  <c r="F725" i="5"/>
  <c r="M725" i="5" s="1"/>
  <c r="E725" i="5"/>
  <c r="F720" i="5"/>
  <c r="M720" i="5" s="1"/>
  <c r="E720" i="5"/>
  <c r="F613" i="5"/>
  <c r="M613" i="5" s="1"/>
  <c r="E613" i="5"/>
  <c r="F610" i="5"/>
  <c r="M610" i="5" s="1"/>
  <c r="E610" i="5"/>
  <c r="F369" i="5"/>
  <c r="M369" i="5" s="1"/>
  <c r="E369" i="5"/>
  <c r="F365" i="5"/>
  <c r="M365" i="5" s="1"/>
  <c r="E365" i="5"/>
  <c r="F880" i="5"/>
  <c r="M880" i="5" s="1"/>
  <c r="E880" i="5"/>
  <c r="F878" i="5"/>
  <c r="M878" i="5" s="1"/>
  <c r="E878" i="5"/>
  <c r="F875" i="5"/>
  <c r="M875" i="5" s="1"/>
  <c r="E875" i="5"/>
  <c r="F717" i="5"/>
  <c r="M717" i="5" s="1"/>
  <c r="E717" i="5"/>
  <c r="F711" i="5"/>
  <c r="M711" i="5" s="1"/>
  <c r="E711" i="5"/>
  <c r="F702" i="5"/>
  <c r="M702" i="5" s="1"/>
  <c r="E702" i="5"/>
  <c r="F698" i="5"/>
  <c r="M698" i="5" s="1"/>
  <c r="E698" i="5"/>
  <c r="F695" i="5"/>
  <c r="M695" i="5" s="1"/>
  <c r="E695" i="5"/>
  <c r="F690" i="5"/>
  <c r="M690" i="5" s="1"/>
  <c r="E690" i="5"/>
  <c r="F685" i="5"/>
  <c r="M685" i="5" s="1"/>
  <c r="E685" i="5"/>
  <c r="F682" i="5"/>
  <c r="M682" i="5" s="1"/>
  <c r="E682" i="5"/>
  <c r="F678" i="5"/>
  <c r="M678" i="5" s="1"/>
  <c r="E678" i="5"/>
  <c r="F674" i="5"/>
  <c r="M674" i="5" s="1"/>
  <c r="E674" i="5"/>
  <c r="F669" i="5"/>
  <c r="M669" i="5" s="1"/>
  <c r="E669" i="5"/>
  <c r="F664" i="5"/>
  <c r="M664" i="5" s="1"/>
  <c r="E664" i="5"/>
  <c r="F662" i="5"/>
  <c r="M662" i="5" s="1"/>
  <c r="E662" i="5"/>
  <c r="F658" i="5"/>
  <c r="M658" i="5" s="1"/>
  <c r="E658" i="5"/>
  <c r="F657" i="5"/>
  <c r="M657" i="5" s="1"/>
  <c r="E657" i="5"/>
  <c r="F653" i="5"/>
  <c r="M653" i="5" s="1"/>
  <c r="E653" i="5"/>
  <c r="F651" i="5"/>
  <c r="M651" i="5" s="1"/>
  <c r="E651" i="5"/>
  <c r="F646" i="5"/>
  <c r="M646" i="5" s="1"/>
  <c r="E646" i="5"/>
  <c r="F644" i="5"/>
  <c r="M644" i="5" s="1"/>
  <c r="E644" i="5"/>
  <c r="F641" i="5"/>
  <c r="M641" i="5" s="1"/>
  <c r="E641" i="5"/>
  <c r="F638" i="5"/>
  <c r="M638" i="5" s="1"/>
  <c r="E638" i="5"/>
  <c r="F636" i="5"/>
  <c r="M636" i="5" s="1"/>
  <c r="E636" i="5"/>
  <c r="F633" i="5"/>
  <c r="M633" i="5" s="1"/>
  <c r="E633" i="5"/>
  <c r="F630" i="5"/>
  <c r="M630" i="5" s="1"/>
  <c r="E630" i="5"/>
  <c r="F628" i="5"/>
  <c r="M628" i="5" s="1"/>
  <c r="E628" i="5"/>
  <c r="F625" i="5"/>
  <c r="M625" i="5" s="1"/>
  <c r="E625" i="5"/>
  <c r="F623" i="5"/>
  <c r="M623" i="5" s="1"/>
  <c r="E623" i="5"/>
  <c r="F620" i="5"/>
  <c r="M620" i="5" s="1"/>
  <c r="E620" i="5"/>
  <c r="F617" i="5"/>
  <c r="M617" i="5" s="1"/>
  <c r="E617" i="5"/>
  <c r="F608" i="5"/>
  <c r="M608" i="5" s="1"/>
  <c r="E608" i="5"/>
  <c r="F604" i="5"/>
  <c r="M604" i="5" s="1"/>
  <c r="E604" i="5"/>
  <c r="F601" i="5"/>
  <c r="M601" i="5" s="1"/>
  <c r="E601" i="5"/>
  <c r="F599" i="5"/>
  <c r="M599" i="5" s="1"/>
  <c r="E599" i="5"/>
  <c r="F596" i="5"/>
  <c r="M596" i="5" s="1"/>
  <c r="E596" i="5"/>
  <c r="F593" i="5"/>
  <c r="M593" i="5" s="1"/>
  <c r="E593" i="5"/>
  <c r="F590" i="5"/>
  <c r="M590" i="5" s="1"/>
  <c r="E590" i="5"/>
  <c r="F587" i="5"/>
  <c r="M587" i="5" s="1"/>
  <c r="E587" i="5"/>
  <c r="F585" i="5"/>
  <c r="M585" i="5" s="1"/>
  <c r="E585" i="5"/>
  <c r="F583" i="5"/>
  <c r="M583" i="5" s="1"/>
  <c r="E583" i="5"/>
  <c r="F580" i="5"/>
  <c r="M580" i="5" s="1"/>
  <c r="E580" i="5"/>
  <c r="F577" i="5"/>
  <c r="M577" i="5" s="1"/>
  <c r="E577" i="5"/>
  <c r="F575" i="5"/>
  <c r="M575" i="5" s="1"/>
  <c r="E575" i="5"/>
  <c r="F571" i="5"/>
  <c r="M571" i="5" s="1"/>
  <c r="E571" i="5"/>
  <c r="F568" i="5"/>
  <c r="M568" i="5" s="1"/>
  <c r="E568" i="5"/>
  <c r="F567" i="5"/>
  <c r="M567" i="5" s="1"/>
  <c r="E567" i="5"/>
  <c r="F565" i="5"/>
  <c r="M565" i="5" s="1"/>
  <c r="E565" i="5"/>
  <c r="F561" i="5"/>
  <c r="M561" i="5" s="1"/>
  <c r="E561" i="5"/>
  <c r="F558" i="5"/>
  <c r="M558" i="5" s="1"/>
  <c r="E558" i="5"/>
  <c r="F556" i="5"/>
  <c r="M556" i="5" s="1"/>
  <c r="E556" i="5"/>
  <c r="F552" i="5"/>
  <c r="M552" i="5" s="1"/>
  <c r="E552" i="5"/>
  <c r="F549" i="5"/>
  <c r="M549" i="5" s="1"/>
  <c r="E549" i="5"/>
  <c r="F546" i="5"/>
  <c r="M546" i="5" s="1"/>
  <c r="E546" i="5"/>
  <c r="F543" i="5"/>
  <c r="M543" i="5" s="1"/>
  <c r="E543" i="5"/>
  <c r="F540" i="5"/>
  <c r="M540" i="5" s="1"/>
  <c r="E540" i="5"/>
  <c r="F537" i="5"/>
  <c r="M537" i="5" s="1"/>
  <c r="E537" i="5"/>
  <c r="F534" i="5"/>
  <c r="M534" i="5" s="1"/>
  <c r="E534" i="5"/>
  <c r="F531" i="5"/>
  <c r="M531" i="5" s="1"/>
  <c r="E531" i="5"/>
  <c r="F528" i="5"/>
  <c r="M528" i="5" s="1"/>
  <c r="E528" i="5"/>
  <c r="F525" i="5"/>
  <c r="M525" i="5" s="1"/>
  <c r="E525" i="5"/>
  <c r="F522" i="5"/>
  <c r="M522" i="5" s="1"/>
  <c r="E522" i="5"/>
  <c r="F519" i="5"/>
  <c r="M519" i="5" s="1"/>
  <c r="E519" i="5"/>
  <c r="F517" i="5"/>
  <c r="M517" i="5" s="1"/>
  <c r="E517" i="5"/>
  <c r="F515" i="5"/>
  <c r="M515" i="5" s="1"/>
  <c r="E515" i="5"/>
  <c r="F510" i="5"/>
  <c r="M510" i="5" s="1"/>
  <c r="E510" i="5"/>
  <c r="F508" i="5"/>
  <c r="M508" i="5" s="1"/>
  <c r="E508" i="5"/>
  <c r="F505" i="5"/>
  <c r="M505" i="5" s="1"/>
  <c r="E505" i="5"/>
  <c r="F497" i="5"/>
  <c r="M497" i="5" s="1"/>
  <c r="E497" i="5"/>
  <c r="F490" i="5"/>
  <c r="M490" i="5" s="1"/>
  <c r="E490" i="5"/>
  <c r="F479" i="5"/>
  <c r="M479" i="5" s="1"/>
  <c r="E479" i="5"/>
  <c r="F476" i="5"/>
  <c r="M476" i="5" s="1"/>
  <c r="E476" i="5"/>
  <c r="F472" i="5"/>
  <c r="M472" i="5" s="1"/>
  <c r="E472" i="5"/>
  <c r="F463" i="5"/>
  <c r="M463" i="5" s="1"/>
  <c r="E463" i="5"/>
  <c r="F460" i="5"/>
  <c r="M460" i="5" s="1"/>
  <c r="E460" i="5"/>
  <c r="F457" i="5"/>
  <c r="M457" i="5" s="1"/>
  <c r="E457" i="5"/>
  <c r="F454" i="5"/>
  <c r="M454" i="5" s="1"/>
  <c r="E454" i="5"/>
  <c r="F450" i="5"/>
  <c r="M450" i="5" s="1"/>
  <c r="E450" i="5"/>
  <c r="F446" i="5"/>
  <c r="M446" i="5" s="1"/>
  <c r="E446" i="5"/>
  <c r="F431" i="5"/>
  <c r="M431" i="5" s="1"/>
  <c r="E431" i="5"/>
  <c r="F427" i="5"/>
  <c r="M427" i="5" s="1"/>
  <c r="E427" i="5"/>
  <c r="F424" i="5"/>
  <c r="M424" i="5" s="1"/>
  <c r="E424" i="5"/>
  <c r="F417" i="5"/>
  <c r="M417" i="5" s="1"/>
  <c r="E417" i="5"/>
  <c r="F412" i="5"/>
  <c r="M412" i="5" s="1"/>
  <c r="E412" i="5"/>
  <c r="F407" i="5"/>
  <c r="M407" i="5" s="1"/>
  <c r="E407" i="5"/>
  <c r="F403" i="5"/>
  <c r="M403" i="5" s="1"/>
  <c r="E403" i="5"/>
  <c r="F397" i="5"/>
  <c r="M397" i="5" s="1"/>
  <c r="E397" i="5"/>
  <c r="F394" i="5"/>
  <c r="M394" i="5" s="1"/>
  <c r="E394" i="5"/>
  <c r="F386" i="5"/>
  <c r="M386" i="5" s="1"/>
  <c r="E386" i="5"/>
  <c r="F382" i="5"/>
  <c r="M382" i="5" s="1"/>
  <c r="E382" i="5"/>
  <c r="F378" i="5"/>
  <c r="M378" i="5" s="1"/>
  <c r="E378" i="5"/>
  <c r="F373" i="5"/>
  <c r="M373" i="5" s="1"/>
  <c r="E373" i="5"/>
  <c r="F362" i="5"/>
  <c r="M362" i="5" s="1"/>
  <c r="E362" i="5"/>
  <c r="F358" i="5"/>
  <c r="M358" i="5" s="1"/>
  <c r="E358" i="5"/>
  <c r="F354" i="5"/>
  <c r="M354" i="5" s="1"/>
  <c r="E354" i="5"/>
  <c r="F349" i="5"/>
  <c r="M349" i="5" s="1"/>
  <c r="E349" i="5"/>
  <c r="F345" i="5"/>
  <c r="M345" i="5" s="1"/>
  <c r="E345" i="5"/>
  <c r="F340" i="5"/>
  <c r="M340" i="5" s="1"/>
  <c r="E340" i="5"/>
  <c r="F337" i="5"/>
  <c r="M337" i="5" s="1"/>
  <c r="E337" i="5"/>
  <c r="F333" i="5"/>
  <c r="M333" i="5" s="1"/>
  <c r="E333" i="5"/>
  <c r="F329" i="5"/>
  <c r="M329" i="5" s="1"/>
  <c r="E329" i="5"/>
  <c r="F325" i="5"/>
  <c r="M325" i="5" s="1"/>
  <c r="E325" i="5"/>
  <c r="F321" i="5"/>
  <c r="M321" i="5" s="1"/>
  <c r="E321" i="5"/>
  <c r="F317" i="5"/>
  <c r="M317" i="5" s="1"/>
  <c r="E317" i="5"/>
  <c r="F302" i="5"/>
  <c r="M302" i="5" s="1"/>
  <c r="E302" i="5"/>
  <c r="F298" i="5"/>
  <c r="M298" i="5" s="1"/>
  <c r="E298" i="5"/>
  <c r="F294" i="5"/>
  <c r="M294" i="5" s="1"/>
  <c r="E294" i="5"/>
  <c r="F291" i="5"/>
  <c r="M291" i="5" s="1"/>
  <c r="E291" i="5"/>
  <c r="F288" i="5"/>
  <c r="M288" i="5" s="1"/>
  <c r="E288" i="5"/>
  <c r="F284" i="5"/>
  <c r="M284" i="5" s="1"/>
  <c r="E284" i="5"/>
  <c r="F280" i="5"/>
  <c r="M280" i="5" s="1"/>
  <c r="E280" i="5"/>
  <c r="F276" i="5"/>
  <c r="M276" i="5" s="1"/>
  <c r="E276" i="5"/>
  <c r="F272" i="5"/>
  <c r="M272" i="5" s="1"/>
  <c r="E272" i="5"/>
  <c r="F269" i="5"/>
  <c r="M269" i="5" s="1"/>
  <c r="E269" i="5"/>
  <c r="F264" i="5"/>
  <c r="M264" i="5" s="1"/>
  <c r="E264" i="5"/>
  <c r="F260" i="5"/>
  <c r="M260" i="5" s="1"/>
  <c r="E260" i="5"/>
  <c r="F256" i="5"/>
  <c r="M256" i="5" s="1"/>
  <c r="E256" i="5"/>
  <c r="F252" i="5"/>
  <c r="M252" i="5" s="1"/>
  <c r="E252" i="5"/>
  <c r="F248" i="5"/>
  <c r="M248" i="5" s="1"/>
  <c r="E248" i="5"/>
  <c r="F245" i="5"/>
  <c r="M245" i="5" s="1"/>
  <c r="E245" i="5"/>
  <c r="F242" i="5"/>
  <c r="M242" i="5" s="1"/>
  <c r="E242" i="5"/>
  <c r="F237" i="5"/>
  <c r="M237" i="5" s="1"/>
  <c r="E237" i="5"/>
  <c r="F233" i="5"/>
  <c r="M233" i="5" s="1"/>
  <c r="E233" i="5"/>
  <c r="F225" i="5"/>
  <c r="M225" i="5" s="1"/>
  <c r="E225" i="5"/>
  <c r="F219" i="5"/>
  <c r="M219" i="5" s="1"/>
  <c r="E219" i="5"/>
  <c r="F215" i="5"/>
  <c r="M215" i="5" s="1"/>
  <c r="E215" i="5"/>
  <c r="F211" i="5"/>
  <c r="M211" i="5" s="1"/>
  <c r="E211" i="5"/>
  <c r="F205" i="5"/>
  <c r="M205" i="5" s="1"/>
  <c r="E205" i="5"/>
  <c r="F201" i="5"/>
  <c r="M201" i="5" s="1"/>
  <c r="E201" i="5"/>
  <c r="F197" i="5"/>
  <c r="M197" i="5" s="1"/>
  <c r="E197" i="5"/>
  <c r="F193" i="5"/>
  <c r="M193" i="5" s="1"/>
  <c r="E193" i="5"/>
  <c r="F190" i="5"/>
  <c r="M190" i="5" s="1"/>
  <c r="E190" i="5"/>
  <c r="F185" i="5"/>
  <c r="M185" i="5" s="1"/>
  <c r="E185" i="5"/>
  <c r="F181" i="5"/>
  <c r="M181" i="5" s="1"/>
  <c r="E181" i="5"/>
  <c r="F177" i="5"/>
  <c r="M177" i="5" s="1"/>
  <c r="E177" i="5"/>
  <c r="F168" i="5"/>
  <c r="M168" i="5" s="1"/>
  <c r="E168" i="5"/>
  <c r="F164" i="5"/>
  <c r="M164" i="5" s="1"/>
  <c r="E164" i="5"/>
  <c r="F159" i="5"/>
  <c r="M159" i="5" s="1"/>
  <c r="E159" i="5"/>
  <c r="F154" i="5"/>
  <c r="M154" i="5" s="1"/>
  <c r="E154" i="5"/>
  <c r="F150" i="5"/>
  <c r="M150" i="5" s="1"/>
  <c r="E150" i="5"/>
  <c r="F146" i="5"/>
  <c r="M146" i="5" s="1"/>
  <c r="E146" i="5"/>
  <c r="F142" i="5"/>
  <c r="M142" i="5" s="1"/>
  <c r="E142" i="5"/>
  <c r="F138" i="5"/>
  <c r="M138" i="5" s="1"/>
  <c r="E138" i="5"/>
  <c r="F135" i="5"/>
  <c r="M135" i="5" s="1"/>
  <c r="E135" i="5"/>
  <c r="F132" i="5"/>
  <c r="M132" i="5" s="1"/>
  <c r="E132" i="5"/>
  <c r="F129" i="5"/>
  <c r="M129" i="5" s="1"/>
  <c r="E129" i="5"/>
  <c r="F125" i="5"/>
  <c r="M125" i="5" s="1"/>
  <c r="E125" i="5"/>
  <c r="F122" i="5"/>
  <c r="M122" i="5" s="1"/>
  <c r="E122" i="5"/>
  <c r="F119" i="5"/>
  <c r="M119" i="5" s="1"/>
  <c r="E119" i="5"/>
  <c r="F116" i="5"/>
  <c r="M116" i="5" s="1"/>
  <c r="E116" i="5"/>
  <c r="F112" i="5"/>
  <c r="M112" i="5" s="1"/>
  <c r="E112" i="5"/>
  <c r="F109" i="5"/>
  <c r="M109" i="5" s="1"/>
  <c r="E109" i="5"/>
  <c r="F107" i="5"/>
  <c r="M107" i="5" s="1"/>
  <c r="E107" i="5"/>
  <c r="F104" i="5"/>
  <c r="M104" i="5" s="1"/>
  <c r="E104" i="5"/>
  <c r="F93" i="5"/>
  <c r="M93" i="5" s="1"/>
  <c r="E93" i="5"/>
  <c r="F91" i="5"/>
  <c r="M91" i="5" s="1"/>
  <c r="E91" i="5"/>
  <c r="F89" i="5"/>
  <c r="M89" i="5" s="1"/>
  <c r="E89" i="5"/>
  <c r="F87" i="5"/>
  <c r="M87" i="5" s="1"/>
  <c r="E87" i="5"/>
  <c r="F82" i="5"/>
  <c r="M82" i="5" s="1"/>
  <c r="E82" i="5"/>
  <c r="F78" i="5"/>
  <c r="M78" i="5" s="1"/>
  <c r="E78" i="5"/>
  <c r="F73" i="5"/>
  <c r="M73" i="5" s="1"/>
  <c r="E73" i="5"/>
  <c r="F67" i="5"/>
  <c r="M67" i="5" s="1"/>
  <c r="E67" i="5"/>
  <c r="F64" i="5"/>
  <c r="M64" i="5" s="1"/>
  <c r="E64" i="5"/>
  <c r="F60" i="5"/>
  <c r="M60" i="5" s="1"/>
  <c r="E60" i="5"/>
  <c r="F54" i="5"/>
  <c r="M54" i="5" s="1"/>
  <c r="E54" i="5"/>
  <c r="F51" i="5"/>
  <c r="M51" i="5" s="1"/>
  <c r="E51" i="5"/>
  <c r="F46" i="5"/>
  <c r="M46" i="5" s="1"/>
  <c r="E46" i="5"/>
  <c r="F43" i="5"/>
  <c r="M43" i="5" s="1"/>
  <c r="E43" i="5"/>
  <c r="F40" i="5"/>
  <c r="M40" i="5" s="1"/>
  <c r="E40" i="5"/>
  <c r="F37" i="5"/>
  <c r="M37" i="5" s="1"/>
  <c r="E37" i="5"/>
  <c r="F34" i="5"/>
  <c r="M34" i="5" s="1"/>
  <c r="E34" i="5"/>
  <c r="F31" i="5"/>
  <c r="M31" i="5" s="1"/>
  <c r="E31" i="5"/>
  <c r="F28" i="5"/>
  <c r="M28" i="5" s="1"/>
  <c r="E28" i="5"/>
  <c r="F25" i="5"/>
  <c r="M25" i="5" s="1"/>
  <c r="E25" i="5"/>
  <c r="F22" i="5"/>
  <c r="M22" i="5" s="1"/>
  <c r="E22" i="5"/>
  <c r="F19" i="5"/>
  <c r="M19" i="5" s="1"/>
  <c r="E19" i="5"/>
  <c r="F16" i="5"/>
  <c r="M16" i="5" s="1"/>
  <c r="E16" i="5"/>
  <c r="F13" i="5"/>
  <c r="M13" i="5" s="1"/>
  <c r="E13" i="5"/>
  <c r="F10" i="5"/>
  <c r="M10" i="5" s="1"/>
  <c r="E10" i="5"/>
  <c r="F7" i="5"/>
  <c r="M7" i="5" s="1"/>
  <c r="E7" i="5"/>
  <c r="F4" i="5"/>
  <c r="M4" i="5" s="1"/>
  <c r="E4" i="5"/>
  <c r="F872" i="5"/>
  <c r="M872" i="5" s="1"/>
  <c r="E872" i="5"/>
  <c r="F867" i="5"/>
  <c r="M867" i="5" s="1"/>
  <c r="E867" i="5"/>
  <c r="F863" i="5"/>
  <c r="M863" i="5" s="1"/>
  <c r="E863" i="5"/>
  <c r="F857" i="5"/>
  <c r="M857" i="5" s="1"/>
  <c r="E857" i="5"/>
  <c r="F854" i="5"/>
  <c r="M854" i="5" s="1"/>
  <c r="E854" i="5"/>
  <c r="F851" i="5"/>
  <c r="M851" i="5" s="1"/>
  <c r="E851" i="5"/>
  <c r="F847" i="5"/>
  <c r="M847" i="5" s="1"/>
  <c r="E847" i="5"/>
  <c r="F843" i="5"/>
  <c r="M843" i="5" s="1"/>
  <c r="E843" i="5"/>
  <c r="F838" i="5"/>
  <c r="M838" i="5" s="1"/>
  <c r="E838" i="5"/>
  <c r="F835" i="5"/>
  <c r="M835" i="5" s="1"/>
  <c r="E835" i="5"/>
  <c r="F831" i="5"/>
  <c r="M831" i="5" s="1"/>
  <c r="E831" i="5"/>
  <c r="F830" i="5"/>
  <c r="M830" i="5" s="1"/>
  <c r="E830" i="5"/>
  <c r="F828" i="5"/>
  <c r="M828" i="5" s="1"/>
  <c r="E828" i="5"/>
  <c r="F825" i="5"/>
  <c r="M825" i="5" s="1"/>
  <c r="E825" i="5"/>
  <c r="F824" i="5"/>
  <c r="M824" i="5" s="1"/>
  <c r="E824" i="5"/>
  <c r="F820" i="5"/>
  <c r="M820" i="5" s="1"/>
  <c r="E820" i="5"/>
  <c r="F817" i="5"/>
  <c r="M817" i="5" s="1"/>
  <c r="E817" i="5"/>
  <c r="F814" i="5"/>
  <c r="M814" i="5" s="1"/>
  <c r="E814" i="5"/>
  <c r="F811" i="5"/>
  <c r="M811" i="5" s="1"/>
  <c r="E811" i="5"/>
  <c r="F808" i="5"/>
  <c r="M808" i="5" s="1"/>
  <c r="E808" i="5"/>
  <c r="F804" i="5"/>
  <c r="M804" i="5" s="1"/>
  <c r="E804" i="5"/>
  <c r="F801" i="5"/>
  <c r="M801" i="5" s="1"/>
  <c r="E801" i="5"/>
  <c r="F798" i="5"/>
  <c r="M798" i="5" s="1"/>
  <c r="E798" i="5"/>
  <c r="F794" i="5"/>
  <c r="M794" i="5" s="1"/>
  <c r="E794" i="5"/>
  <c r="F790" i="5"/>
  <c r="M790" i="5" s="1"/>
  <c r="E790" i="5"/>
  <c r="F786" i="5"/>
  <c r="M786" i="5" s="1"/>
  <c r="E786" i="5"/>
  <c r="F776" i="5"/>
  <c r="M776" i="5" s="1"/>
  <c r="E776" i="5"/>
  <c r="F772" i="5"/>
  <c r="M772" i="5" s="1"/>
  <c r="E772" i="5"/>
  <c r="F769" i="5"/>
  <c r="M769" i="5" s="1"/>
  <c r="E769" i="5"/>
  <c r="F766" i="5"/>
  <c r="M766" i="5" s="1"/>
  <c r="E766" i="5"/>
  <c r="F759" i="5"/>
  <c r="M759" i="5" s="1"/>
  <c r="E759" i="5"/>
  <c r="F757" i="5"/>
  <c r="M757" i="5" s="1"/>
  <c r="E757" i="5"/>
  <c r="F754" i="5"/>
  <c r="M754" i="5" s="1"/>
  <c r="E754" i="5"/>
  <c r="F747" i="5"/>
  <c r="M747" i="5" s="1"/>
  <c r="E747" i="5"/>
  <c r="F744" i="5"/>
  <c r="M744" i="5" s="1"/>
  <c r="E744" i="5"/>
  <c r="F740" i="5"/>
  <c r="M740" i="5" s="1"/>
  <c r="E740" i="5"/>
  <c r="F737" i="5"/>
  <c r="M737" i="5" s="1"/>
  <c r="E737" i="5"/>
  <c r="F734" i="5"/>
  <c r="M734" i="5" s="1"/>
  <c r="E734" i="5"/>
  <c r="F731" i="5"/>
  <c r="M731" i="5" s="1"/>
  <c r="E731" i="5"/>
  <c r="F727" i="5"/>
  <c r="M727" i="5" s="1"/>
  <c r="E727" i="5"/>
  <c r="F724" i="5"/>
  <c r="M724" i="5" s="1"/>
  <c r="E724" i="5"/>
  <c r="F722" i="5"/>
  <c r="M722" i="5" s="1"/>
  <c r="E722" i="5"/>
  <c r="F719" i="5"/>
  <c r="M719" i="5" s="1"/>
  <c r="E719" i="5"/>
  <c r="F716" i="5"/>
  <c r="M716" i="5" s="1"/>
  <c r="E716" i="5"/>
  <c r="F710" i="5"/>
  <c r="M710" i="5" s="1"/>
  <c r="E710" i="5"/>
  <c r="F701" i="5"/>
  <c r="M701" i="5" s="1"/>
  <c r="E701" i="5"/>
  <c r="F697" i="5"/>
  <c r="M697" i="5" s="1"/>
  <c r="E697" i="5"/>
  <c r="F694" i="5"/>
  <c r="M694" i="5" s="1"/>
  <c r="E694" i="5"/>
  <c r="F689" i="5"/>
  <c r="M689" i="5" s="1"/>
  <c r="E689" i="5"/>
  <c r="F684" i="5"/>
  <c r="M684" i="5" s="1"/>
  <c r="E684" i="5"/>
  <c r="F681" i="5"/>
  <c r="M681" i="5" s="1"/>
  <c r="E681" i="5"/>
  <c r="F677" i="5"/>
  <c r="M677" i="5" s="1"/>
  <c r="E677" i="5"/>
  <c r="F673" i="5"/>
  <c r="M673" i="5" s="1"/>
  <c r="E673" i="5"/>
  <c r="F612" i="5"/>
  <c r="M612" i="5" s="1"/>
  <c r="E612" i="5"/>
  <c r="F507" i="5"/>
  <c r="M507" i="5" s="1"/>
  <c r="E507" i="5"/>
  <c r="F504" i="5"/>
  <c r="M504" i="5" s="1"/>
  <c r="E504" i="5"/>
  <c r="F500" i="5"/>
  <c r="M500" i="5" s="1"/>
  <c r="E500" i="5"/>
  <c r="F496" i="5"/>
  <c r="M496" i="5" s="1"/>
  <c r="E496" i="5"/>
  <c r="F493" i="5"/>
  <c r="M493" i="5" s="1"/>
  <c r="E493" i="5"/>
  <c r="F491" i="5"/>
  <c r="M491" i="5" s="1"/>
  <c r="E491" i="5"/>
  <c r="F488" i="5"/>
  <c r="M488" i="5" s="1"/>
  <c r="E488" i="5"/>
  <c r="F484" i="5"/>
  <c r="M484" i="5" s="1"/>
  <c r="E484" i="5"/>
  <c r="F478" i="5"/>
  <c r="M478" i="5" s="1"/>
  <c r="E478" i="5"/>
  <c r="F475" i="5"/>
  <c r="M475" i="5" s="1"/>
  <c r="E475" i="5"/>
  <c r="F471" i="5"/>
  <c r="M471" i="5" s="1"/>
  <c r="E471" i="5"/>
  <c r="F469" i="5"/>
  <c r="M469" i="5" s="1"/>
  <c r="E469" i="5"/>
  <c r="F466" i="5"/>
  <c r="M466" i="5" s="1"/>
  <c r="E466" i="5"/>
  <c r="F462" i="5"/>
  <c r="M462" i="5" s="1"/>
  <c r="E462" i="5"/>
  <c r="F459" i="5"/>
  <c r="M459" i="5" s="1"/>
  <c r="E459" i="5"/>
  <c r="F456" i="5"/>
  <c r="M456" i="5" s="1"/>
  <c r="E456" i="5"/>
  <c r="F453" i="5"/>
  <c r="M453" i="5" s="1"/>
  <c r="E453" i="5"/>
  <c r="F449" i="5"/>
  <c r="M449" i="5" s="1"/>
  <c r="E449" i="5"/>
  <c r="F445" i="5"/>
  <c r="M445" i="5" s="1"/>
  <c r="E445" i="5"/>
  <c r="F443" i="5"/>
  <c r="M443" i="5" s="1"/>
  <c r="E443" i="5"/>
  <c r="F441" i="5"/>
  <c r="M441" i="5" s="1"/>
  <c r="E441" i="5"/>
  <c r="F438" i="5"/>
  <c r="M438" i="5" s="1"/>
  <c r="E438" i="5"/>
  <c r="F436" i="5"/>
  <c r="M436" i="5" s="1"/>
  <c r="E436" i="5"/>
  <c r="F430" i="5"/>
  <c r="M430" i="5" s="1"/>
  <c r="E430" i="5"/>
  <c r="F426" i="5"/>
  <c r="M426" i="5" s="1"/>
  <c r="E426" i="5"/>
  <c r="F423" i="5"/>
  <c r="M423" i="5" s="1"/>
  <c r="E423" i="5"/>
  <c r="F416" i="5"/>
  <c r="M416" i="5" s="1"/>
  <c r="E416" i="5"/>
  <c r="F411" i="5"/>
  <c r="M411" i="5" s="1"/>
  <c r="E411" i="5"/>
  <c r="F406" i="5"/>
  <c r="M406" i="5" s="1"/>
  <c r="E406" i="5"/>
  <c r="F402" i="5"/>
  <c r="M402" i="5" s="1"/>
  <c r="E402" i="5"/>
  <c r="F393" i="5"/>
  <c r="M393" i="5" s="1"/>
  <c r="E393" i="5"/>
  <c r="F385" i="5"/>
  <c r="M385" i="5" s="1"/>
  <c r="E385" i="5"/>
  <c r="F381" i="5"/>
  <c r="M381" i="5" s="1"/>
  <c r="E381" i="5"/>
  <c r="F377" i="5"/>
  <c r="M377" i="5" s="1"/>
  <c r="E377" i="5"/>
  <c r="F372" i="5"/>
  <c r="M372" i="5" s="1"/>
  <c r="E372" i="5"/>
  <c r="F368" i="5"/>
  <c r="M368" i="5" s="1"/>
  <c r="E368" i="5"/>
  <c r="F361" i="5"/>
  <c r="M361" i="5" s="1"/>
  <c r="E361" i="5"/>
  <c r="F357" i="5"/>
  <c r="M357" i="5" s="1"/>
  <c r="E357" i="5"/>
  <c r="F353" i="5"/>
  <c r="M353" i="5" s="1"/>
  <c r="E353" i="5"/>
  <c r="F348" i="5"/>
  <c r="M348" i="5" s="1"/>
  <c r="E348" i="5"/>
  <c r="F344" i="5"/>
  <c r="M344" i="5" s="1"/>
  <c r="E344" i="5"/>
  <c r="F336" i="5"/>
  <c r="M336" i="5" s="1"/>
  <c r="E336" i="5"/>
  <c r="F332" i="5"/>
  <c r="M332" i="5" s="1"/>
  <c r="E332" i="5"/>
  <c r="F328" i="5"/>
  <c r="M328" i="5" s="1"/>
  <c r="E328" i="5"/>
  <c r="F324" i="5"/>
  <c r="M324" i="5" s="1"/>
  <c r="E324" i="5"/>
  <c r="F320" i="5"/>
  <c r="M320" i="5" s="1"/>
  <c r="E320" i="5"/>
  <c r="F287" i="5"/>
  <c r="M287" i="5" s="1"/>
  <c r="E287" i="5"/>
  <c r="F283" i="5"/>
  <c r="M283" i="5" s="1"/>
  <c r="E283" i="5"/>
  <c r="F279" i="5"/>
  <c r="M279" i="5" s="1"/>
  <c r="E279" i="5"/>
  <c r="F275" i="5"/>
  <c r="M275" i="5" s="1"/>
  <c r="E275" i="5"/>
  <c r="F268" i="5"/>
  <c r="M268" i="5" s="1"/>
  <c r="E268" i="5"/>
  <c r="F263" i="5"/>
  <c r="M263" i="5" s="1"/>
  <c r="E263" i="5"/>
  <c r="F259" i="5"/>
  <c r="M259" i="5" s="1"/>
  <c r="E259" i="5"/>
  <c r="F255" i="5"/>
  <c r="M255" i="5" s="1"/>
  <c r="E255" i="5"/>
  <c r="F251" i="5"/>
  <c r="M251" i="5" s="1"/>
  <c r="E251" i="5"/>
  <c r="F241" i="5"/>
  <c r="M241" i="5" s="1"/>
  <c r="E241" i="5"/>
  <c r="F236" i="5"/>
  <c r="M236" i="5" s="1"/>
  <c r="E236" i="5"/>
  <c r="F232" i="5"/>
  <c r="M232" i="5" s="1"/>
  <c r="E232" i="5"/>
  <c r="F229" i="5"/>
  <c r="M229" i="5" s="1"/>
  <c r="E229" i="5"/>
  <c r="F224" i="5"/>
  <c r="M224" i="5" s="1"/>
  <c r="E224" i="5"/>
  <c r="F221" i="5"/>
  <c r="M221" i="5" s="1"/>
  <c r="E221" i="5"/>
  <c r="F218" i="5"/>
  <c r="M218" i="5" s="1"/>
  <c r="E218" i="5"/>
  <c r="F214" i="5"/>
  <c r="M214" i="5" s="1"/>
  <c r="E214" i="5"/>
  <c r="F210" i="5"/>
  <c r="M210" i="5" s="1"/>
  <c r="E210" i="5"/>
  <c r="F207" i="5"/>
  <c r="M207" i="5" s="1"/>
  <c r="E207" i="5"/>
  <c r="F204" i="5"/>
  <c r="M204" i="5" s="1"/>
  <c r="E204" i="5"/>
  <c r="F200" i="5"/>
  <c r="M200" i="5" s="1"/>
  <c r="E200" i="5"/>
  <c r="F196" i="5"/>
  <c r="M196" i="5" s="1"/>
  <c r="E196" i="5"/>
  <c r="F189" i="5"/>
  <c r="M189" i="5" s="1"/>
  <c r="E189" i="5"/>
  <c r="F184" i="5"/>
  <c r="M184" i="5" s="1"/>
  <c r="E184" i="5"/>
  <c r="F180" i="5"/>
  <c r="M180" i="5" s="1"/>
  <c r="E180" i="5"/>
  <c r="F176" i="5"/>
  <c r="M176" i="5" s="1"/>
  <c r="E176" i="5"/>
  <c r="F173" i="5"/>
  <c r="M173" i="5" s="1"/>
  <c r="E173" i="5"/>
  <c r="F167" i="5"/>
  <c r="M167" i="5" s="1"/>
  <c r="E167" i="5"/>
  <c r="F163" i="5"/>
  <c r="M163" i="5" s="1"/>
  <c r="E163" i="5"/>
  <c r="F158" i="5"/>
  <c r="M158" i="5" s="1"/>
  <c r="E158" i="5"/>
  <c r="F153" i="5"/>
  <c r="M153" i="5" s="1"/>
  <c r="E153" i="5"/>
  <c r="F149" i="5"/>
  <c r="M149" i="5" s="1"/>
  <c r="E149" i="5"/>
  <c r="F145" i="5"/>
  <c r="M145" i="5" s="1"/>
  <c r="E145" i="5"/>
  <c r="F141" i="5"/>
  <c r="M141" i="5" s="1"/>
  <c r="E141" i="5"/>
  <c r="F128" i="5"/>
  <c r="M128" i="5" s="1"/>
  <c r="E128" i="5"/>
  <c r="E512" i="5"/>
  <c r="E405" i="5"/>
  <c r="E607" i="5"/>
  <c r="E118" i="5"/>
  <c r="E870" i="5"/>
  <c r="E360" i="5"/>
  <c r="E124" i="5"/>
  <c r="E356" i="5"/>
  <c r="E352" i="5"/>
  <c r="E511" i="5"/>
  <c r="E866" i="5"/>
  <c r="E77" i="5"/>
  <c r="E347" i="5"/>
  <c r="E509" i="5"/>
  <c r="E506" i="5"/>
  <c r="E862" i="5"/>
  <c r="E117" i="5"/>
  <c r="E598" i="5"/>
  <c r="E75" i="5"/>
  <c r="E343" i="5"/>
  <c r="E72" i="5"/>
  <c r="E503" i="5"/>
  <c r="E339" i="5"/>
  <c r="E595" i="5"/>
  <c r="E401" i="5"/>
  <c r="E335" i="5"/>
  <c r="E331" i="5"/>
  <c r="E327" i="5"/>
  <c r="E850" i="5"/>
  <c r="E66" i="5"/>
  <c r="E323" i="5"/>
  <c r="E877" i="5"/>
  <c r="E846" i="5"/>
  <c r="E434" i="5"/>
  <c r="E319" i="5"/>
  <c r="E400" i="5"/>
  <c r="E663" i="5"/>
  <c r="E396" i="5"/>
  <c r="E715" i="5"/>
  <c r="E316" i="5"/>
  <c r="E592" i="5"/>
  <c r="E502" i="5"/>
  <c r="E501" i="5"/>
  <c r="E433" i="5"/>
  <c r="E63" i="5"/>
  <c r="E589" i="5"/>
  <c r="E301" i="5"/>
  <c r="E499" i="5"/>
  <c r="E660" i="5"/>
  <c r="E495" i="5"/>
  <c r="E582" i="5"/>
  <c r="E713" i="5"/>
  <c r="E297" i="5"/>
  <c r="E392" i="5"/>
  <c r="E579" i="5"/>
  <c r="E494" i="5"/>
  <c r="E492" i="5"/>
  <c r="E432" i="5"/>
  <c r="E115" i="5"/>
  <c r="E429" i="5"/>
  <c r="E293" i="5"/>
  <c r="E807" i="5"/>
  <c r="E290" i="5"/>
  <c r="E286" i="5"/>
  <c r="E282" i="5"/>
  <c r="E428" i="5"/>
  <c r="E278" i="5"/>
  <c r="E489" i="5"/>
  <c r="E274" i="5"/>
  <c r="E391" i="5"/>
  <c r="E271" i="5"/>
  <c r="E574" i="5"/>
  <c r="E389" i="5"/>
  <c r="E59" i="5"/>
  <c r="E425" i="5"/>
  <c r="E487" i="5"/>
  <c r="E570" i="5"/>
  <c r="E267" i="5"/>
  <c r="E113" i="5"/>
  <c r="E388" i="5"/>
  <c r="E111" i="5"/>
  <c r="E796" i="5"/>
  <c r="E712" i="5"/>
  <c r="E262" i="5"/>
  <c r="E709" i="5"/>
  <c r="E258" i="5"/>
  <c r="E254" i="5"/>
  <c r="E793" i="5"/>
  <c r="E700" i="5"/>
  <c r="E250" i="5"/>
  <c r="E108" i="5"/>
  <c r="E696" i="5"/>
  <c r="E106" i="5"/>
  <c r="E103" i="5"/>
  <c r="E422" i="5"/>
  <c r="E247" i="5"/>
  <c r="E485" i="5"/>
  <c r="E650" i="5"/>
  <c r="E102" i="5"/>
  <c r="E789" i="5"/>
  <c r="E53" i="5"/>
  <c r="E785" i="5"/>
  <c r="E367" i="5"/>
  <c r="E244" i="5"/>
  <c r="E483" i="5"/>
  <c r="E50" i="5"/>
  <c r="E384" i="5"/>
  <c r="E482" i="5"/>
  <c r="E420" i="5"/>
  <c r="E380" i="5"/>
  <c r="E101" i="5"/>
  <c r="E121" i="5"/>
  <c r="E693" i="5"/>
  <c r="E481" i="5"/>
  <c r="E480" i="5"/>
  <c r="E477" i="5"/>
  <c r="E474" i="5"/>
  <c r="E470" i="5"/>
  <c r="E48" i="5"/>
  <c r="E688" i="5"/>
  <c r="E687" i="5"/>
  <c r="E468" i="5"/>
  <c r="E419" i="5"/>
  <c r="E467" i="5"/>
  <c r="E465" i="5"/>
  <c r="E464" i="5"/>
  <c r="E418" i="5"/>
  <c r="E461" i="5"/>
  <c r="E45" i="5"/>
  <c r="E100" i="5"/>
  <c r="E42" i="5"/>
  <c r="E240" i="5"/>
  <c r="E415" i="5"/>
  <c r="E235" i="5"/>
  <c r="E643" i="5"/>
  <c r="E39" i="5"/>
  <c r="E683" i="5"/>
  <c r="E458" i="5"/>
  <c r="E640" i="5"/>
  <c r="E455" i="5"/>
  <c r="E452" i="5"/>
  <c r="E414" i="5"/>
  <c r="E551" i="5"/>
  <c r="E548" i="5"/>
  <c r="E545" i="5"/>
  <c r="E542" i="5"/>
  <c r="E231" i="5"/>
  <c r="E228" i="5"/>
  <c r="E99" i="5"/>
  <c r="E36" i="5"/>
  <c r="E451" i="5"/>
  <c r="E376" i="5"/>
  <c r="E539" i="5"/>
  <c r="E98" i="5"/>
  <c r="E97" i="5"/>
  <c r="E536" i="5"/>
  <c r="E33" i="5"/>
  <c r="E223" i="5"/>
  <c r="E96" i="5"/>
  <c r="E533" i="5"/>
  <c r="E874" i="5"/>
  <c r="E680" i="5"/>
  <c r="E635" i="5"/>
  <c r="E95" i="5"/>
  <c r="E527" i="5"/>
  <c r="E30" i="5"/>
  <c r="E94" i="5"/>
  <c r="E679" i="5"/>
  <c r="E524" i="5"/>
  <c r="E92" i="5"/>
  <c r="E217" i="5"/>
  <c r="E213" i="5"/>
  <c r="E448" i="5"/>
  <c r="E209" i="5"/>
  <c r="E27" i="5"/>
  <c r="E203" i="5"/>
  <c r="E199" i="5"/>
  <c r="E632" i="5"/>
  <c r="E195" i="5"/>
  <c r="E90" i="5"/>
  <c r="E88" i="5"/>
  <c r="E24" i="5"/>
  <c r="E21" i="5"/>
  <c r="E192" i="5"/>
  <c r="E86" i="5"/>
  <c r="E676" i="5"/>
  <c r="E18" i="5"/>
  <c r="E188" i="5"/>
  <c r="E413" i="5"/>
  <c r="E183" i="5"/>
  <c r="E179" i="5"/>
  <c r="E627" i="5"/>
  <c r="E175" i="5"/>
  <c r="E447" i="5"/>
  <c r="E521" i="5"/>
  <c r="E444" i="5"/>
  <c r="E15" i="5"/>
  <c r="E410" i="5"/>
  <c r="E442" i="5"/>
  <c r="E172" i="5"/>
  <c r="E622" i="5"/>
  <c r="E85" i="5"/>
  <c r="E170" i="5"/>
  <c r="E675" i="5"/>
  <c r="E166" i="5"/>
  <c r="E672" i="5"/>
  <c r="E162" i="5"/>
  <c r="E157" i="5"/>
  <c r="E84" i="5"/>
  <c r="E83" i="5"/>
  <c r="E152" i="5"/>
  <c r="E81" i="5"/>
  <c r="E148" i="5"/>
  <c r="E619" i="5"/>
  <c r="E616" i="5"/>
  <c r="E670" i="5"/>
  <c r="E440" i="5"/>
  <c r="E79" i="5"/>
  <c r="E12" i="5"/>
  <c r="E439" i="5"/>
  <c r="E144" i="5"/>
  <c r="E437" i="5"/>
  <c r="E140" i="5"/>
  <c r="E730" i="5"/>
  <c r="E137" i="5"/>
  <c r="E9" i="5"/>
  <c r="E134" i="5"/>
  <c r="E409" i="5"/>
  <c r="E6" i="5"/>
  <c r="E131" i="5"/>
  <c r="E723" i="5"/>
  <c r="E611" i="5"/>
  <c r="E371" i="5"/>
  <c r="E514" i="5"/>
  <c r="E127" i="5"/>
  <c r="E718" i="5"/>
  <c r="E435" i="5"/>
  <c r="E3" i="5"/>
  <c r="E364" i="5"/>
  <c r="E609" i="5"/>
  <c r="E879" i="5"/>
  <c r="E606" i="5"/>
  <c r="E605" i="5"/>
  <c r="E363" i="5"/>
  <c r="E603" i="5"/>
  <c r="E359" i="5"/>
  <c r="E123" i="5"/>
  <c r="E355" i="5"/>
  <c r="E602" i="5"/>
  <c r="E351" i="5"/>
  <c r="E350" i="5"/>
  <c r="E76" i="5"/>
  <c r="E346" i="5"/>
  <c r="E600" i="5"/>
  <c r="E597" i="5"/>
  <c r="E74" i="5"/>
  <c r="E342" i="5"/>
  <c r="E341" i="5"/>
  <c r="E71" i="5"/>
  <c r="E338" i="5"/>
  <c r="E668" i="5"/>
  <c r="E594" i="5"/>
  <c r="E334" i="5"/>
  <c r="E330" i="5"/>
  <c r="E326" i="5"/>
  <c r="E65" i="5"/>
  <c r="E322" i="5"/>
  <c r="E667" i="5"/>
  <c r="E876" i="5"/>
  <c r="E318" i="5"/>
  <c r="E666" i="5"/>
  <c r="E665" i="5"/>
  <c r="E661" i="5"/>
  <c r="E714" i="5"/>
  <c r="E315" i="5"/>
  <c r="E591" i="5"/>
  <c r="E62" i="5"/>
  <c r="E588" i="5"/>
  <c r="E586" i="5"/>
  <c r="E300" i="5"/>
  <c r="E584" i="5"/>
  <c r="E498" i="5"/>
  <c r="E659" i="5"/>
  <c r="E299" i="5"/>
  <c r="E581" i="5"/>
  <c r="E296" i="5"/>
  <c r="E578" i="5"/>
  <c r="E295" i="5"/>
  <c r="E114" i="5"/>
  <c r="E292" i="5"/>
  <c r="E289" i="5"/>
  <c r="E285" i="5"/>
  <c r="E61" i="5"/>
  <c r="E281" i="5"/>
  <c r="E576" i="5"/>
  <c r="E277" i="5"/>
  <c r="E273" i="5"/>
  <c r="E656" i="5"/>
  <c r="E270" i="5"/>
  <c r="E573" i="5"/>
  <c r="E58" i="5"/>
  <c r="E572" i="5"/>
  <c r="E486" i="5"/>
  <c r="E569" i="5"/>
  <c r="E655" i="5"/>
  <c r="E266" i="5"/>
  <c r="E265" i="5"/>
  <c r="E110" i="5"/>
  <c r="E654" i="5"/>
  <c r="E261" i="5"/>
  <c r="E708" i="5"/>
  <c r="E257" i="5"/>
  <c r="E253" i="5"/>
  <c r="E699" i="5"/>
  <c r="E249" i="5"/>
  <c r="E105" i="5"/>
  <c r="E652" i="5"/>
  <c r="E421" i="5"/>
  <c r="E246" i="5"/>
  <c r="E649" i="5"/>
  <c r="E566" i="5"/>
  <c r="E52" i="5"/>
  <c r="E564" i="5"/>
  <c r="E243" i="5"/>
  <c r="E49" i="5"/>
  <c r="E563" i="5"/>
  <c r="E562" i="5"/>
  <c r="E648" i="5"/>
  <c r="E647" i="5"/>
  <c r="E383" i="5"/>
  <c r="E645" i="5"/>
  <c r="E560" i="5"/>
  <c r="E559" i="5"/>
  <c r="E120" i="5"/>
  <c r="E692" i="5"/>
  <c r="E557" i="5"/>
  <c r="E473" i="5"/>
  <c r="E47" i="5"/>
  <c r="E686" i="5"/>
  <c r="E555" i="5"/>
  <c r="E44" i="5"/>
  <c r="E554" i="5"/>
  <c r="E41" i="5"/>
  <c r="E239" i="5"/>
  <c r="E238" i="5"/>
  <c r="E234" i="5"/>
  <c r="E642" i="5"/>
  <c r="E38" i="5"/>
  <c r="E639" i="5"/>
  <c r="E637" i="5"/>
  <c r="E553" i="5"/>
  <c r="E550" i="5"/>
  <c r="E547" i="5"/>
  <c r="E544" i="5"/>
  <c r="E541" i="5"/>
  <c r="E230" i="5"/>
  <c r="E227" i="5"/>
  <c r="E35" i="5"/>
  <c r="E226" i="5"/>
  <c r="E538" i="5"/>
  <c r="E535" i="5"/>
  <c r="E32" i="5"/>
  <c r="E222" i="5"/>
  <c r="E532" i="5"/>
  <c r="E873" i="5"/>
  <c r="E530" i="5"/>
  <c r="E634" i="5"/>
  <c r="E220" i="5"/>
  <c r="E526" i="5"/>
  <c r="E29" i="5"/>
  <c r="E523" i="5"/>
  <c r="E216" i="5"/>
  <c r="E212" i="5"/>
  <c r="E208" i="5"/>
  <c r="E26" i="5"/>
  <c r="E206" i="5"/>
  <c r="E202" i="5"/>
  <c r="E198" i="5"/>
  <c r="E631" i="5"/>
  <c r="E194" i="5"/>
  <c r="E23" i="5"/>
  <c r="E20" i="5"/>
  <c r="E629" i="5"/>
  <c r="E191" i="5"/>
  <c r="E17" i="5"/>
  <c r="E187" i="5"/>
  <c r="E186" i="5"/>
  <c r="E182" i="5"/>
  <c r="E178" i="5"/>
  <c r="E626" i="5"/>
  <c r="E174" i="5"/>
  <c r="E520" i="5"/>
  <c r="E518" i="5"/>
  <c r="E624" i="5"/>
  <c r="E14" i="5"/>
  <c r="E171" i="5"/>
  <c r="E621" i="5"/>
  <c r="E169" i="5"/>
  <c r="E165" i="5"/>
  <c r="E671" i="5"/>
  <c r="E161" i="5"/>
  <c r="E160" i="5"/>
  <c r="E156" i="5"/>
  <c r="E155" i="5"/>
  <c r="E151" i="5"/>
  <c r="E80" i="5"/>
  <c r="E147" i="5"/>
  <c r="E618" i="5"/>
  <c r="E516" i="5"/>
  <c r="E615" i="5"/>
  <c r="E11" i="5"/>
  <c r="E143" i="5"/>
  <c r="E139" i="5"/>
  <c r="E136" i="5"/>
  <c r="E8" i="5"/>
  <c r="E133" i="5"/>
  <c r="E5" i="5"/>
  <c r="E130" i="5"/>
  <c r="E513" i="5"/>
  <c r="E126" i="5"/>
  <c r="E2" i="5"/>
  <c r="F529" i="5"/>
  <c r="M529" i="5" s="1"/>
  <c r="E529" i="5"/>
  <c r="G96" i="4"/>
  <c r="AC41" i="3"/>
  <c r="AC40" i="3"/>
  <c r="A40" i="3"/>
  <c r="AC39" i="3"/>
  <c r="A39" i="3"/>
  <c r="AC38" i="3"/>
  <c r="A38" i="3"/>
  <c r="AC37" i="3"/>
  <c r="A37" i="3"/>
  <c r="AC36" i="3"/>
  <c r="A36" i="3"/>
  <c r="A35" i="3"/>
  <c r="AC34" i="3"/>
  <c r="A34" i="3"/>
  <c r="AC33" i="3"/>
  <c r="A33" i="3"/>
  <c r="AC32" i="3"/>
  <c r="A32" i="3"/>
  <c r="AC31" i="3"/>
  <c r="A31" i="3"/>
  <c r="AC30" i="3"/>
  <c r="A30" i="3"/>
  <c r="AC29" i="3"/>
  <c r="A29" i="3"/>
  <c r="AC28" i="3"/>
  <c r="A28" i="3"/>
  <c r="AC27" i="3"/>
  <c r="A27" i="3"/>
  <c r="AC26" i="3"/>
  <c r="A26" i="3"/>
  <c r="AC25" i="3"/>
  <c r="A25" i="3"/>
  <c r="AC24" i="3"/>
  <c r="A24" i="3"/>
  <c r="AC23" i="3"/>
  <c r="A23" i="3"/>
  <c r="AC22" i="3"/>
  <c r="A22" i="3"/>
  <c r="AC21" i="3"/>
  <c r="A21" i="3"/>
  <c r="AC20" i="3"/>
  <c r="A20" i="3"/>
  <c r="AC19" i="3"/>
  <c r="A19" i="3"/>
  <c r="AC18" i="3"/>
  <c r="A18" i="3"/>
  <c r="AC17" i="3"/>
  <c r="A17" i="3"/>
  <c r="AC16" i="3"/>
  <c r="A16" i="3"/>
  <c r="V6" i="3" s="1" a="1"/>
  <c r="V6" i="3" s="1"/>
  <c r="AC15" i="3"/>
  <c r="A15" i="3"/>
  <c r="AC14" i="3"/>
  <c r="A14" i="3"/>
  <c r="AC13" i="3"/>
  <c r="A13" i="3"/>
  <c r="AC12" i="3"/>
  <c r="A12" i="3"/>
  <c r="AC11" i="3"/>
  <c r="A11" i="3"/>
  <c r="AC10" i="3"/>
  <c r="A10" i="3"/>
  <c r="AC9" i="3"/>
  <c r="A9" i="3"/>
  <c r="AB322" i="2"/>
  <c r="AB321" i="2"/>
  <c r="AB320" i="2"/>
  <c r="AB319" i="2"/>
  <c r="AB318" i="2"/>
  <c r="AB317" i="2"/>
  <c r="AB316" i="2"/>
  <c r="AB315" i="2"/>
  <c r="AB314" i="2"/>
  <c r="AB313" i="2"/>
  <c r="AB312" i="2"/>
  <c r="AB311" i="2"/>
  <c r="AB310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296" i="2"/>
  <c r="AB295" i="2"/>
  <c r="AB294" i="2"/>
  <c r="AB293" i="2"/>
  <c r="AB292" i="2"/>
  <c r="AB291" i="2"/>
  <c r="AB290" i="2"/>
  <c r="AB289" i="2"/>
  <c r="AB288" i="2"/>
  <c r="AB287" i="2"/>
  <c r="AB286" i="2"/>
  <c r="AB285" i="2"/>
  <c r="AB284" i="2"/>
  <c r="AB283" i="2"/>
  <c r="AB282" i="2"/>
  <c r="AB281" i="2"/>
  <c r="AB280" i="2"/>
  <c r="AB279" i="2"/>
  <c r="AB278" i="2"/>
  <c r="AB277" i="2"/>
  <c r="AB276" i="2"/>
  <c r="AB275" i="2"/>
  <c r="AB274" i="2"/>
  <c r="AB273" i="2"/>
  <c r="AB272" i="2"/>
  <c r="AB271" i="2"/>
  <c r="AB270" i="2"/>
  <c r="AB269" i="2"/>
  <c r="AB268" i="2"/>
  <c r="AB267" i="2"/>
  <c r="AB266" i="2"/>
  <c r="AB265" i="2"/>
  <c r="AB264" i="2"/>
  <c r="AB263" i="2"/>
  <c r="AB262" i="2"/>
  <c r="AB261" i="2"/>
  <c r="AB260" i="2"/>
  <c r="AB259" i="2"/>
  <c r="AB258" i="2"/>
  <c r="AB257" i="2"/>
  <c r="AB256" i="2"/>
  <c r="AB255" i="2"/>
  <c r="AB254" i="2"/>
  <c r="AB253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9" i="2"/>
  <c r="AB238" i="2"/>
  <c r="AB237" i="2"/>
  <c r="AB236" i="2"/>
  <c r="AB235" i="2"/>
  <c r="AB234" i="2"/>
  <c r="AB233" i="2"/>
  <c r="AB232" i="2"/>
  <c r="AB231" i="2"/>
  <c r="AB230" i="2"/>
  <c r="AB229" i="2"/>
  <c r="AB228" i="2"/>
  <c r="AB227" i="2"/>
  <c r="AB226" i="2"/>
  <c r="AB225" i="2"/>
  <c r="AB224" i="2"/>
  <c r="AB223" i="2"/>
  <c r="AB222" i="2"/>
  <c r="AB221" i="2"/>
  <c r="AB220" i="2"/>
  <c r="AB219" i="2"/>
  <c r="AB218" i="2"/>
  <c r="AB217" i="2"/>
  <c r="AB216" i="2"/>
  <c r="AB215" i="2"/>
  <c r="AB214" i="2"/>
  <c r="AB213" i="2"/>
  <c r="AB212" i="2"/>
  <c r="AB211" i="2"/>
  <c r="AB210" i="2"/>
  <c r="AB209" i="2"/>
  <c r="AB208" i="2"/>
  <c r="AB207" i="2"/>
  <c r="AB206" i="2"/>
  <c r="AB205" i="2"/>
  <c r="AB204" i="2"/>
  <c r="AB203" i="2"/>
  <c r="AB202" i="2"/>
  <c r="AB201" i="2"/>
  <c r="AB200" i="2"/>
  <c r="AB199" i="2"/>
  <c r="AB198" i="2"/>
  <c r="AB197" i="2"/>
  <c r="AB196" i="2"/>
  <c r="AB195" i="2"/>
  <c r="AB194" i="2"/>
  <c r="AB193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AB2" i="2"/>
  <c r="AM51" i="14" l="1"/>
  <c r="AR51" i="13"/>
  <c r="AM311" i="14"/>
  <c r="AR311" i="13"/>
  <c r="AM353" i="14"/>
  <c r="AR353" i="13"/>
  <c r="AM259" i="14"/>
  <c r="AR259" i="13"/>
  <c r="AM362" i="14"/>
  <c r="AR362" i="13"/>
  <c r="AM256" i="14"/>
  <c r="AR256" i="13"/>
  <c r="AM162" i="14"/>
  <c r="AR162" i="13"/>
  <c r="AM20" i="14"/>
  <c r="AR20" i="13"/>
  <c r="AM215" i="14"/>
  <c r="AR215" i="13"/>
  <c r="AM82" i="14"/>
  <c r="AR82" i="13"/>
  <c r="AM315" i="14"/>
  <c r="AR315" i="13"/>
  <c r="AM50" i="14"/>
  <c r="AR50" i="13"/>
  <c r="AM365" i="14"/>
  <c r="AR365" i="13"/>
  <c r="AM108" i="14"/>
  <c r="AR108" i="13"/>
  <c r="AM174" i="14"/>
  <c r="AR174" i="13"/>
  <c r="AM54" i="14"/>
  <c r="AR54" i="13"/>
  <c r="AM260" i="14"/>
  <c r="AR260" i="13"/>
  <c r="AM277" i="14"/>
  <c r="AR277" i="13"/>
  <c r="AM22" i="14"/>
  <c r="AR22" i="13"/>
  <c r="AM222" i="14"/>
  <c r="AR222" i="13"/>
  <c r="AM166" i="14"/>
  <c r="AR166" i="13"/>
  <c r="AM235" i="14"/>
  <c r="AR235" i="13"/>
  <c r="AM49" i="14"/>
  <c r="AR49" i="13"/>
  <c r="AM304" i="14"/>
  <c r="AR304" i="13"/>
  <c r="AM107" i="14"/>
  <c r="AR107" i="13"/>
  <c r="AM173" i="14"/>
  <c r="AR173" i="13"/>
  <c r="AM361" i="14"/>
  <c r="AR361" i="13"/>
  <c r="AM255" i="14"/>
  <c r="AR255" i="13"/>
  <c r="AM134" i="14"/>
  <c r="AR134" i="13"/>
  <c r="AM6" i="14"/>
  <c r="AR6" i="13"/>
  <c r="AM105" i="14"/>
  <c r="AR105" i="13"/>
  <c r="AM164" i="14"/>
  <c r="AR164" i="13"/>
  <c r="AM234" i="14"/>
  <c r="AR234" i="13"/>
  <c r="AM176" i="14"/>
  <c r="AR176" i="13"/>
  <c r="AM303" i="14"/>
  <c r="AR303" i="13"/>
  <c r="AM167" i="14"/>
  <c r="AR167" i="13"/>
  <c r="AM172" i="14"/>
  <c r="AR172" i="13"/>
  <c r="AM360" i="14"/>
  <c r="AR360" i="13"/>
  <c r="AM253" i="14"/>
  <c r="AR253" i="13"/>
  <c r="AM102" i="14"/>
  <c r="AR102" i="13"/>
  <c r="AM363" i="14"/>
  <c r="AR363" i="13"/>
  <c r="AM130" i="14"/>
  <c r="AR130" i="13"/>
  <c r="AM158" i="14"/>
  <c r="AR158" i="13"/>
  <c r="AM240" i="14"/>
  <c r="AR240" i="13"/>
  <c r="AM317" i="14"/>
  <c r="AR317" i="13"/>
  <c r="AM297" i="14"/>
  <c r="AR297" i="13"/>
  <c r="AM112" i="14"/>
  <c r="AR112" i="13"/>
  <c r="AM154" i="14"/>
  <c r="AR154" i="13"/>
  <c r="AM359" i="14"/>
  <c r="AR359" i="13"/>
  <c r="AM120" i="14"/>
  <c r="AR120" i="13"/>
  <c r="AM100" i="14"/>
  <c r="AR101" i="13"/>
  <c r="AM179" i="14"/>
  <c r="AR179" i="13"/>
  <c r="AM55" i="14"/>
  <c r="AR55" i="13"/>
  <c r="AM129" i="14"/>
  <c r="AR129" i="13"/>
  <c r="AM374" i="14"/>
  <c r="AR374" i="13"/>
  <c r="AM233" i="14"/>
  <c r="AR233" i="13"/>
  <c r="AM254" i="14"/>
  <c r="AR254" i="13"/>
  <c r="AM289" i="14"/>
  <c r="AR289" i="13"/>
  <c r="AM111" i="14"/>
  <c r="AR111" i="13"/>
  <c r="AM152" i="14"/>
  <c r="AR152" i="13"/>
  <c r="AM364" i="14"/>
  <c r="AR364" i="13"/>
  <c r="AM119" i="14"/>
  <c r="AR119" i="13"/>
  <c r="AM101" i="14"/>
  <c r="AR100" i="13"/>
  <c r="AM178" i="14"/>
  <c r="AR178" i="13"/>
  <c r="AM103" i="14"/>
  <c r="AR103" i="13"/>
  <c r="AM128" i="14"/>
  <c r="AR128" i="13"/>
  <c r="AM326" i="14"/>
  <c r="AR326" i="13"/>
  <c r="AM232" i="14"/>
  <c r="AR232" i="13"/>
  <c r="AM95" i="14"/>
  <c r="AR95" i="13"/>
  <c r="AM263" i="14"/>
  <c r="AR263" i="13"/>
  <c r="AM104" i="14"/>
  <c r="AR104" i="13"/>
  <c r="AM151" i="14"/>
  <c r="AR151" i="13"/>
  <c r="AM344" i="14"/>
  <c r="AR344" i="13"/>
  <c r="AM212" i="14"/>
  <c r="AR212" i="13"/>
  <c r="AM98" i="14"/>
  <c r="AR98" i="13"/>
  <c r="AM221" i="14"/>
  <c r="AR221" i="13"/>
  <c r="AM84" i="14"/>
  <c r="AR84" i="13"/>
  <c r="AM121" i="14"/>
  <c r="AR121" i="13"/>
  <c r="AM117" i="14"/>
  <c r="AR117" i="13"/>
  <c r="AM231" i="14"/>
  <c r="AR231" i="13"/>
  <c r="AM216" i="14"/>
  <c r="AR216" i="13"/>
  <c r="AM252" i="14"/>
  <c r="AR252" i="13"/>
  <c r="AM62" i="14"/>
  <c r="AR62" i="13"/>
  <c r="AM150" i="14"/>
  <c r="AR150" i="13"/>
  <c r="AM302" i="14"/>
  <c r="AR302" i="13"/>
  <c r="AM241" i="14"/>
  <c r="AR241" i="13"/>
  <c r="AM96" i="14"/>
  <c r="AR96" i="13"/>
  <c r="AM131" i="14"/>
  <c r="AR131" i="13"/>
  <c r="AM89" i="14"/>
  <c r="AR89" i="13"/>
  <c r="AM106" i="14"/>
  <c r="AR106" i="13"/>
  <c r="AM116" i="14"/>
  <c r="AR116" i="13"/>
  <c r="AM230" i="14"/>
  <c r="AR230" i="13"/>
  <c r="AM182" i="14"/>
  <c r="AR182" i="13"/>
  <c r="AM246" i="14"/>
  <c r="AR246" i="13"/>
  <c r="AM60" i="14"/>
  <c r="AR60" i="13"/>
  <c r="AM61" i="14"/>
  <c r="AR61" i="13"/>
  <c r="AM334" i="14"/>
  <c r="AR334" i="13"/>
  <c r="AM245" i="14"/>
  <c r="AR245" i="13"/>
  <c r="AM94" i="14"/>
  <c r="AR94" i="13"/>
  <c r="AM27" i="14"/>
  <c r="AR27" i="13"/>
  <c r="AM43" i="14"/>
  <c r="AR43" i="13"/>
  <c r="AM83" i="14"/>
  <c r="AR83" i="13"/>
  <c r="AM229" i="14"/>
  <c r="AR229" i="13"/>
  <c r="AM181" i="14"/>
  <c r="AR181" i="13"/>
  <c r="AM211" i="14"/>
  <c r="AR211" i="13"/>
  <c r="AM36" i="14"/>
  <c r="AR36" i="13"/>
  <c r="AM34" i="14"/>
  <c r="AR34" i="13"/>
  <c r="AM333" i="14"/>
  <c r="AR333" i="13"/>
  <c r="AM97" i="14"/>
  <c r="AR97" i="13"/>
  <c r="AM71" i="14"/>
  <c r="AR71" i="13"/>
  <c r="AM26" i="14"/>
  <c r="AR26" i="13"/>
  <c r="AM42" i="14"/>
  <c r="AR42" i="13"/>
  <c r="AM99" i="14"/>
  <c r="AR99" i="13"/>
  <c r="AM228" i="14"/>
  <c r="AR228" i="13"/>
  <c r="AM159" i="14"/>
  <c r="AR159" i="13"/>
  <c r="AM180" i="14"/>
  <c r="AR180" i="13"/>
  <c r="AM247" i="14"/>
  <c r="AR247" i="13"/>
  <c r="AM300" i="14"/>
  <c r="AR300" i="13"/>
  <c r="AM332" i="14"/>
  <c r="AR332" i="13"/>
  <c r="AM244" i="14"/>
  <c r="AR244" i="13"/>
  <c r="AM70" i="14"/>
  <c r="AR70" i="13"/>
  <c r="AM25" i="14"/>
  <c r="AR25" i="13"/>
  <c r="AM41" i="14"/>
  <c r="AR41" i="13"/>
  <c r="AM74" i="14"/>
  <c r="AR74" i="13"/>
  <c r="AM319" i="14"/>
  <c r="AR318" i="13"/>
  <c r="AM227" i="14"/>
  <c r="AR227" i="13"/>
  <c r="AM153" i="14"/>
  <c r="AR153" i="13"/>
  <c r="AM347" i="14"/>
  <c r="AR347" i="13"/>
  <c r="AM356" i="14"/>
  <c r="AR356" i="13"/>
  <c r="AM327" i="14"/>
  <c r="AR327" i="13"/>
  <c r="AM354" i="14"/>
  <c r="AR354" i="13"/>
  <c r="AM67" i="14"/>
  <c r="AR67" i="13"/>
  <c r="AM370" i="14"/>
  <c r="AR371" i="13"/>
  <c r="AM267" i="14"/>
  <c r="AR267" i="13"/>
  <c r="AM59" i="14"/>
  <c r="AR59" i="13"/>
  <c r="AM219" i="14"/>
  <c r="AR219" i="13"/>
  <c r="AM110" i="14"/>
  <c r="AR110" i="13"/>
  <c r="AM175" i="14"/>
  <c r="AR175" i="13"/>
  <c r="AM195" i="14"/>
  <c r="AR195" i="13"/>
  <c r="AM343" i="14"/>
  <c r="AR343" i="13"/>
  <c r="AM239" i="14"/>
  <c r="AR239" i="13"/>
  <c r="AM65" i="14"/>
  <c r="AR65" i="13"/>
  <c r="AM369" i="14"/>
  <c r="AR370" i="13"/>
  <c r="AM115" i="14"/>
  <c r="AR115" i="13"/>
  <c r="AM33" i="14"/>
  <c r="AR33" i="13"/>
  <c r="AM226" i="14"/>
  <c r="AR226" i="13"/>
  <c r="AM66" i="14"/>
  <c r="AR66" i="13"/>
  <c r="AM146" i="14"/>
  <c r="AR146" i="13"/>
  <c r="AM85" i="14"/>
  <c r="AR85" i="13"/>
  <c r="AM323" i="14"/>
  <c r="AR323" i="13"/>
  <c r="AM238" i="14"/>
  <c r="AR238" i="13"/>
  <c r="AM79" i="14"/>
  <c r="AR79" i="13"/>
  <c r="AM368" i="14"/>
  <c r="AR369" i="13"/>
  <c r="AM147" i="14"/>
  <c r="AR147" i="13"/>
  <c r="AM21" i="14"/>
  <c r="AR21" i="13"/>
  <c r="AM225" i="14"/>
  <c r="AR225" i="13"/>
  <c r="AM56" i="14"/>
  <c r="AR56" i="13"/>
  <c r="AM145" i="14"/>
  <c r="AR145" i="13"/>
  <c r="AM280" i="14"/>
  <c r="AR280" i="13"/>
  <c r="AM312" i="14"/>
  <c r="AR312" i="13"/>
  <c r="AM237" i="14"/>
  <c r="AR237" i="13"/>
  <c r="AM78" i="14"/>
  <c r="AR78" i="13"/>
  <c r="AM367" i="14"/>
  <c r="AR368" i="13"/>
  <c r="AM114" i="14"/>
  <c r="AR114" i="13"/>
  <c r="AM23" i="14"/>
  <c r="AR23" i="13"/>
  <c r="AM224" i="14"/>
  <c r="AR224" i="13"/>
  <c r="AM39" i="14"/>
  <c r="AR39" i="13"/>
  <c r="AM144" i="14"/>
  <c r="AR144" i="13"/>
  <c r="AM279" i="14"/>
  <c r="AR279" i="13"/>
  <c r="AM322" i="14"/>
  <c r="AR322" i="13"/>
  <c r="AM236" i="14"/>
  <c r="AR236" i="13"/>
  <c r="AM46" i="14"/>
  <c r="AR46" i="13"/>
  <c r="AM283" i="14"/>
  <c r="AR283" i="13"/>
  <c r="AM355" i="14"/>
  <c r="AR355" i="13"/>
  <c r="AM3" i="14"/>
  <c r="AR3" i="13"/>
  <c r="AR308" i="13"/>
  <c r="AM177" i="14"/>
  <c r="AR177" i="13"/>
  <c r="AM35" i="14"/>
  <c r="AR35" i="13"/>
  <c r="AM143" i="14"/>
  <c r="AR143" i="13"/>
  <c r="AM248" i="14"/>
  <c r="AR248" i="13"/>
  <c r="AM296" i="14"/>
  <c r="AR296" i="13"/>
  <c r="AM223" i="14"/>
  <c r="AR223" i="13"/>
  <c r="AM45" i="14"/>
  <c r="AR45" i="14" s="1"/>
  <c r="AR45" i="13"/>
  <c r="AM282" i="14"/>
  <c r="AR282" i="13"/>
  <c r="AM187" i="14"/>
  <c r="AR187" i="13"/>
  <c r="AM171" i="14"/>
  <c r="AR171" i="13"/>
  <c r="AM142" i="14"/>
  <c r="AR142" i="13"/>
  <c r="AM214" i="14"/>
  <c r="AR214" i="13"/>
  <c r="AM266" i="14"/>
  <c r="AR266" i="13"/>
  <c r="AM243" i="14"/>
  <c r="AR243" i="14" s="1"/>
  <c r="AR243" i="13"/>
  <c r="AM44" i="14"/>
  <c r="AR44" i="13"/>
  <c r="AM281" i="14"/>
  <c r="AR281" i="13"/>
  <c r="AM337" i="14"/>
  <c r="AR337" i="13"/>
  <c r="AM155" i="14"/>
  <c r="AR155" i="13"/>
  <c r="AM373" i="14"/>
  <c r="AR373" i="13"/>
  <c r="AM165" i="14"/>
  <c r="AR165" i="13"/>
  <c r="AM213" i="14"/>
  <c r="AR213" i="14" s="1"/>
  <c r="AR213" i="13"/>
  <c r="AM268" i="14"/>
  <c r="AR268" i="13"/>
  <c r="AM188" i="14"/>
  <c r="AR188" i="13"/>
  <c r="AM40" i="14"/>
  <c r="AR40" i="13"/>
  <c r="AM218" i="14"/>
  <c r="AR218" i="13"/>
  <c r="AM328" i="14"/>
  <c r="AR328" i="13"/>
  <c r="AM113" i="14"/>
  <c r="AR113" i="13"/>
  <c r="AM372" i="14"/>
  <c r="AR372" i="14" s="1"/>
  <c r="AR372" i="13"/>
  <c r="AM122" i="14"/>
  <c r="AR122" i="13"/>
  <c r="AM161" i="14"/>
  <c r="AR161" i="13"/>
  <c r="AM265" i="14"/>
  <c r="AR265" i="13"/>
  <c r="AM53" i="14"/>
  <c r="AR53" i="13"/>
  <c r="AM30" i="14"/>
  <c r="AR30" i="13"/>
  <c r="AM242" i="14"/>
  <c r="AR242" i="13"/>
  <c r="AM249" i="14"/>
  <c r="AR249" i="14" s="1"/>
  <c r="AR249" i="13"/>
  <c r="AM76" i="14"/>
  <c r="AR76" i="13"/>
  <c r="AM124" i="14"/>
  <c r="AR124" i="13"/>
  <c r="AM123" i="14"/>
  <c r="AR123" i="13"/>
  <c r="AM58" i="14"/>
  <c r="AR58" i="13"/>
  <c r="AM57" i="14"/>
  <c r="AR57" i="13"/>
  <c r="AM163" i="14"/>
  <c r="AR163" i="13"/>
  <c r="AM24" i="14"/>
  <c r="AR24" i="14" s="1"/>
  <c r="AR24" i="13"/>
  <c r="AM77" i="14"/>
  <c r="AR77" i="13"/>
  <c r="AM220" i="14"/>
  <c r="AR220" i="13"/>
  <c r="AM75" i="14"/>
  <c r="AR75" i="13"/>
  <c r="AM339" i="14"/>
  <c r="AR339" i="13"/>
  <c r="AM118" i="14"/>
  <c r="AR118" i="13"/>
  <c r="AM352" i="14"/>
  <c r="AR352" i="13"/>
  <c r="AM278" i="14"/>
  <c r="AR278" i="13"/>
  <c r="AM160" i="14"/>
  <c r="AR160" i="13"/>
  <c r="AM31" i="14"/>
  <c r="AR31" i="13"/>
  <c r="AM217" i="14"/>
  <c r="AR217" i="13"/>
  <c r="AM196" i="14"/>
  <c r="AR196" i="13"/>
  <c r="AI50" i="16"/>
  <c r="AI28" i="16"/>
  <c r="AI34" i="16"/>
  <c r="AI18" i="16"/>
  <c r="CA18" i="16" s="1"/>
  <c r="AJ33" i="16"/>
  <c r="AJ16" i="16"/>
  <c r="CB16" i="16" s="1"/>
  <c r="AI8" i="16"/>
  <c r="AI33" i="16"/>
  <c r="AJ15" i="16"/>
  <c r="CB15" i="16" s="1"/>
  <c r="AJ8" i="16"/>
  <c r="AJ32" i="16"/>
  <c r="AI15" i="16"/>
  <c r="CA15" i="16" s="1"/>
  <c r="AJ52" i="16"/>
  <c r="CB52" i="16" s="1"/>
  <c r="AI32" i="16"/>
  <c r="AJ14" i="16"/>
  <c r="CB14" i="16" s="1"/>
  <c r="AI52" i="16"/>
  <c r="CA52" i="16" s="1"/>
  <c r="AI31" i="16"/>
  <c r="AI14" i="16"/>
  <c r="CA14" i="16" s="1"/>
  <c r="AJ50" i="16"/>
  <c r="AJ30" i="16"/>
  <c r="AJ13" i="16"/>
  <c r="CB13" i="16" s="1"/>
  <c r="AN4" i="10"/>
  <c r="AO4" i="10" s="1"/>
  <c r="AP4" i="10" s="1"/>
  <c r="C5" i="6" s="1"/>
  <c r="AN11" i="10"/>
  <c r="AO11" i="10" s="1"/>
  <c r="AP11" i="10" s="1"/>
  <c r="AN5" i="10"/>
  <c r="AO5" i="10" s="1"/>
  <c r="AP5" i="10" s="1"/>
  <c r="AN6" i="10"/>
  <c r="AO6" i="10" s="1"/>
  <c r="AP6" i="10" s="1"/>
  <c r="Q6" i="3" a="1"/>
  <c r="Q6" i="3" s="1"/>
  <c r="AM43" i="16"/>
  <c r="AN43" i="16" s="1"/>
  <c r="AO43" i="16" s="1"/>
  <c r="AP43" i="16" s="1"/>
  <c r="AQ43" i="16" s="1"/>
  <c r="AR43" i="16" s="1"/>
  <c r="AS43" i="16" s="1"/>
  <c r="AM42" i="16"/>
  <c r="AN42" i="16" s="1"/>
  <c r="AO42" i="16" s="1"/>
  <c r="AP42" i="16" s="1"/>
  <c r="AQ42" i="16" s="1"/>
  <c r="AR42" i="16" s="1"/>
  <c r="AS42" i="16" s="1"/>
  <c r="AM41" i="16"/>
  <c r="AN41" i="16" s="1"/>
  <c r="AO41" i="16" s="1"/>
  <c r="AP41" i="16" s="1"/>
  <c r="AQ41" i="16" s="1"/>
  <c r="AR41" i="16" s="1"/>
  <c r="AS41" i="16" s="1"/>
  <c r="AT90" i="13"/>
  <c r="AT366" i="13"/>
  <c r="AW366" i="14" s="1"/>
  <c r="AT186" i="13"/>
  <c r="AW186" i="14" s="1"/>
  <c r="AT122" i="13"/>
  <c r="AW122" i="14" s="1"/>
  <c r="AT77" i="13"/>
  <c r="AW77" i="14" s="1"/>
  <c r="AU55" i="13"/>
  <c r="AX55" i="14" s="1"/>
  <c r="AU250" i="13"/>
  <c r="AX250" i="14" s="1"/>
  <c r="AU247" i="13"/>
  <c r="AX247" i="14" s="1"/>
  <c r="AU165" i="13"/>
  <c r="AX165" i="14" s="1"/>
  <c r="AU47" i="13"/>
  <c r="AU125" i="13"/>
  <c r="AU91" i="13"/>
  <c r="AU261" i="13"/>
  <c r="AU298" i="13"/>
  <c r="AU349" i="13"/>
  <c r="AU19" i="13"/>
  <c r="AU190" i="13"/>
  <c r="AU276" i="13"/>
  <c r="AU346" i="13"/>
  <c r="AU307" i="13"/>
  <c r="AX307" i="14" s="1"/>
  <c r="AU72" i="13"/>
  <c r="AX72" i="14" s="1"/>
  <c r="AU130" i="13"/>
  <c r="AX130" i="14" s="1"/>
  <c r="AU251" i="13"/>
  <c r="AX251" i="14" s="1"/>
  <c r="AU52" i="13"/>
  <c r="AX52" i="14" s="1"/>
  <c r="AU132" i="13"/>
  <c r="AU184" i="13"/>
  <c r="AU269" i="13"/>
  <c r="AU367" i="13"/>
  <c r="AX371" i="14" s="1"/>
  <c r="AU357" i="13"/>
  <c r="AU29" i="13"/>
  <c r="AU194" i="13"/>
  <c r="AU286" i="13"/>
  <c r="AU351" i="13"/>
  <c r="AU206" i="13"/>
  <c r="AU131" i="13"/>
  <c r="AX131" i="14" s="1"/>
  <c r="AU320" i="13"/>
  <c r="AU105" i="13"/>
  <c r="AX105" i="14" s="1"/>
  <c r="AU25" i="13"/>
  <c r="AX25" i="14" s="1"/>
  <c r="AU57" i="13"/>
  <c r="AX57" i="14" s="1"/>
  <c r="AU37" i="13"/>
  <c r="AU135" i="13"/>
  <c r="AX135" i="14" s="1"/>
  <c r="AU189" i="13"/>
  <c r="AU270" i="13"/>
  <c r="AU301" i="13"/>
  <c r="AX301" i="14" s="1"/>
  <c r="AU48" i="13"/>
  <c r="AU204" i="13"/>
  <c r="AU350" i="13"/>
  <c r="AU358" i="13"/>
  <c r="AU272" i="13"/>
  <c r="AU291" i="13"/>
  <c r="AU147" i="13"/>
  <c r="AX147" i="14" s="1"/>
  <c r="AU138" i="13"/>
  <c r="AX138" i="14" s="1"/>
  <c r="AU26" i="13"/>
  <c r="AX26" i="14" s="1"/>
  <c r="AU316" i="13"/>
  <c r="AX316" i="14" s="1"/>
  <c r="AU171" i="13"/>
  <c r="AX171" i="14" s="1"/>
  <c r="AU329" i="13"/>
  <c r="AX329" i="14" s="1"/>
  <c r="AU136" i="13"/>
  <c r="AX136" i="14" s="1"/>
  <c r="AU193" i="13"/>
  <c r="AU271" i="13"/>
  <c r="AU305" i="13"/>
  <c r="AU38" i="13"/>
  <c r="AU205" i="13"/>
  <c r="AU288" i="13"/>
  <c r="AU137" i="13"/>
  <c r="AX137" i="14" s="1"/>
  <c r="AU69" i="13"/>
  <c r="AU198" i="13"/>
  <c r="AU115" i="13"/>
  <c r="AX115" i="14" s="1"/>
  <c r="AU221" i="13"/>
  <c r="AX221" i="14" s="1"/>
  <c r="AU162" i="13"/>
  <c r="AX162" i="14" s="1"/>
  <c r="AU300" i="13"/>
  <c r="AX300" i="14" s="1"/>
  <c r="AU95" i="13"/>
  <c r="AX95" i="14" s="1"/>
  <c r="AU10" i="13"/>
  <c r="AU73" i="13"/>
  <c r="AX73" i="14" s="1"/>
  <c r="AU168" i="13"/>
  <c r="AX168" i="14" s="1"/>
  <c r="AU199" i="13"/>
  <c r="AU264" i="13"/>
  <c r="AX264" i="14" s="1"/>
  <c r="AU324" i="13"/>
  <c r="AU192" i="13"/>
  <c r="AU92" i="13"/>
  <c r="AU208" i="13"/>
  <c r="AU299" i="13"/>
  <c r="AU267" i="13"/>
  <c r="AX267" i="14" s="1"/>
  <c r="AU191" i="13"/>
  <c r="AU8" i="13"/>
  <c r="AU13" i="13"/>
  <c r="AU86" i="13"/>
  <c r="AU156" i="13"/>
  <c r="AX156" i="14" s="1"/>
  <c r="AU202" i="13"/>
  <c r="AU290" i="13"/>
  <c r="AU309" i="13"/>
  <c r="AU15" i="13"/>
  <c r="AU133" i="13"/>
  <c r="AU258" i="13"/>
  <c r="AU325" i="13"/>
  <c r="AU356" i="13"/>
  <c r="AX356" i="14" s="1"/>
  <c r="AU28" i="13"/>
  <c r="AU109" i="13"/>
  <c r="AX109" i="14" s="1"/>
  <c r="AU170" i="13"/>
  <c r="AX170" i="14" s="1"/>
  <c r="AU257" i="13"/>
  <c r="AU148" i="13"/>
  <c r="AU345" i="13"/>
  <c r="AU5" i="13"/>
  <c r="AU185" i="13"/>
  <c r="AU275" i="13"/>
  <c r="AU336" i="13"/>
  <c r="AU114" i="13"/>
  <c r="AX114" i="14" s="1"/>
  <c r="AU27" i="13"/>
  <c r="AX27" i="14" s="1"/>
  <c r="AU134" i="13"/>
  <c r="AX134" i="14" s="1"/>
  <c r="AU197" i="13"/>
  <c r="AU277" i="13"/>
  <c r="AX277" i="14" s="1"/>
  <c r="AU201" i="13"/>
  <c r="AU330" i="13"/>
  <c r="AU335" i="13"/>
  <c r="AU14" i="13"/>
  <c r="AU203" i="13"/>
  <c r="AU210" i="13"/>
  <c r="AU157" i="13"/>
  <c r="AX157" i="14" s="1"/>
  <c r="AU63" i="13"/>
  <c r="AU32" i="13"/>
  <c r="AX32" i="14" s="1"/>
  <c r="AU186" i="13"/>
  <c r="AX186" i="14" s="1"/>
  <c r="AU64" i="13"/>
  <c r="AU262" i="13"/>
  <c r="AU317" i="13"/>
  <c r="AX317" i="14" s="1"/>
  <c r="AU366" i="13"/>
  <c r="AX366" i="14" s="1"/>
  <c r="AU9" i="13"/>
  <c r="AU310" i="13"/>
  <c r="AU68" i="13"/>
  <c r="AU273" i="13"/>
  <c r="AU319" i="13"/>
  <c r="AU340" i="13"/>
  <c r="AX340" i="14" s="1"/>
  <c r="AU285" i="13"/>
  <c r="AU16" i="13"/>
  <c r="AU274" i="13"/>
  <c r="AU169" i="13"/>
  <c r="AX169" i="14" s="1"/>
  <c r="AU34" i="13"/>
  <c r="AX34" i="14" s="1"/>
  <c r="AU90" i="13"/>
  <c r="AU348" i="13"/>
  <c r="AU17" i="13"/>
  <c r="AU149" i="13"/>
  <c r="AU318" i="13"/>
  <c r="AU88" i="13"/>
  <c r="AX88" i="14" s="1"/>
  <c r="AU287" i="13"/>
  <c r="AU18" i="13"/>
  <c r="AU306" i="13"/>
  <c r="AU331" i="13"/>
  <c r="AU126" i="13"/>
  <c r="AU180" i="13"/>
  <c r="AX180" i="14" s="1"/>
  <c r="AU80" i="13"/>
  <c r="AU292" i="13"/>
  <c r="AX292" i="14" s="1"/>
  <c r="AU87" i="13"/>
  <c r="AU321" i="13"/>
  <c r="AU139" i="13"/>
  <c r="AX139" i="14" s="1"/>
  <c r="AU293" i="13"/>
  <c r="AX293" i="14" s="1"/>
  <c r="AU81" i="13"/>
  <c r="AU294" i="13"/>
  <c r="AX294" i="14" s="1"/>
  <c r="AU314" i="13"/>
  <c r="AU11" i="13"/>
  <c r="AU85" i="13"/>
  <c r="AX85" i="14" s="1"/>
  <c r="AU12" i="13"/>
  <c r="AU200" i="13"/>
  <c r="AU341" i="13"/>
  <c r="AX341" i="14" s="1"/>
  <c r="AU207" i="13"/>
  <c r="AU54" i="13"/>
  <c r="AX54" i="14" s="1"/>
  <c r="AU195" i="13"/>
  <c r="AX195" i="14" s="1"/>
  <c r="AU4" i="13"/>
  <c r="AU342" i="13"/>
  <c r="AX342" i="14" s="1"/>
  <c r="AU209" i="13"/>
  <c r="AU313" i="13"/>
  <c r="AU93" i="13"/>
  <c r="AT308" i="13"/>
  <c r="AW308" i="14" s="1"/>
  <c r="AT38" i="13"/>
  <c r="AT135" i="13"/>
  <c r="AW135" i="14" s="1"/>
  <c r="AT182" i="13"/>
  <c r="AW182" i="14" s="1"/>
  <c r="AT365" i="13"/>
  <c r="AW365" i="14" s="1"/>
  <c r="AT143" i="13"/>
  <c r="AW143" i="14" s="1"/>
  <c r="AT60" i="13"/>
  <c r="AW60" i="14" s="1"/>
  <c r="AT343" i="13"/>
  <c r="AW343" i="14" s="1"/>
  <c r="AT78" i="13"/>
  <c r="AW78" i="14" s="1"/>
  <c r="AT368" i="13"/>
  <c r="AW367" i="14" s="1"/>
  <c r="AT42" i="13"/>
  <c r="AW42" i="14" s="1"/>
  <c r="AT166" i="13"/>
  <c r="AW166" i="14" s="1"/>
  <c r="AT3" i="13"/>
  <c r="AW3" i="14" s="1"/>
  <c r="AT165" i="13"/>
  <c r="AW165" i="14" s="1"/>
  <c r="AT267" i="13"/>
  <c r="AW267" i="14" s="1"/>
  <c r="AT326" i="13"/>
  <c r="AW326" i="14" s="1"/>
  <c r="AT88" i="13"/>
  <c r="AW88" i="14" s="1"/>
  <c r="AT356" i="13"/>
  <c r="AW356" i="14" s="1"/>
  <c r="AT278" i="13"/>
  <c r="AW278" i="14" s="1"/>
  <c r="AT115" i="13"/>
  <c r="AW115" i="14" s="1"/>
  <c r="AT117" i="13"/>
  <c r="AW117" i="14" s="1"/>
  <c r="AT289" i="13"/>
  <c r="AW289" i="14" s="1"/>
  <c r="AT195" i="13"/>
  <c r="AW195" i="14" s="1"/>
  <c r="AT147" i="13"/>
  <c r="AW147" i="14" s="1"/>
  <c r="AT190" i="13"/>
  <c r="AT116" i="13"/>
  <c r="AW116" i="14" s="1"/>
  <c r="AT91" i="13"/>
  <c r="AT86" i="13"/>
  <c r="AT66" i="13"/>
  <c r="AW66" i="14" s="1"/>
  <c r="AT263" i="13"/>
  <c r="AW263" i="14" s="1"/>
  <c r="AT118" i="13"/>
  <c r="AW118" i="14" s="1"/>
  <c r="AT85" i="13"/>
  <c r="AW85" i="14" s="1"/>
  <c r="AT178" i="13"/>
  <c r="AW178" i="14" s="1"/>
  <c r="AT215" i="13"/>
  <c r="AW215" i="14" s="1"/>
  <c r="AT114" i="13"/>
  <c r="AW114" i="14" s="1"/>
  <c r="AT121" i="13"/>
  <c r="AW121" i="14" s="1"/>
  <c r="AT93" i="13"/>
  <c r="AT345" i="13"/>
  <c r="AT318" i="13"/>
  <c r="AT68" i="13"/>
  <c r="AT56" i="13"/>
  <c r="AW56" i="14" s="1"/>
  <c r="AT252" i="13"/>
  <c r="AW252" i="14" s="1"/>
  <c r="AT353" i="13"/>
  <c r="AW353" i="14" s="1"/>
  <c r="AT259" i="13"/>
  <c r="AW259" i="14" s="1"/>
  <c r="AT253" i="13"/>
  <c r="AW253" i="14" s="1"/>
  <c r="AT221" i="13"/>
  <c r="AW221" i="14" s="1"/>
  <c r="AT222" i="13"/>
  <c r="AW222" i="14" s="1"/>
  <c r="AT355" i="13"/>
  <c r="AW355" i="14" s="1"/>
  <c r="AT106" i="13"/>
  <c r="AW106" i="14" s="1"/>
  <c r="AT346" i="13"/>
  <c r="AT142" i="13"/>
  <c r="AW142" i="14" s="1"/>
  <c r="AT24" i="13"/>
  <c r="AW24" i="14" s="1"/>
  <c r="AT164" i="13"/>
  <c r="AW164" i="14" s="1"/>
  <c r="AT20" i="13"/>
  <c r="AW20" i="14" s="1"/>
  <c r="U277" i="13"/>
  <c r="U277" i="14" s="1"/>
  <c r="AT319" i="13"/>
  <c r="AT307" i="13"/>
  <c r="AW307" i="14" s="1"/>
  <c r="AT157" i="13"/>
  <c r="AW157" i="14" s="1"/>
  <c r="AT37" i="13"/>
  <c r="AT39" i="13"/>
  <c r="AW39" i="14" s="1"/>
  <c r="AT246" i="13"/>
  <c r="AW246" i="14" s="1"/>
  <c r="AT108" i="13"/>
  <c r="AW108" i="14" s="1"/>
  <c r="AT131" i="13"/>
  <c r="AW131" i="14" s="1"/>
  <c r="AT105" i="13"/>
  <c r="AW105" i="14" s="1"/>
  <c r="AT187" i="13"/>
  <c r="AW187" i="14" s="1"/>
  <c r="AT83" i="13"/>
  <c r="AW83" i="14" s="1"/>
  <c r="AT304" i="13"/>
  <c r="AW304" i="14" s="1"/>
  <c r="AT374" i="13"/>
  <c r="AW374" i="14" s="1"/>
  <c r="AT303" i="13"/>
  <c r="AW303" i="14" s="1"/>
  <c r="AT247" i="13"/>
  <c r="AW247" i="14" s="1"/>
  <c r="AT158" i="13"/>
  <c r="AW158" i="14" s="1"/>
  <c r="AT153" i="13"/>
  <c r="AW153" i="14" s="1"/>
  <c r="AT110" i="13"/>
  <c r="AW110" i="14" s="1"/>
  <c r="AT179" i="13"/>
  <c r="AW179" i="14" s="1"/>
  <c r="AT156" i="13"/>
  <c r="AW156" i="14" s="1"/>
  <c r="AT171" i="13"/>
  <c r="AW171" i="14" s="1"/>
  <c r="AT35" i="13"/>
  <c r="AW35" i="14" s="1"/>
  <c r="AT211" i="13"/>
  <c r="AW211" i="14" s="1"/>
  <c r="AT107" i="13"/>
  <c r="AW107" i="14" s="1"/>
  <c r="AT316" i="13"/>
  <c r="AW316" i="14" s="1"/>
  <c r="AT212" i="13"/>
  <c r="AW212" i="14" s="1"/>
  <c r="AT27" i="13"/>
  <c r="AW27" i="14" s="1"/>
  <c r="AT130" i="13"/>
  <c r="AW130" i="14" s="1"/>
  <c r="AT337" i="13"/>
  <c r="AW337" i="14" s="1"/>
  <c r="AT99" i="13"/>
  <c r="AW99" i="14" s="1"/>
  <c r="AT218" i="13"/>
  <c r="AW218" i="14" s="1"/>
  <c r="AT296" i="13"/>
  <c r="AW296" i="14" s="1"/>
  <c r="AT297" i="13"/>
  <c r="AW297" i="14" s="1"/>
  <c r="AT129" i="13"/>
  <c r="AW129" i="14" s="1"/>
  <c r="AT189" i="13"/>
  <c r="AT123" i="13"/>
  <c r="AW123" i="14" s="1"/>
  <c r="AT128" i="13"/>
  <c r="AW128" i="14" s="1"/>
  <c r="AT367" i="13"/>
  <c r="AW371" i="14" s="1"/>
  <c r="AT373" i="13"/>
  <c r="AW373" i="14" s="1"/>
  <c r="AT180" i="13"/>
  <c r="AW180" i="14" s="1"/>
  <c r="AT167" i="13"/>
  <c r="AW167" i="14" s="1"/>
  <c r="AT251" i="13"/>
  <c r="AW251" i="14" s="1"/>
  <c r="AT188" i="13"/>
  <c r="AW188" i="14" s="1"/>
  <c r="AT26" i="13"/>
  <c r="AW26" i="14" s="1"/>
  <c r="AT55" i="13"/>
  <c r="AW55" i="14" s="1"/>
  <c r="AT328" i="13"/>
  <c r="AW328" i="14" s="1"/>
  <c r="AT74" i="13"/>
  <c r="AW74" i="14" s="1"/>
  <c r="AT257" i="13"/>
  <c r="AT312" i="13"/>
  <c r="AW312" i="14" s="1"/>
  <c r="AT125" i="13"/>
  <c r="AT242" i="13"/>
  <c r="AW242" i="14" s="1"/>
  <c r="AT258" i="13"/>
  <c r="AT217" i="13"/>
  <c r="AW217" i="14" s="1"/>
  <c r="AT126" i="13"/>
  <c r="AT294" i="13"/>
  <c r="AW294" i="14" s="1"/>
  <c r="AT139" i="13"/>
  <c r="AW139" i="14" s="1"/>
  <c r="AT317" i="13"/>
  <c r="AW317" i="14" s="1"/>
  <c r="AT372" i="13"/>
  <c r="AW372" i="14" s="1"/>
  <c r="AT347" i="13"/>
  <c r="AW347" i="14" s="1"/>
  <c r="AT112" i="13"/>
  <c r="AW112" i="14" s="1"/>
  <c r="AT250" i="13"/>
  <c r="AW250" i="14" s="1"/>
  <c r="AT162" i="13"/>
  <c r="AW162" i="14" s="1"/>
  <c r="AT25" i="13"/>
  <c r="AW25" i="14" s="1"/>
  <c r="AT103" i="13"/>
  <c r="AW103" i="14" s="1"/>
  <c r="AT249" i="13"/>
  <c r="AW249" i="14" s="1"/>
  <c r="AT59" i="13"/>
  <c r="AW59" i="14" s="1"/>
  <c r="AT159" i="13"/>
  <c r="AW159" i="14" s="1"/>
  <c r="U90" i="13"/>
  <c r="W90" i="13" s="1"/>
  <c r="AT92" i="13"/>
  <c r="AT293" i="13"/>
  <c r="AW293" i="14" s="1"/>
  <c r="AT138" i="13"/>
  <c r="AW138" i="14" s="1"/>
  <c r="AT254" i="13"/>
  <c r="AW254" i="14" s="1"/>
  <c r="AT124" i="13"/>
  <c r="AW124" i="14" s="1"/>
  <c r="AT146" i="13"/>
  <c r="AW146" i="14" s="1"/>
  <c r="AT111" i="13"/>
  <c r="AW111" i="14" s="1"/>
  <c r="AT63" i="13"/>
  <c r="AT277" i="13"/>
  <c r="AW277" i="14" s="1"/>
  <c r="AT371" i="13"/>
  <c r="AW370" i="14" s="1"/>
  <c r="AT84" i="13"/>
  <c r="AW84" i="14" s="1"/>
  <c r="AT220" i="13"/>
  <c r="AW220" i="14" s="1"/>
  <c r="AT33" i="13"/>
  <c r="AW33" i="14" s="1"/>
  <c r="AT181" i="13"/>
  <c r="AW181" i="14" s="1"/>
  <c r="AT87" i="13"/>
  <c r="AT292" i="13"/>
  <c r="AW292" i="14" s="1"/>
  <c r="AT137" i="13"/>
  <c r="AW137" i="14" s="1"/>
  <c r="AT95" i="13"/>
  <c r="AW95" i="14" s="1"/>
  <c r="AT339" i="13"/>
  <c r="AW339" i="14" s="1"/>
  <c r="AT145" i="13"/>
  <c r="AW145" i="14" s="1"/>
  <c r="AT104" i="13"/>
  <c r="AW104" i="14" s="1"/>
  <c r="AT54" i="13"/>
  <c r="AW54" i="14" s="1"/>
  <c r="AT370" i="13"/>
  <c r="AW369" i="14" s="1"/>
  <c r="AT89" i="13"/>
  <c r="AW89" i="14" s="1"/>
  <c r="AT196" i="13"/>
  <c r="AW196" i="14" s="1"/>
  <c r="AT21" i="13"/>
  <c r="AW21" i="14" s="1"/>
  <c r="AT64" i="13"/>
  <c r="AT36" i="13"/>
  <c r="AW36" i="14" s="1"/>
  <c r="AT41" i="13"/>
  <c r="AW41" i="14" s="1"/>
  <c r="AT363" i="13"/>
  <c r="AW363" i="14" s="1"/>
  <c r="AT69" i="13"/>
  <c r="AT136" i="13"/>
  <c r="AW136" i="14" s="1"/>
  <c r="AT216" i="13"/>
  <c r="AW216" i="14" s="1"/>
  <c r="AT311" i="13"/>
  <c r="AW311" i="14" s="1"/>
  <c r="AT144" i="13"/>
  <c r="AW144" i="14" s="1"/>
  <c r="AT62" i="13"/>
  <c r="AW62" i="14" s="1"/>
  <c r="AT302" i="13"/>
  <c r="AW302" i="14" s="1"/>
  <c r="AT79" i="13"/>
  <c r="AW79" i="14" s="1"/>
  <c r="AT369" i="13"/>
  <c r="AW368" i="14" s="1"/>
  <c r="AT43" i="13"/>
  <c r="AW43" i="14" s="1"/>
  <c r="AT82" i="13"/>
  <c r="AW82" i="14" s="1"/>
  <c r="AT23" i="13"/>
  <c r="AW23" i="14" s="1"/>
  <c r="AI40" i="16"/>
  <c r="AI13" i="16"/>
  <c r="CA13" i="16" s="1"/>
  <c r="AI39" i="16"/>
  <c r="AI24" i="16"/>
  <c r="AI38" i="16"/>
  <c r="AJ23" i="16"/>
  <c r="AJ49" i="16"/>
  <c r="AJ29" i="16"/>
  <c r="AJ21" i="16"/>
  <c r="AI49" i="16"/>
  <c r="AJ37" i="16"/>
  <c r="AI29" i="16"/>
  <c r="AI21" i="16"/>
  <c r="AJ12" i="16"/>
  <c r="CB12" i="16" s="1"/>
  <c r="AI48" i="16"/>
  <c r="AJ36" i="16"/>
  <c r="AJ28" i="16"/>
  <c r="AJ20" i="16"/>
  <c r="AI12" i="16"/>
  <c r="CA12" i="16" s="1"/>
  <c r="AJ47" i="16"/>
  <c r="AJ11" i="16"/>
  <c r="CB11" i="16" s="1"/>
  <c r="AJ46" i="16"/>
  <c r="AJ35" i="16"/>
  <c r="AJ27" i="16"/>
  <c r="AJ19" i="16"/>
  <c r="AI11" i="16"/>
  <c r="CA11" i="16" s="1"/>
  <c r="AI46" i="16"/>
  <c r="AI35" i="16"/>
  <c r="AI27" i="16"/>
  <c r="AI19" i="16"/>
  <c r="AJ45" i="16"/>
  <c r="AJ34" i="16"/>
  <c r="AJ26" i="16"/>
  <c r="AJ18" i="16"/>
  <c r="CB18" i="16" s="1"/>
  <c r="AH36" i="8"/>
  <c r="AI36" i="8" s="1"/>
  <c r="AH37" i="8"/>
  <c r="AI37" i="8" s="1"/>
  <c r="AB11" i="8"/>
  <c r="AH28" i="8"/>
  <c r="AI28" i="8" s="1"/>
  <c r="AI309" i="13"/>
  <c r="AI367" i="13"/>
  <c r="AI371" i="14" s="1"/>
  <c r="AI88" i="13"/>
  <c r="AI88" i="14" s="1"/>
  <c r="AI56" i="13"/>
  <c r="AI56" i="14" s="1"/>
  <c r="AI260" i="13"/>
  <c r="AI260" i="14" s="1"/>
  <c r="AI99" i="13"/>
  <c r="AI99" i="14" s="1"/>
  <c r="AI314" i="13"/>
  <c r="AI350" i="13"/>
  <c r="AI75" i="13"/>
  <c r="AI75" i="14" s="1"/>
  <c r="AI7" i="13"/>
  <c r="AI7" i="14" s="1"/>
  <c r="AI268" i="13"/>
  <c r="AI268" i="14" s="1"/>
  <c r="AH39" i="8"/>
  <c r="AI39" i="8" s="1"/>
  <c r="AI279" i="13"/>
  <c r="AI279" i="14" s="1"/>
  <c r="AI134" i="13"/>
  <c r="AI134" i="14" s="1"/>
  <c r="AI246" i="13"/>
  <c r="AI246" i="14" s="1"/>
  <c r="AH14" i="8"/>
  <c r="AI14" i="8" s="1"/>
  <c r="AI275" i="13"/>
  <c r="AI141" i="13"/>
  <c r="AI342" i="13"/>
  <c r="AI342" i="14" s="1"/>
  <c r="AI57" i="13"/>
  <c r="AI57" i="14" s="1"/>
  <c r="AI243" i="13"/>
  <c r="AI243" i="14" s="1"/>
  <c r="AH26" i="8"/>
  <c r="AI26" i="8" s="1"/>
  <c r="AI122" i="13"/>
  <c r="AI122" i="14" s="1"/>
  <c r="AI295" i="13"/>
  <c r="AI295" i="14" s="1"/>
  <c r="AI45" i="13"/>
  <c r="AI45" i="14" s="1"/>
  <c r="AB7" i="8"/>
  <c r="AB5" i="8"/>
  <c r="AI176" i="13"/>
  <c r="AI176" i="14" s="1"/>
  <c r="AI110" i="13"/>
  <c r="AI110" i="14" s="1"/>
  <c r="AI106" i="13"/>
  <c r="AI106" i="14" s="1"/>
  <c r="AI299" i="13"/>
  <c r="AI274" i="13"/>
  <c r="AI29" i="13"/>
  <c r="AI374" i="13"/>
  <c r="AI374" i="14" s="1"/>
  <c r="AI366" i="13"/>
  <c r="AI366" i="14" s="1"/>
  <c r="AI80" i="13"/>
  <c r="AI171" i="13"/>
  <c r="AI171" i="14" s="1"/>
  <c r="AI361" i="13"/>
  <c r="AI96" i="13"/>
  <c r="AI96" i="14" s="1"/>
  <c r="AI281" i="13"/>
  <c r="AI281" i="14" s="1"/>
  <c r="AI336" i="13"/>
  <c r="AI329" i="13"/>
  <c r="AI329" i="14" s="1"/>
  <c r="AI229" i="13"/>
  <c r="AI229" i="14" s="1"/>
  <c r="AI365" i="13"/>
  <c r="AI365" i="14" s="1"/>
  <c r="AI175" i="13"/>
  <c r="AI58" i="13"/>
  <c r="AI58" i="14" s="1"/>
  <c r="AI323" i="13"/>
  <c r="AI323" i="14" s="1"/>
  <c r="E308" i="14"/>
  <c r="AC15" i="14" a="1"/>
  <c r="AC15" i="14" s="1"/>
  <c r="AV19" i="16"/>
  <c r="CC19" i="16" s="1"/>
  <c r="CN19" i="16" s="1"/>
  <c r="AV33" i="16"/>
  <c r="CC33" i="16" s="1"/>
  <c r="CN33" i="16" s="1"/>
  <c r="AW22" i="16"/>
  <c r="CD22" i="16" s="1"/>
  <c r="CO22" i="16" s="1"/>
  <c r="AW36" i="16"/>
  <c r="CD36" i="16" s="1"/>
  <c r="CO36" i="16" s="1"/>
  <c r="AW8" i="16"/>
  <c r="CD8" i="16" s="1"/>
  <c r="CO8" i="16" s="1"/>
  <c r="AW18" i="16"/>
  <c r="CD18" i="16" s="1"/>
  <c r="CO18" i="16" s="1"/>
  <c r="AV20" i="16"/>
  <c r="CC20" i="16" s="1"/>
  <c r="CN20" i="16" s="1"/>
  <c r="AV34" i="16"/>
  <c r="CC34" i="16" s="1"/>
  <c r="CN34" i="16" s="1"/>
  <c r="AV52" i="16"/>
  <c r="CC52" i="16" s="1"/>
  <c r="AW23" i="16"/>
  <c r="AW37" i="16"/>
  <c r="CD37" i="16" s="1"/>
  <c r="CO37" i="16" s="1"/>
  <c r="AV8" i="16"/>
  <c r="AA16" i="1" s="1"/>
  <c r="AQ16" i="1" s="1"/>
  <c r="AW16" i="16"/>
  <c r="CD16" i="16" s="1"/>
  <c r="CO16" i="16" s="1"/>
  <c r="AV14" i="16"/>
  <c r="CC14" i="16" s="1"/>
  <c r="CN14" i="16" s="1"/>
  <c r="AW17" i="16"/>
  <c r="AV15" i="16"/>
  <c r="CC15" i="16" s="1"/>
  <c r="CN15" i="16" s="1"/>
  <c r="AW32" i="16"/>
  <c r="AV30" i="16"/>
  <c r="CC30" i="16" s="1"/>
  <c r="CN30" i="16" s="1"/>
  <c r="AW33" i="16"/>
  <c r="AV17" i="16"/>
  <c r="CC17" i="16" s="1"/>
  <c r="CN17" i="16" s="1"/>
  <c r="AW52" i="16"/>
  <c r="CD52" i="16" s="1"/>
  <c r="AV32" i="16"/>
  <c r="CC32" i="16" s="1"/>
  <c r="CN32" i="16" s="1"/>
  <c r="AW35" i="16"/>
  <c r="AV21" i="16"/>
  <c r="CC21" i="16" s="1"/>
  <c r="CN21" i="16" s="1"/>
  <c r="AV35" i="16"/>
  <c r="CC35" i="16" s="1"/>
  <c r="CN35" i="16" s="1"/>
  <c r="AW10" i="16"/>
  <c r="CD10" i="16" s="1"/>
  <c r="CO10" i="16" s="1"/>
  <c r="AW24" i="16"/>
  <c r="AW38" i="16"/>
  <c r="AV22" i="16"/>
  <c r="CC22" i="16" s="1"/>
  <c r="CN22" i="16" s="1"/>
  <c r="AV36" i="16"/>
  <c r="CC36" i="16" s="1"/>
  <c r="CN36" i="16" s="1"/>
  <c r="AW11" i="16"/>
  <c r="CD11" i="16" s="1"/>
  <c r="AW25" i="16"/>
  <c r="CD25" i="16" s="1"/>
  <c r="CO25" i="16" s="1"/>
  <c r="AW39" i="16"/>
  <c r="AV9" i="16"/>
  <c r="CC9" i="16" s="1"/>
  <c r="CN9" i="16" s="1"/>
  <c r="AV23" i="16"/>
  <c r="CC23" i="16" s="1"/>
  <c r="CN23" i="16" s="1"/>
  <c r="AV37" i="16"/>
  <c r="CC37" i="16" s="1"/>
  <c r="CN37" i="16" s="1"/>
  <c r="AW12" i="16"/>
  <c r="AW26" i="16"/>
  <c r="AW40" i="16"/>
  <c r="CD40" i="16" s="1"/>
  <c r="CO40" i="16" s="1"/>
  <c r="AV10" i="16"/>
  <c r="CC10" i="16" s="1"/>
  <c r="CN10" i="16" s="1"/>
  <c r="AV24" i="16"/>
  <c r="CC24" i="16" s="1"/>
  <c r="CN24" i="16" s="1"/>
  <c r="AV38" i="16"/>
  <c r="CC38" i="16" s="1"/>
  <c r="AW13" i="16"/>
  <c r="AW27" i="16"/>
  <c r="AV27" i="16"/>
  <c r="CC27" i="16" s="1"/>
  <c r="CN27" i="16" s="1"/>
  <c r="AW30" i="16"/>
  <c r="AV28" i="16"/>
  <c r="CC28" i="16" s="1"/>
  <c r="CN28" i="16" s="1"/>
  <c r="AW31" i="16"/>
  <c r="AV29" i="16"/>
  <c r="CC29" i="16" s="1"/>
  <c r="CN29" i="16" s="1"/>
  <c r="AV16" i="16"/>
  <c r="CC16" i="16" s="1"/>
  <c r="CN16" i="16" s="1"/>
  <c r="AW19" i="16"/>
  <c r="AV31" i="16"/>
  <c r="CC31" i="16" s="1"/>
  <c r="CN31" i="16" s="1"/>
  <c r="AW20" i="16"/>
  <c r="AW34" i="16"/>
  <c r="CD34" i="16" s="1"/>
  <c r="CO34" i="16" s="1"/>
  <c r="AV18" i="16"/>
  <c r="CC18" i="16" s="1"/>
  <c r="CN18" i="16" s="1"/>
  <c r="AW21" i="16"/>
  <c r="AW9" i="16"/>
  <c r="CD9" i="16" s="1"/>
  <c r="CO9" i="16" s="1"/>
  <c r="AV11" i="16"/>
  <c r="CC11" i="16" s="1"/>
  <c r="CN11" i="16" s="1"/>
  <c r="AV25" i="16"/>
  <c r="CC25" i="16" s="1"/>
  <c r="CN25" i="16" s="1"/>
  <c r="AV39" i="16"/>
  <c r="CC39" i="16" s="1"/>
  <c r="CN39" i="16" s="1"/>
  <c r="AW14" i="16"/>
  <c r="CD14" i="16" s="1"/>
  <c r="CO14" i="16" s="1"/>
  <c r="AW28" i="16"/>
  <c r="AV12" i="16"/>
  <c r="CC12" i="16" s="1"/>
  <c r="CN12" i="16" s="1"/>
  <c r="AV26" i="16"/>
  <c r="CC26" i="16" s="1"/>
  <c r="CN26" i="16" s="1"/>
  <c r="AV40" i="16"/>
  <c r="CC40" i="16" s="1"/>
  <c r="CN40" i="16" s="1"/>
  <c r="AW15" i="16"/>
  <c r="CD15" i="16" s="1"/>
  <c r="CO15" i="16" s="1"/>
  <c r="AW29" i="16"/>
  <c r="AV13" i="16"/>
  <c r="CC13" i="16" s="1"/>
  <c r="CN13" i="16" s="1"/>
  <c r="D6" i="18"/>
  <c r="D3" i="18"/>
  <c r="BB15" i="16"/>
  <c r="BB14" i="16"/>
  <c r="BA15" i="16"/>
  <c r="BA14" i="16"/>
  <c r="AZ15" i="16"/>
  <c r="AZ14" i="16"/>
  <c r="AY15" i="16"/>
  <c r="AY14" i="16"/>
  <c r="AX15" i="16"/>
  <c r="AX14" i="16"/>
  <c r="AG198" i="13"/>
  <c r="AG257" i="13"/>
  <c r="AG36" i="13"/>
  <c r="AG36" i="14" s="1"/>
  <c r="AG128" i="13"/>
  <c r="AG128" i="14" s="1"/>
  <c r="AG282" i="13"/>
  <c r="AG282" i="14" s="1"/>
  <c r="BC48" i="16"/>
  <c r="BB48" i="16"/>
  <c r="BE48" i="16"/>
  <c r="CA48" i="16" s="1"/>
  <c r="AX48" i="16"/>
  <c r="BD48" i="16"/>
  <c r="BF48" i="16"/>
  <c r="BA48" i="16"/>
  <c r="AY48" i="16"/>
  <c r="AZ48" i="16"/>
  <c r="AY20" i="16"/>
  <c r="BB20" i="16"/>
  <c r="AX20" i="16"/>
  <c r="BC20" i="16"/>
  <c r="AX19" i="16"/>
  <c r="BA19" i="16"/>
  <c r="AY19" i="16"/>
  <c r="BD20" i="16"/>
  <c r="BF21" i="16"/>
  <c r="CB21" i="16" s="1"/>
  <c r="BE20" i="16"/>
  <c r="CA20" i="16" s="1"/>
  <c r="BE21" i="16"/>
  <c r="BF20" i="16"/>
  <c r="CB20" i="16" s="1"/>
  <c r="BD21" i="16"/>
  <c r="BF19" i="16"/>
  <c r="CB19" i="16" s="1"/>
  <c r="BC21" i="16"/>
  <c r="BE19" i="16"/>
  <c r="BB21" i="16"/>
  <c r="BD19" i="16"/>
  <c r="BA21" i="16"/>
  <c r="BC19" i="16"/>
  <c r="AY21" i="16"/>
  <c r="BB19" i="16"/>
  <c r="AZ21" i="16"/>
  <c r="AZ19" i="16"/>
  <c r="AZ20" i="16"/>
  <c r="BA20" i="16"/>
  <c r="AX21" i="16"/>
  <c r="AG48" i="13"/>
  <c r="AG318" i="13"/>
  <c r="BB16" i="16"/>
  <c r="BA18" i="16"/>
  <c r="BA17" i="16"/>
  <c r="BA16" i="16"/>
  <c r="AZ18" i="16"/>
  <c r="AZ17" i="16"/>
  <c r="AZ16" i="16"/>
  <c r="AY18" i="16"/>
  <c r="AY17" i="16"/>
  <c r="AY16" i="16"/>
  <c r="AX18" i="16"/>
  <c r="AX17" i="16"/>
  <c r="BB18" i="16"/>
  <c r="AX16" i="16"/>
  <c r="BB17" i="16"/>
  <c r="BC47" i="16"/>
  <c r="BE47" i="16"/>
  <c r="AY47" i="16"/>
  <c r="BF47" i="16"/>
  <c r="CB47" i="16" s="1"/>
  <c r="BD47" i="16"/>
  <c r="BB47" i="16"/>
  <c r="AZ47" i="16"/>
  <c r="BA47" i="16"/>
  <c r="AX47" i="16"/>
  <c r="AG240" i="13"/>
  <c r="BD50" i="16"/>
  <c r="BA50" i="16"/>
  <c r="BA49" i="16"/>
  <c r="AY50" i="16"/>
  <c r="BF50" i="16"/>
  <c r="CB50" i="16" s="1"/>
  <c r="AX50" i="16"/>
  <c r="BC50" i="16"/>
  <c r="BC49" i="16"/>
  <c r="AZ50" i="16"/>
  <c r="AY49" i="16"/>
  <c r="BB49" i="16"/>
  <c r="BB50" i="16"/>
  <c r="AZ49" i="16"/>
  <c r="BF49" i="16"/>
  <c r="CB49" i="16" s="1"/>
  <c r="BE50" i="16"/>
  <c r="CA50" i="16" s="1"/>
  <c r="AX49" i="16"/>
  <c r="BE49" i="16"/>
  <c r="CA49" i="16" s="1"/>
  <c r="BD49" i="16"/>
  <c r="AG4" i="13"/>
  <c r="BF46" i="16"/>
  <c r="CB46" i="16" s="1"/>
  <c r="AY45" i="16"/>
  <c r="AX46" i="16"/>
  <c r="AZ45" i="16"/>
  <c r="BE46" i="16"/>
  <c r="AX45" i="16"/>
  <c r="BB45" i="16"/>
  <c r="BA46" i="16"/>
  <c r="BA45" i="16"/>
  <c r="AY46" i="16"/>
  <c r="BE45" i="16"/>
  <c r="CA45" i="16" s="1"/>
  <c r="BC45" i="16"/>
  <c r="AZ46" i="16"/>
  <c r="BF45" i="16"/>
  <c r="BD45" i="16"/>
  <c r="BD46" i="16"/>
  <c r="BC46" i="16"/>
  <c r="BB46" i="16"/>
  <c r="BF44" i="16"/>
  <c r="CB44" i="16" s="1"/>
  <c r="AZ44" i="16"/>
  <c r="BB44" i="16"/>
  <c r="AY44" i="16"/>
  <c r="BE44" i="16"/>
  <c r="CA44" i="16" s="1"/>
  <c r="AX44" i="16"/>
  <c r="BC44" i="16"/>
  <c r="BD44" i="16"/>
  <c r="BA44" i="16"/>
  <c r="AG288" i="13"/>
  <c r="AG252" i="13"/>
  <c r="AG124" i="13"/>
  <c r="AG124" i="14" s="1"/>
  <c r="AG65" i="13"/>
  <c r="AG162" i="13"/>
  <c r="AG162" i="14" s="1"/>
  <c r="AG331" i="13"/>
  <c r="AG18" i="13"/>
  <c r="AG184" i="13"/>
  <c r="AK11" i="18" a="1"/>
  <c r="AK11" i="18" s="1"/>
  <c r="AK14" i="18" a="1"/>
  <c r="AK14" i="18" s="1"/>
  <c r="AK20" i="18" a="1"/>
  <c r="AK20" i="18" s="1"/>
  <c r="AK23" i="18" a="1"/>
  <c r="AK23" i="18" s="1"/>
  <c r="AK26" i="18" a="1"/>
  <c r="AK26" i="18" s="1"/>
  <c r="AK69" i="18" a="1"/>
  <c r="AK69" i="18" s="1"/>
  <c r="AK72" i="18" a="1"/>
  <c r="AK72" i="18" s="1"/>
  <c r="AK75" i="18" a="1"/>
  <c r="AK75" i="18" s="1"/>
  <c r="AK118" i="18" a="1"/>
  <c r="AK118" i="18" s="1"/>
  <c r="AK121" i="18" a="1"/>
  <c r="AK121" i="18" s="1"/>
  <c r="AK124" i="18" a="1"/>
  <c r="AK124" i="18" s="1"/>
  <c r="AK213" i="18" a="1"/>
  <c r="AK213" i="18" s="1"/>
  <c r="AK220" i="18" a="1"/>
  <c r="AK220" i="18" s="1"/>
  <c r="AK227" i="18" a="1"/>
  <c r="AK227" i="18" s="1"/>
  <c r="AK234" i="18" a="1"/>
  <c r="AK234" i="18" s="1"/>
  <c r="AK241" i="18" a="1"/>
  <c r="AK241" i="18" s="1"/>
  <c r="AK17" i="18" a="1"/>
  <c r="AK17" i="18" s="1"/>
  <c r="AK57" i="18" a="1"/>
  <c r="AK57" i="18" s="1"/>
  <c r="AK60" i="18" a="1"/>
  <c r="AK60" i="18" s="1"/>
  <c r="AK63" i="18" a="1"/>
  <c r="AK63" i="18" s="1"/>
  <c r="AK66" i="18" a="1"/>
  <c r="AK66" i="18" s="1"/>
  <c r="AK106" i="18" a="1"/>
  <c r="AK106" i="18" s="1"/>
  <c r="AK109" i="18" a="1"/>
  <c r="AK109" i="18" s="1"/>
  <c r="AK112" i="18" a="1"/>
  <c r="AK112" i="18" s="1"/>
  <c r="AK115" i="18" a="1"/>
  <c r="AK115" i="18" s="1"/>
  <c r="AK150" i="18" a="1"/>
  <c r="AK150" i="18" s="1"/>
  <c r="AK159" i="18" a="1"/>
  <c r="AK159" i="18" s="1"/>
  <c r="AK166" i="18" a="1"/>
  <c r="AK166" i="18" s="1"/>
  <c r="AK173" i="18" a="1"/>
  <c r="AK173" i="18" s="1"/>
  <c r="AK180" i="18" a="1"/>
  <c r="AK180" i="18" s="1"/>
  <c r="AK185" i="18" a="1"/>
  <c r="AK185" i="18" s="1"/>
  <c r="AK192" i="18" a="1"/>
  <c r="AK192" i="18" s="1"/>
  <c r="AK199" i="18" a="1"/>
  <c r="AK199" i="18" s="1"/>
  <c r="AK206" i="18" a="1"/>
  <c r="AK206" i="18" s="1"/>
  <c r="AK8" i="18" a="1"/>
  <c r="AK8" i="18" s="1"/>
  <c r="AK48" i="18" a="1"/>
  <c r="AK48" i="18" s="1"/>
  <c r="AK51" i="18" a="1"/>
  <c r="AK51" i="18" s="1"/>
  <c r="AK54" i="18" a="1"/>
  <c r="AK54" i="18" s="1"/>
  <c r="AK97" i="18" a="1"/>
  <c r="AK97" i="18" s="1"/>
  <c r="AK100" i="18" a="1"/>
  <c r="AK100" i="18" s="1"/>
  <c r="AK103" i="18" a="1"/>
  <c r="AK103" i="18" s="1"/>
  <c r="AK144" i="18" a="1"/>
  <c r="AK144" i="18" s="1"/>
  <c r="AK147" i="18" a="1"/>
  <c r="AK147" i="18" s="1"/>
  <c r="AK36" i="18" a="1"/>
  <c r="AK36" i="18" s="1"/>
  <c r="AK39" i="18" a="1"/>
  <c r="AK39" i="18" s="1"/>
  <c r="AK42" i="18" a="1"/>
  <c r="AK42" i="18" s="1"/>
  <c r="AK45" i="18" a="1"/>
  <c r="AK45" i="18" s="1"/>
  <c r="AK85" i="18" a="1"/>
  <c r="AK85" i="18" s="1"/>
  <c r="AK88" i="18" a="1"/>
  <c r="AK88" i="18" s="1"/>
  <c r="AK91" i="18" a="1"/>
  <c r="AK91" i="18" s="1"/>
  <c r="AK94" i="18" a="1"/>
  <c r="AK94" i="18" s="1"/>
  <c r="AK132" i="18" a="1"/>
  <c r="AK132" i="18" s="1"/>
  <c r="AK135" i="18" a="1"/>
  <c r="AK135" i="18" s="1"/>
  <c r="AK138" i="18" a="1"/>
  <c r="AK138" i="18" s="1"/>
  <c r="AK141" i="18" a="1"/>
  <c r="AK141" i="18" s="1"/>
  <c r="AK153" i="18" a="1"/>
  <c r="AK153" i="18" s="1"/>
  <c r="AK156" i="18" a="1"/>
  <c r="AK156" i="18" s="1"/>
  <c r="AK163" i="18" a="1"/>
  <c r="AK163" i="18" s="1"/>
  <c r="AK170" i="18" a="1"/>
  <c r="AK170" i="18" s="1"/>
  <c r="AK177" i="18" a="1"/>
  <c r="AK177" i="18" s="1"/>
  <c r="AK182" i="18" a="1"/>
  <c r="AK182" i="18" s="1"/>
  <c r="AK189" i="18" a="1"/>
  <c r="AK189" i="18" s="1"/>
  <c r="AK15" i="18" a="1"/>
  <c r="AK15" i="18" s="1"/>
  <c r="AK27" i="18" a="1"/>
  <c r="AK27" i="18" s="1"/>
  <c r="AK30" i="18" a="1"/>
  <c r="AK30" i="18" s="1"/>
  <c r="AK33" i="18" a="1"/>
  <c r="AK33" i="18" s="1"/>
  <c r="AK76" i="18" a="1"/>
  <c r="AK76" i="18" s="1"/>
  <c r="AK79" i="18" a="1"/>
  <c r="AK79" i="18" s="1"/>
  <c r="AK82" i="18" a="1"/>
  <c r="AK82" i="18" s="1"/>
  <c r="AK125" i="18" a="1"/>
  <c r="AK125" i="18" s="1"/>
  <c r="AK3" i="18" a="1"/>
  <c r="AK3" i="18" s="1"/>
  <c r="AK129" i="18" a="1"/>
  <c r="AK129" i="18" s="1"/>
  <c r="AK12" i="18" a="1"/>
  <c r="AK12" i="18" s="1"/>
  <c r="AK18" i="18" a="1"/>
  <c r="AK18" i="18" s="1"/>
  <c r="AK21" i="18" a="1"/>
  <c r="AK21" i="18" s="1"/>
  <c r="AK24" i="18" a="1"/>
  <c r="AK24" i="18" s="1"/>
  <c r="AK64" i="18" a="1"/>
  <c r="AK64" i="18" s="1"/>
  <c r="AK67" i="18" a="1"/>
  <c r="AK67" i="18" s="1"/>
  <c r="AK70" i="18" a="1"/>
  <c r="AK70" i="18" s="1"/>
  <c r="AK73" i="18" a="1"/>
  <c r="AK73" i="18" s="1"/>
  <c r="AK113" i="18" a="1"/>
  <c r="AK113" i="18" s="1"/>
  <c r="AK116" i="18" a="1"/>
  <c r="AK116" i="18" s="1"/>
  <c r="AK119" i="18" a="1"/>
  <c r="AK119" i="18" s="1"/>
  <c r="AK122" i="18" a="1"/>
  <c r="AK122" i="18" s="1"/>
  <c r="AK160" i="18" a="1"/>
  <c r="AK160" i="18" s="1"/>
  <c r="AK167" i="18" a="1"/>
  <c r="AK167" i="18" s="1"/>
  <c r="AK174" i="18" a="1"/>
  <c r="AK174" i="18" s="1"/>
  <c r="AK181" i="18" a="1"/>
  <c r="AK181" i="18" s="1"/>
  <c r="AK9" i="18" a="1"/>
  <c r="AK9" i="18" s="1"/>
  <c r="AK55" i="18" a="1"/>
  <c r="AK55" i="18" s="1"/>
  <c r="AK58" i="18" a="1"/>
  <c r="AK58" i="18" s="1"/>
  <c r="AK61" i="18" a="1"/>
  <c r="AK61" i="18" s="1"/>
  <c r="AK104" i="18" a="1"/>
  <c r="AK104" i="18" s="1"/>
  <c r="AK107" i="18" a="1"/>
  <c r="AK107" i="18" s="1"/>
  <c r="AK110" i="18" a="1"/>
  <c r="AK110" i="18" s="1"/>
  <c r="AK183" i="18" a="1"/>
  <c r="AK183" i="18" s="1"/>
  <c r="AK190" i="18" a="1"/>
  <c r="AK190" i="18" s="1"/>
  <c r="AK197" i="18" a="1"/>
  <c r="AK197" i="18" s="1"/>
  <c r="AK204" i="18" a="1"/>
  <c r="AK204" i="18" s="1"/>
  <c r="AK211" i="18" a="1"/>
  <c r="AK211" i="18" s="1"/>
  <c r="AK43" i="18" a="1"/>
  <c r="AK43" i="18" s="1"/>
  <c r="AK46" i="18" a="1"/>
  <c r="AK46" i="18" s="1"/>
  <c r="AK49" i="18" a="1"/>
  <c r="AK49" i="18" s="1"/>
  <c r="AK52" i="18" a="1"/>
  <c r="AK52" i="18" s="1"/>
  <c r="AK92" i="18" a="1"/>
  <c r="AK92" i="18" s="1"/>
  <c r="AK95" i="18" a="1"/>
  <c r="AK95" i="18" s="1"/>
  <c r="AK98" i="18" a="1"/>
  <c r="AK98" i="18" s="1"/>
  <c r="AK101" i="18" a="1"/>
  <c r="AK101" i="18" s="1"/>
  <c r="AK139" i="18" a="1"/>
  <c r="AK139" i="18" s="1"/>
  <c r="AK142" i="18" a="1"/>
  <c r="AK142" i="18" s="1"/>
  <c r="AK145" i="18" a="1"/>
  <c r="AK145" i="18" s="1"/>
  <c r="AK148" i="18" a="1"/>
  <c r="AK148" i="18" s="1"/>
  <c r="AK151" i="18" a="1"/>
  <c r="AK151" i="18" s="1"/>
  <c r="AK157" i="18" a="1"/>
  <c r="AK157" i="18" s="1"/>
  <c r="AK164" i="18" a="1"/>
  <c r="AK164" i="18" s="1"/>
  <c r="AK171" i="18" a="1"/>
  <c r="AK171" i="18" s="1"/>
  <c r="AK178" i="18" a="1"/>
  <c r="AK178" i="18" s="1"/>
  <c r="AK218" i="18" a="1"/>
  <c r="AK218" i="18" s="1"/>
  <c r="AK225" i="18" a="1"/>
  <c r="AK225" i="18" s="1"/>
  <c r="AK232" i="18" a="1"/>
  <c r="AK232" i="18" s="1"/>
  <c r="AK34" i="18" a="1"/>
  <c r="AK34" i="18" s="1"/>
  <c r="AK37" i="18" a="1"/>
  <c r="AK37" i="18" s="1"/>
  <c r="AK40" i="18" a="1"/>
  <c r="AK40" i="18" s="1"/>
  <c r="AK83" i="18" a="1"/>
  <c r="AK83" i="18" s="1"/>
  <c r="AK86" i="18" a="1"/>
  <c r="AK86" i="18" s="1"/>
  <c r="AK89" i="18" a="1"/>
  <c r="AK89" i="18" s="1"/>
  <c r="AK130" i="18" a="1"/>
  <c r="AK130" i="18" s="1"/>
  <c r="AK133" i="18" a="1"/>
  <c r="AK133" i="18" s="1"/>
  <c r="AK136" i="18" a="1"/>
  <c r="AK136" i="18" s="1"/>
  <c r="AK13" i="18" a="1"/>
  <c r="AK13" i="18" s="1"/>
  <c r="AK22" i="18" a="1"/>
  <c r="AK22" i="18" s="1"/>
  <c r="AK25" i="18" a="1"/>
  <c r="AK25" i="18" s="1"/>
  <c r="AK28" i="18" a="1"/>
  <c r="AK28" i="18" s="1"/>
  <c r="AK31" i="18" a="1"/>
  <c r="AK31" i="18" s="1"/>
  <c r="AK71" i="18" a="1"/>
  <c r="AK71" i="18" s="1"/>
  <c r="AK74" i="18" a="1"/>
  <c r="AK74" i="18" s="1"/>
  <c r="AK77" i="18" a="1"/>
  <c r="AK77" i="18" s="1"/>
  <c r="AK80" i="18" a="1"/>
  <c r="AK80" i="18" s="1"/>
  <c r="AK120" i="18" a="1"/>
  <c r="AK120" i="18" s="1"/>
  <c r="AK123" i="18" a="1"/>
  <c r="AK123" i="18" s="1"/>
  <c r="AK126" i="18" a="1"/>
  <c r="AK126" i="18" s="1"/>
  <c r="AK4" i="18" a="1"/>
  <c r="AK4" i="18" s="1"/>
  <c r="AK154" i="18" a="1"/>
  <c r="AK154" i="18" s="1"/>
  <c r="AK161" i="18" a="1"/>
  <c r="AK161" i="18" s="1"/>
  <c r="AK168" i="18" a="1"/>
  <c r="AK168" i="18" s="1"/>
  <c r="AK175" i="18" a="1"/>
  <c r="AK175" i="18" s="1"/>
  <c r="AK5" i="18" a="1"/>
  <c r="AK5" i="18" s="1"/>
  <c r="AK187" i="18" a="1"/>
  <c r="AK187" i="18" s="1"/>
  <c r="AK10" i="18" a="1"/>
  <c r="AK10" i="18" s="1"/>
  <c r="AK16" i="18" a="1"/>
  <c r="AK16" i="18" s="1"/>
  <c r="AK19" i="18" a="1"/>
  <c r="AK19" i="18" s="1"/>
  <c r="AK62" i="18" a="1"/>
  <c r="AK62" i="18" s="1"/>
  <c r="AK65" i="18" a="1"/>
  <c r="AK65" i="18" s="1"/>
  <c r="AK68" i="18" a="1"/>
  <c r="AK68" i="18" s="1"/>
  <c r="AK111" i="18" a="1"/>
  <c r="AK111" i="18" s="1"/>
  <c r="AK114" i="18" a="1"/>
  <c r="AK114" i="18" s="1"/>
  <c r="AK117" i="18" a="1"/>
  <c r="AK117" i="18" s="1"/>
  <c r="AK50" i="18" a="1"/>
  <c r="AK50" i="18" s="1"/>
  <c r="AK53" i="18" a="1"/>
  <c r="AK53" i="18" s="1"/>
  <c r="AK56" i="18" a="1"/>
  <c r="AK56" i="18" s="1"/>
  <c r="AK59" i="18" a="1"/>
  <c r="AK59" i="18" s="1"/>
  <c r="AK99" i="18" a="1"/>
  <c r="AK99" i="18" s="1"/>
  <c r="AK102" i="18" a="1"/>
  <c r="AK102" i="18" s="1"/>
  <c r="AK105" i="18" a="1"/>
  <c r="AK105" i="18" s="1"/>
  <c r="AK108" i="18" a="1"/>
  <c r="AK108" i="18" s="1"/>
  <c r="AK146" i="18" a="1"/>
  <c r="AK146" i="18" s="1"/>
  <c r="AK149" i="18" a="1"/>
  <c r="AK149" i="18" s="1"/>
  <c r="AK158" i="18" a="1"/>
  <c r="AK158" i="18" s="1"/>
  <c r="AK165" i="18" a="1"/>
  <c r="AK165" i="18" s="1"/>
  <c r="AK172" i="18" a="1"/>
  <c r="AK172" i="18" s="1"/>
  <c r="AK179" i="18" a="1"/>
  <c r="AK179" i="18" s="1"/>
  <c r="AK184" i="18" a="1"/>
  <c r="AK184" i="18" s="1"/>
  <c r="AK191" i="18" a="1"/>
  <c r="AK191" i="18" s="1"/>
  <c r="AK198" i="18" a="1"/>
  <c r="AK198" i="18" s="1"/>
  <c r="AK205" i="18" a="1"/>
  <c r="AK205" i="18" s="1"/>
  <c r="AK41" i="18" a="1"/>
  <c r="AK41" i="18" s="1"/>
  <c r="AK44" i="18" a="1"/>
  <c r="AK44" i="18" s="1"/>
  <c r="AK47" i="18" a="1"/>
  <c r="AK47" i="18" s="1"/>
  <c r="AK90" i="18" a="1"/>
  <c r="AK90" i="18" s="1"/>
  <c r="AK93" i="18" a="1"/>
  <c r="AK93" i="18" s="1"/>
  <c r="AK96" i="18" a="1"/>
  <c r="AK96" i="18" s="1"/>
  <c r="AK137" i="18" a="1"/>
  <c r="AK137" i="18" s="1"/>
  <c r="AK140" i="18" a="1"/>
  <c r="AK140" i="18" s="1"/>
  <c r="AK143" i="18" a="1"/>
  <c r="AK143" i="18" s="1"/>
  <c r="AK29" i="18" a="1"/>
  <c r="AK29" i="18" s="1"/>
  <c r="AK32" i="18" a="1"/>
  <c r="AK32" i="18" s="1"/>
  <c r="AK35" i="18" a="1"/>
  <c r="AK35" i="18" s="1"/>
  <c r="AK38" i="18" a="1"/>
  <c r="AK38" i="18" s="1"/>
  <c r="AK78" i="18" a="1"/>
  <c r="AK78" i="18" s="1"/>
  <c r="AK81" i="18" a="1"/>
  <c r="AK81" i="18" s="1"/>
  <c r="AK84" i="18" a="1"/>
  <c r="AK84" i="18" s="1"/>
  <c r="AK87" i="18" a="1"/>
  <c r="AK87" i="18" s="1"/>
  <c r="AK127" i="18" a="1"/>
  <c r="AK127" i="18" s="1"/>
  <c r="AK128" i="18" a="1"/>
  <c r="AK128" i="18" s="1"/>
  <c r="AK131" i="18" a="1"/>
  <c r="AK131" i="18" s="1"/>
  <c r="AK134" i="18" a="1"/>
  <c r="AK134" i="18" s="1"/>
  <c r="AK152" i="18" a="1"/>
  <c r="AK152" i="18" s="1"/>
  <c r="AK155" i="18" a="1"/>
  <c r="AK155" i="18" s="1"/>
  <c r="AK162" i="18" a="1"/>
  <c r="AK162" i="18" s="1"/>
  <c r="AK169" i="18" a="1"/>
  <c r="AK169" i="18" s="1"/>
  <c r="AK176" i="18" a="1"/>
  <c r="AK176" i="18" s="1"/>
  <c r="AK6" i="18" a="1"/>
  <c r="AK6" i="18" s="1"/>
  <c r="AK188" i="18" a="1"/>
  <c r="AK188" i="18" s="1"/>
  <c r="AK195" i="18" a="1"/>
  <c r="AK195" i="18" s="1"/>
  <c r="AK202" i="18" a="1"/>
  <c r="AK202" i="18" s="1"/>
  <c r="AK209" i="18" a="1"/>
  <c r="AK209" i="18" s="1"/>
  <c r="AK216" i="18" a="1"/>
  <c r="AK216" i="18" s="1"/>
  <c r="AK223" i="18" a="1"/>
  <c r="AK223" i="18" s="1"/>
  <c r="AK230" i="18" a="1"/>
  <c r="AK230" i="18" s="1"/>
  <c r="AK237" i="18" a="1"/>
  <c r="AK237" i="18" s="1"/>
  <c r="AK244" i="18" a="1"/>
  <c r="AK244" i="18" s="1"/>
  <c r="AK240" i="18" a="1"/>
  <c r="AK240" i="18" s="1"/>
  <c r="AK228" i="18" a="1"/>
  <c r="AK228" i="18" s="1"/>
  <c r="AK7" i="18" a="1"/>
  <c r="AK7" i="18" s="1"/>
  <c r="AK186" i="18" a="1"/>
  <c r="AK186" i="18" s="1"/>
  <c r="AK219" i="18" a="1"/>
  <c r="AK219" i="18" s="1"/>
  <c r="AK207" i="18" a="1"/>
  <c r="AK207" i="18" s="1"/>
  <c r="AK229" i="18" a="1"/>
  <c r="AK229" i="18" s="1"/>
  <c r="AK235" i="18" a="1"/>
  <c r="AK235" i="18" s="1"/>
  <c r="AK208" i="18" a="1"/>
  <c r="AK208" i="18" s="1"/>
  <c r="AK221" i="18" a="1"/>
  <c r="AK221" i="18" s="1"/>
  <c r="AK193" i="18" a="1"/>
  <c r="AK193" i="18" s="1"/>
  <c r="AK210" i="18" a="1"/>
  <c r="AK210" i="18" s="1"/>
  <c r="AK222" i="18" a="1"/>
  <c r="AK222" i="18" s="1"/>
  <c r="AK194" i="18" a="1"/>
  <c r="AK194" i="18" s="1"/>
  <c r="AK236" i="18" a="1"/>
  <c r="AK236" i="18" s="1"/>
  <c r="AK242" i="18" a="1"/>
  <c r="AK242" i="18" s="1"/>
  <c r="AK196" i="18" a="1"/>
  <c r="AK196" i="18" s="1"/>
  <c r="AK224" i="18" a="1"/>
  <c r="AK224" i="18" s="1"/>
  <c r="AK231" i="18" a="1"/>
  <c r="AK231" i="18" s="1"/>
  <c r="AK212" i="18" a="1"/>
  <c r="AK212" i="18" s="1"/>
  <c r="AK214" i="18" a="1"/>
  <c r="AK214" i="18" s="1"/>
  <c r="AK238" i="18" a="1"/>
  <c r="AK238" i="18" s="1"/>
  <c r="AK243" i="18" a="1"/>
  <c r="AK243" i="18" s="1"/>
  <c r="AK200" i="18" a="1"/>
  <c r="AK200" i="18" s="1"/>
  <c r="AK215" i="18" a="1"/>
  <c r="AK215" i="18" s="1"/>
  <c r="AK201" i="18" a="1"/>
  <c r="AK201" i="18" s="1"/>
  <c r="AK226" i="18" a="1"/>
  <c r="AK226" i="18" s="1"/>
  <c r="AK203" i="18" a="1"/>
  <c r="AK203" i="18" s="1"/>
  <c r="AK217" i="18" a="1"/>
  <c r="AK217" i="18" s="1"/>
  <c r="AK233" i="18" a="1"/>
  <c r="AK233" i="18" s="1"/>
  <c r="AK239" i="18" a="1"/>
  <c r="AK239" i="18" s="1"/>
  <c r="AJ57" i="18" a="1"/>
  <c r="AJ57" i="18" s="1"/>
  <c r="AJ60" i="18" a="1"/>
  <c r="AJ60" i="18" s="1"/>
  <c r="AJ63" i="18" a="1"/>
  <c r="AJ63" i="18" s="1"/>
  <c r="AJ106" i="18" a="1"/>
  <c r="AJ106" i="18" s="1"/>
  <c r="AJ109" i="18" a="1"/>
  <c r="AJ109" i="18" s="1"/>
  <c r="AJ112" i="18" a="1"/>
  <c r="AJ112" i="18" s="1"/>
  <c r="AJ150" i="18" a="1"/>
  <c r="AJ150" i="18" s="1"/>
  <c r="AJ159" i="18" a="1"/>
  <c r="AJ159" i="18" s="1"/>
  <c r="AJ166" i="18" a="1"/>
  <c r="AJ166" i="18" s="1"/>
  <c r="AJ173" i="18" a="1"/>
  <c r="AJ173" i="18" s="1"/>
  <c r="AJ180" i="18" a="1"/>
  <c r="AJ180" i="18" s="1"/>
  <c r="AJ185" i="18" a="1"/>
  <c r="AJ185" i="18" s="1"/>
  <c r="AJ192" i="18" a="1"/>
  <c r="AJ192" i="18" s="1"/>
  <c r="AJ199" i="18" a="1"/>
  <c r="AJ199" i="18" s="1"/>
  <c r="AJ206" i="18" a="1"/>
  <c r="AJ206" i="18" s="1"/>
  <c r="AJ213" i="18" a="1"/>
  <c r="AJ213" i="18" s="1"/>
  <c r="AJ220" i="18" a="1"/>
  <c r="AJ220" i="18" s="1"/>
  <c r="AJ227" i="18" a="1"/>
  <c r="AJ227" i="18" s="1"/>
  <c r="AJ234" i="18" a="1"/>
  <c r="AJ234" i="18" s="1"/>
  <c r="AJ241" i="18" a="1"/>
  <c r="AJ241" i="18" s="1"/>
  <c r="AJ217" i="18" a="1"/>
  <c r="AJ217" i="18" s="1"/>
  <c r="AJ224" i="18" a="1"/>
  <c r="AJ224" i="18" s="1"/>
  <c r="AJ8" i="18" a="1"/>
  <c r="AJ8" i="18" s="1"/>
  <c r="AJ45" i="18" a="1"/>
  <c r="AJ45" i="18" s="1"/>
  <c r="AJ48" i="18" a="1"/>
  <c r="AJ48" i="18" s="1"/>
  <c r="AJ51" i="18" a="1"/>
  <c r="AJ51" i="18" s="1"/>
  <c r="AJ54" i="18" a="1"/>
  <c r="AJ54" i="18" s="1"/>
  <c r="AJ94" i="18" a="1"/>
  <c r="AJ94" i="18" s="1"/>
  <c r="AJ97" i="18" a="1"/>
  <c r="AJ97" i="18" s="1"/>
  <c r="AJ100" i="18" a="1"/>
  <c r="AJ100" i="18" s="1"/>
  <c r="AJ103" i="18" a="1"/>
  <c r="AJ103" i="18" s="1"/>
  <c r="AJ141" i="18" a="1"/>
  <c r="AJ141" i="18" s="1"/>
  <c r="AJ144" i="18" a="1"/>
  <c r="AJ144" i="18" s="1"/>
  <c r="AJ147" i="18" a="1"/>
  <c r="AJ147" i="18" s="1"/>
  <c r="AJ231" i="18" a="1"/>
  <c r="AJ231" i="18" s="1"/>
  <c r="AJ36" i="18" a="1"/>
  <c r="AJ36" i="18" s="1"/>
  <c r="AJ39" i="18" a="1"/>
  <c r="AJ39" i="18" s="1"/>
  <c r="AJ42" i="18" a="1"/>
  <c r="AJ42" i="18" s="1"/>
  <c r="AJ85" i="18" a="1"/>
  <c r="AJ85" i="18" s="1"/>
  <c r="AJ88" i="18" a="1"/>
  <c r="AJ88" i="18" s="1"/>
  <c r="AJ91" i="18" a="1"/>
  <c r="AJ91" i="18" s="1"/>
  <c r="AJ132" i="18" a="1"/>
  <c r="AJ132" i="18" s="1"/>
  <c r="AJ135" i="18" a="1"/>
  <c r="AJ135" i="18" s="1"/>
  <c r="AJ138" i="18" a="1"/>
  <c r="AJ138" i="18" s="1"/>
  <c r="AJ153" i="18" a="1"/>
  <c r="AJ153" i="18" s="1"/>
  <c r="AJ156" i="18" a="1"/>
  <c r="AJ156" i="18" s="1"/>
  <c r="AJ163" i="18" a="1"/>
  <c r="AJ163" i="18" s="1"/>
  <c r="AJ170" i="18" a="1"/>
  <c r="AJ170" i="18" s="1"/>
  <c r="AJ177" i="18" a="1"/>
  <c r="AJ177" i="18" s="1"/>
  <c r="AJ182" i="18" a="1"/>
  <c r="AJ182" i="18" s="1"/>
  <c r="AJ189" i="18" a="1"/>
  <c r="AJ189" i="18" s="1"/>
  <c r="AJ196" i="18" a="1"/>
  <c r="AJ196" i="18" s="1"/>
  <c r="AJ203" i="18" a="1"/>
  <c r="AJ203" i="18" s="1"/>
  <c r="AJ210" i="18" a="1"/>
  <c r="AJ210" i="18" s="1"/>
  <c r="AJ238" i="18" a="1"/>
  <c r="AJ238" i="18" s="1"/>
  <c r="AJ15" i="18" a="1"/>
  <c r="AJ15" i="18" s="1"/>
  <c r="AJ24" i="18" a="1"/>
  <c r="AJ24" i="18" s="1"/>
  <c r="AJ27" i="18" a="1"/>
  <c r="AJ27" i="18" s="1"/>
  <c r="AJ30" i="18" a="1"/>
  <c r="AJ30" i="18" s="1"/>
  <c r="AJ33" i="18" a="1"/>
  <c r="AJ33" i="18" s="1"/>
  <c r="AJ73" i="18" a="1"/>
  <c r="AJ73" i="18" s="1"/>
  <c r="AJ76" i="18" a="1"/>
  <c r="AJ76" i="18" s="1"/>
  <c r="AJ79" i="18" a="1"/>
  <c r="AJ79" i="18" s="1"/>
  <c r="AJ82" i="18" a="1"/>
  <c r="AJ82" i="18" s="1"/>
  <c r="AJ122" i="18" a="1"/>
  <c r="AJ122" i="18" s="1"/>
  <c r="AJ125" i="18" a="1"/>
  <c r="AJ125" i="18" s="1"/>
  <c r="AJ3" i="18" a="1"/>
  <c r="AJ3" i="18" s="1"/>
  <c r="AJ129" i="18" a="1"/>
  <c r="AJ129" i="18" s="1"/>
  <c r="AJ12" i="18" a="1"/>
  <c r="AJ12" i="18" s="1"/>
  <c r="AJ18" i="18" a="1"/>
  <c r="AJ18" i="18" s="1"/>
  <c r="AJ21" i="18" a="1"/>
  <c r="AJ21" i="18" s="1"/>
  <c r="AJ64" i="18" a="1"/>
  <c r="AJ64" i="18" s="1"/>
  <c r="AJ67" i="18" a="1"/>
  <c r="AJ67" i="18" s="1"/>
  <c r="AJ70" i="18" a="1"/>
  <c r="AJ70" i="18" s="1"/>
  <c r="AJ113" i="18" a="1"/>
  <c r="AJ113" i="18" s="1"/>
  <c r="AJ116" i="18" a="1"/>
  <c r="AJ116" i="18" s="1"/>
  <c r="AJ119" i="18" a="1"/>
  <c r="AJ119" i="18" s="1"/>
  <c r="AJ160" i="18" a="1"/>
  <c r="AJ160" i="18" s="1"/>
  <c r="AJ167" i="18" a="1"/>
  <c r="AJ167" i="18" s="1"/>
  <c r="AJ174" i="18" a="1"/>
  <c r="AJ174" i="18" s="1"/>
  <c r="AJ181" i="18" a="1"/>
  <c r="AJ181" i="18" s="1"/>
  <c r="AJ186" i="18" a="1"/>
  <c r="AJ186" i="18" s="1"/>
  <c r="AJ193" i="18" a="1"/>
  <c r="AJ193" i="18" s="1"/>
  <c r="AJ200" i="18" a="1"/>
  <c r="AJ200" i="18" s="1"/>
  <c r="AJ207" i="18" a="1"/>
  <c r="AJ207" i="18" s="1"/>
  <c r="AJ214" i="18" a="1"/>
  <c r="AJ214" i="18" s="1"/>
  <c r="AJ221" i="18" a="1"/>
  <c r="AJ221" i="18" s="1"/>
  <c r="AJ9" i="18" a="1"/>
  <c r="AJ9" i="18" s="1"/>
  <c r="AJ52" i="18" a="1"/>
  <c r="AJ52" i="18" s="1"/>
  <c r="AJ55" i="18" a="1"/>
  <c r="AJ55" i="18" s="1"/>
  <c r="AJ58" i="18" a="1"/>
  <c r="AJ58" i="18" s="1"/>
  <c r="AJ61" i="18" a="1"/>
  <c r="AJ61" i="18" s="1"/>
  <c r="AJ101" i="18" a="1"/>
  <c r="AJ101" i="18" s="1"/>
  <c r="AJ104" i="18" a="1"/>
  <c r="AJ104" i="18" s="1"/>
  <c r="AJ107" i="18" a="1"/>
  <c r="AJ107" i="18" s="1"/>
  <c r="AJ110" i="18" a="1"/>
  <c r="AJ110" i="18" s="1"/>
  <c r="AJ148" i="18" a="1"/>
  <c r="AJ148" i="18" s="1"/>
  <c r="AJ43" i="18" a="1"/>
  <c r="AJ43" i="18" s="1"/>
  <c r="AJ46" i="18" a="1"/>
  <c r="AJ46" i="18" s="1"/>
  <c r="AJ49" i="18" a="1"/>
  <c r="AJ49" i="18" s="1"/>
  <c r="AJ92" i="18" a="1"/>
  <c r="AJ92" i="18" s="1"/>
  <c r="AJ95" i="18" a="1"/>
  <c r="AJ95" i="18" s="1"/>
  <c r="AJ98" i="18" a="1"/>
  <c r="AJ98" i="18" s="1"/>
  <c r="AJ139" i="18" a="1"/>
  <c r="AJ139" i="18" s="1"/>
  <c r="AJ142" i="18" a="1"/>
  <c r="AJ142" i="18" s="1"/>
  <c r="AJ145" i="18" a="1"/>
  <c r="AJ145" i="18" s="1"/>
  <c r="AJ151" i="18" a="1"/>
  <c r="AJ151" i="18" s="1"/>
  <c r="AJ157" i="18" a="1"/>
  <c r="AJ157" i="18" s="1"/>
  <c r="AJ164" i="18" a="1"/>
  <c r="AJ164" i="18" s="1"/>
  <c r="AJ171" i="18" a="1"/>
  <c r="AJ171" i="18" s="1"/>
  <c r="AJ178" i="18" a="1"/>
  <c r="AJ178" i="18" s="1"/>
  <c r="AJ183" i="18" a="1"/>
  <c r="AJ183" i="18" s="1"/>
  <c r="AJ190" i="18" a="1"/>
  <c r="AJ190" i="18" s="1"/>
  <c r="AJ197" i="18" a="1"/>
  <c r="AJ197" i="18" s="1"/>
  <c r="AJ204" i="18" a="1"/>
  <c r="AJ204" i="18" s="1"/>
  <c r="AJ211" i="18" a="1"/>
  <c r="AJ211" i="18" s="1"/>
  <c r="AJ218" i="18" a="1"/>
  <c r="AJ218" i="18" s="1"/>
  <c r="AJ225" i="18" a="1"/>
  <c r="AJ225" i="18" s="1"/>
  <c r="AJ232" i="18" a="1"/>
  <c r="AJ232" i="18" s="1"/>
  <c r="AJ239" i="18" a="1"/>
  <c r="AJ239" i="18" s="1"/>
  <c r="AJ31" i="18" a="1"/>
  <c r="AJ31" i="18" s="1"/>
  <c r="AJ34" i="18" a="1"/>
  <c r="AJ34" i="18" s="1"/>
  <c r="AJ37" i="18" a="1"/>
  <c r="AJ37" i="18" s="1"/>
  <c r="AJ40" i="18" a="1"/>
  <c r="AJ40" i="18" s="1"/>
  <c r="AJ80" i="18" a="1"/>
  <c r="AJ80" i="18" s="1"/>
  <c r="AJ83" i="18" a="1"/>
  <c r="AJ83" i="18" s="1"/>
  <c r="AJ86" i="18" a="1"/>
  <c r="AJ86" i="18" s="1"/>
  <c r="AJ89" i="18" a="1"/>
  <c r="AJ89" i="18" s="1"/>
  <c r="AJ4" i="18" a="1"/>
  <c r="AJ4" i="18" s="1"/>
  <c r="AJ130" i="18" a="1"/>
  <c r="AJ130" i="18" s="1"/>
  <c r="AJ133" i="18" a="1"/>
  <c r="AJ133" i="18" s="1"/>
  <c r="AJ136" i="18" a="1"/>
  <c r="AJ136" i="18" s="1"/>
  <c r="AJ154" i="18" a="1"/>
  <c r="AJ154" i="18" s="1"/>
  <c r="AJ13" i="18" a="1"/>
  <c r="AJ13" i="18" s="1"/>
  <c r="AJ16" i="18" a="1"/>
  <c r="AJ16" i="18" s="1"/>
  <c r="AJ22" i="18" a="1"/>
  <c r="AJ22" i="18" s="1"/>
  <c r="AJ25" i="18" a="1"/>
  <c r="AJ25" i="18" s="1"/>
  <c r="AJ28" i="18" a="1"/>
  <c r="AJ28" i="18" s="1"/>
  <c r="AJ71" i="18" a="1"/>
  <c r="AJ71" i="18" s="1"/>
  <c r="AJ74" i="18" a="1"/>
  <c r="AJ74" i="18" s="1"/>
  <c r="AJ77" i="18" a="1"/>
  <c r="AJ77" i="18" s="1"/>
  <c r="AJ120" i="18" a="1"/>
  <c r="AJ120" i="18" s="1"/>
  <c r="AJ123" i="18" a="1"/>
  <c r="AJ123" i="18" s="1"/>
  <c r="AJ126" i="18" a="1"/>
  <c r="AJ126" i="18" s="1"/>
  <c r="AJ161" i="18" a="1"/>
  <c r="AJ161" i="18" s="1"/>
  <c r="AJ168" i="18" a="1"/>
  <c r="AJ168" i="18" s="1"/>
  <c r="AJ175" i="18" a="1"/>
  <c r="AJ175" i="18" s="1"/>
  <c r="AJ5" i="18" a="1"/>
  <c r="AJ5" i="18" s="1"/>
  <c r="AJ187" i="18" a="1"/>
  <c r="AJ187" i="18" s="1"/>
  <c r="AJ194" i="18" a="1"/>
  <c r="AJ194" i="18" s="1"/>
  <c r="AJ201" i="18" a="1"/>
  <c r="AJ201" i="18" s="1"/>
  <c r="AJ208" i="18" a="1"/>
  <c r="AJ208" i="18" s="1"/>
  <c r="AJ215" i="18" a="1"/>
  <c r="AJ215" i="18" s="1"/>
  <c r="AJ222" i="18" a="1"/>
  <c r="AJ222" i="18" s="1"/>
  <c r="AJ10" i="18" a="1"/>
  <c r="AJ10" i="18" s="1"/>
  <c r="AJ19" i="18" a="1"/>
  <c r="AJ19" i="18" s="1"/>
  <c r="AJ59" i="18" a="1"/>
  <c r="AJ59" i="18" s="1"/>
  <c r="AJ62" i="18" a="1"/>
  <c r="AJ62" i="18" s="1"/>
  <c r="AJ65" i="18" a="1"/>
  <c r="AJ65" i="18" s="1"/>
  <c r="AJ68" i="18" a="1"/>
  <c r="AJ68" i="18" s="1"/>
  <c r="AJ108" i="18" a="1"/>
  <c r="AJ108" i="18" s="1"/>
  <c r="AJ111" i="18" a="1"/>
  <c r="AJ111" i="18" s="1"/>
  <c r="AJ114" i="18" a="1"/>
  <c r="AJ114" i="18" s="1"/>
  <c r="AJ117" i="18" a="1"/>
  <c r="AJ117" i="18" s="1"/>
  <c r="AJ50" i="18" a="1"/>
  <c r="AJ50" i="18" s="1"/>
  <c r="AJ53" i="18" a="1"/>
  <c r="AJ53" i="18" s="1"/>
  <c r="AJ56" i="18" a="1"/>
  <c r="AJ56" i="18" s="1"/>
  <c r="AJ99" i="18" a="1"/>
  <c r="AJ99" i="18" s="1"/>
  <c r="AJ102" i="18" a="1"/>
  <c r="AJ102" i="18" s="1"/>
  <c r="AJ105" i="18" a="1"/>
  <c r="AJ105" i="18" s="1"/>
  <c r="AJ146" i="18" a="1"/>
  <c r="AJ146" i="18" s="1"/>
  <c r="AJ149" i="18" a="1"/>
  <c r="AJ149" i="18" s="1"/>
  <c r="AJ158" i="18" a="1"/>
  <c r="AJ158" i="18" s="1"/>
  <c r="AJ165" i="18" a="1"/>
  <c r="AJ165" i="18" s="1"/>
  <c r="AJ172" i="18" a="1"/>
  <c r="AJ172" i="18" s="1"/>
  <c r="AJ179" i="18" a="1"/>
  <c r="AJ179" i="18" s="1"/>
  <c r="AJ184" i="18" a="1"/>
  <c r="AJ184" i="18" s="1"/>
  <c r="AJ191" i="18" a="1"/>
  <c r="AJ191" i="18" s="1"/>
  <c r="AJ198" i="18" a="1"/>
  <c r="AJ198" i="18" s="1"/>
  <c r="AJ205" i="18" a="1"/>
  <c r="AJ205" i="18" s="1"/>
  <c r="AJ212" i="18" a="1"/>
  <c r="AJ212" i="18" s="1"/>
  <c r="AJ219" i="18" a="1"/>
  <c r="AJ219" i="18" s="1"/>
  <c r="AJ38" i="18" a="1"/>
  <c r="AJ38" i="18" s="1"/>
  <c r="AJ41" i="18" a="1"/>
  <c r="AJ41" i="18" s="1"/>
  <c r="AJ44" i="18" a="1"/>
  <c r="AJ44" i="18" s="1"/>
  <c r="AJ47" i="18" a="1"/>
  <c r="AJ47" i="18" s="1"/>
  <c r="AJ87" i="18" a="1"/>
  <c r="AJ87" i="18" s="1"/>
  <c r="AJ90" i="18" a="1"/>
  <c r="AJ90" i="18" s="1"/>
  <c r="AJ93" i="18" a="1"/>
  <c r="AJ93" i="18" s="1"/>
  <c r="AJ96" i="18" a="1"/>
  <c r="AJ96" i="18" s="1"/>
  <c r="AJ134" i="18" a="1"/>
  <c r="AJ134" i="18" s="1"/>
  <c r="AJ137" i="18" a="1"/>
  <c r="AJ137" i="18" s="1"/>
  <c r="AJ140" i="18" a="1"/>
  <c r="AJ140" i="18" s="1"/>
  <c r="AJ143" i="18" a="1"/>
  <c r="AJ143" i="18" s="1"/>
  <c r="AJ29" i="18" a="1"/>
  <c r="AJ29" i="18" s="1"/>
  <c r="AJ32" i="18" a="1"/>
  <c r="AJ32" i="18" s="1"/>
  <c r="AJ35" i="18" a="1"/>
  <c r="AJ35" i="18" s="1"/>
  <c r="AJ78" i="18" a="1"/>
  <c r="AJ78" i="18" s="1"/>
  <c r="AJ81" i="18" a="1"/>
  <c r="AJ81" i="18" s="1"/>
  <c r="AJ84" i="18" a="1"/>
  <c r="AJ84" i="18" s="1"/>
  <c r="AJ127" i="18" a="1"/>
  <c r="AJ127" i="18" s="1"/>
  <c r="AJ128" i="18" a="1"/>
  <c r="AJ128" i="18" s="1"/>
  <c r="AJ131" i="18" a="1"/>
  <c r="AJ131" i="18" s="1"/>
  <c r="AJ152" i="18" a="1"/>
  <c r="AJ152" i="18" s="1"/>
  <c r="AJ155" i="18" a="1"/>
  <c r="AJ155" i="18" s="1"/>
  <c r="AJ162" i="18" a="1"/>
  <c r="AJ162" i="18" s="1"/>
  <c r="AJ169" i="18" a="1"/>
  <c r="AJ169" i="18" s="1"/>
  <c r="AJ176" i="18" a="1"/>
  <c r="AJ176" i="18" s="1"/>
  <c r="AJ6" i="18" a="1"/>
  <c r="AJ6" i="18" s="1"/>
  <c r="AJ188" i="18" a="1"/>
  <c r="AJ188" i="18" s="1"/>
  <c r="AJ195" i="18" a="1"/>
  <c r="AJ195" i="18" s="1"/>
  <c r="AJ202" i="18" a="1"/>
  <c r="AJ202" i="18" s="1"/>
  <c r="AJ209" i="18" a="1"/>
  <c r="AJ209" i="18" s="1"/>
  <c r="AJ216" i="18" a="1"/>
  <c r="AJ216" i="18" s="1"/>
  <c r="AJ223" i="18" a="1"/>
  <c r="AJ223" i="18" s="1"/>
  <c r="AJ11" i="18" a="1"/>
  <c r="AJ11" i="18" s="1"/>
  <c r="AJ14" i="18" a="1"/>
  <c r="AJ14" i="18" s="1"/>
  <c r="AJ17" i="18" a="1"/>
  <c r="AJ17" i="18" s="1"/>
  <c r="AJ20" i="18" a="1"/>
  <c r="AJ20" i="18" s="1"/>
  <c r="AJ23" i="18" a="1"/>
  <c r="AJ23" i="18" s="1"/>
  <c r="AJ26" i="18" a="1"/>
  <c r="AJ26" i="18" s="1"/>
  <c r="AJ66" i="18" a="1"/>
  <c r="AJ66" i="18" s="1"/>
  <c r="AJ69" i="18" a="1"/>
  <c r="AJ69" i="18" s="1"/>
  <c r="AJ72" i="18" a="1"/>
  <c r="AJ72" i="18" s="1"/>
  <c r="AJ75" i="18" a="1"/>
  <c r="AJ75" i="18" s="1"/>
  <c r="AJ115" i="18" a="1"/>
  <c r="AJ115" i="18" s="1"/>
  <c r="AJ118" i="18" a="1"/>
  <c r="AJ118" i="18" s="1"/>
  <c r="AJ121" i="18" a="1"/>
  <c r="AJ121" i="18" s="1"/>
  <c r="AJ124" i="18" a="1"/>
  <c r="AJ124" i="18" s="1"/>
  <c r="AJ228" i="18" a="1"/>
  <c r="AJ228" i="18" s="1"/>
  <c r="AJ7" i="18" a="1"/>
  <c r="AJ7" i="18" s="1"/>
  <c r="AJ229" i="18" a="1"/>
  <c r="AJ229" i="18" s="1"/>
  <c r="AJ235" i="18" a="1"/>
  <c r="AJ235" i="18" s="1"/>
  <c r="AJ240" i="18" a="1"/>
  <c r="AJ240" i="18" s="1"/>
  <c r="AJ236" i="18" a="1"/>
  <c r="AJ236" i="18" s="1"/>
  <c r="AJ230" i="18" a="1"/>
  <c r="AJ230" i="18" s="1"/>
  <c r="AJ242" i="18" a="1"/>
  <c r="AJ242" i="18" s="1"/>
  <c r="AJ237" i="18" a="1"/>
  <c r="AJ237" i="18" s="1"/>
  <c r="AJ243" i="18" a="1"/>
  <c r="AJ243" i="18" s="1"/>
  <c r="AJ226" i="18" a="1"/>
  <c r="AJ226" i="18" s="1"/>
  <c r="AJ233" i="18" a="1"/>
  <c r="AJ233" i="18" s="1"/>
  <c r="AJ244" i="18" a="1"/>
  <c r="AJ244" i="18" s="1"/>
  <c r="AJ48" i="16"/>
  <c r="AJ38" i="16"/>
  <c r="AJ31" i="16"/>
  <c r="AJ24" i="16"/>
  <c r="AJ17" i="16"/>
  <c r="CB17" i="16" s="1"/>
  <c r="AJ10" i="16"/>
  <c r="AI17" i="16"/>
  <c r="CA17" i="16" s="1"/>
  <c r="AI10" i="16"/>
  <c r="AI47" i="16"/>
  <c r="AI37" i="16"/>
  <c r="AI30" i="16"/>
  <c r="AI23" i="16"/>
  <c r="AI16" i="16"/>
  <c r="CA16" i="16" s="1"/>
  <c r="AG37" i="13"/>
  <c r="AG38" i="14" s="1"/>
  <c r="AG145" i="13"/>
  <c r="AG145" i="14" s="1"/>
  <c r="O330" i="13"/>
  <c r="O330" i="14" s="1"/>
  <c r="O184" i="13"/>
  <c r="O185" i="14" s="1"/>
  <c r="Z55" i="13"/>
  <c r="Z55" i="14" s="1"/>
  <c r="AI308" i="13"/>
  <c r="AI308" i="14" s="1"/>
  <c r="AH331" i="13"/>
  <c r="AH288" i="13"/>
  <c r="AI207" i="13"/>
  <c r="AH194" i="13"/>
  <c r="AH48" i="13"/>
  <c r="AH18" i="13"/>
  <c r="AI9" i="13"/>
  <c r="AG326" i="13"/>
  <c r="AG326" i="14" s="1"/>
  <c r="AG349" i="13"/>
  <c r="AG350" i="14" s="1"/>
  <c r="AG335" i="13"/>
  <c r="AG336" i="14" s="1"/>
  <c r="AG301" i="13"/>
  <c r="AG301" i="14" s="1"/>
  <c r="AI348" i="13"/>
  <c r="AI271" i="13"/>
  <c r="AI273" i="14" s="1"/>
  <c r="AI257" i="13"/>
  <c r="AI258" i="14" s="1"/>
  <c r="AI202" i="13"/>
  <c r="AI207" i="14" s="1"/>
  <c r="AH198" i="13"/>
  <c r="AH318" i="13"/>
  <c r="AG139" i="13"/>
  <c r="AG139" i="14" s="1"/>
  <c r="AG109" i="13"/>
  <c r="AG109" i="14" s="1"/>
  <c r="AI284" i="13"/>
  <c r="AI284" i="14" s="1"/>
  <c r="AI47" i="13"/>
  <c r="AI4" i="13"/>
  <c r="AI4" i="14" s="1"/>
  <c r="AI10" i="13"/>
  <c r="AI11" i="14" s="1"/>
  <c r="AH240" i="13"/>
  <c r="AH240" i="14" s="1"/>
  <c r="AI230" i="13"/>
  <c r="AI230" i="14" s="1"/>
  <c r="AG219" i="13"/>
  <c r="AG219" i="14" s="1"/>
  <c r="AG177" i="13"/>
  <c r="AG177" i="14" s="1"/>
  <c r="AG76" i="13"/>
  <c r="AG76" i="14" s="1"/>
  <c r="AG153" i="13"/>
  <c r="AG153" i="14" s="1"/>
  <c r="AH124" i="13"/>
  <c r="AH124" i="14" s="1"/>
  <c r="AG304" i="13"/>
  <c r="AG304" i="14" s="1"/>
  <c r="AH252" i="13"/>
  <c r="AH252" i="14" s="1"/>
  <c r="AI143" i="13"/>
  <c r="AI143" i="14" s="1"/>
  <c r="AI118" i="13"/>
  <c r="AI118" i="14" s="1"/>
  <c r="AI112" i="13"/>
  <c r="AI112" i="14" s="1"/>
  <c r="AH36" i="13"/>
  <c r="AH36" i="14" s="1"/>
  <c r="AG280" i="13"/>
  <c r="AG280" i="14" s="1"/>
  <c r="AH316" i="13"/>
  <c r="AH54" i="13"/>
  <c r="AH54" i="14" s="1"/>
  <c r="AH344" i="13"/>
  <c r="AH344" i="14" s="1"/>
  <c r="AG296" i="13"/>
  <c r="AG296" i="14" s="1"/>
  <c r="AI119" i="13"/>
  <c r="AI119" i="14" s="1"/>
  <c r="AH162" i="13"/>
  <c r="AH162" i="14" s="1"/>
  <c r="AH65" i="13"/>
  <c r="AH65" i="14" s="1"/>
  <c r="AI40" i="13"/>
  <c r="AI40" i="14" s="1"/>
  <c r="AG26" i="13"/>
  <c r="AG26" i="14" s="1"/>
  <c r="AI215" i="13"/>
  <c r="AI215" i="14" s="1"/>
  <c r="AG220" i="13"/>
  <c r="AH128" i="13"/>
  <c r="AH128" i="14" s="1"/>
  <c r="AN21" i="1"/>
  <c r="AN25" i="1"/>
  <c r="AN26" i="1"/>
  <c r="AN28" i="1"/>
  <c r="AN22" i="1"/>
  <c r="AN29" i="1"/>
  <c r="AN24" i="1"/>
  <c r="AP24" i="1" s="1"/>
  <c r="AG299" i="13"/>
  <c r="AL299" i="13" s="1"/>
  <c r="AG141" i="13"/>
  <c r="AL141" i="13" s="1"/>
  <c r="AG17" i="13"/>
  <c r="AG168" i="13"/>
  <c r="AG168" i="14" s="1"/>
  <c r="AG135" i="13"/>
  <c r="AG135" i="14" s="1"/>
  <c r="AL135" i="14" s="1"/>
  <c r="AG176" i="13"/>
  <c r="AG176" i="14" s="1"/>
  <c r="AG110" i="13"/>
  <c r="AG110" i="14" s="1"/>
  <c r="AG172" i="13"/>
  <c r="AG172" i="14" s="1"/>
  <c r="AL172" i="14" s="1"/>
  <c r="AG302" i="13"/>
  <c r="AG302" i="14" s="1"/>
  <c r="AG21" i="13"/>
  <c r="AG21" i="14" s="1"/>
  <c r="AG121" i="13"/>
  <c r="AG121" i="14" s="1"/>
  <c r="AG196" i="13"/>
  <c r="AG196" i="14" s="1"/>
  <c r="AG242" i="13"/>
  <c r="AG242" i="14" s="1"/>
  <c r="AG370" i="13"/>
  <c r="AG369" i="14" s="1"/>
  <c r="AG178" i="13"/>
  <c r="AG178" i="14" s="1"/>
  <c r="AG24" i="13"/>
  <c r="AG79" i="13"/>
  <c r="AG79" i="14" s="1"/>
  <c r="AG98" i="13"/>
  <c r="AG98" i="14" s="1"/>
  <c r="AG160" i="13"/>
  <c r="AG160" i="14" s="1"/>
  <c r="AG237" i="13"/>
  <c r="AG237" i="14" s="1"/>
  <c r="AG241" i="13"/>
  <c r="AG241" i="14" s="1"/>
  <c r="AG256" i="13"/>
  <c r="AG322" i="13"/>
  <c r="AG322" i="14" s="1"/>
  <c r="AG334" i="13"/>
  <c r="AG54" i="13"/>
  <c r="AG54" i="14" s="1"/>
  <c r="AG250" i="13"/>
  <c r="AG34" i="13"/>
  <c r="AG34" i="14" s="1"/>
  <c r="AG173" i="13"/>
  <c r="AG173" i="14" s="1"/>
  <c r="AG214" i="13"/>
  <c r="AG214" i="14" s="1"/>
  <c r="AG247" i="13"/>
  <c r="AG167" i="13"/>
  <c r="AG167" i="14" s="1"/>
  <c r="AG165" i="13"/>
  <c r="AG157" i="13"/>
  <c r="AG157" i="14" s="1"/>
  <c r="AL157" i="14" s="1"/>
  <c r="AG5" i="13"/>
  <c r="AG92" i="13"/>
  <c r="AL92" i="13" s="1"/>
  <c r="AG185" i="13"/>
  <c r="AG208" i="13"/>
  <c r="AG275" i="13"/>
  <c r="AL275" i="13" s="1"/>
  <c r="AG114" i="13"/>
  <c r="AG114" i="14" s="1"/>
  <c r="AG89" i="13"/>
  <c r="AG99" i="13"/>
  <c r="AG99" i="14" s="1"/>
  <c r="AG164" i="13"/>
  <c r="AG164" i="14" s="1"/>
  <c r="AG215" i="13"/>
  <c r="AG215" i="14" s="1"/>
  <c r="AG283" i="13"/>
  <c r="AG283" i="14" s="1"/>
  <c r="AG27" i="13"/>
  <c r="AG22" i="13"/>
  <c r="AG22" i="14" s="1"/>
  <c r="AG45" i="13"/>
  <c r="AG71" i="13"/>
  <c r="AL71" i="13" s="1"/>
  <c r="AG134" i="13"/>
  <c r="AG134" i="14" s="1"/>
  <c r="AG243" i="13"/>
  <c r="AG243" i="14" s="1"/>
  <c r="AG244" i="13"/>
  <c r="AG244" i="14" s="1"/>
  <c r="AG253" i="13"/>
  <c r="AG253" i="14" s="1"/>
  <c r="AG268" i="13"/>
  <c r="AL268" i="13" s="1"/>
  <c r="AG327" i="13"/>
  <c r="AG359" i="13"/>
  <c r="AG359" i="14" s="1"/>
  <c r="AG7" i="13"/>
  <c r="AG7" i="14" s="1"/>
  <c r="AG338" i="13"/>
  <c r="AG152" i="13"/>
  <c r="AL152" i="13" s="1"/>
  <c r="AG58" i="13"/>
  <c r="AL58" i="13" s="1"/>
  <c r="AG85" i="13"/>
  <c r="AG104" i="13"/>
  <c r="AG104" i="14" s="1"/>
  <c r="AG118" i="13"/>
  <c r="AG118" i="14" s="1"/>
  <c r="AG337" i="13"/>
  <c r="AG337" i="14" s="1"/>
  <c r="AG41" i="13"/>
  <c r="AG41" i="14" s="1"/>
  <c r="AG130" i="13"/>
  <c r="AG3" i="13"/>
  <c r="AG3" i="14" s="1"/>
  <c r="AG83" i="13"/>
  <c r="AG83" i="14" s="1"/>
  <c r="AG166" i="13"/>
  <c r="AG166" i="14" s="1"/>
  <c r="AG217" i="13"/>
  <c r="AG217" i="14" s="1"/>
  <c r="AG368" i="13"/>
  <c r="AG367" i="14" s="1"/>
  <c r="AG131" i="13"/>
  <c r="AG131" i="14" s="1"/>
  <c r="AG20" i="13"/>
  <c r="AG20" i="14" s="1"/>
  <c r="AG46" i="13"/>
  <c r="AG46" i="14" s="1"/>
  <c r="AG94" i="13"/>
  <c r="AG277" i="13"/>
  <c r="AG223" i="13"/>
  <c r="AG97" i="13"/>
  <c r="AG97" i="14" s="1"/>
  <c r="AG255" i="13"/>
  <c r="AG255" i="14" s="1"/>
  <c r="AG266" i="13"/>
  <c r="AG266" i="14" s="1"/>
  <c r="AG332" i="13"/>
  <c r="AG332" i="14" s="1"/>
  <c r="AG360" i="13"/>
  <c r="AG360" i="14" s="1"/>
  <c r="AG127" i="13"/>
  <c r="AG375" i="13"/>
  <c r="AG375" i="14" s="1"/>
  <c r="AG154" i="13"/>
  <c r="AG154" i="14" s="1"/>
  <c r="AG161" i="13"/>
  <c r="AG161" i="14" s="1"/>
  <c r="AG195" i="13"/>
  <c r="AG111" i="13"/>
  <c r="AG111" i="14" s="1"/>
  <c r="AG123" i="13"/>
  <c r="AG123" i="14" s="1"/>
  <c r="AG187" i="13"/>
  <c r="AG187" i="14" s="1"/>
  <c r="AG42" i="13"/>
  <c r="AG42" i="14" s="1"/>
  <c r="AG146" i="13"/>
  <c r="AG146" i="14" s="1"/>
  <c r="AG263" i="13"/>
  <c r="AG263" i="14" s="1"/>
  <c r="AG339" i="13"/>
  <c r="AG339" i="14" s="1"/>
  <c r="AG56" i="13"/>
  <c r="AG216" i="13"/>
  <c r="AG216" i="14" s="1"/>
  <c r="AG51" i="13"/>
  <c r="AG51" i="14" s="1"/>
  <c r="AG224" i="13"/>
  <c r="AG224" i="14" s="1"/>
  <c r="AG230" i="13"/>
  <c r="AG230" i="14" s="1"/>
  <c r="AG315" i="13"/>
  <c r="AG315" i="14" s="1"/>
  <c r="AG32" i="13"/>
  <c r="AG72" i="13"/>
  <c r="AG72" i="14" s="1"/>
  <c r="AG80" i="13"/>
  <c r="AG81" i="14" s="1"/>
  <c r="AG138" i="13"/>
  <c r="AG201" i="13"/>
  <c r="AG205" i="14" s="1"/>
  <c r="AG269" i="13"/>
  <c r="AG287" i="13"/>
  <c r="AG287" i="14" s="1"/>
  <c r="AG367" i="13"/>
  <c r="AG371" i="14" s="1"/>
  <c r="AG313" i="13"/>
  <c r="AG357" i="13"/>
  <c r="AG357" i="14" s="1"/>
  <c r="AG9" i="13"/>
  <c r="AG59" i="13"/>
  <c r="AG59" i="14" s="1"/>
  <c r="AG129" i="13"/>
  <c r="AG129" i="14" s="1"/>
  <c r="AG249" i="13"/>
  <c r="AG105" i="13"/>
  <c r="AG105" i="14" s="1"/>
  <c r="AG281" i="13"/>
  <c r="AG25" i="13"/>
  <c r="AG25" i="14" s="1"/>
  <c r="AG363" i="13"/>
  <c r="AG363" i="14" s="1"/>
  <c r="AG40" i="13"/>
  <c r="AG40" i="14" s="1"/>
  <c r="AG67" i="13"/>
  <c r="AG67" i="14" s="1"/>
  <c r="AG101" i="13"/>
  <c r="AG100" i="14" s="1"/>
  <c r="AG53" i="13"/>
  <c r="AG53" i="14" s="1"/>
  <c r="AG239" i="13"/>
  <c r="AG239" i="14" s="1"/>
  <c r="AG119" i="13"/>
  <c r="AL119" i="13" s="1"/>
  <c r="AG57" i="13"/>
  <c r="AG57" i="14" s="1"/>
  <c r="AG323" i="13"/>
  <c r="AG344" i="13"/>
  <c r="AG344" i="14" s="1"/>
  <c r="AG191" i="13"/>
  <c r="AG192" i="14" s="1"/>
  <c r="AG295" i="13"/>
  <c r="AG295" i="14" s="1"/>
  <c r="AG150" i="13"/>
  <c r="AG259" i="13"/>
  <c r="AG259" i="14" s="1"/>
  <c r="AG279" i="13"/>
  <c r="AL279" i="13" s="1"/>
  <c r="AG60" i="13"/>
  <c r="AG60" i="14" s="1"/>
  <c r="AG108" i="13"/>
  <c r="AG108" i="14" s="1"/>
  <c r="AG169" i="13"/>
  <c r="AG169" i="14" s="1"/>
  <c r="AG29" i="13"/>
  <c r="AL29" i="13" s="1"/>
  <c r="AG126" i="13"/>
  <c r="AG194" i="13"/>
  <c r="AG210" i="13"/>
  <c r="AL210" i="13" s="1"/>
  <c r="AG115" i="13"/>
  <c r="AG115" i="14" s="1"/>
  <c r="AG103" i="13"/>
  <c r="AG328" i="13"/>
  <c r="AG328" i="14" s="1"/>
  <c r="AG267" i="13"/>
  <c r="AG55" i="13"/>
  <c r="AG55" i="14" s="1"/>
  <c r="AG258" i="13"/>
  <c r="AG207" i="13"/>
  <c r="AG293" i="13"/>
  <c r="AG293" i="14" s="1"/>
  <c r="AG348" i="13"/>
  <c r="AL348" i="13" s="1"/>
  <c r="AG271" i="13"/>
  <c r="AG273" i="14" s="1"/>
  <c r="AG202" i="13"/>
  <c r="AG340" i="13"/>
  <c r="AG284" i="13"/>
  <c r="AG284" i="14" s="1"/>
  <c r="AG47" i="13"/>
  <c r="AG48" i="14" s="1"/>
  <c r="AG10" i="13"/>
  <c r="AG11" i="14" s="1"/>
  <c r="AG35" i="13"/>
  <c r="AG35" i="14" s="1"/>
  <c r="AG303" i="13"/>
  <c r="AG303" i="14" s="1"/>
  <c r="AG143" i="13"/>
  <c r="AG143" i="14" s="1"/>
  <c r="AG112" i="13"/>
  <c r="AG112" i="14" s="1"/>
  <c r="AG61" i="13"/>
  <c r="AG343" i="13"/>
  <c r="AG343" i="14" s="1"/>
  <c r="AG354" i="13"/>
  <c r="AG354" i="14" s="1"/>
  <c r="AG222" i="13"/>
  <c r="AG222" i="14" s="1"/>
  <c r="AG33" i="13"/>
  <c r="AG33" i="14" s="1"/>
  <c r="AO24" i="1"/>
  <c r="AO25" i="1"/>
  <c r="AO26" i="1"/>
  <c r="AO27" i="1"/>
  <c r="AO28" i="1"/>
  <c r="AO22" i="1"/>
  <c r="AO29" i="1"/>
  <c r="AO21" i="1"/>
  <c r="O202" i="13"/>
  <c r="O207" i="14" s="1"/>
  <c r="O311" i="13"/>
  <c r="O311" i="14" s="1"/>
  <c r="O173" i="13"/>
  <c r="O173" i="14" s="1"/>
  <c r="O127" i="13"/>
  <c r="O127" i="14" s="1"/>
  <c r="O33" i="13"/>
  <c r="O33" i="14" s="1"/>
  <c r="AG358" i="13"/>
  <c r="AL358" i="13" s="1"/>
  <c r="AG325" i="13"/>
  <c r="AL325" i="13" s="1"/>
  <c r="AG350" i="13"/>
  <c r="AL350" i="13" s="1"/>
  <c r="AH307" i="13"/>
  <c r="AH298" i="13"/>
  <c r="AH292" i="13"/>
  <c r="AH292" i="14" s="1"/>
  <c r="AG264" i="13"/>
  <c r="AG264" i="14" s="1"/>
  <c r="AH270" i="13"/>
  <c r="AG366" i="13"/>
  <c r="AG366" i="14" s="1"/>
  <c r="AG91" i="13"/>
  <c r="AG92" i="14" s="1"/>
  <c r="AH132" i="13"/>
  <c r="AH133" i="14" s="1"/>
  <c r="AH88" i="13"/>
  <c r="AH88" i="14" s="1"/>
  <c r="AH68" i="13"/>
  <c r="AH68" i="14" s="1"/>
  <c r="AG329" i="13"/>
  <c r="AG329" i="14" s="1"/>
  <c r="AH28" i="13"/>
  <c r="AH28" i="14" s="1"/>
  <c r="AG13" i="13"/>
  <c r="AG16" i="14" s="1"/>
  <c r="AI155" i="13"/>
  <c r="AI155" i="14" s="1"/>
  <c r="AG317" i="13"/>
  <c r="AG317" i="14" s="1"/>
  <c r="AG182" i="13"/>
  <c r="AL182" i="13" s="1"/>
  <c r="AI66" i="13"/>
  <c r="AI66" i="14" s="1"/>
  <c r="AH8" i="13"/>
  <c r="AH8" i="14" s="1"/>
  <c r="AI311" i="13"/>
  <c r="AI311" i="14" s="1"/>
  <c r="AG297" i="13"/>
  <c r="AG297" i="14" s="1"/>
  <c r="AI146" i="13"/>
  <c r="AI146" i="14" s="1"/>
  <c r="AG142" i="13"/>
  <c r="AI104" i="13"/>
  <c r="AI104" i="14" s="1"/>
  <c r="AI356" i="13"/>
  <c r="AI356" i="14" s="1"/>
  <c r="AH248" i="13"/>
  <c r="AH248" i="14" s="1"/>
  <c r="AG352" i="13"/>
  <c r="AH63" i="13"/>
  <c r="AH64" i="14" s="1"/>
  <c r="AH334" i="13"/>
  <c r="AH334" i="14" s="1"/>
  <c r="AH323" i="13"/>
  <c r="AH323" i="14" s="1"/>
  <c r="AG260" i="13"/>
  <c r="AG260" i="14" s="1"/>
  <c r="AL260" i="14" s="1"/>
  <c r="AG188" i="13"/>
  <c r="AG188" i="14" s="1"/>
  <c r="AH134" i="13"/>
  <c r="AH134" i="14" s="1"/>
  <c r="AH78" i="13"/>
  <c r="AH78" i="14" s="1"/>
  <c r="AG371" i="13"/>
  <c r="AG370" i="14" s="1"/>
  <c r="AH218" i="13"/>
  <c r="AH218" i="14" s="1"/>
  <c r="AG82" i="13"/>
  <c r="AG82" i="14" s="1"/>
  <c r="AL82" i="14" s="1"/>
  <c r="AH106" i="13"/>
  <c r="AH106" i="14" s="1"/>
  <c r="AI23" i="13"/>
  <c r="AI23" i="14" s="1"/>
  <c r="AN30" i="1"/>
  <c r="AP30" i="1" s="1"/>
  <c r="AG190" i="13"/>
  <c r="AL190" i="13" s="1"/>
  <c r="AG64" i="13"/>
  <c r="AL64" i="13" s="1"/>
  <c r="AG233" i="13"/>
  <c r="AG233" i="14" s="1"/>
  <c r="AG229" i="13"/>
  <c r="AG229" i="14" s="1"/>
  <c r="AL229" i="14" s="1"/>
  <c r="AG226" i="13"/>
  <c r="AG226" i="14" s="1"/>
  <c r="AG361" i="13"/>
  <c r="AG361" i="14" s="1"/>
  <c r="AG96" i="13"/>
  <c r="AG96" i="14" s="1"/>
  <c r="O29" i="13"/>
  <c r="O95" i="13"/>
  <c r="O95" i="14" s="1"/>
  <c r="O250" i="13"/>
  <c r="O250" i="14" s="1"/>
  <c r="O163" i="13"/>
  <c r="O163" i="14" s="1"/>
  <c r="O78" i="13"/>
  <c r="O78" i="14" s="1"/>
  <c r="O74" i="13"/>
  <c r="O74" i="14" s="1"/>
  <c r="Z341" i="13"/>
  <c r="Z341" i="14" s="1"/>
  <c r="AH310" i="13"/>
  <c r="AI149" i="13"/>
  <c r="AG274" i="13"/>
  <c r="AL274" i="13" s="1"/>
  <c r="AI205" i="13"/>
  <c r="AI185" i="13"/>
  <c r="AG133" i="13"/>
  <c r="AG87" i="13"/>
  <c r="AL87" i="13" s="1"/>
  <c r="AI19" i="13"/>
  <c r="AI16" i="13"/>
  <c r="AI192" i="13"/>
  <c r="AI116" i="13"/>
  <c r="AI116" i="14" s="1"/>
  <c r="AH342" i="13"/>
  <c r="AH342" i="14" s="1"/>
  <c r="AI313" i="13"/>
  <c r="AI314" i="14" s="1"/>
  <c r="AG307" i="13"/>
  <c r="AG307" i="14" s="1"/>
  <c r="AG298" i="13"/>
  <c r="AG299" i="14" s="1"/>
  <c r="AG292" i="13"/>
  <c r="AG292" i="14" s="1"/>
  <c r="AG270" i="13"/>
  <c r="AG272" i="14" s="1"/>
  <c r="AI200" i="13"/>
  <c r="AI204" i="14" s="1"/>
  <c r="AI193" i="13"/>
  <c r="AI193" i="14" s="1"/>
  <c r="AI156" i="13"/>
  <c r="AI156" i="14" s="1"/>
  <c r="AI138" i="13"/>
  <c r="AI138" i="14" s="1"/>
  <c r="AG132" i="13"/>
  <c r="AG132" i="14" s="1"/>
  <c r="AG88" i="13"/>
  <c r="AG88" i="14" s="1"/>
  <c r="AG68" i="13"/>
  <c r="AG69" i="14" s="1"/>
  <c r="AG28" i="13"/>
  <c r="AG29" i="14" s="1"/>
  <c r="AI235" i="13"/>
  <c r="AI235" i="14" s="1"/>
  <c r="AI232" i="13"/>
  <c r="AI232" i="14" s="1"/>
  <c r="AI228" i="13"/>
  <c r="AI228" i="14" s="1"/>
  <c r="AI225" i="13"/>
  <c r="AI225" i="14" s="1"/>
  <c r="AH155" i="13"/>
  <c r="AH155" i="14" s="1"/>
  <c r="AI51" i="13"/>
  <c r="AI51" i="14" s="1"/>
  <c r="AH66" i="13"/>
  <c r="AH66" i="14" s="1"/>
  <c r="AG8" i="13"/>
  <c r="AG8" i="14" s="1"/>
  <c r="AH311" i="13"/>
  <c r="AH311" i="14" s="1"/>
  <c r="AI211" i="13"/>
  <c r="AI211" i="14" s="1"/>
  <c r="AI108" i="13"/>
  <c r="AI108" i="14" s="1"/>
  <c r="AH104" i="13"/>
  <c r="AH104" i="14" s="1"/>
  <c r="AH356" i="13"/>
  <c r="AH356" i="14" s="1"/>
  <c r="AG248" i="13"/>
  <c r="AG248" i="14" s="1"/>
  <c r="AI152" i="13"/>
  <c r="AI152" i="14" s="1"/>
  <c r="AI300" i="13"/>
  <c r="AH251" i="13"/>
  <c r="AH251" i="14" s="1"/>
  <c r="AG63" i="13"/>
  <c r="AG64" i="14" s="1"/>
  <c r="AH265" i="13"/>
  <c r="AH265" i="14" s="1"/>
  <c r="AH238" i="13"/>
  <c r="AH238" i="14" s="1"/>
  <c r="AG78" i="13"/>
  <c r="AG78" i="14" s="1"/>
  <c r="AI31" i="13"/>
  <c r="AI31" i="14" s="1"/>
  <c r="AG218" i="13"/>
  <c r="AG218" i="14" s="1"/>
  <c r="AI130" i="13"/>
  <c r="AI130" i="14" s="1"/>
  <c r="AI41" i="13"/>
  <c r="AI41" i="14" s="1"/>
  <c r="AI337" i="13"/>
  <c r="AI337" i="14" s="1"/>
  <c r="AG106" i="13"/>
  <c r="AG106" i="14" s="1"/>
  <c r="AH23" i="13"/>
  <c r="AH23" i="14" s="1"/>
  <c r="AN27" i="1"/>
  <c r="AP27" i="1" s="1"/>
  <c r="AG206" i="13"/>
  <c r="AG117" i="13"/>
  <c r="AG117" i="14" s="1"/>
  <c r="AL117" i="14" s="1"/>
  <c r="AG75" i="13"/>
  <c r="AG75" i="14" s="1"/>
  <c r="AG353" i="13"/>
  <c r="AG353" i="14" s="1"/>
  <c r="AG212" i="13"/>
  <c r="AG212" i="14" s="1"/>
  <c r="AG179" i="13"/>
  <c r="AG179" i="14" s="1"/>
  <c r="S26" i="1"/>
  <c r="W26" i="1" s="1"/>
  <c r="S24" i="1"/>
  <c r="W24" i="1" s="1"/>
  <c r="S22" i="1"/>
  <c r="W22" i="1" s="1"/>
  <c r="S28" i="1"/>
  <c r="W28" i="1" s="1"/>
  <c r="O72" i="13"/>
  <c r="O72" i="14" s="1"/>
  <c r="O65" i="13"/>
  <c r="O65" i="14" s="1"/>
  <c r="O83" i="13"/>
  <c r="O83" i="14" s="1"/>
  <c r="Z335" i="13"/>
  <c r="Z335" i="14" s="1"/>
  <c r="AI351" i="13"/>
  <c r="AG310" i="13"/>
  <c r="AL310" i="13" s="1"/>
  <c r="AI321" i="13"/>
  <c r="AH149" i="13"/>
  <c r="AI286" i="13"/>
  <c r="AI209" i="13"/>
  <c r="AH205" i="13"/>
  <c r="AH185" i="13"/>
  <c r="AH19" i="13"/>
  <c r="AH16" i="13"/>
  <c r="AG192" i="13"/>
  <c r="AH116" i="13"/>
  <c r="AH116" i="14" s="1"/>
  <c r="AG342" i="13"/>
  <c r="AI285" i="13"/>
  <c r="AI286" i="14" s="1"/>
  <c r="AH186" i="13"/>
  <c r="AH186" i="14" s="1"/>
  <c r="AH200" i="13"/>
  <c r="AH193" i="13"/>
  <c r="AH194" i="14" s="1"/>
  <c r="AH170" i="13"/>
  <c r="AH170" i="14" s="1"/>
  <c r="AH156" i="13"/>
  <c r="AI37" i="13"/>
  <c r="AI38" i="14" s="1"/>
  <c r="AH12" i="13"/>
  <c r="AH235" i="13"/>
  <c r="AH235" i="14" s="1"/>
  <c r="AH232" i="13"/>
  <c r="AH232" i="14" s="1"/>
  <c r="AG228" i="13"/>
  <c r="AG228" i="14" s="1"/>
  <c r="AH225" i="13"/>
  <c r="AH225" i="14" s="1"/>
  <c r="AG155" i="13"/>
  <c r="AG155" i="14" s="1"/>
  <c r="AI254" i="13"/>
  <c r="AI254" i="14" s="1"/>
  <c r="AI181" i="13"/>
  <c r="AI181" i="14" s="1"/>
  <c r="AG66" i="13"/>
  <c r="AG66" i="14" s="1"/>
  <c r="AG311" i="13"/>
  <c r="AG311" i="14" s="1"/>
  <c r="AI289" i="13"/>
  <c r="AI289" i="14" s="1"/>
  <c r="AH211" i="13"/>
  <c r="AH211" i="14" s="1"/>
  <c r="AI145" i="13"/>
  <c r="AI145" i="14" s="1"/>
  <c r="AH165" i="13"/>
  <c r="AH165" i="14" s="1"/>
  <c r="AH108" i="13"/>
  <c r="AH108" i="14" s="1"/>
  <c r="AG356" i="13"/>
  <c r="AG356" i="14" s="1"/>
  <c r="AI259" i="13"/>
  <c r="AI259" i="14" s="1"/>
  <c r="AH152" i="13"/>
  <c r="AH152" i="14" s="1"/>
  <c r="AH300" i="13"/>
  <c r="AH300" i="14" s="1"/>
  <c r="AG251" i="13"/>
  <c r="AG251" i="14" s="1"/>
  <c r="AI359" i="13"/>
  <c r="AI359" i="14" s="1"/>
  <c r="AI333" i="13"/>
  <c r="AI333" i="14" s="1"/>
  <c r="AH312" i="13"/>
  <c r="AH312" i="14" s="1"/>
  <c r="AG265" i="13"/>
  <c r="AG265" i="14" s="1"/>
  <c r="AI245" i="13"/>
  <c r="AI245" i="14" s="1"/>
  <c r="AG238" i="13"/>
  <c r="AG238" i="14" s="1"/>
  <c r="AI53" i="13"/>
  <c r="AI53" i="14" s="1"/>
  <c r="AH102" i="13"/>
  <c r="AH102" i="14" s="1"/>
  <c r="AI71" i="13"/>
  <c r="AI71" i="14" s="1"/>
  <c r="AH31" i="13"/>
  <c r="AH31" i="14" s="1"/>
  <c r="AI221" i="13"/>
  <c r="AI221" i="14" s="1"/>
  <c r="AH130" i="13"/>
  <c r="AH130" i="14" s="1"/>
  <c r="AH41" i="13"/>
  <c r="AH41" i="14" s="1"/>
  <c r="AH337" i="13"/>
  <c r="AH337" i="14" s="1"/>
  <c r="AG23" i="13"/>
  <c r="AG23" i="14" s="1"/>
  <c r="AO23" i="1"/>
  <c r="AG336" i="13"/>
  <c r="AL336" i="13" s="1"/>
  <c r="AG345" i="13"/>
  <c r="AG345" i="14" s="1"/>
  <c r="AG320" i="13"/>
  <c r="AG320" i="14" s="1"/>
  <c r="AG171" i="13"/>
  <c r="AG171" i="14" s="1"/>
  <c r="AG175" i="13"/>
  <c r="AG175" i="14" s="1"/>
  <c r="AG43" i="13"/>
  <c r="AG43" i="14" s="1"/>
  <c r="AG355" i="13"/>
  <c r="AG309" i="13"/>
  <c r="AG310" i="14" s="1"/>
  <c r="AG197" i="13"/>
  <c r="AG197" i="14" s="1"/>
  <c r="AG246" i="13"/>
  <c r="O68" i="13"/>
  <c r="O68" i="14" s="1"/>
  <c r="Z73" i="13"/>
  <c r="Z73" i="14" s="1"/>
  <c r="AH351" i="13"/>
  <c r="AH321" i="13"/>
  <c r="AG149" i="13"/>
  <c r="AH286" i="13"/>
  <c r="AI273" i="13"/>
  <c r="AH209" i="13"/>
  <c r="AG205" i="13"/>
  <c r="AI126" i="13"/>
  <c r="AG69" i="13"/>
  <c r="AG19" i="13"/>
  <c r="AG16" i="13"/>
  <c r="AG116" i="13"/>
  <c r="AG116" i="14" s="1"/>
  <c r="AI330" i="13"/>
  <c r="AI331" i="14" s="1"/>
  <c r="AI305" i="13"/>
  <c r="AI306" i="14" s="1"/>
  <c r="AI148" i="13"/>
  <c r="AI148" i="14" s="1"/>
  <c r="AI290" i="13"/>
  <c r="AI290" i="14" s="1"/>
  <c r="AH285" i="13"/>
  <c r="AH285" i="14" s="1"/>
  <c r="AI269" i="13"/>
  <c r="AI270" i="14" s="1"/>
  <c r="AG186" i="13"/>
  <c r="AG186" i="14" s="1"/>
  <c r="AG200" i="13"/>
  <c r="AG203" i="14" s="1"/>
  <c r="AG193" i="13"/>
  <c r="AG193" i="14" s="1"/>
  <c r="AG170" i="13"/>
  <c r="AG170" i="14" s="1"/>
  <c r="AG156" i="13"/>
  <c r="AG156" i="14" s="1"/>
  <c r="AI137" i="13"/>
  <c r="AI137" i="14" s="1"/>
  <c r="AI125" i="13"/>
  <c r="AI126" i="14" s="1"/>
  <c r="AI90" i="13"/>
  <c r="AI91" i="14" s="1"/>
  <c r="AI73" i="13"/>
  <c r="AI73" i="14" s="1"/>
  <c r="AH37" i="13"/>
  <c r="AH38" i="14" s="1"/>
  <c r="AI32" i="13"/>
  <c r="AI32" i="14" s="1"/>
  <c r="AG12" i="13"/>
  <c r="AG235" i="13"/>
  <c r="AG235" i="14" s="1"/>
  <c r="AG232" i="13"/>
  <c r="AG232" i="14" s="1"/>
  <c r="AG225" i="13"/>
  <c r="AG225" i="14" s="1"/>
  <c r="AI50" i="13"/>
  <c r="AI50" i="14" s="1"/>
  <c r="AH254" i="13"/>
  <c r="AH254" i="14" s="1"/>
  <c r="AG181" i="13"/>
  <c r="AG181" i="14" s="1"/>
  <c r="AG373" i="13"/>
  <c r="AG373" i="14" s="1"/>
  <c r="AH289" i="13"/>
  <c r="AH289" i="14" s="1"/>
  <c r="AG211" i="13"/>
  <c r="AH145" i="13"/>
  <c r="AH145" i="14" s="1"/>
  <c r="AH62" i="13"/>
  <c r="AH62" i="14" s="1"/>
  <c r="AH214" i="13"/>
  <c r="AH259" i="13"/>
  <c r="AH259" i="14" s="1"/>
  <c r="AG300" i="13"/>
  <c r="AG300" i="14" s="1"/>
  <c r="AI191" i="13"/>
  <c r="AI191" i="14" s="1"/>
  <c r="AH359" i="13"/>
  <c r="AH359" i="14" s="1"/>
  <c r="AH333" i="13"/>
  <c r="AH333" i="14" s="1"/>
  <c r="AG312" i="13"/>
  <c r="AG312" i="14" s="1"/>
  <c r="AI253" i="13"/>
  <c r="AI253" i="14" s="1"/>
  <c r="AH245" i="13"/>
  <c r="AH245" i="14" s="1"/>
  <c r="AG102" i="13"/>
  <c r="AG102" i="14" s="1"/>
  <c r="AH71" i="13"/>
  <c r="AH71" i="14" s="1"/>
  <c r="AG31" i="13"/>
  <c r="AG31" i="14" s="1"/>
  <c r="AH221" i="13"/>
  <c r="AH221" i="14" s="1"/>
  <c r="AI369" i="13"/>
  <c r="AI368" i="14" s="1"/>
  <c r="AI164" i="13"/>
  <c r="AI164" i="14" s="1"/>
  <c r="AN23" i="1"/>
  <c r="AG308" i="13"/>
  <c r="AG308" i="14" s="1"/>
  <c r="AG351" i="13"/>
  <c r="AG286" i="13"/>
  <c r="AG273" i="13"/>
  <c r="AG209" i="13"/>
  <c r="AG148" i="13"/>
  <c r="AG149" i="14" s="1"/>
  <c r="AG285" i="13"/>
  <c r="AG286" i="14" s="1"/>
  <c r="AG90" i="13"/>
  <c r="AG91" i="14" s="1"/>
  <c r="AG254" i="13"/>
  <c r="AG254" i="14" s="1"/>
  <c r="AG289" i="13"/>
  <c r="AG289" i="14" s="1"/>
  <c r="AG62" i="13"/>
  <c r="AG62" i="14" s="1"/>
  <c r="O81" i="13"/>
  <c r="O367" i="13"/>
  <c r="O371" i="14" s="1"/>
  <c r="O213" i="13"/>
  <c r="O213" i="14" s="1"/>
  <c r="O237" i="13"/>
  <c r="O237" i="14" s="1"/>
  <c r="Z252" i="13"/>
  <c r="Z252" i="14" s="1"/>
  <c r="AH314" i="13"/>
  <c r="AI291" i="13"/>
  <c r="AH204" i="13"/>
  <c r="AH93" i="13"/>
  <c r="AI38" i="13"/>
  <c r="AI5" i="13"/>
  <c r="AI15" i="13"/>
  <c r="AH374" i="13"/>
  <c r="AH374" i="14" s="1"/>
  <c r="AI357" i="13"/>
  <c r="AI358" i="14" s="1"/>
  <c r="AG341" i="13"/>
  <c r="AG330" i="13"/>
  <c r="AG305" i="13"/>
  <c r="AG305" i="14" s="1"/>
  <c r="AG290" i="13"/>
  <c r="AL290" i="13" s="1"/>
  <c r="AI261" i="13"/>
  <c r="AI262" i="14" s="1"/>
  <c r="AI203" i="13"/>
  <c r="AI209" i="14" s="1"/>
  <c r="AI199" i="13"/>
  <c r="AI202" i="14" s="1"/>
  <c r="AI189" i="13"/>
  <c r="AI169" i="13"/>
  <c r="AI169" i="14" s="1"/>
  <c r="AG140" i="13"/>
  <c r="AG140" i="14" s="1"/>
  <c r="AG137" i="13"/>
  <c r="AG125" i="13"/>
  <c r="AG125" i="14" s="1"/>
  <c r="AG73" i="13"/>
  <c r="AG73" i="14" s="1"/>
  <c r="AI14" i="13"/>
  <c r="AI18" i="14" s="1"/>
  <c r="AI11" i="13"/>
  <c r="AI12" i="14" s="1"/>
  <c r="AI234" i="13"/>
  <c r="AI234" i="14" s="1"/>
  <c r="AI231" i="13"/>
  <c r="AI231" i="14" s="1"/>
  <c r="AH227" i="13"/>
  <c r="AH227" i="14" s="1"/>
  <c r="AI224" i="13"/>
  <c r="AI224" i="14" s="1"/>
  <c r="AG113" i="13"/>
  <c r="AG113" i="14" s="1"/>
  <c r="AG50" i="13"/>
  <c r="AG50" i="14" s="1"/>
  <c r="AI159" i="13"/>
  <c r="AI159" i="14" s="1"/>
  <c r="AI372" i="13"/>
  <c r="AI372" i="14" s="1"/>
  <c r="AG365" i="13"/>
  <c r="AL365" i="13" s="1"/>
  <c r="AG180" i="13"/>
  <c r="AG180" i="14" s="1"/>
  <c r="AH122" i="13"/>
  <c r="AH122" i="14" s="1"/>
  <c r="AG107" i="13"/>
  <c r="AG107" i="14" s="1"/>
  <c r="AI85" i="13"/>
  <c r="AI85" i="14" s="1"/>
  <c r="AI213" i="13"/>
  <c r="AI213" i="14" s="1"/>
  <c r="AH174" i="13"/>
  <c r="AH174" i="14" s="1"/>
  <c r="AG151" i="13"/>
  <c r="AG151" i="14" s="1"/>
  <c r="AH364" i="13"/>
  <c r="AH364" i="14" s="1"/>
  <c r="AH322" i="13"/>
  <c r="AH57" i="13"/>
  <c r="AH57" i="14" s="1"/>
  <c r="AI236" i="13"/>
  <c r="AI236" i="14" s="1"/>
  <c r="AG163" i="13"/>
  <c r="AG163" i="14" s="1"/>
  <c r="AI101" i="13"/>
  <c r="AI100" i="14" s="1"/>
  <c r="AG70" i="13"/>
  <c r="AG70" i="14" s="1"/>
  <c r="AH45" i="13"/>
  <c r="AH45" i="14" s="1"/>
  <c r="AG369" i="13"/>
  <c r="AG368" i="14" s="1"/>
  <c r="AI103" i="13"/>
  <c r="AI103" i="14" s="1"/>
  <c r="AI115" i="13"/>
  <c r="AI115" i="14" s="1"/>
  <c r="AG158" i="13"/>
  <c r="O133" i="13"/>
  <c r="O51" i="13"/>
  <c r="O51" i="14" s="1"/>
  <c r="Z246" i="13"/>
  <c r="Z246" i="14" s="1"/>
  <c r="AH328" i="13"/>
  <c r="AH328" i="14" s="1"/>
  <c r="AH267" i="13"/>
  <c r="AH267" i="14" s="1"/>
  <c r="AH55" i="13"/>
  <c r="AH144" i="13"/>
  <c r="AH246" i="13"/>
  <c r="AH246" i="14" s="1"/>
  <c r="AH365" i="13"/>
  <c r="AH365" i="14" s="1"/>
  <c r="AH35" i="13"/>
  <c r="AH35" i="14" s="1"/>
  <c r="AH181" i="13"/>
  <c r="AH181" i="14" s="1"/>
  <c r="AH49" i="13"/>
  <c r="AH49" i="14" s="1"/>
  <c r="AH171" i="13"/>
  <c r="AH171" i="14" s="1"/>
  <c r="AH228" i="13"/>
  <c r="AH228" i="14" s="1"/>
  <c r="AH234" i="13"/>
  <c r="AH234" i="14" s="1"/>
  <c r="AH4" i="13"/>
  <c r="AL4" i="13" s="1"/>
  <c r="AH329" i="13"/>
  <c r="AH329" i="14" s="1"/>
  <c r="AH90" i="13"/>
  <c r="AH91" i="14" s="1"/>
  <c r="AH136" i="13"/>
  <c r="AH136" i="14" s="1"/>
  <c r="AH199" i="13"/>
  <c r="AH202" i="14" s="1"/>
  <c r="AH257" i="13"/>
  <c r="AH257" i="14" s="1"/>
  <c r="AH264" i="13"/>
  <c r="AH264" i="14" s="1"/>
  <c r="AH148" i="13"/>
  <c r="AH324" i="13"/>
  <c r="AH324" i="14" s="1"/>
  <c r="AH345" i="13"/>
  <c r="AH345" i="14" s="1"/>
  <c r="AH192" i="13"/>
  <c r="AH21" i="13"/>
  <c r="AH21" i="14" s="1"/>
  <c r="AH121" i="13"/>
  <c r="AH196" i="13"/>
  <c r="AH196" i="14" s="1"/>
  <c r="AH242" i="13"/>
  <c r="AH242" i="14" s="1"/>
  <c r="AH370" i="13"/>
  <c r="AH369" i="14" s="1"/>
  <c r="AH178" i="13"/>
  <c r="AH178" i="14" s="1"/>
  <c r="AH24" i="13"/>
  <c r="AH24" i="14" s="1"/>
  <c r="AH79" i="13"/>
  <c r="AH98" i="13"/>
  <c r="AH98" i="14" s="1"/>
  <c r="AH160" i="13"/>
  <c r="AH237" i="13"/>
  <c r="AH241" i="13"/>
  <c r="AH241" i="14" s="1"/>
  <c r="AH114" i="13"/>
  <c r="AH114" i="14" s="1"/>
  <c r="AH89" i="13"/>
  <c r="AH89" i="14" s="1"/>
  <c r="AH347" i="13"/>
  <c r="AH347" i="14" s="1"/>
  <c r="AH297" i="13"/>
  <c r="AH297" i="14" s="1"/>
  <c r="AH372" i="13"/>
  <c r="AH110" i="13"/>
  <c r="AH110" i="14" s="1"/>
  <c r="AH99" i="13"/>
  <c r="AH99" i="14" s="1"/>
  <c r="AH164" i="13"/>
  <c r="AH164" i="14" s="1"/>
  <c r="AH215" i="13"/>
  <c r="AH215" i="14" s="1"/>
  <c r="AH283" i="13"/>
  <c r="AH27" i="13"/>
  <c r="AH27" i="14" s="1"/>
  <c r="AH22" i="13"/>
  <c r="AH22" i="14" s="1"/>
  <c r="AH147" i="13"/>
  <c r="AH147" i="14" s="1"/>
  <c r="AH84" i="13"/>
  <c r="AH84" i="14" s="1"/>
  <c r="AH180" i="13"/>
  <c r="AH180" i="14" s="1"/>
  <c r="AH303" i="13"/>
  <c r="AH303" i="14" s="1"/>
  <c r="AH373" i="13"/>
  <c r="AH373" i="14" s="1"/>
  <c r="AH153" i="13"/>
  <c r="AH153" i="14" s="1"/>
  <c r="AH317" i="13"/>
  <c r="AH317" i="14" s="1"/>
  <c r="AH3" i="13"/>
  <c r="AH3" i="14" s="1"/>
  <c r="AH83" i="13"/>
  <c r="AH83" i="14" s="1"/>
  <c r="AH166" i="13"/>
  <c r="AH166" i="14" s="1"/>
  <c r="AH217" i="13"/>
  <c r="AH217" i="14" s="1"/>
  <c r="AH368" i="13"/>
  <c r="AH367" i="14" s="1"/>
  <c r="AH131" i="13"/>
  <c r="AH131" i="14" s="1"/>
  <c r="AH20" i="13"/>
  <c r="AH46" i="13"/>
  <c r="AH94" i="13"/>
  <c r="AH94" i="14" s="1"/>
  <c r="AH277" i="13"/>
  <c r="AH277" i="14" s="1"/>
  <c r="AH223" i="13"/>
  <c r="AH223" i="14" s="1"/>
  <c r="AH97" i="13"/>
  <c r="AH97" i="14" s="1"/>
  <c r="AH255" i="13"/>
  <c r="AH255" i="14" s="1"/>
  <c r="AH266" i="13"/>
  <c r="AH266" i="14" s="1"/>
  <c r="AH332" i="13"/>
  <c r="AH332" i="14" s="1"/>
  <c r="AH360" i="13"/>
  <c r="AH360" i="14" s="1"/>
  <c r="AH127" i="13"/>
  <c r="AH127" i="14" s="1"/>
  <c r="AH375" i="13"/>
  <c r="AH375" i="14" s="1"/>
  <c r="AH154" i="13"/>
  <c r="AH154" i="14" s="1"/>
  <c r="AH161" i="13"/>
  <c r="AH195" i="13"/>
  <c r="AH195" i="14" s="1"/>
  <c r="AH111" i="13"/>
  <c r="AH111" i="14" s="1"/>
  <c r="AH123" i="13"/>
  <c r="AH123" i="14" s="1"/>
  <c r="AH140" i="13"/>
  <c r="AH140" i="14" s="1"/>
  <c r="AH184" i="13"/>
  <c r="AH17" i="13"/>
  <c r="AH69" i="13"/>
  <c r="AH319" i="13"/>
  <c r="AH206" i="13"/>
  <c r="AH273" i="13"/>
  <c r="AH291" i="13"/>
  <c r="AH187" i="13"/>
  <c r="AH187" i="14" s="1"/>
  <c r="AH42" i="13"/>
  <c r="AH42" i="14" s="1"/>
  <c r="AH146" i="13"/>
  <c r="AH146" i="14" s="1"/>
  <c r="AH263" i="13"/>
  <c r="AH263" i="14" s="1"/>
  <c r="AH339" i="13"/>
  <c r="AH339" i="14" s="1"/>
  <c r="AH56" i="13"/>
  <c r="AH56" i="14" s="1"/>
  <c r="AH216" i="13"/>
  <c r="AH216" i="14" s="1"/>
  <c r="AH51" i="13"/>
  <c r="AH51" i="14" s="1"/>
  <c r="AH224" i="13"/>
  <c r="AH224" i="14" s="1"/>
  <c r="AH230" i="13"/>
  <c r="AH315" i="13"/>
  <c r="AH315" i="14" s="1"/>
  <c r="AH32" i="13"/>
  <c r="AH32" i="14" s="1"/>
  <c r="AH72" i="13"/>
  <c r="AH72" i="14" s="1"/>
  <c r="AH80" i="13"/>
  <c r="AH81" i="14" s="1"/>
  <c r="AH138" i="13"/>
  <c r="AH138" i="14" s="1"/>
  <c r="AH201" i="13"/>
  <c r="AH269" i="13"/>
  <c r="AH287" i="13"/>
  <c r="AH367" i="13"/>
  <c r="AH371" i="14" s="1"/>
  <c r="AH313" i="13"/>
  <c r="AH357" i="13"/>
  <c r="AH358" i="14" s="1"/>
  <c r="AH9" i="13"/>
  <c r="AH59" i="13"/>
  <c r="AH59" i="14" s="1"/>
  <c r="AH129" i="13"/>
  <c r="AH129" i="14" s="1"/>
  <c r="AH249" i="13"/>
  <c r="AH249" i="14" s="1"/>
  <c r="AH105" i="13"/>
  <c r="AH105" i="14" s="1"/>
  <c r="AH281" i="13"/>
  <c r="AH281" i="14" s="1"/>
  <c r="AH25" i="13"/>
  <c r="AH25" i="14" s="1"/>
  <c r="AH363" i="13"/>
  <c r="AH363" i="14" s="1"/>
  <c r="AH40" i="13"/>
  <c r="AH40" i="14" s="1"/>
  <c r="AH67" i="13"/>
  <c r="AH101" i="13"/>
  <c r="AH100" i="14" s="1"/>
  <c r="AH53" i="13"/>
  <c r="AH239" i="13"/>
  <c r="AH239" i="14" s="1"/>
  <c r="AH74" i="13"/>
  <c r="AH74" i="14" s="1"/>
  <c r="AH158" i="13"/>
  <c r="AH158" i="14" s="1"/>
  <c r="AH222" i="13"/>
  <c r="AH222" i="14" s="1"/>
  <c r="AH282" i="13"/>
  <c r="AH282" i="14" s="1"/>
  <c r="AH26" i="13"/>
  <c r="AH26" i="14" s="1"/>
  <c r="AH6" i="13"/>
  <c r="AH44" i="13"/>
  <c r="AH44" i="14" s="1"/>
  <c r="AH70" i="13"/>
  <c r="AH70" i="14" s="1"/>
  <c r="AI346" i="13"/>
  <c r="AG314" i="13"/>
  <c r="AI306" i="13"/>
  <c r="AG291" i="13"/>
  <c r="AI276" i="13"/>
  <c r="AI262" i="13"/>
  <c r="AI208" i="13"/>
  <c r="AG204" i="13"/>
  <c r="AG93" i="13"/>
  <c r="AL93" i="13" s="1"/>
  <c r="AI81" i="13"/>
  <c r="AH38" i="13"/>
  <c r="AH5" i="13"/>
  <c r="AH15" i="13"/>
  <c r="AG374" i="13"/>
  <c r="AG374" i="14" s="1"/>
  <c r="AI294" i="13"/>
  <c r="AI294" i="14" s="1"/>
  <c r="AH272" i="13"/>
  <c r="AH261" i="13"/>
  <c r="AH262" i="14" s="1"/>
  <c r="AH203" i="13"/>
  <c r="AH210" i="14" s="1"/>
  <c r="AG199" i="13"/>
  <c r="AG201" i="14" s="1"/>
  <c r="AH189" i="13"/>
  <c r="AH190" i="14" s="1"/>
  <c r="AH169" i="13"/>
  <c r="AH169" i="14" s="1"/>
  <c r="AI86" i="13"/>
  <c r="AI86" i="14" s="1"/>
  <c r="AH52" i="13"/>
  <c r="AH52" i="14" s="1"/>
  <c r="AH14" i="13"/>
  <c r="AH11" i="13"/>
  <c r="AL11" i="13" s="1"/>
  <c r="AG234" i="13"/>
  <c r="AH231" i="13"/>
  <c r="AH231" i="14" s="1"/>
  <c r="AG227" i="13"/>
  <c r="AI95" i="13"/>
  <c r="AI95" i="14" s="1"/>
  <c r="AH159" i="13"/>
  <c r="AH159" i="14" s="1"/>
  <c r="AI39" i="13"/>
  <c r="AI39" i="14" s="1"/>
  <c r="AG372" i="13"/>
  <c r="AG372" i="14" s="1"/>
  <c r="AI263" i="13"/>
  <c r="AI263" i="14" s="1"/>
  <c r="AI144" i="13"/>
  <c r="AI144" i="14" s="1"/>
  <c r="AG122" i="13"/>
  <c r="AG122" i="14" s="1"/>
  <c r="AI60" i="13"/>
  <c r="AI60" i="14" s="1"/>
  <c r="AH85" i="13"/>
  <c r="AH85" i="14" s="1"/>
  <c r="AH213" i="13"/>
  <c r="AH213" i="14" s="1"/>
  <c r="AG174" i="13"/>
  <c r="AG174" i="14" s="1"/>
  <c r="AI338" i="13"/>
  <c r="AI338" i="14" s="1"/>
  <c r="AI183" i="13"/>
  <c r="AI183" i="14" s="1"/>
  <c r="AH362" i="13"/>
  <c r="AH362" i="14" s="1"/>
  <c r="AG364" i="13"/>
  <c r="AG364" i="14" s="1"/>
  <c r="AH120" i="13"/>
  <c r="AH120" i="14" s="1"/>
  <c r="AH236" i="13"/>
  <c r="AH236" i="14" s="1"/>
  <c r="AI22" i="13"/>
  <c r="AI22" i="14" s="1"/>
  <c r="AG77" i="13"/>
  <c r="AG77" i="14" s="1"/>
  <c r="AH103" i="13"/>
  <c r="AH103" i="14" s="1"/>
  <c r="AH115" i="13"/>
  <c r="AG74" i="13"/>
  <c r="AG74" i="14" s="1"/>
  <c r="AG321" i="13"/>
  <c r="AG333" i="13"/>
  <c r="AG333" i="14" s="1"/>
  <c r="AG245" i="13"/>
  <c r="AG245" i="14" s="1"/>
  <c r="AG221" i="13"/>
  <c r="AG221" i="14" s="1"/>
  <c r="O226" i="13"/>
  <c r="O226" i="14" s="1"/>
  <c r="R226" i="14" s="1"/>
  <c r="O41" i="13"/>
  <c r="O41" i="14" s="1"/>
  <c r="Z334" i="13"/>
  <c r="Z334" i="14" s="1"/>
  <c r="AH308" i="13"/>
  <c r="AH308" i="14" s="1"/>
  <c r="AI74" i="13"/>
  <c r="AI74" i="14" s="1"/>
  <c r="AI158" i="13"/>
  <c r="AI158" i="14" s="1"/>
  <c r="AI222" i="13"/>
  <c r="AI222" i="14" s="1"/>
  <c r="AI282" i="13"/>
  <c r="AI282" i="14" s="1"/>
  <c r="AI26" i="13"/>
  <c r="AI26" i="14" s="1"/>
  <c r="AI6" i="13"/>
  <c r="AI6" i="14" s="1"/>
  <c r="AI44" i="13"/>
  <c r="AI44" i="14" s="1"/>
  <c r="AI70" i="13"/>
  <c r="AI70" i="14" s="1"/>
  <c r="AI102" i="13"/>
  <c r="AI102" i="14" s="1"/>
  <c r="AI188" i="13"/>
  <c r="AI188" i="14" s="1"/>
  <c r="AI354" i="13"/>
  <c r="AI354" i="14" s="1"/>
  <c r="AI120" i="13"/>
  <c r="AI120" i="14" s="1"/>
  <c r="AI265" i="13"/>
  <c r="AI265" i="14" s="1"/>
  <c r="AI343" i="13"/>
  <c r="AI343" i="14" s="1"/>
  <c r="AI364" i="13"/>
  <c r="AI364" i="14" s="1"/>
  <c r="AI63" i="13"/>
  <c r="AI63" i="14" s="1"/>
  <c r="AI316" i="13"/>
  <c r="AI316" i="14" s="1"/>
  <c r="AI151" i="13"/>
  <c r="AI151" i="14" s="1"/>
  <c r="AI352" i="13"/>
  <c r="AI352" i="14" s="1"/>
  <c r="AI280" i="13"/>
  <c r="AI280" i="14" s="1"/>
  <c r="AI62" i="13"/>
  <c r="AI62" i="14" s="1"/>
  <c r="AI353" i="13"/>
  <c r="AI353" i="14" s="1"/>
  <c r="AI168" i="13"/>
  <c r="AI168" i="14" s="1"/>
  <c r="AI170" i="13"/>
  <c r="AI170" i="14" s="1"/>
  <c r="AI48" i="13"/>
  <c r="AI133" i="13"/>
  <c r="AI204" i="13"/>
  <c r="AI258" i="13"/>
  <c r="AI328" i="13"/>
  <c r="AI328" i="14" s="1"/>
  <c r="AI267" i="13"/>
  <c r="AI267" i="14" s="1"/>
  <c r="AI55" i="13"/>
  <c r="AI55" i="14" s="1"/>
  <c r="AI21" i="13"/>
  <c r="AI21" i="14" s="1"/>
  <c r="AI121" i="13"/>
  <c r="AI121" i="14" s="1"/>
  <c r="AI196" i="13"/>
  <c r="AI196" i="14" s="1"/>
  <c r="AI242" i="13"/>
  <c r="AI242" i="14" s="1"/>
  <c r="AI370" i="13"/>
  <c r="AI369" i="14" s="1"/>
  <c r="AI178" i="13"/>
  <c r="AI178" i="14" s="1"/>
  <c r="AI24" i="13"/>
  <c r="AI24" i="14" s="1"/>
  <c r="AI79" i="13"/>
  <c r="AI79" i="14" s="1"/>
  <c r="AI98" i="13"/>
  <c r="AI98" i="14" s="1"/>
  <c r="AI160" i="13"/>
  <c r="AI160" i="14" s="1"/>
  <c r="AI237" i="13"/>
  <c r="AI237" i="14" s="1"/>
  <c r="AI241" i="13"/>
  <c r="AI241" i="14" s="1"/>
  <c r="AI256" i="13"/>
  <c r="AI256" i="14" s="1"/>
  <c r="AI322" i="13"/>
  <c r="AI322" i="14" s="1"/>
  <c r="AI334" i="13"/>
  <c r="AI334" i="14" s="1"/>
  <c r="AI54" i="13"/>
  <c r="AI54" i="14" s="1"/>
  <c r="AI250" i="13"/>
  <c r="AI250" i="14" s="1"/>
  <c r="AI34" i="13"/>
  <c r="AI34" i="14" s="1"/>
  <c r="AI173" i="13"/>
  <c r="AI173" i="14" s="1"/>
  <c r="AI214" i="13"/>
  <c r="AI214" i="14" s="1"/>
  <c r="AI247" i="13"/>
  <c r="AI247" i="14" s="1"/>
  <c r="AI167" i="13"/>
  <c r="AI167" i="14" s="1"/>
  <c r="AI165" i="13"/>
  <c r="AI165" i="14" s="1"/>
  <c r="AI114" i="13"/>
  <c r="AI114" i="14" s="1"/>
  <c r="AI89" i="13"/>
  <c r="AI89" i="14" s="1"/>
  <c r="AI33" i="13"/>
  <c r="AI33" i="14" s="1"/>
  <c r="AI128" i="13"/>
  <c r="AI128" i="14" s="1"/>
  <c r="AI220" i="13"/>
  <c r="AI220" i="14" s="1"/>
  <c r="AI218" i="13"/>
  <c r="AI218" i="14" s="1"/>
  <c r="AI371" i="13"/>
  <c r="AI370" i="14" s="1"/>
  <c r="AI179" i="13"/>
  <c r="AI179" i="14" s="1"/>
  <c r="AI30" i="13"/>
  <c r="AI30" i="14" s="1"/>
  <c r="AI65" i="13"/>
  <c r="AI65" i="14" s="1"/>
  <c r="AI100" i="13"/>
  <c r="AI101" i="14" s="1"/>
  <c r="AI163" i="13"/>
  <c r="AI163" i="14" s="1"/>
  <c r="AI238" i="13"/>
  <c r="AI238" i="14" s="1"/>
  <c r="AI212" i="13"/>
  <c r="AI212" i="14" s="1"/>
  <c r="AI278" i="13"/>
  <c r="AI278" i="14" s="1"/>
  <c r="AI312" i="13"/>
  <c r="AI312" i="14" s="1"/>
  <c r="AI302" i="13"/>
  <c r="AI302" i="14" s="1"/>
  <c r="AI362" i="13"/>
  <c r="AI362" i="14" s="1"/>
  <c r="AI251" i="13"/>
  <c r="AI251" i="14" s="1"/>
  <c r="AI61" i="13"/>
  <c r="AI61" i="14" s="1"/>
  <c r="AI174" i="13"/>
  <c r="AI174" i="14" s="1"/>
  <c r="AI248" i="13"/>
  <c r="AI248" i="14" s="1"/>
  <c r="AI36" i="13"/>
  <c r="AI36" i="14" s="1"/>
  <c r="AI107" i="13"/>
  <c r="AI107" i="14" s="1"/>
  <c r="AI142" i="13"/>
  <c r="AI142" i="14" s="1"/>
  <c r="AI147" i="13"/>
  <c r="AI147" i="14" s="1"/>
  <c r="AI84" i="13"/>
  <c r="AI84" i="14" s="1"/>
  <c r="AI180" i="13"/>
  <c r="AI180" i="14" s="1"/>
  <c r="AI303" i="13"/>
  <c r="AI303" i="14" s="1"/>
  <c r="AI373" i="13"/>
  <c r="AI373" i="14" s="1"/>
  <c r="AI153" i="13"/>
  <c r="AI153" i="14" s="1"/>
  <c r="AI317" i="13"/>
  <c r="AI317" i="14" s="1"/>
  <c r="AI113" i="13"/>
  <c r="AI113" i="14" s="1"/>
  <c r="AI219" i="13"/>
  <c r="AI219" i="14" s="1"/>
  <c r="AI233" i="13"/>
  <c r="AI233" i="14" s="1"/>
  <c r="AI12" i="13"/>
  <c r="AI14" i="14" s="1"/>
  <c r="AI52" i="13"/>
  <c r="AI52" i="14" s="1"/>
  <c r="AI340" i="13"/>
  <c r="AI340" i="14" s="1"/>
  <c r="AI132" i="13"/>
  <c r="AI132" i="14" s="1"/>
  <c r="AI197" i="13"/>
  <c r="AI197" i="14" s="1"/>
  <c r="AI186" i="13"/>
  <c r="AI186" i="14" s="1"/>
  <c r="AI272" i="13"/>
  <c r="AI276" i="14" s="1"/>
  <c r="AI293" i="13"/>
  <c r="AI293" i="14" s="1"/>
  <c r="AI307" i="13"/>
  <c r="AI307" i="14" s="1"/>
  <c r="AI341" i="13"/>
  <c r="AI341" i="14" s="1"/>
  <c r="AI326" i="13"/>
  <c r="AI326" i="14" s="1"/>
  <c r="AI3" i="13"/>
  <c r="AI3" i="14" s="1"/>
  <c r="AI83" i="13"/>
  <c r="AI83" i="14" s="1"/>
  <c r="AI166" i="13"/>
  <c r="AI166" i="14" s="1"/>
  <c r="AI217" i="13"/>
  <c r="AI217" i="14" s="1"/>
  <c r="AI368" i="13"/>
  <c r="AI367" i="14" s="1"/>
  <c r="AI131" i="13"/>
  <c r="AI131" i="14" s="1"/>
  <c r="AI20" i="13"/>
  <c r="AI20" i="14" s="1"/>
  <c r="AI46" i="13"/>
  <c r="AI46" i="14" s="1"/>
  <c r="AI94" i="13"/>
  <c r="AI94" i="14" s="1"/>
  <c r="AI277" i="13"/>
  <c r="AI277" i="14" s="1"/>
  <c r="AI223" i="13"/>
  <c r="AI223" i="14" s="1"/>
  <c r="AI97" i="13"/>
  <c r="AI97" i="14" s="1"/>
  <c r="AI255" i="13"/>
  <c r="AI255" i="14" s="1"/>
  <c r="AI266" i="13"/>
  <c r="AI266" i="14" s="1"/>
  <c r="AI332" i="13"/>
  <c r="AI332" i="14" s="1"/>
  <c r="AI360" i="13"/>
  <c r="AI360" i="14" s="1"/>
  <c r="AI127" i="13"/>
  <c r="AI127" i="14" s="1"/>
  <c r="AI375" i="13"/>
  <c r="AI375" i="14" s="1"/>
  <c r="AI154" i="13"/>
  <c r="AI154" i="14" s="1"/>
  <c r="AI161" i="13"/>
  <c r="AI161" i="14" s="1"/>
  <c r="AI195" i="13"/>
  <c r="AI195" i="14" s="1"/>
  <c r="AI111" i="13"/>
  <c r="AI111" i="14" s="1"/>
  <c r="AI123" i="13"/>
  <c r="AI123" i="14" s="1"/>
  <c r="AI140" i="13"/>
  <c r="AI140" i="14" s="1"/>
  <c r="AI184" i="13"/>
  <c r="AI185" i="14" s="1"/>
  <c r="AI17" i="13"/>
  <c r="AI69" i="13"/>
  <c r="AI319" i="13"/>
  <c r="AI206" i="13"/>
  <c r="AI187" i="13"/>
  <c r="AI187" i="14" s="1"/>
  <c r="AI42" i="13"/>
  <c r="AI42" i="14" s="1"/>
  <c r="AI355" i="13"/>
  <c r="AI355" i="14" s="1"/>
  <c r="AI43" i="13"/>
  <c r="AI43" i="14" s="1"/>
  <c r="AH346" i="13"/>
  <c r="AH306" i="13"/>
  <c r="AH276" i="13"/>
  <c r="AH262" i="13"/>
  <c r="AH208" i="13"/>
  <c r="AH81" i="13"/>
  <c r="AG38" i="13"/>
  <c r="AG15" i="13"/>
  <c r="AI349" i="13"/>
  <c r="AI350" i="14" s="1"/>
  <c r="AI335" i="13"/>
  <c r="AI335" i="14" s="1"/>
  <c r="AI324" i="13"/>
  <c r="AI324" i="14" s="1"/>
  <c r="AI301" i="13"/>
  <c r="AI301" i="14" s="1"/>
  <c r="AH294" i="13"/>
  <c r="AH294" i="14" s="1"/>
  <c r="AI287" i="13"/>
  <c r="AI287" i="14" s="1"/>
  <c r="AG272" i="13"/>
  <c r="AG275" i="14" s="1"/>
  <c r="AG261" i="13"/>
  <c r="AG203" i="13"/>
  <c r="AG210" i="14" s="1"/>
  <c r="AG189" i="13"/>
  <c r="AI139" i="13"/>
  <c r="AI139" i="14" s="1"/>
  <c r="AI136" i="13"/>
  <c r="AI136" i="14" s="1"/>
  <c r="AI109" i="13"/>
  <c r="AI109" i="14" s="1"/>
  <c r="AH86" i="13"/>
  <c r="AI72" i="13"/>
  <c r="AI72" i="14" s="1"/>
  <c r="AG52" i="13"/>
  <c r="AG14" i="13"/>
  <c r="AG19" i="14" s="1"/>
  <c r="AG11" i="13"/>
  <c r="AG12" i="14" s="1"/>
  <c r="AG231" i="13"/>
  <c r="AG231" i="14" s="1"/>
  <c r="AI177" i="13"/>
  <c r="AI177" i="14" s="1"/>
  <c r="AI76" i="13"/>
  <c r="AI76" i="14" s="1"/>
  <c r="AI49" i="13"/>
  <c r="AI49" i="14" s="1"/>
  <c r="AH95" i="13"/>
  <c r="AH95" i="14" s="1"/>
  <c r="AG159" i="13"/>
  <c r="AG159" i="14" s="1"/>
  <c r="AH39" i="13"/>
  <c r="AH39" i="14" s="1"/>
  <c r="AI304" i="13"/>
  <c r="AI304" i="14" s="1"/>
  <c r="AI347" i="13"/>
  <c r="AI347" i="14" s="1"/>
  <c r="AG144" i="13"/>
  <c r="AG144" i="14" s="1"/>
  <c r="AH167" i="13"/>
  <c r="AH167" i="14" s="1"/>
  <c r="AH60" i="13"/>
  <c r="AH60" i="14" s="1"/>
  <c r="AG213" i="13"/>
  <c r="AG213" i="14" s="1"/>
  <c r="AI150" i="13"/>
  <c r="AI150" i="14" s="1"/>
  <c r="AH338" i="13"/>
  <c r="AH338" i="14" s="1"/>
  <c r="AH183" i="13"/>
  <c r="AH183" i="14" s="1"/>
  <c r="AG362" i="13"/>
  <c r="AG362" i="14" s="1"/>
  <c r="AI327" i="13"/>
  <c r="AI327" i="14" s="1"/>
  <c r="AI296" i="13"/>
  <c r="AI296" i="14" s="1"/>
  <c r="AH278" i="13"/>
  <c r="AH278" i="14" s="1"/>
  <c r="AG120" i="13"/>
  <c r="AG120" i="14" s="1"/>
  <c r="AI244" i="13"/>
  <c r="AI244" i="14" s="1"/>
  <c r="AG236" i="13"/>
  <c r="AG236" i="14" s="1"/>
  <c r="AH100" i="13"/>
  <c r="AI67" i="13"/>
  <c r="AI67" i="14" s="1"/>
  <c r="AG44" i="13"/>
  <c r="AG44" i="14" s="1"/>
  <c r="AI27" i="13"/>
  <c r="AI27" i="14" s="1"/>
  <c r="AI129" i="13"/>
  <c r="AI129" i="14" s="1"/>
  <c r="S30" i="1"/>
  <c r="W30" i="1" s="1"/>
  <c r="O320" i="13"/>
  <c r="O320" i="14" s="1"/>
  <c r="O227" i="13"/>
  <c r="O227" i="14" s="1"/>
  <c r="O268" i="13"/>
  <c r="O268" i="14" s="1"/>
  <c r="Z333" i="13"/>
  <c r="Z333" i="14" s="1"/>
  <c r="AG346" i="13"/>
  <c r="AI331" i="13"/>
  <c r="AG306" i="13"/>
  <c r="AI288" i="13"/>
  <c r="AG276" i="13"/>
  <c r="AG262" i="13"/>
  <c r="AI194" i="13"/>
  <c r="AG319" i="13"/>
  <c r="AG81" i="13"/>
  <c r="AI18" i="13"/>
  <c r="AH326" i="13"/>
  <c r="AH326" i="14" s="1"/>
  <c r="AH349" i="13"/>
  <c r="AH335" i="13"/>
  <c r="AH336" i="14" s="1"/>
  <c r="AG324" i="13"/>
  <c r="AG324" i="14" s="1"/>
  <c r="AH301" i="13"/>
  <c r="AH301" i="14" s="1"/>
  <c r="AG294" i="13"/>
  <c r="AG294" i="14" s="1"/>
  <c r="AI198" i="13"/>
  <c r="AI199" i="14" s="1"/>
  <c r="AI318" i="13"/>
  <c r="AH139" i="13"/>
  <c r="AG136" i="13"/>
  <c r="AG136" i="14" s="1"/>
  <c r="AH109" i="13"/>
  <c r="AH109" i="14" s="1"/>
  <c r="AG86" i="13"/>
  <c r="AG86" i="14" s="1"/>
  <c r="AI240" i="13"/>
  <c r="AI240" i="14" s="1"/>
  <c r="AH219" i="13"/>
  <c r="AH177" i="13"/>
  <c r="AH177" i="14" s="1"/>
  <c r="AH76" i="13"/>
  <c r="AH76" i="14" s="1"/>
  <c r="AG49" i="13"/>
  <c r="AG49" i="14" s="1"/>
  <c r="AG95" i="13"/>
  <c r="AG95" i="14" s="1"/>
  <c r="AG39" i="13"/>
  <c r="AI124" i="13"/>
  <c r="AH304" i="13"/>
  <c r="AH304" i="14" s="1"/>
  <c r="AI252" i="13"/>
  <c r="AI252" i="14" s="1"/>
  <c r="AG347" i="13"/>
  <c r="AG347" i="14" s="1"/>
  <c r="AH280" i="13"/>
  <c r="AH280" i="14" s="1"/>
  <c r="AH173" i="13"/>
  <c r="AH150" i="13"/>
  <c r="AH150" i="14" s="1"/>
  <c r="AG183" i="13"/>
  <c r="AG183" i="14" s="1"/>
  <c r="AI344" i="13"/>
  <c r="AI344" i="14" s="1"/>
  <c r="AH327" i="13"/>
  <c r="AH327" i="14" s="1"/>
  <c r="AH296" i="13"/>
  <c r="AH296" i="14" s="1"/>
  <c r="AG278" i="13"/>
  <c r="AG278" i="14" s="1"/>
  <c r="AH244" i="13"/>
  <c r="AH244" i="14" s="1"/>
  <c r="AI162" i="13"/>
  <c r="AG100" i="13"/>
  <c r="AG101" i="14" s="1"/>
  <c r="AG6" i="13"/>
  <c r="AG6" i="14" s="1"/>
  <c r="AI283" i="13"/>
  <c r="AI283" i="14" s="1"/>
  <c r="AG84" i="13"/>
  <c r="AG84" i="14" s="1"/>
  <c r="AG147" i="13"/>
  <c r="AG147" i="14" s="1"/>
  <c r="AH220" i="13"/>
  <c r="AH220" i="14" s="1"/>
  <c r="AI59" i="13"/>
  <c r="AI59" i="14" s="1"/>
  <c r="X3" i="3"/>
  <c r="S3" i="3"/>
  <c r="T38" i="1" s="1"/>
  <c r="I3" i="3"/>
  <c r="T36" i="1" s="1"/>
  <c r="I488" i="7"/>
  <c r="AB4" i="6"/>
  <c r="AC4" i="6" s="1"/>
  <c r="AD129" i="13" s="1"/>
  <c r="AD129" i="14" s="1"/>
  <c r="I69" i="7"/>
  <c r="AB5" i="6"/>
  <c r="AC5" i="6" s="1"/>
  <c r="AD347" i="13" s="1"/>
  <c r="AD347" i="14" s="1"/>
  <c r="I310" i="7"/>
  <c r="AB7" i="6"/>
  <c r="AC7" i="6" s="1"/>
  <c r="AD286" i="13" s="1"/>
  <c r="AD286" i="14" s="1" a="1"/>
  <c r="AD286" i="14" s="1"/>
  <c r="AL257" i="13"/>
  <c r="I252" i="7"/>
  <c r="AB6" i="6"/>
  <c r="AC6" i="6" s="1"/>
  <c r="AD349" i="13" s="1"/>
  <c r="AJ276" i="14"/>
  <c r="H35" i="11"/>
  <c r="H59" i="11" s="1"/>
  <c r="Q35" i="11"/>
  <c r="Q58" i="11" s="1"/>
  <c r="P40" i="11"/>
  <c r="P74" i="11" s="1"/>
  <c r="X42" i="11"/>
  <c r="X82" i="11" s="1"/>
  <c r="G46" i="11"/>
  <c r="G90" i="11" s="1"/>
  <c r="P46" i="11"/>
  <c r="P90" i="11" s="1"/>
  <c r="Y53" i="11"/>
  <c r="Y98" i="11" s="1"/>
  <c r="Y39" i="11"/>
  <c r="Y71" i="11" s="1"/>
  <c r="X48" i="11"/>
  <c r="X94" i="11" s="1"/>
  <c r="I40" i="11"/>
  <c r="I73" i="11" s="1"/>
  <c r="Y49" i="11"/>
  <c r="Y51" i="11"/>
  <c r="Y95" i="11" s="1"/>
  <c r="I41" i="11"/>
  <c r="I76" i="11" s="1"/>
  <c r="I52" i="11"/>
  <c r="I97" i="11" s="1"/>
  <c r="Y42" i="11"/>
  <c r="Y80" i="11" s="1"/>
  <c r="I54" i="11"/>
  <c r="I99" i="11" s="1"/>
  <c r="Z42" i="11"/>
  <c r="Z80" i="11" s="1"/>
  <c r="P54" i="11"/>
  <c r="P99" i="11" s="1"/>
  <c r="Y35" i="11"/>
  <c r="Y60" i="11" s="1"/>
  <c r="X46" i="11"/>
  <c r="X88" i="11" s="1"/>
  <c r="I36" i="11"/>
  <c r="I62" i="11" s="1"/>
  <c r="H47" i="11"/>
  <c r="H93" i="11" s="1"/>
  <c r="P36" i="11"/>
  <c r="P62" i="11" s="1"/>
  <c r="O47" i="11"/>
  <c r="O93" i="11" s="1"/>
  <c r="Q39" i="11"/>
  <c r="Q71" i="11" s="1"/>
  <c r="P47" i="11"/>
  <c r="P93" i="11" s="1"/>
  <c r="X39" i="11"/>
  <c r="X71" i="11" s="1"/>
  <c r="Q47" i="11"/>
  <c r="Q93" i="11" s="1"/>
  <c r="Q36" i="11"/>
  <c r="Q63" i="11" s="1"/>
  <c r="O43" i="11"/>
  <c r="O83" i="11" s="1"/>
  <c r="I50" i="11"/>
  <c r="X36" i="11"/>
  <c r="X61" i="11" s="1"/>
  <c r="Q43" i="11"/>
  <c r="Q83" i="11" s="1"/>
  <c r="P50" i="11"/>
  <c r="Y37" i="11"/>
  <c r="Y64" i="11" s="1"/>
  <c r="G44" i="11"/>
  <c r="G84" i="11" s="1"/>
  <c r="Q50" i="11"/>
  <c r="Z38" i="11"/>
  <c r="Z66" i="11" s="1"/>
  <c r="I44" i="11"/>
  <c r="I84" i="11" s="1"/>
  <c r="X50" i="11"/>
  <c r="O39" i="11"/>
  <c r="O71" i="11" s="1"/>
  <c r="Z44" i="11"/>
  <c r="Z84" i="11" s="1"/>
  <c r="O51" i="11"/>
  <c r="O96" i="11" s="1"/>
  <c r="G35" i="11"/>
  <c r="G59" i="11" s="1"/>
  <c r="X38" i="11"/>
  <c r="X68" i="11" s="1"/>
  <c r="P42" i="11"/>
  <c r="P80" i="11" s="1"/>
  <c r="Z45" i="11"/>
  <c r="Z87" i="11" s="1"/>
  <c r="Q49" i="11"/>
  <c r="X53" i="11"/>
  <c r="X98" i="11" s="1"/>
  <c r="H37" i="11"/>
  <c r="Z40" i="11"/>
  <c r="Z74" i="11" s="1"/>
  <c r="O44" i="11"/>
  <c r="O84" i="11" s="1"/>
  <c r="G48" i="11"/>
  <c r="G94" i="11" s="1"/>
  <c r="Y54" i="11"/>
  <c r="Y99" i="11" s="1"/>
  <c r="Z54" i="11"/>
  <c r="Z100" i="11" s="1"/>
  <c r="H51" i="11"/>
  <c r="H95" i="11" s="1"/>
  <c r="Z52" i="11"/>
  <c r="Z97" i="11" s="1"/>
  <c r="O37" i="11"/>
  <c r="H41" i="11"/>
  <c r="H76" i="11" s="1"/>
  <c r="P44" i="11"/>
  <c r="P84" i="11" s="1"/>
  <c r="I48" i="11"/>
  <c r="I94" i="11" s="1"/>
  <c r="H52" i="11"/>
  <c r="H97" i="11" s="1"/>
  <c r="G38" i="11"/>
  <c r="G67" i="11" s="1"/>
  <c r="O41" i="11"/>
  <c r="O77" i="11" s="1"/>
  <c r="H45" i="11"/>
  <c r="H85" i="11" s="1"/>
  <c r="Z48" i="11"/>
  <c r="Z94" i="11" s="1"/>
  <c r="X52" i="11"/>
  <c r="X97" i="11" s="1"/>
  <c r="H38" i="11"/>
  <c r="H67" i="11" s="1"/>
  <c r="Y41" i="11"/>
  <c r="Y78" i="11" s="1"/>
  <c r="Q45" i="11"/>
  <c r="Q85" i="11" s="1"/>
  <c r="G49" i="11"/>
  <c r="O53" i="11"/>
  <c r="O98" i="11" s="1"/>
  <c r="I38" i="11"/>
  <c r="G42" i="11"/>
  <c r="G82" i="11" s="1"/>
  <c r="Y45" i="11"/>
  <c r="Y85" i="11" s="1"/>
  <c r="H49" i="11"/>
  <c r="Q53" i="11"/>
  <c r="Q98" i="11" s="1"/>
  <c r="AJ318" i="14"/>
  <c r="AL355" i="13"/>
  <c r="AG355" i="14"/>
  <c r="AJ148" i="14"/>
  <c r="AJ149" i="14"/>
  <c r="AJ321" i="14"/>
  <c r="AJ320" i="14"/>
  <c r="O203" i="14"/>
  <c r="O204" i="14"/>
  <c r="AJ314" i="14"/>
  <c r="AJ313" i="14"/>
  <c r="AH148" i="14"/>
  <c r="AH149" i="14"/>
  <c r="AL264" i="13"/>
  <c r="AI264" i="14"/>
  <c r="AJ204" i="14"/>
  <c r="AJ203" i="14"/>
  <c r="AM301" i="14"/>
  <c r="AR301" i="14" s="1"/>
  <c r="AM271" i="14"/>
  <c r="AR271" i="14" s="1"/>
  <c r="AM272" i="14"/>
  <c r="AR272" i="14" s="1"/>
  <c r="AM189" i="14"/>
  <c r="AR189" i="14" s="1"/>
  <c r="AM190" i="14"/>
  <c r="AR190" i="14" s="1"/>
  <c r="AM135" i="14"/>
  <c r="AR135" i="14" s="1"/>
  <c r="AM37" i="14"/>
  <c r="AR37" i="14" s="1"/>
  <c r="AM38" i="14"/>
  <c r="AR38" i="14" s="1"/>
  <c r="AM295" i="14"/>
  <c r="AR295" i="14" s="1"/>
  <c r="AJ291" i="14"/>
  <c r="AJ290" i="14"/>
  <c r="AG184" i="14"/>
  <c r="AG185" i="14"/>
  <c r="AH141" i="14"/>
  <c r="AJ81" i="14"/>
  <c r="AJ80" i="14"/>
  <c r="AJ28" i="14"/>
  <c r="AJ29" i="14"/>
  <c r="AG127" i="14"/>
  <c r="AM357" i="14"/>
  <c r="AR357" i="14" s="1"/>
  <c r="AM358" i="14"/>
  <c r="AR358" i="14" s="1"/>
  <c r="AM371" i="14"/>
  <c r="AR371" i="14" s="1"/>
  <c r="AM269" i="14"/>
  <c r="AR269" i="14" s="1"/>
  <c r="AM270" i="14"/>
  <c r="AR270" i="14" s="1"/>
  <c r="AM185" i="14"/>
  <c r="AR185" i="14" s="1"/>
  <c r="AM184" i="14"/>
  <c r="AR184" i="14" s="1"/>
  <c r="AM133" i="14"/>
  <c r="AR133" i="14" s="1"/>
  <c r="AM132" i="14"/>
  <c r="AR132" i="14" s="1"/>
  <c r="AM52" i="14"/>
  <c r="AR52" i="14" s="1"/>
  <c r="AM251" i="14"/>
  <c r="AR251" i="14" s="1"/>
  <c r="AH346" i="14"/>
  <c r="AJ274" i="14"/>
  <c r="AJ350" i="14"/>
  <c r="AJ351" i="14"/>
  <c r="AH313" i="14"/>
  <c r="AH314" i="14"/>
  <c r="AH203" i="14"/>
  <c r="AJ193" i="14"/>
  <c r="AJ194" i="14"/>
  <c r="AJ92" i="14"/>
  <c r="AJ93" i="14"/>
  <c r="AI318" i="14"/>
  <c r="AI319" i="14"/>
  <c r="AJ133" i="14"/>
  <c r="AJ132" i="14"/>
  <c r="AI81" i="14"/>
  <c r="AI80" i="14"/>
  <c r="AJ38" i="14"/>
  <c r="AJ37" i="14"/>
  <c r="AI28" i="14"/>
  <c r="AI29" i="14"/>
  <c r="AJ10" i="14"/>
  <c r="AJ11" i="14"/>
  <c r="AI124" i="14"/>
  <c r="AL252" i="13"/>
  <c r="AG252" i="14"/>
  <c r="AM351" i="14"/>
  <c r="AR351" i="14" s="1"/>
  <c r="AM350" i="14"/>
  <c r="AR350" i="14" s="1"/>
  <c r="AM299" i="14"/>
  <c r="AR299" i="14" s="1"/>
  <c r="AM298" i="14"/>
  <c r="AR298" i="14" s="1"/>
  <c r="AM262" i="14"/>
  <c r="AR262" i="14" s="1"/>
  <c r="AM261" i="14"/>
  <c r="AR261" i="14" s="1"/>
  <c r="AM93" i="14"/>
  <c r="AR93" i="14" s="1"/>
  <c r="AM92" i="14"/>
  <c r="AR92" i="14" s="1"/>
  <c r="AM126" i="14"/>
  <c r="AR126" i="14" s="1"/>
  <c r="AM125" i="14"/>
  <c r="AR125" i="14" s="1"/>
  <c r="AM47" i="14"/>
  <c r="AR47" i="14" s="1"/>
  <c r="AM48" i="14"/>
  <c r="AR48" i="14" s="1"/>
  <c r="AM250" i="14"/>
  <c r="AR250" i="14" s="1"/>
  <c r="O310" i="14"/>
  <c r="AI274" i="14"/>
  <c r="AJ191" i="14"/>
  <c r="AJ192" i="14"/>
  <c r="AL309" i="13"/>
  <c r="AH274" i="14"/>
  <c r="AH273" i="14"/>
  <c r="AH185" i="14"/>
  <c r="AH184" i="14"/>
  <c r="AJ4" i="14"/>
  <c r="AJ5" i="14"/>
  <c r="AG313" i="14"/>
  <c r="AH290" i="14"/>
  <c r="AH291" i="14"/>
  <c r="AJ271" i="14"/>
  <c r="AJ272" i="14"/>
  <c r="AJ257" i="14"/>
  <c r="AJ258" i="14"/>
  <c r="AI194" i="14"/>
  <c r="AI93" i="14"/>
  <c r="AI92" i="14"/>
  <c r="AH34" i="14"/>
  <c r="AG338" i="14"/>
  <c r="AL323" i="13"/>
  <c r="AG323" i="14"/>
  <c r="AM346" i="14"/>
  <c r="AR346" i="14" s="1"/>
  <c r="AM345" i="14"/>
  <c r="AR345" i="14" s="1"/>
  <c r="AM149" i="14"/>
  <c r="AR149" i="14" s="1"/>
  <c r="AM148" i="14"/>
  <c r="AR148" i="14" s="1"/>
  <c r="AM258" i="14"/>
  <c r="AR258" i="14" s="1"/>
  <c r="AM257" i="14"/>
  <c r="AR257" i="14" s="1"/>
  <c r="AM170" i="14"/>
  <c r="AR170" i="14" s="1"/>
  <c r="AM29" i="14"/>
  <c r="AR29" i="14" s="1"/>
  <c r="AM28" i="14"/>
  <c r="AR28" i="14" s="1"/>
  <c r="AM183" i="14"/>
  <c r="AR183" i="14" s="1"/>
  <c r="O200" i="14"/>
  <c r="AJ87" i="14"/>
  <c r="AH115" i="14"/>
  <c r="AJ358" i="14"/>
  <c r="AJ357" i="14"/>
  <c r="AJ262" i="14"/>
  <c r="AJ261" i="14"/>
  <c r="AJ198" i="14"/>
  <c r="AJ197" i="14"/>
  <c r="AH48" i="14"/>
  <c r="AH47" i="14"/>
  <c r="AJ12" i="14"/>
  <c r="AJ13" i="14"/>
  <c r="AI78" i="14"/>
  <c r="AM307" i="14"/>
  <c r="AR307" i="14" s="1"/>
  <c r="AM276" i="14"/>
  <c r="AR276" i="14" s="1"/>
  <c r="AM275" i="14"/>
  <c r="AR275" i="14" s="1"/>
  <c r="AM198" i="14"/>
  <c r="AR198" i="14" s="1"/>
  <c r="AM197" i="14"/>
  <c r="AR197" i="14" s="1"/>
  <c r="AM137" i="14"/>
  <c r="AR137" i="14" s="1"/>
  <c r="AM284" i="14"/>
  <c r="AR284" i="14" s="1"/>
  <c r="AM338" i="14"/>
  <c r="AR338" i="14" s="1"/>
  <c r="AJ140" i="14"/>
  <c r="AJ141" i="14"/>
  <c r="AG47" i="14"/>
  <c r="AH192" i="14"/>
  <c r="AH191" i="14"/>
  <c r="AM305" i="14"/>
  <c r="AR305" i="14" s="1"/>
  <c r="AM306" i="14"/>
  <c r="AR306" i="14" s="1"/>
  <c r="AM273" i="14"/>
  <c r="AR273" i="14" s="1"/>
  <c r="AM274" i="14"/>
  <c r="AR274" i="14" s="1"/>
  <c r="AM193" i="14"/>
  <c r="AR193" i="14" s="1"/>
  <c r="AM194" i="14"/>
  <c r="AR194" i="14" s="1"/>
  <c r="AM136" i="14"/>
  <c r="AR136" i="14" s="1"/>
  <c r="AM329" i="14"/>
  <c r="AR329" i="14" s="1"/>
  <c r="AG318" i="14"/>
  <c r="AG319" i="14"/>
  <c r="AJ16" i="14"/>
  <c r="AJ17" i="14"/>
  <c r="AI9" i="14"/>
  <c r="AI8" i="14"/>
  <c r="AM127" i="14"/>
  <c r="AR127" i="14" s="1"/>
  <c r="O86" i="14"/>
  <c r="O87" i="14"/>
  <c r="AL294" i="13"/>
  <c r="AJ287" i="14"/>
  <c r="AJ288" i="14"/>
  <c r="AH258" i="14"/>
  <c r="AH139" i="14"/>
  <c r="Z48" i="14"/>
  <c r="AH325" i="14"/>
  <c r="AJ210" i="14"/>
  <c r="AM109" i="14"/>
  <c r="AR109" i="14" s="1"/>
  <c r="AM321" i="14"/>
  <c r="AR321" i="14" s="1"/>
  <c r="AM320" i="14"/>
  <c r="AR320" i="14" s="1"/>
  <c r="AM138" i="14"/>
  <c r="AR138" i="14" s="1"/>
  <c r="AH206" i="14"/>
  <c r="AH205" i="14"/>
  <c r="AJ335" i="14"/>
  <c r="AJ336" i="14"/>
  <c r="AH331" i="14"/>
  <c r="AH330" i="14"/>
  <c r="AH16" i="14"/>
  <c r="AH17" i="14"/>
  <c r="AI175" i="14"/>
  <c r="AI300" i="14"/>
  <c r="AG250" i="14"/>
  <c r="AH160" i="14"/>
  <c r="AG65" i="14"/>
  <c r="AM335" i="14"/>
  <c r="AR335" i="14" s="1"/>
  <c r="AM336" i="14"/>
  <c r="AR336" i="14" s="1"/>
  <c r="AM292" i="14"/>
  <c r="AR292" i="14" s="1"/>
  <c r="AM209" i="14"/>
  <c r="AR209" i="14" s="1"/>
  <c r="AM210" i="14"/>
  <c r="AR210" i="14" s="1"/>
  <c r="AM157" i="14"/>
  <c r="AR157" i="14" s="1"/>
  <c r="AM90" i="14"/>
  <c r="AR90" i="14" s="1"/>
  <c r="AM91" i="14"/>
  <c r="AR91" i="14" s="1"/>
  <c r="AM4" i="14"/>
  <c r="AR4" i="14" s="1"/>
  <c r="AM5" i="14"/>
  <c r="AR5" i="14" s="1"/>
  <c r="AM63" i="14"/>
  <c r="AR63" i="14" s="1"/>
  <c r="AM64" i="14"/>
  <c r="AR64" i="14" s="1"/>
  <c r="AI321" i="14"/>
  <c r="AI310" i="14"/>
  <c r="AI309" i="14"/>
  <c r="AI206" i="14"/>
  <c r="AI205" i="14"/>
  <c r="AG199" i="14"/>
  <c r="AG200" i="14"/>
  <c r="AG103" i="14"/>
  <c r="AL103" i="13"/>
  <c r="AJ202" i="14"/>
  <c r="AJ201" i="14"/>
  <c r="AH11" i="14"/>
  <c r="AH10" i="14"/>
  <c r="AJ346" i="14"/>
  <c r="AJ345" i="14"/>
  <c r="AJ306" i="14"/>
  <c r="AJ305" i="14"/>
  <c r="AJ299" i="14"/>
  <c r="AJ298" i="14"/>
  <c r="AH287" i="14"/>
  <c r="AH288" i="14"/>
  <c r="AI125" i="14"/>
  <c r="AJ63" i="14"/>
  <c r="AJ64" i="14"/>
  <c r="AH321" i="14"/>
  <c r="AH349" i="14"/>
  <c r="AH348" i="14"/>
  <c r="AM285" i="14"/>
  <c r="AR285" i="14" s="1"/>
  <c r="AM286" i="14"/>
  <c r="AR286" i="14" s="1"/>
  <c r="AM200" i="14"/>
  <c r="AR200" i="14" s="1"/>
  <c r="AM199" i="14"/>
  <c r="AR199" i="14" s="1"/>
  <c r="AM72" i="14"/>
  <c r="AR72" i="14" s="1"/>
  <c r="AM375" i="14"/>
  <c r="AR375" i="14" s="1"/>
  <c r="AH310" i="14"/>
  <c r="AH309" i="14"/>
  <c r="AJ184" i="14"/>
  <c r="AJ185" i="14"/>
  <c r="AJ286" i="14"/>
  <c r="AJ285" i="14"/>
  <c r="AJ199" i="14"/>
  <c r="AJ200" i="14"/>
  <c r="AI189" i="14"/>
  <c r="AI190" i="14"/>
  <c r="AH125" i="14"/>
  <c r="AH126" i="14"/>
  <c r="AJ68" i="14"/>
  <c r="AJ69" i="14"/>
  <c r="AJ14" i="14"/>
  <c r="AJ15" i="14"/>
  <c r="AG240" i="14"/>
  <c r="AL240" i="13"/>
  <c r="AG327" i="14"/>
  <c r="AM313" i="14"/>
  <c r="AR313" i="14" s="1"/>
  <c r="AM314" i="14"/>
  <c r="AR314" i="14" s="1"/>
  <c r="AM287" i="14"/>
  <c r="AR287" i="14" s="1"/>
  <c r="AM288" i="14"/>
  <c r="AR288" i="14" s="1"/>
  <c r="AM205" i="14"/>
  <c r="AR205" i="14" s="1"/>
  <c r="AM206" i="14"/>
  <c r="AR206" i="14" s="1"/>
  <c r="AM141" i="14"/>
  <c r="AR141" i="14" s="1"/>
  <c r="AM140" i="14"/>
  <c r="AR140" i="14" s="1"/>
  <c r="AM340" i="14"/>
  <c r="AR340" i="14" s="1"/>
  <c r="AM14" i="14"/>
  <c r="AR14" i="14" s="1"/>
  <c r="AM15" i="14"/>
  <c r="AR15" i="14" s="1"/>
  <c r="AM316" i="14"/>
  <c r="AR316" i="14" s="1"/>
  <c r="AH92" i="14"/>
  <c r="AH93" i="14"/>
  <c r="AM342" i="14"/>
  <c r="AR342" i="14" s="1"/>
  <c r="AM294" i="14"/>
  <c r="AR294" i="14" s="1"/>
  <c r="AM366" i="14"/>
  <c r="AR366" i="14" s="1"/>
  <c r="AM169" i="14"/>
  <c r="AR169" i="14" s="1"/>
  <c r="AM80" i="14"/>
  <c r="AR80" i="14" s="1"/>
  <c r="AM81" i="14"/>
  <c r="AR81" i="14" s="1"/>
  <c r="AM32" i="14"/>
  <c r="AR32" i="14" s="1"/>
  <c r="AI325" i="14"/>
  <c r="AH306" i="14"/>
  <c r="AH305" i="14"/>
  <c r="AH298" i="14"/>
  <c r="AH299" i="14"/>
  <c r="AJ348" i="14"/>
  <c r="AJ349" i="14"/>
  <c r="AI269" i="14"/>
  <c r="AH189" i="14"/>
  <c r="AI68" i="14"/>
  <c r="AI69" i="14"/>
  <c r="AJ18" i="14"/>
  <c r="AJ19" i="14"/>
  <c r="AI15" i="14"/>
  <c r="AH79" i="14"/>
  <c r="AM330" i="14"/>
  <c r="AR330" i="14" s="1"/>
  <c r="AM331" i="14"/>
  <c r="AR331" i="14" s="1"/>
  <c r="AM348" i="14"/>
  <c r="AR348" i="14" s="1"/>
  <c r="AM349" i="14"/>
  <c r="AR349" i="14" s="1"/>
  <c r="AM203" i="14"/>
  <c r="AR203" i="14" s="1"/>
  <c r="AM204" i="14"/>
  <c r="AR204" i="14" s="1"/>
  <c r="AM139" i="14"/>
  <c r="AR139" i="14" s="1"/>
  <c r="AM68" i="14"/>
  <c r="AR68" i="14" s="1"/>
  <c r="AM69" i="14"/>
  <c r="AR69" i="14" s="1"/>
  <c r="AM12" i="14"/>
  <c r="AR12" i="14" s="1"/>
  <c r="AM13" i="14"/>
  <c r="AR13" i="14" s="1"/>
  <c r="AH198" i="14"/>
  <c r="AJ331" i="14"/>
  <c r="AJ330" i="14"/>
  <c r="AI272" i="14"/>
  <c r="AI271" i="14"/>
  <c r="AH193" i="14"/>
  <c r="AJ309" i="14"/>
  <c r="AJ310" i="14"/>
  <c r="AI348" i="14"/>
  <c r="AI349" i="14"/>
  <c r="AH275" i="14"/>
  <c r="AH276" i="14"/>
  <c r="AH269" i="14"/>
  <c r="AH270" i="14"/>
  <c r="AJ205" i="14"/>
  <c r="AJ206" i="14"/>
  <c r="AJ90" i="14"/>
  <c r="AJ91" i="14"/>
  <c r="AH69" i="14"/>
  <c r="AJ47" i="14"/>
  <c r="AJ48" i="14"/>
  <c r="AH15" i="14"/>
  <c r="AH14" i="14"/>
  <c r="AI361" i="14"/>
  <c r="AM325" i="14"/>
  <c r="AR325" i="14" s="1"/>
  <c r="AM324" i="14"/>
  <c r="AR324" i="14" s="1"/>
  <c r="AM264" i="14"/>
  <c r="AR264" i="14" s="1"/>
  <c r="AM202" i="14"/>
  <c r="AR202" i="14" s="1"/>
  <c r="AM201" i="14"/>
  <c r="AR201" i="14" s="1"/>
  <c r="AM168" i="14"/>
  <c r="AR168" i="14" s="1"/>
  <c r="AM73" i="14"/>
  <c r="AR73" i="14" s="1"/>
  <c r="AM11" i="14"/>
  <c r="AR11" i="14" s="1"/>
  <c r="AM10" i="14"/>
  <c r="AR10" i="14" s="1"/>
  <c r="AJ208" i="14"/>
  <c r="AH207" i="14"/>
  <c r="AJ190" i="14"/>
  <c r="AJ269" i="14"/>
  <c r="AG257" i="14"/>
  <c r="AG258" i="14"/>
  <c r="AH201" i="14"/>
  <c r="AL193" i="13"/>
  <c r="AG194" i="14"/>
  <c r="AH132" i="14"/>
  <c r="AG5" i="14"/>
  <c r="AG4" i="14"/>
  <c r="AI77" i="14"/>
  <c r="AM341" i="14"/>
  <c r="AR341" i="14" s="1"/>
  <c r="AM293" i="14"/>
  <c r="AR293" i="14" s="1"/>
  <c r="AM186" i="14"/>
  <c r="AR186" i="14" s="1"/>
  <c r="AM88" i="14"/>
  <c r="AR88" i="14" s="1"/>
  <c r="AM18" i="14"/>
  <c r="AR18" i="14" s="1"/>
  <c r="AM19" i="14"/>
  <c r="AR19" i="14" s="1"/>
  <c r="AM7" i="14"/>
  <c r="AR7" i="14" s="1"/>
  <c r="AI299" i="14"/>
  <c r="AJ324" i="14"/>
  <c r="AJ325" i="14"/>
  <c r="AJ126" i="14"/>
  <c r="AJ125" i="14"/>
  <c r="AI16" i="14"/>
  <c r="AI17" i="14"/>
  <c r="AH226" i="14"/>
  <c r="AJ8" i="14"/>
  <c r="AJ9" i="14"/>
  <c r="AM310" i="14"/>
  <c r="AR310" i="14" s="1"/>
  <c r="AM309" i="14"/>
  <c r="AR309" i="14" s="1"/>
  <c r="AM290" i="14"/>
  <c r="AR290" i="14" s="1"/>
  <c r="AM291" i="14"/>
  <c r="AR291" i="14" s="1"/>
  <c r="AM207" i="14"/>
  <c r="AR207" i="14" s="1"/>
  <c r="AM208" i="14"/>
  <c r="AR208" i="14" s="1"/>
  <c r="AM156" i="14"/>
  <c r="AR156" i="14" s="1"/>
  <c r="AM86" i="14"/>
  <c r="AR86" i="14" s="1"/>
  <c r="AM87" i="14"/>
  <c r="AR87" i="14" s="1"/>
  <c r="AM16" i="14"/>
  <c r="AR16" i="14" s="1"/>
  <c r="AM17" i="14"/>
  <c r="AR17" i="14" s="1"/>
  <c r="AM8" i="14"/>
  <c r="AR8" i="14" s="1"/>
  <c r="AM9" i="14"/>
  <c r="AR9" i="14" s="1"/>
  <c r="AM192" i="14"/>
  <c r="AR192" i="14" s="1"/>
  <c r="AM191" i="14"/>
  <c r="AM318" i="14"/>
  <c r="AR318" i="14" s="1"/>
  <c r="AG10" i="14"/>
  <c r="AI346" i="14"/>
  <c r="Y176" i="13"/>
  <c r="Y176" i="14" s="1"/>
  <c r="P258" i="14"/>
  <c r="U25" i="13"/>
  <c r="U25" i="14" s="1"/>
  <c r="W25" i="14" s="1"/>
  <c r="J203" i="14"/>
  <c r="F81" i="14"/>
  <c r="L358" i="14"/>
  <c r="J276" i="14"/>
  <c r="L290" i="14"/>
  <c r="J290" i="14"/>
  <c r="F29" i="14"/>
  <c r="AR308" i="14"/>
  <c r="AR59" i="14"/>
  <c r="AR152" i="14"/>
  <c r="AR153" i="14"/>
  <c r="AR79" i="14"/>
  <c r="AR178" i="14"/>
  <c r="AR373" i="14"/>
  <c r="AR146" i="14"/>
  <c r="AR322" i="14"/>
  <c r="AR35" i="14"/>
  <c r="AR195" i="14"/>
  <c r="AR61" i="14"/>
  <c r="AR6" i="14"/>
  <c r="AR31" i="14"/>
  <c r="AR96" i="14"/>
  <c r="AR23" i="14"/>
  <c r="AR172" i="14"/>
  <c r="AR319" i="14"/>
  <c r="X205" i="14"/>
  <c r="X206" i="14"/>
  <c r="L237" i="14"/>
  <c r="N164" i="14"/>
  <c r="N59" i="14"/>
  <c r="T275" i="14"/>
  <c r="T276" i="14"/>
  <c r="T197" i="14"/>
  <c r="T198" i="14"/>
  <c r="T318" i="14"/>
  <c r="T319" i="14"/>
  <c r="T18" i="14"/>
  <c r="T19" i="14"/>
  <c r="F309" i="14"/>
  <c r="E271" i="14"/>
  <c r="F207" i="14"/>
  <c r="J261" i="14"/>
  <c r="I102" i="14"/>
  <c r="J156" i="14"/>
  <c r="N144" i="14"/>
  <c r="L344" i="14"/>
  <c r="L277" i="14"/>
  <c r="L94" i="14"/>
  <c r="L44" i="14"/>
  <c r="I89" i="14"/>
  <c r="E205" i="14"/>
  <c r="N321" i="14"/>
  <c r="N320" i="14"/>
  <c r="I264" i="14"/>
  <c r="J198" i="14"/>
  <c r="J197" i="14"/>
  <c r="I32" i="14"/>
  <c r="K12" i="14"/>
  <c r="K13" i="14"/>
  <c r="I153" i="14"/>
  <c r="I373" i="14"/>
  <c r="I334" i="14"/>
  <c r="I322" i="14"/>
  <c r="L57" i="14"/>
  <c r="L119" i="14"/>
  <c r="L239" i="14"/>
  <c r="R239" i="14" s="1"/>
  <c r="I368" i="14"/>
  <c r="I114" i="14"/>
  <c r="N99" i="14"/>
  <c r="S318" i="14"/>
  <c r="S319" i="14"/>
  <c r="S18" i="14"/>
  <c r="S19" i="14"/>
  <c r="E309" i="14"/>
  <c r="J202" i="14"/>
  <c r="J201" i="14"/>
  <c r="N141" i="14"/>
  <c r="N140" i="14"/>
  <c r="N132" i="14"/>
  <c r="N133" i="14"/>
  <c r="J88" i="14"/>
  <c r="N229" i="14"/>
  <c r="I112" i="14"/>
  <c r="L327" i="14"/>
  <c r="I30" i="14"/>
  <c r="I179" i="14"/>
  <c r="N82" i="14"/>
  <c r="N106" i="14"/>
  <c r="T335" i="14"/>
  <c r="T336" i="14"/>
  <c r="T306" i="14"/>
  <c r="T305" i="14"/>
  <c r="T273" i="14"/>
  <c r="T274" i="14"/>
  <c r="J336" i="14"/>
  <c r="J335" i="14"/>
  <c r="J264" i="14"/>
  <c r="M205" i="14"/>
  <c r="M206" i="14"/>
  <c r="N17" i="14"/>
  <c r="N16" i="14"/>
  <c r="N174" i="14"/>
  <c r="L323" i="14"/>
  <c r="I117" i="14"/>
  <c r="I258" i="14"/>
  <c r="I257" i="14"/>
  <c r="J192" i="14"/>
  <c r="J191" i="14"/>
  <c r="F335" i="14"/>
  <c r="F336" i="14"/>
  <c r="K305" i="14"/>
  <c r="K306" i="14"/>
  <c r="N286" i="14"/>
  <c r="N285" i="14"/>
  <c r="J318" i="14"/>
  <c r="J319" i="14"/>
  <c r="J137" i="14"/>
  <c r="I87" i="14"/>
  <c r="I86" i="14"/>
  <c r="N110" i="14"/>
  <c r="N263" i="14"/>
  <c r="N146" i="14"/>
  <c r="L359" i="14"/>
  <c r="I256" i="14"/>
  <c r="I241" i="14"/>
  <c r="Q223" i="13"/>
  <c r="I223" i="14"/>
  <c r="L160" i="14"/>
  <c r="L46" i="14"/>
  <c r="I370" i="14"/>
  <c r="I77" i="14"/>
  <c r="I103" i="14"/>
  <c r="N355" i="14"/>
  <c r="I3" i="14"/>
  <c r="T210" i="14"/>
  <c r="T209" i="14"/>
  <c r="T193" i="14"/>
  <c r="T194" i="14"/>
  <c r="T90" i="14"/>
  <c r="T91" i="14"/>
  <c r="T5" i="14"/>
  <c r="T4" i="14"/>
  <c r="T63" i="14"/>
  <c r="T64" i="14"/>
  <c r="AW189" i="14"/>
  <c r="AW190" i="14"/>
  <c r="AW37" i="14"/>
  <c r="AW38" i="14"/>
  <c r="L185" i="14"/>
  <c r="E324" i="14"/>
  <c r="E201" i="14"/>
  <c r="E10" i="14"/>
  <c r="P25" i="14"/>
  <c r="I374" i="14"/>
  <c r="K350" i="14"/>
  <c r="N309" i="14"/>
  <c r="N310" i="14"/>
  <c r="M331" i="14"/>
  <c r="M330" i="14"/>
  <c r="J306" i="14"/>
  <c r="J305" i="14"/>
  <c r="I371" i="14"/>
  <c r="I287" i="14"/>
  <c r="I288" i="14"/>
  <c r="M285" i="14"/>
  <c r="M286" i="14"/>
  <c r="K274" i="14"/>
  <c r="K273" i="14"/>
  <c r="I270" i="14"/>
  <c r="I269" i="14"/>
  <c r="K209" i="14"/>
  <c r="K210" i="14"/>
  <c r="J205" i="14"/>
  <c r="J206" i="14"/>
  <c r="I201" i="14"/>
  <c r="I202" i="14"/>
  <c r="N194" i="14"/>
  <c r="N193" i="14"/>
  <c r="M185" i="14"/>
  <c r="M184" i="14"/>
  <c r="I319" i="14"/>
  <c r="I318" i="14"/>
  <c r="M140" i="14"/>
  <c r="M141" i="14"/>
  <c r="I137" i="14"/>
  <c r="M132" i="14"/>
  <c r="M133" i="14"/>
  <c r="I88" i="14"/>
  <c r="J37" i="14"/>
  <c r="J38" i="14"/>
  <c r="I47" i="14"/>
  <c r="I48" i="14"/>
  <c r="M18" i="14"/>
  <c r="M19" i="14"/>
  <c r="K16" i="14"/>
  <c r="K17" i="14"/>
  <c r="I13" i="14"/>
  <c r="I12" i="14"/>
  <c r="I224" i="14"/>
  <c r="N176" i="14"/>
  <c r="I181" i="14"/>
  <c r="I35" i="14"/>
  <c r="I180" i="14"/>
  <c r="I142" i="14"/>
  <c r="R123" i="13"/>
  <c r="N123" i="14"/>
  <c r="R123" i="14" s="1"/>
  <c r="N111" i="14"/>
  <c r="I213" i="14"/>
  <c r="N151" i="14"/>
  <c r="N316" i="14"/>
  <c r="I344" i="14"/>
  <c r="I323" i="14"/>
  <c r="L268" i="14"/>
  <c r="L253" i="14"/>
  <c r="L244" i="14"/>
  <c r="I237" i="14"/>
  <c r="L53" i="14"/>
  <c r="I277" i="14"/>
  <c r="I94" i="14"/>
  <c r="L79" i="14"/>
  <c r="I44" i="14"/>
  <c r="L20" i="14"/>
  <c r="N178" i="14"/>
  <c r="N367" i="14"/>
  <c r="R367" i="14" s="1"/>
  <c r="N217" i="14"/>
  <c r="N84" i="14"/>
  <c r="I115" i="14"/>
  <c r="I249" i="14"/>
  <c r="I129" i="14"/>
  <c r="S335" i="14"/>
  <c r="S336" i="14"/>
  <c r="S305" i="14"/>
  <c r="S306" i="14"/>
  <c r="S274" i="14"/>
  <c r="S273" i="14"/>
  <c r="S210" i="14"/>
  <c r="S209" i="14"/>
  <c r="S194" i="14"/>
  <c r="S193" i="14"/>
  <c r="S90" i="14"/>
  <c r="S91" i="14"/>
  <c r="S5" i="14"/>
  <c r="S4" i="14"/>
  <c r="S64" i="14"/>
  <c r="S63" i="14"/>
  <c r="F275" i="14"/>
  <c r="F12" i="14"/>
  <c r="P298" i="14"/>
  <c r="F197" i="14"/>
  <c r="F198" i="14"/>
  <c r="I97" i="14"/>
  <c r="I31" i="14"/>
  <c r="I221" i="14"/>
  <c r="I283" i="14"/>
  <c r="N337" i="14"/>
  <c r="L305" i="14"/>
  <c r="L306" i="14"/>
  <c r="I54" i="14"/>
  <c r="N282" i="14"/>
  <c r="S197" i="14"/>
  <c r="S198" i="14"/>
  <c r="E348" i="14"/>
  <c r="K38" i="14"/>
  <c r="K37" i="14"/>
  <c r="N18" i="14"/>
  <c r="N19" i="14"/>
  <c r="L17" i="14"/>
  <c r="L16" i="14"/>
  <c r="J12" i="14"/>
  <c r="J13" i="14"/>
  <c r="I49" i="14"/>
  <c r="N372" i="14"/>
  <c r="E285" i="14"/>
  <c r="F290" i="14"/>
  <c r="F291" i="14"/>
  <c r="F8" i="14"/>
  <c r="F9" i="14"/>
  <c r="E275" i="14"/>
  <c r="F199" i="14"/>
  <c r="E12" i="14"/>
  <c r="N274" i="14"/>
  <c r="N273" i="14"/>
  <c r="L319" i="14"/>
  <c r="L318" i="14"/>
  <c r="I72" i="14"/>
  <c r="N246" i="14"/>
  <c r="K191" i="14"/>
  <c r="K192" i="14"/>
  <c r="K287" i="14"/>
  <c r="K288" i="14"/>
  <c r="I68" i="14"/>
  <c r="I230" i="14"/>
  <c r="I58" i="14"/>
  <c r="L351" i="14"/>
  <c r="L350" i="14"/>
  <c r="N352" i="14"/>
  <c r="E199" i="14"/>
  <c r="K351" i="14"/>
  <c r="M321" i="14"/>
  <c r="M273" i="14"/>
  <c r="I338" i="14"/>
  <c r="E290" i="14"/>
  <c r="E8" i="14"/>
  <c r="U90" i="14"/>
  <c r="N222" i="14"/>
  <c r="N43" i="14"/>
  <c r="I121" i="14"/>
  <c r="S275" i="14"/>
  <c r="S276" i="14"/>
  <c r="N116" i="14"/>
  <c r="I197" i="14"/>
  <c r="I198" i="14"/>
  <c r="L330" i="14"/>
  <c r="L331" i="14"/>
  <c r="L285" i="14"/>
  <c r="L286" i="14"/>
  <c r="I206" i="14"/>
  <c r="I205" i="14"/>
  <c r="J168" i="14"/>
  <c r="N297" i="14"/>
  <c r="R297" i="14" s="1"/>
  <c r="L296" i="14"/>
  <c r="N369" i="14"/>
  <c r="R369" i="14" s="1"/>
  <c r="T87" i="14"/>
  <c r="T86" i="14"/>
  <c r="T192" i="14"/>
  <c r="T191" i="14"/>
  <c r="K330" i="14"/>
  <c r="K331" i="14"/>
  <c r="I273" i="14"/>
  <c r="I274" i="14"/>
  <c r="M90" i="14"/>
  <c r="M91" i="14"/>
  <c r="I16" i="14"/>
  <c r="I17" i="14"/>
  <c r="N50" i="14"/>
  <c r="N304" i="14"/>
  <c r="N247" i="14"/>
  <c r="I174" i="14"/>
  <c r="N278" i="14"/>
  <c r="I164" i="14"/>
  <c r="S272" i="14"/>
  <c r="S271" i="14"/>
  <c r="S8" i="14"/>
  <c r="S9" i="14"/>
  <c r="S192" i="14"/>
  <c r="S191" i="14"/>
  <c r="E305" i="14"/>
  <c r="E273" i="14"/>
  <c r="E193" i="14"/>
  <c r="F357" i="14"/>
  <c r="F358" i="14"/>
  <c r="F313" i="14"/>
  <c r="F314" i="14"/>
  <c r="F269" i="14"/>
  <c r="F270" i="14"/>
  <c r="F205" i="14"/>
  <c r="F206" i="14"/>
  <c r="F140" i="14"/>
  <c r="F141" i="14"/>
  <c r="F132" i="14"/>
  <c r="F133" i="14"/>
  <c r="F14" i="14"/>
  <c r="F15" i="14"/>
  <c r="I308" i="14"/>
  <c r="N346" i="14"/>
  <c r="N345" i="14"/>
  <c r="K310" i="14"/>
  <c r="K309" i="14"/>
  <c r="J331" i="14"/>
  <c r="J330" i="14"/>
  <c r="I320" i="14"/>
  <c r="I321" i="14"/>
  <c r="L299" i="14"/>
  <c r="L298" i="14"/>
  <c r="J294" i="14"/>
  <c r="N291" i="14"/>
  <c r="N290" i="14"/>
  <c r="L348" i="14"/>
  <c r="L349" i="14"/>
  <c r="J286" i="14"/>
  <c r="J285" i="14"/>
  <c r="N271" i="14"/>
  <c r="N272" i="14"/>
  <c r="L262" i="14"/>
  <c r="L261" i="14"/>
  <c r="J366" i="14"/>
  <c r="N203" i="14"/>
  <c r="N204" i="14"/>
  <c r="M200" i="14"/>
  <c r="M199" i="14"/>
  <c r="K193" i="14"/>
  <c r="K194" i="14"/>
  <c r="J184" i="14"/>
  <c r="J185" i="14"/>
  <c r="J141" i="14"/>
  <c r="J140" i="14"/>
  <c r="J132" i="14"/>
  <c r="J133" i="14"/>
  <c r="N80" i="14"/>
  <c r="N81" i="14"/>
  <c r="L90" i="14"/>
  <c r="L91" i="14"/>
  <c r="J73" i="14"/>
  <c r="I284" i="14"/>
  <c r="L29" i="14"/>
  <c r="L28" i="14"/>
  <c r="J18" i="14"/>
  <c r="J19" i="14"/>
  <c r="N15" i="14"/>
  <c r="N14" i="14"/>
  <c r="L10" i="14"/>
  <c r="L11" i="14"/>
  <c r="N233" i="14"/>
  <c r="I227" i="14"/>
  <c r="N225" i="14"/>
  <c r="N75" i="14"/>
  <c r="I254" i="14"/>
  <c r="N182" i="14"/>
  <c r="N39" i="14"/>
  <c r="L8" i="14"/>
  <c r="L9" i="14"/>
  <c r="N211" i="14"/>
  <c r="N143" i="14"/>
  <c r="I353" i="14"/>
  <c r="I62" i="14"/>
  <c r="K195" i="14"/>
  <c r="I280" i="14"/>
  <c r="I61" i="14"/>
  <c r="I251" i="14"/>
  <c r="M64" i="14"/>
  <c r="M63" i="14"/>
  <c r="L362" i="14"/>
  <c r="R362" i="14" s="1"/>
  <c r="L302" i="14"/>
  <c r="L312" i="14"/>
  <c r="I268" i="14"/>
  <c r="I253" i="14"/>
  <c r="I244" i="14"/>
  <c r="L236" i="14"/>
  <c r="I53" i="14"/>
  <c r="L71" i="14"/>
  <c r="I79" i="14"/>
  <c r="I20" i="14"/>
  <c r="I131" i="14"/>
  <c r="I282" i="14"/>
  <c r="I222" i="14"/>
  <c r="I43" i="14"/>
  <c r="N328" i="14"/>
  <c r="N158" i="14"/>
  <c r="I99" i="14"/>
  <c r="T358" i="14"/>
  <c r="T357" i="14"/>
  <c r="T314" i="14"/>
  <c r="T313" i="14"/>
  <c r="T287" i="14"/>
  <c r="T288" i="14"/>
  <c r="T269" i="14"/>
  <c r="T270" i="14"/>
  <c r="T205" i="14"/>
  <c r="T206" i="14"/>
  <c r="T185" i="14"/>
  <c r="T184" i="14"/>
  <c r="T140" i="14"/>
  <c r="T141" i="14"/>
  <c r="T132" i="14"/>
  <c r="T133" i="14"/>
  <c r="T14" i="14"/>
  <c r="T15" i="14"/>
  <c r="F320" i="14"/>
  <c r="E132" i="14"/>
  <c r="F69" i="14"/>
  <c r="J351" i="14"/>
  <c r="L321" i="14"/>
  <c r="I314" i="14"/>
  <c r="J257" i="14"/>
  <c r="J258" i="14"/>
  <c r="I189" i="14"/>
  <c r="I190" i="14"/>
  <c r="J135" i="14"/>
  <c r="J68" i="14"/>
  <c r="J69" i="14"/>
  <c r="L47" i="14"/>
  <c r="L48" i="14"/>
  <c r="L12" i="14"/>
  <c r="L13" i="14"/>
  <c r="N76" i="14"/>
  <c r="I295" i="14"/>
  <c r="L205" i="14"/>
  <c r="L206" i="14"/>
  <c r="F63" i="14"/>
  <c r="F64" i="14"/>
  <c r="J292" i="14"/>
  <c r="N347" i="14"/>
  <c r="I119" i="14"/>
  <c r="N128" i="14"/>
  <c r="J321" i="14"/>
  <c r="J320" i="14"/>
  <c r="I168" i="14"/>
  <c r="I109" i="14"/>
  <c r="I240" i="14"/>
  <c r="I359" i="14"/>
  <c r="I337" i="14"/>
  <c r="AW345" i="14"/>
  <c r="AW346" i="14"/>
  <c r="E189" i="14"/>
  <c r="I116" i="14"/>
  <c r="M345" i="14"/>
  <c r="M346" i="14"/>
  <c r="J309" i="14"/>
  <c r="J310" i="14"/>
  <c r="I330" i="14"/>
  <c r="I331" i="14"/>
  <c r="K299" i="14"/>
  <c r="K298" i="14"/>
  <c r="I294" i="14"/>
  <c r="M290" i="14"/>
  <c r="M291" i="14"/>
  <c r="K348" i="14"/>
  <c r="K349" i="14"/>
  <c r="I285" i="14"/>
  <c r="I286" i="14"/>
  <c r="M271" i="14"/>
  <c r="M272" i="14"/>
  <c r="K262" i="14"/>
  <c r="K261" i="14"/>
  <c r="I366" i="14"/>
  <c r="N208" i="14"/>
  <c r="N207" i="14"/>
  <c r="M203" i="14"/>
  <c r="M204" i="14"/>
  <c r="L200" i="14"/>
  <c r="L199" i="14"/>
  <c r="J193" i="14"/>
  <c r="J194" i="14"/>
  <c r="I185" i="14"/>
  <c r="I184" i="14"/>
  <c r="I140" i="14"/>
  <c r="I141" i="14"/>
  <c r="I132" i="14"/>
  <c r="I133" i="14"/>
  <c r="M81" i="14"/>
  <c r="M80" i="14"/>
  <c r="K90" i="14"/>
  <c r="K91" i="14"/>
  <c r="J340" i="14"/>
  <c r="I73" i="14"/>
  <c r="K28" i="14"/>
  <c r="K29" i="14"/>
  <c r="I19" i="14"/>
  <c r="I18" i="14"/>
  <c r="M15" i="14"/>
  <c r="M14" i="14"/>
  <c r="K11" i="14"/>
  <c r="K10" i="14"/>
  <c r="I235" i="14"/>
  <c r="I229" i="14"/>
  <c r="N219" i="14"/>
  <c r="I155" i="14"/>
  <c r="I110" i="14"/>
  <c r="K8" i="14"/>
  <c r="K9" i="14"/>
  <c r="I372" i="14"/>
  <c r="N311" i="14"/>
  <c r="I263" i="14"/>
  <c r="I146" i="14"/>
  <c r="N108" i="14"/>
  <c r="N60" i="14"/>
  <c r="N279" i="14"/>
  <c r="I352" i="14"/>
  <c r="N173" i="14"/>
  <c r="N34" i="14"/>
  <c r="N127" i="14"/>
  <c r="L63" i="14"/>
  <c r="L64" i="14"/>
  <c r="I361" i="14"/>
  <c r="I333" i="14"/>
  <c r="I296" i="14"/>
  <c r="L212" i="14"/>
  <c r="L238" i="14"/>
  <c r="I100" i="14"/>
  <c r="I67" i="14"/>
  <c r="R40" i="13"/>
  <c r="L40" i="14"/>
  <c r="R40" i="14" s="1"/>
  <c r="N281" i="14"/>
  <c r="N105" i="14"/>
  <c r="N42" i="14"/>
  <c r="I355" i="14"/>
  <c r="I82" i="14"/>
  <c r="I106" i="14"/>
  <c r="N33" i="14"/>
  <c r="S357" i="14"/>
  <c r="S358" i="14"/>
  <c r="S313" i="14"/>
  <c r="S314" i="14"/>
  <c r="S287" i="14"/>
  <c r="S288" i="14"/>
  <c r="S270" i="14"/>
  <c r="S269" i="14"/>
  <c r="S206" i="14"/>
  <c r="S205" i="14"/>
  <c r="S185" i="14"/>
  <c r="S184" i="14"/>
  <c r="S141" i="14"/>
  <c r="S140" i="14"/>
  <c r="S132" i="14"/>
  <c r="S133" i="14"/>
  <c r="S15" i="14"/>
  <c r="S14" i="14"/>
  <c r="AW319" i="14"/>
  <c r="AW318" i="14"/>
  <c r="E320" i="14"/>
  <c r="E37" i="14"/>
  <c r="F16" i="14"/>
  <c r="M309" i="14"/>
  <c r="L148" i="14"/>
  <c r="N199" i="14"/>
  <c r="E86" i="14"/>
  <c r="I317" i="14"/>
  <c r="N339" i="14"/>
  <c r="K356" i="14"/>
  <c r="I83" i="14"/>
  <c r="E313" i="14"/>
  <c r="N330" i="14"/>
  <c r="N331" i="14"/>
  <c r="K205" i="14"/>
  <c r="K206" i="14"/>
  <c r="I356" i="14"/>
  <c r="N326" i="14"/>
  <c r="I305" i="14"/>
  <c r="I306" i="14"/>
  <c r="N261" i="14"/>
  <c r="N262" i="14"/>
  <c r="I51" i="14"/>
  <c r="N159" i="14"/>
  <c r="N165" i="14"/>
  <c r="I107" i="14"/>
  <c r="I36" i="14"/>
  <c r="I26" i="14"/>
  <c r="T291" i="14"/>
  <c r="T290" i="14"/>
  <c r="T37" i="14"/>
  <c r="T38" i="14"/>
  <c r="M262" i="14"/>
  <c r="M261" i="14"/>
  <c r="K184" i="14"/>
  <c r="K185" i="14"/>
  <c r="K133" i="14"/>
  <c r="K132" i="14"/>
  <c r="N167" i="14"/>
  <c r="N214" i="14"/>
  <c r="I41" i="14"/>
  <c r="I59" i="14"/>
  <c r="AW257" i="14"/>
  <c r="AW258" i="14"/>
  <c r="E357" i="14"/>
  <c r="E269" i="14"/>
  <c r="E184" i="14"/>
  <c r="F350" i="14"/>
  <c r="F351" i="14"/>
  <c r="F298" i="14"/>
  <c r="F299" i="14"/>
  <c r="F348" i="14"/>
  <c r="F349" i="14"/>
  <c r="F92" i="14"/>
  <c r="F93" i="14"/>
  <c r="F125" i="14"/>
  <c r="F126" i="14"/>
  <c r="F47" i="14"/>
  <c r="F48" i="14"/>
  <c r="N358" i="14"/>
  <c r="N357" i="14"/>
  <c r="L346" i="14"/>
  <c r="L345" i="14"/>
  <c r="J341" i="14"/>
  <c r="I310" i="14"/>
  <c r="I309" i="14"/>
  <c r="N324" i="14"/>
  <c r="N325" i="14"/>
  <c r="K301" i="14"/>
  <c r="J299" i="14"/>
  <c r="J298" i="14"/>
  <c r="J348" i="14"/>
  <c r="J349" i="14"/>
  <c r="N276" i="14"/>
  <c r="N275" i="14"/>
  <c r="L271" i="14"/>
  <c r="L272" i="14"/>
  <c r="M207" i="14"/>
  <c r="M208" i="14"/>
  <c r="L203" i="14"/>
  <c r="L204" i="14"/>
  <c r="K199" i="14"/>
  <c r="K200" i="14"/>
  <c r="I194" i="14"/>
  <c r="I193" i="14"/>
  <c r="N92" i="14"/>
  <c r="N93" i="14"/>
  <c r="J157" i="14"/>
  <c r="J136" i="14"/>
  <c r="N125" i="14"/>
  <c r="N126" i="14"/>
  <c r="L81" i="14"/>
  <c r="L80" i="14"/>
  <c r="J91" i="14"/>
  <c r="J90" i="14"/>
  <c r="I340" i="14"/>
  <c r="J28" i="14"/>
  <c r="J29" i="14"/>
  <c r="N5" i="14"/>
  <c r="N4" i="14"/>
  <c r="L14" i="14"/>
  <c r="L15" i="14"/>
  <c r="J10" i="14"/>
  <c r="J11" i="14"/>
  <c r="N234" i="14"/>
  <c r="N228" i="14"/>
  <c r="N113" i="14"/>
  <c r="I176" i="14"/>
  <c r="N95" i="14"/>
  <c r="N66" i="14"/>
  <c r="J8" i="14"/>
  <c r="J9" i="14"/>
  <c r="N124" i="14"/>
  <c r="N252" i="14"/>
  <c r="N145" i="14"/>
  <c r="Q123" i="13"/>
  <c r="I123" i="14"/>
  <c r="I111" i="14"/>
  <c r="I195" i="14"/>
  <c r="N259" i="14"/>
  <c r="I151" i="14"/>
  <c r="I316" i="14"/>
  <c r="N250" i="14"/>
  <c r="K63" i="14"/>
  <c r="K64" i="14"/>
  <c r="L364" i="14"/>
  <c r="L343" i="14"/>
  <c r="I260" i="14"/>
  <c r="I245" i="14"/>
  <c r="I243" i="14"/>
  <c r="L162" i="14"/>
  <c r="L96" i="14"/>
  <c r="L45" i="14"/>
  <c r="I24" i="14"/>
  <c r="I178" i="14"/>
  <c r="I367" i="14"/>
  <c r="I217" i="14"/>
  <c r="I84" i="14"/>
  <c r="N187" i="14"/>
  <c r="N166" i="14"/>
  <c r="N74" i="14"/>
  <c r="T350" i="14"/>
  <c r="T351" i="14"/>
  <c r="T331" i="14"/>
  <c r="T330" i="14"/>
  <c r="T298" i="14"/>
  <c r="T299" i="14"/>
  <c r="T349" i="14"/>
  <c r="T348" i="14"/>
  <c r="T261" i="14"/>
  <c r="T262" i="14"/>
  <c r="T203" i="14"/>
  <c r="T204" i="14"/>
  <c r="T93" i="14"/>
  <c r="T92" i="14"/>
  <c r="T125" i="14"/>
  <c r="T126" i="14"/>
  <c r="T68" i="14"/>
  <c r="T69" i="14"/>
  <c r="T47" i="14"/>
  <c r="T48" i="14"/>
  <c r="T12" i="14"/>
  <c r="T13" i="14"/>
  <c r="AW90" i="14"/>
  <c r="AW91" i="14"/>
  <c r="F184" i="14"/>
  <c r="E16" i="14"/>
  <c r="L309" i="14"/>
  <c r="M306" i="14"/>
  <c r="M305" i="14"/>
  <c r="N210" i="14"/>
  <c r="N209" i="14"/>
  <c r="N240" i="14"/>
  <c r="P63" i="14"/>
  <c r="P64" i="14"/>
  <c r="I336" i="14"/>
  <c r="I335" i="14"/>
  <c r="K202" i="14"/>
  <c r="K201" i="14"/>
  <c r="K48" i="14"/>
  <c r="K47" i="14"/>
  <c r="M17" i="14"/>
  <c r="M16" i="14"/>
  <c r="I171" i="14"/>
  <c r="I289" i="14"/>
  <c r="I122" i="14"/>
  <c r="N61" i="14"/>
  <c r="F305" i="14"/>
  <c r="F306" i="14"/>
  <c r="F209" i="14"/>
  <c r="F210" i="14"/>
  <c r="F4" i="14"/>
  <c r="F5" i="14"/>
  <c r="J342" i="14"/>
  <c r="L210" i="14"/>
  <c r="L209" i="14"/>
  <c r="N299" i="14"/>
  <c r="N298" i="14"/>
  <c r="L141" i="14"/>
  <c r="L140" i="14"/>
  <c r="L132" i="14"/>
  <c r="L133" i="14"/>
  <c r="I38" i="14"/>
  <c r="I37" i="14"/>
  <c r="L361" i="14"/>
  <c r="I239" i="14"/>
  <c r="I218" i="14"/>
  <c r="T310" i="14"/>
  <c r="T309" i="14"/>
  <c r="AW93" i="14"/>
  <c r="AW92" i="14"/>
  <c r="E197" i="14"/>
  <c r="I350" i="14"/>
  <c r="I351" i="14"/>
  <c r="I292" i="14"/>
  <c r="I339" i="14"/>
  <c r="N154" i="14"/>
  <c r="E298" i="14"/>
  <c r="E92" i="14"/>
  <c r="E125" i="14"/>
  <c r="E47" i="14"/>
  <c r="X10" i="14"/>
  <c r="X11" i="14"/>
  <c r="I326" i="14"/>
  <c r="M358" i="14"/>
  <c r="M357" i="14"/>
  <c r="K345" i="14"/>
  <c r="K346" i="14"/>
  <c r="I341" i="14"/>
  <c r="N313" i="14"/>
  <c r="N314" i="14"/>
  <c r="M324" i="14"/>
  <c r="M325" i="14"/>
  <c r="I299" i="14"/>
  <c r="I298" i="14"/>
  <c r="K291" i="14"/>
  <c r="K290" i="14"/>
  <c r="I348" i="14"/>
  <c r="I349" i="14"/>
  <c r="M276" i="14"/>
  <c r="M275" i="14"/>
  <c r="K271" i="14"/>
  <c r="K272" i="14"/>
  <c r="I261" i="14"/>
  <c r="I262" i="14"/>
  <c r="L207" i="14"/>
  <c r="L208" i="14"/>
  <c r="K204" i="14"/>
  <c r="K203" i="14"/>
  <c r="J200" i="14"/>
  <c r="J199" i="14"/>
  <c r="N190" i="14"/>
  <c r="N189" i="14"/>
  <c r="M92" i="14"/>
  <c r="M93" i="14"/>
  <c r="I157" i="14"/>
  <c r="I136" i="14"/>
  <c r="M126" i="14"/>
  <c r="M125" i="14"/>
  <c r="K81" i="14"/>
  <c r="K80" i="14"/>
  <c r="I91" i="14"/>
  <c r="I90" i="14"/>
  <c r="I28" i="14"/>
  <c r="I29" i="14"/>
  <c r="M4" i="14"/>
  <c r="M5" i="14"/>
  <c r="K15" i="14"/>
  <c r="K14" i="14"/>
  <c r="I10" i="14"/>
  <c r="I11" i="14"/>
  <c r="I231" i="14"/>
  <c r="I177" i="14"/>
  <c r="N317" i="14"/>
  <c r="I159" i="14"/>
  <c r="I9" i="14"/>
  <c r="I8" i="14"/>
  <c r="I297" i="14"/>
  <c r="I347" i="14"/>
  <c r="I165" i="14"/>
  <c r="N118" i="14"/>
  <c r="N104" i="14"/>
  <c r="N85" i="14"/>
  <c r="I161" i="14"/>
  <c r="N150" i="14"/>
  <c r="N295" i="14"/>
  <c r="J63" i="14"/>
  <c r="J64" i="14"/>
  <c r="I362" i="14"/>
  <c r="I302" i="14"/>
  <c r="I312" i="14"/>
  <c r="L265" i="14"/>
  <c r="L120" i="14"/>
  <c r="L354" i="14"/>
  <c r="I236" i="14"/>
  <c r="I134" i="14"/>
  <c r="I71" i="14"/>
  <c r="L22" i="14"/>
  <c r="I369" i="14"/>
  <c r="N283" i="14"/>
  <c r="N215" i="14"/>
  <c r="N89" i="14"/>
  <c r="I147" i="14"/>
  <c r="I220" i="14"/>
  <c r="I128" i="14"/>
  <c r="N83" i="14"/>
  <c r="S351" i="14"/>
  <c r="S350" i="14"/>
  <c r="S330" i="14"/>
  <c r="S331" i="14"/>
  <c r="S298" i="14"/>
  <c r="S299" i="14"/>
  <c r="S348" i="14"/>
  <c r="S349" i="14"/>
  <c r="S261" i="14"/>
  <c r="S262" i="14"/>
  <c r="S203" i="14"/>
  <c r="S204" i="14"/>
  <c r="S92" i="14"/>
  <c r="S93" i="14"/>
  <c r="S125" i="14"/>
  <c r="S126" i="14"/>
  <c r="S69" i="14"/>
  <c r="S68" i="14"/>
  <c r="S47" i="14"/>
  <c r="S48" i="14"/>
  <c r="S12" i="14"/>
  <c r="S13" i="14"/>
  <c r="AW87" i="14"/>
  <c r="AW86" i="14"/>
  <c r="E350" i="14"/>
  <c r="F261" i="14"/>
  <c r="F203" i="14"/>
  <c r="N270" i="14"/>
  <c r="J270" i="14"/>
  <c r="J269" i="14"/>
  <c r="F37" i="14"/>
  <c r="F38" i="14"/>
  <c r="F191" i="14"/>
  <c r="F192" i="14"/>
  <c r="N91" i="14"/>
  <c r="N90" i="14"/>
  <c r="I248" i="14"/>
  <c r="I6" i="14"/>
  <c r="T189" i="14"/>
  <c r="T190" i="14"/>
  <c r="M298" i="14"/>
  <c r="M299" i="14"/>
  <c r="I56" i="14"/>
  <c r="N375" i="14"/>
  <c r="L260" i="14"/>
  <c r="L243" i="14"/>
  <c r="N363" i="14"/>
  <c r="N242" i="14"/>
  <c r="S208" i="14"/>
  <c r="S207" i="14"/>
  <c r="S16" i="14"/>
  <c r="S17" i="14"/>
  <c r="E345" i="14"/>
  <c r="E148" i="14"/>
  <c r="E257" i="14"/>
  <c r="E28" i="14"/>
  <c r="F345" i="14"/>
  <c r="F346" i="14"/>
  <c r="F324" i="14"/>
  <c r="F325" i="14"/>
  <c r="F148" i="14"/>
  <c r="F149" i="14"/>
  <c r="F257" i="14"/>
  <c r="F258" i="14"/>
  <c r="F201" i="14"/>
  <c r="F202" i="14"/>
  <c r="F10" i="14"/>
  <c r="F11" i="14"/>
  <c r="J345" i="14"/>
  <c r="N336" i="14"/>
  <c r="N335" i="14"/>
  <c r="M314" i="14"/>
  <c r="M313" i="14"/>
  <c r="L325" i="14"/>
  <c r="L324" i="14"/>
  <c r="I301" i="14"/>
  <c r="N148" i="14"/>
  <c r="N149" i="14"/>
  <c r="L276" i="14"/>
  <c r="L275" i="14"/>
  <c r="J271" i="14"/>
  <c r="J272" i="14"/>
  <c r="N258" i="14"/>
  <c r="N257" i="14"/>
  <c r="K208" i="14"/>
  <c r="K207" i="14"/>
  <c r="I200" i="14"/>
  <c r="I199" i="14"/>
  <c r="M189" i="14"/>
  <c r="M190" i="14"/>
  <c r="L92" i="14"/>
  <c r="L93" i="14"/>
  <c r="J169" i="14"/>
  <c r="J138" i="14"/>
  <c r="L126" i="14"/>
  <c r="L125" i="14"/>
  <c r="J80" i="14"/>
  <c r="J81" i="14"/>
  <c r="N69" i="14"/>
  <c r="N68" i="14"/>
  <c r="J52" i="14"/>
  <c r="R52" i="14" s="1"/>
  <c r="L4" i="14"/>
  <c r="L5" i="14"/>
  <c r="J14" i="14"/>
  <c r="J15" i="14"/>
  <c r="N315" i="14"/>
  <c r="N230" i="14"/>
  <c r="N171" i="14"/>
  <c r="I50" i="14"/>
  <c r="N153" i="14"/>
  <c r="N373" i="14"/>
  <c r="I304" i="14"/>
  <c r="N289" i="14"/>
  <c r="N175" i="14"/>
  <c r="N122" i="14"/>
  <c r="I247" i="14"/>
  <c r="I214" i="14"/>
  <c r="N58" i="14"/>
  <c r="I154" i="14"/>
  <c r="I375" i="14"/>
  <c r="I63" i="14"/>
  <c r="I64" i="14"/>
  <c r="L360" i="14"/>
  <c r="L332" i="14"/>
  <c r="L266" i="14"/>
  <c r="I278" i="14"/>
  <c r="I212" i="14"/>
  <c r="I238" i="14"/>
  <c r="L163" i="14"/>
  <c r="L101" i="14"/>
  <c r="L78" i="14"/>
  <c r="Q40" i="13"/>
  <c r="I40" i="14"/>
  <c r="I363" i="14"/>
  <c r="I25" i="14"/>
  <c r="N368" i="14"/>
  <c r="I242" i="14"/>
  <c r="I55" i="14"/>
  <c r="N196" i="14"/>
  <c r="N121" i="14"/>
  <c r="I23" i="14"/>
  <c r="T346" i="14"/>
  <c r="T345" i="14"/>
  <c r="T324" i="14"/>
  <c r="T325" i="14"/>
  <c r="T148" i="14"/>
  <c r="T149" i="14"/>
  <c r="T257" i="14"/>
  <c r="T258" i="14"/>
  <c r="T201" i="14"/>
  <c r="T202" i="14"/>
  <c r="T29" i="14"/>
  <c r="T28" i="14"/>
  <c r="T10" i="14"/>
  <c r="T11" i="14"/>
  <c r="F330" i="14"/>
  <c r="E261" i="14"/>
  <c r="F90" i="14"/>
  <c r="L270" i="14"/>
  <c r="I69" i="14"/>
  <c r="K87" i="14"/>
  <c r="K86" i="14"/>
  <c r="M38" i="14"/>
  <c r="M37" i="14"/>
  <c r="J32" i="14"/>
  <c r="N216" i="14"/>
  <c r="I118" i="14"/>
  <c r="I104" i="14"/>
  <c r="I150" i="14"/>
  <c r="E287" i="14"/>
  <c r="K319" i="14"/>
  <c r="K318" i="14"/>
  <c r="I135" i="14"/>
  <c r="L37" i="14"/>
  <c r="L38" i="14"/>
  <c r="N254" i="14"/>
  <c r="N353" i="14"/>
  <c r="N62" i="14"/>
  <c r="I70" i="14"/>
  <c r="E203" i="14"/>
  <c r="I152" i="14"/>
  <c r="K321" i="14"/>
  <c r="K320" i="14"/>
  <c r="J274" i="14"/>
  <c r="J273" i="14"/>
  <c r="M194" i="14"/>
  <c r="M193" i="14"/>
  <c r="N231" i="14"/>
  <c r="I300" i="14"/>
  <c r="I7" i="14"/>
  <c r="L333" i="14"/>
  <c r="I57" i="14"/>
  <c r="N134" i="14"/>
  <c r="I130" i="14"/>
  <c r="N220" i="14"/>
  <c r="T207" i="14"/>
  <c r="T208" i="14"/>
  <c r="K286" i="14"/>
  <c r="K285" i="14"/>
  <c r="I209" i="14"/>
  <c r="I210" i="14"/>
  <c r="K140" i="14"/>
  <c r="K141" i="14"/>
  <c r="J284" i="14"/>
  <c r="M29" i="14"/>
  <c r="M28" i="14"/>
  <c r="M10" i="14"/>
  <c r="M11" i="14"/>
  <c r="I226" i="14"/>
  <c r="M8" i="14"/>
  <c r="M9" i="14"/>
  <c r="I246" i="14"/>
  <c r="L245" i="14"/>
  <c r="I98" i="14"/>
  <c r="I46" i="14"/>
  <c r="S290" i="14"/>
  <c r="S291" i="14"/>
  <c r="S38" i="14"/>
  <c r="S37" i="14"/>
  <c r="E80" i="14"/>
  <c r="X285" i="14"/>
  <c r="X286" i="14"/>
  <c r="P131" i="14"/>
  <c r="N308" i="14"/>
  <c r="K357" i="14"/>
  <c r="I345" i="14"/>
  <c r="M336" i="14"/>
  <c r="M335" i="14"/>
  <c r="L313" i="14"/>
  <c r="L314" i="14"/>
  <c r="K324" i="14"/>
  <c r="K325" i="14"/>
  <c r="J307" i="14"/>
  <c r="M149" i="14"/>
  <c r="M148" i="14"/>
  <c r="I291" i="14"/>
  <c r="I290" i="14"/>
  <c r="K275" i="14"/>
  <c r="I272" i="14"/>
  <c r="I271" i="14"/>
  <c r="M258" i="14"/>
  <c r="M257" i="14"/>
  <c r="J207" i="14"/>
  <c r="J208" i="14"/>
  <c r="I204" i="14"/>
  <c r="I203" i="14"/>
  <c r="N198" i="14"/>
  <c r="N197" i="14"/>
  <c r="L189" i="14"/>
  <c r="L190" i="14"/>
  <c r="K93" i="14"/>
  <c r="K92" i="14"/>
  <c r="I169" i="14"/>
  <c r="I138" i="14"/>
  <c r="K125" i="14"/>
  <c r="K126" i="14"/>
  <c r="I81" i="14"/>
  <c r="I80" i="14"/>
  <c r="N86" i="14"/>
  <c r="N87" i="14"/>
  <c r="M69" i="14"/>
  <c r="M68" i="14"/>
  <c r="J329" i="14"/>
  <c r="I52" i="14"/>
  <c r="K5" i="14"/>
  <c r="K4" i="14"/>
  <c r="I14" i="14"/>
  <c r="I15" i="14"/>
  <c r="I233" i="14"/>
  <c r="I225" i="14"/>
  <c r="N49" i="14"/>
  <c r="I182" i="14"/>
  <c r="I39" i="14"/>
  <c r="N303" i="14"/>
  <c r="I211" i="14"/>
  <c r="I143" i="14"/>
  <c r="N112" i="14"/>
  <c r="N152" i="14"/>
  <c r="N338" i="14"/>
  <c r="N191" i="14"/>
  <c r="N192" i="14"/>
  <c r="I364" i="14"/>
  <c r="I343" i="14"/>
  <c r="L255" i="14"/>
  <c r="L97" i="14"/>
  <c r="L188" i="14"/>
  <c r="I162" i="14"/>
  <c r="I96" i="14"/>
  <c r="L65" i="14"/>
  <c r="I45" i="14"/>
  <c r="L31" i="14"/>
  <c r="N179" i="14"/>
  <c r="N370" i="14"/>
  <c r="N77" i="14"/>
  <c r="N103" i="14"/>
  <c r="I267" i="14"/>
  <c r="I328" i="14"/>
  <c r="I158" i="14"/>
  <c r="N3" i="14"/>
  <c r="S345" i="14"/>
  <c r="S346" i="14"/>
  <c r="S325" i="14"/>
  <c r="S324" i="14"/>
  <c r="S149" i="14"/>
  <c r="S148" i="14"/>
  <c r="S257" i="14"/>
  <c r="S258" i="14"/>
  <c r="S201" i="14"/>
  <c r="S202" i="14"/>
  <c r="S29" i="14"/>
  <c r="S28" i="14"/>
  <c r="S10" i="14"/>
  <c r="S11" i="14"/>
  <c r="AW69" i="14"/>
  <c r="AW68" i="14"/>
  <c r="E330" i="14"/>
  <c r="E90" i="14"/>
  <c r="F18" i="14"/>
  <c r="N117" i="14"/>
  <c r="J313" i="14"/>
  <c r="E207" i="14"/>
  <c r="E191" i="14"/>
  <c r="J148" i="14"/>
  <c r="J149" i="14"/>
  <c r="K198" i="14"/>
  <c r="K197" i="14"/>
  <c r="N183" i="14"/>
  <c r="E14" i="14"/>
  <c r="M351" i="14"/>
  <c r="M350" i="14"/>
  <c r="I149" i="14"/>
  <c r="I148" i="14"/>
  <c r="M210" i="14"/>
  <c r="M209" i="14"/>
  <c r="I156" i="14"/>
  <c r="I196" i="14"/>
  <c r="E68" i="14"/>
  <c r="J287" i="14"/>
  <c r="J288" i="14"/>
  <c r="N349" i="14"/>
  <c r="N348" i="14"/>
  <c r="J209" i="14"/>
  <c r="J210" i="14"/>
  <c r="J109" i="14"/>
  <c r="N161" i="14"/>
  <c r="L67" i="14"/>
  <c r="I21" i="14"/>
  <c r="T271" i="14"/>
  <c r="T272" i="14"/>
  <c r="T8" i="14"/>
  <c r="T9" i="14"/>
  <c r="M348" i="14"/>
  <c r="M349" i="14"/>
  <c r="L194" i="14"/>
  <c r="L193" i="14"/>
  <c r="I183" i="14"/>
  <c r="I327" i="14"/>
  <c r="N23" i="14"/>
  <c r="S87" i="14"/>
  <c r="S86" i="14"/>
  <c r="E318" i="14"/>
  <c r="F285" i="14"/>
  <c r="F286" i="14"/>
  <c r="J358" i="14"/>
  <c r="J357" i="14"/>
  <c r="L335" i="14"/>
  <c r="L336" i="14"/>
  <c r="K314" i="14"/>
  <c r="K313" i="14"/>
  <c r="J324" i="14"/>
  <c r="J325" i="14"/>
  <c r="I307" i="14"/>
  <c r="N287" i="14"/>
  <c r="N288" i="14"/>
  <c r="L258" i="14"/>
  <c r="L257" i="14"/>
  <c r="J186" i="14"/>
  <c r="I207" i="14"/>
  <c r="I208" i="14"/>
  <c r="N201" i="14"/>
  <c r="N202" i="14"/>
  <c r="M197" i="14"/>
  <c r="M198" i="14"/>
  <c r="K189" i="14"/>
  <c r="K190" i="14"/>
  <c r="J93" i="14"/>
  <c r="J92" i="14"/>
  <c r="N319" i="14"/>
  <c r="N318" i="14"/>
  <c r="J139" i="14"/>
  <c r="J125" i="14"/>
  <c r="J126" i="14"/>
  <c r="M86" i="14"/>
  <c r="M87" i="14"/>
  <c r="L69" i="14"/>
  <c r="L68" i="14"/>
  <c r="I329" i="14"/>
  <c r="N48" i="14"/>
  <c r="N47" i="14"/>
  <c r="J5" i="14"/>
  <c r="J4" i="14"/>
  <c r="N12" i="14"/>
  <c r="N13" i="14"/>
  <c r="N232" i="14"/>
  <c r="I219" i="14"/>
  <c r="N224" i="14"/>
  <c r="N181" i="14"/>
  <c r="N35" i="14"/>
  <c r="I311" i="14"/>
  <c r="N180" i="14"/>
  <c r="N142" i="14"/>
  <c r="I108" i="14"/>
  <c r="I60" i="14"/>
  <c r="I279" i="14"/>
  <c r="N213" i="14"/>
  <c r="I173" i="14"/>
  <c r="I34" i="14"/>
  <c r="I127" i="14"/>
  <c r="M192" i="14"/>
  <c r="M191" i="14"/>
  <c r="L54" i="14"/>
  <c r="L334" i="14"/>
  <c r="L322" i="14"/>
  <c r="I265" i="14"/>
  <c r="I120" i="14"/>
  <c r="I354" i="14"/>
  <c r="L102" i="14"/>
  <c r="L70" i="14"/>
  <c r="I22" i="14"/>
  <c r="I27" i="14"/>
  <c r="I281" i="14"/>
  <c r="I105" i="14"/>
  <c r="I42" i="14"/>
  <c r="N249" i="14"/>
  <c r="N129" i="14"/>
  <c r="I33" i="14"/>
  <c r="T321" i="14"/>
  <c r="T320" i="14"/>
  <c r="T285" i="14"/>
  <c r="T286" i="14"/>
  <c r="T199" i="14"/>
  <c r="T200" i="14"/>
  <c r="T80" i="14"/>
  <c r="T81" i="14"/>
  <c r="F288" i="14"/>
  <c r="E18" i="14"/>
  <c r="I313" i="14"/>
  <c r="F318" i="14"/>
  <c r="F319" i="14"/>
  <c r="N351" i="14"/>
  <c r="N350" i="14"/>
  <c r="L288" i="14"/>
  <c r="L287" i="14"/>
  <c r="L202" i="14"/>
  <c r="L201" i="14"/>
  <c r="N56" i="14"/>
  <c r="I85" i="14"/>
  <c r="I255" i="14"/>
  <c r="I188" i="14"/>
  <c r="N98" i="14"/>
  <c r="I65" i="14"/>
  <c r="I215" i="14"/>
  <c r="N41" i="14"/>
  <c r="E140" i="14"/>
  <c r="K270" i="14"/>
  <c r="K269" i="14"/>
  <c r="J86" i="14"/>
  <c r="J87" i="14"/>
  <c r="I315" i="14"/>
  <c r="N227" i="14"/>
  <c r="I175" i="14"/>
  <c r="N280" i="14"/>
  <c r="N251" i="14"/>
  <c r="L6" i="14"/>
  <c r="F273" i="14"/>
  <c r="F274" i="14"/>
  <c r="J371" i="14"/>
  <c r="L273" i="14"/>
  <c r="L274" i="14"/>
  <c r="N184" i="14"/>
  <c r="N185" i="14"/>
  <c r="J48" i="14"/>
  <c r="J47" i="14"/>
  <c r="N235" i="14"/>
  <c r="N155" i="14"/>
  <c r="I303" i="14"/>
  <c r="I191" i="14"/>
  <c r="I192" i="14"/>
  <c r="F189" i="14"/>
  <c r="F190" i="14"/>
  <c r="F86" i="14"/>
  <c r="F87" i="14"/>
  <c r="J170" i="14"/>
  <c r="N29" i="14"/>
  <c r="N28" i="14"/>
  <c r="L19" i="14"/>
  <c r="L18" i="14"/>
  <c r="J16" i="14"/>
  <c r="J17" i="14"/>
  <c r="N10" i="14"/>
  <c r="N11" i="14"/>
  <c r="N177" i="14"/>
  <c r="N8" i="14"/>
  <c r="N9" i="14"/>
  <c r="I365" i="14"/>
  <c r="I172" i="14"/>
  <c r="L100" i="14"/>
  <c r="T16" i="14"/>
  <c r="T17" i="14"/>
  <c r="AW125" i="14"/>
  <c r="AW126" i="14"/>
  <c r="K18" i="14"/>
  <c r="K19" i="14"/>
  <c r="I76" i="14"/>
  <c r="I216" i="14"/>
  <c r="I144" i="14"/>
  <c r="N64" i="14"/>
  <c r="N63" i="14"/>
  <c r="I160" i="14"/>
  <c r="N55" i="14"/>
  <c r="S309" i="14"/>
  <c r="S310" i="14"/>
  <c r="S189" i="14"/>
  <c r="S190" i="14"/>
  <c r="E335" i="14"/>
  <c r="E209" i="14"/>
  <c r="E4" i="14"/>
  <c r="E63" i="14"/>
  <c r="P318" i="14"/>
  <c r="P319" i="14"/>
  <c r="I357" i="14"/>
  <c r="I358" i="14"/>
  <c r="K336" i="14"/>
  <c r="K335" i="14"/>
  <c r="I324" i="14"/>
  <c r="I325" i="14"/>
  <c r="N305" i="14"/>
  <c r="N306" i="14"/>
  <c r="K149" i="14"/>
  <c r="I293" i="14"/>
  <c r="M288" i="14"/>
  <c r="M287" i="14"/>
  <c r="I275" i="14"/>
  <c r="I276" i="14"/>
  <c r="M269" i="14"/>
  <c r="M270" i="14"/>
  <c r="K257" i="14"/>
  <c r="K258" i="14"/>
  <c r="I186" i="14"/>
  <c r="N205" i="14"/>
  <c r="N206" i="14"/>
  <c r="M202" i="14"/>
  <c r="M201" i="14"/>
  <c r="L198" i="14"/>
  <c r="L197" i="14"/>
  <c r="J189" i="14"/>
  <c r="J190" i="14"/>
  <c r="I93" i="14"/>
  <c r="I92" i="14"/>
  <c r="M319" i="14"/>
  <c r="M318" i="14"/>
  <c r="I139" i="14"/>
  <c r="I125" i="14"/>
  <c r="I126" i="14"/>
  <c r="L86" i="14"/>
  <c r="L87" i="14"/>
  <c r="K68" i="14"/>
  <c r="K69" i="14"/>
  <c r="J72" i="14"/>
  <c r="N38" i="14"/>
  <c r="N37" i="14"/>
  <c r="M47" i="14"/>
  <c r="M48" i="14"/>
  <c r="I4" i="14"/>
  <c r="I5" i="14"/>
  <c r="M13" i="14"/>
  <c r="M12" i="14"/>
  <c r="I234" i="14"/>
  <c r="I228" i="14"/>
  <c r="I113" i="14"/>
  <c r="N51" i="14"/>
  <c r="I95" i="14"/>
  <c r="I66" i="14"/>
  <c r="I124" i="14"/>
  <c r="N365" i="14"/>
  <c r="I252" i="14"/>
  <c r="I145" i="14"/>
  <c r="N107" i="14"/>
  <c r="N36" i="14"/>
  <c r="N248" i="14"/>
  <c r="I259" i="14"/>
  <c r="N172" i="14"/>
  <c r="N300" i="14"/>
  <c r="I250" i="14"/>
  <c r="N7" i="14"/>
  <c r="L191" i="14"/>
  <c r="L192" i="14"/>
  <c r="I360" i="14"/>
  <c r="I332" i="14"/>
  <c r="I266" i="14"/>
  <c r="L256" i="14"/>
  <c r="L241" i="14"/>
  <c r="R223" i="13"/>
  <c r="L223" i="14"/>
  <c r="I163" i="14"/>
  <c r="I101" i="14"/>
  <c r="I78" i="14"/>
  <c r="L30" i="14"/>
  <c r="N218" i="14"/>
  <c r="N130" i="14"/>
  <c r="I187" i="14"/>
  <c r="I166" i="14"/>
  <c r="I74" i="14"/>
  <c r="N21" i="14"/>
  <c r="S320" i="14"/>
  <c r="S321" i="14"/>
  <c r="S285" i="14"/>
  <c r="S286" i="14"/>
  <c r="S200" i="14"/>
  <c r="S199" i="14"/>
  <c r="S81" i="14"/>
  <c r="S80" i="14"/>
  <c r="F271" i="14"/>
  <c r="F193" i="14"/>
  <c r="I342" i="14"/>
  <c r="AW64" i="14"/>
  <c r="AW63" i="14"/>
  <c r="AR235" i="14"/>
  <c r="AR177" i="14"/>
  <c r="AR374" i="14"/>
  <c r="AR246" i="14"/>
  <c r="AR144" i="14"/>
  <c r="AR339" i="14"/>
  <c r="AR368" i="14"/>
  <c r="AR77" i="14"/>
  <c r="AR103" i="14"/>
  <c r="AR234" i="14"/>
  <c r="AR180" i="14"/>
  <c r="AR30" i="14"/>
  <c r="AR367" i="14"/>
  <c r="AR33" i="14"/>
  <c r="AR142" i="14"/>
  <c r="AR107" i="14"/>
  <c r="AR248" i="14"/>
  <c r="AR244" i="14"/>
  <c r="AR164" i="14"/>
  <c r="AR231" i="14"/>
  <c r="AR252" i="14"/>
  <c r="AR54" i="14"/>
  <c r="AR71" i="14"/>
  <c r="AR118" i="14"/>
  <c r="AR104" i="14"/>
  <c r="AR241" i="14"/>
  <c r="AR160" i="14"/>
  <c r="AR70" i="14"/>
  <c r="AR116" i="14"/>
  <c r="AR343" i="14"/>
  <c r="AR216" i="14"/>
  <c r="AR165" i="14"/>
  <c r="AR279" i="14"/>
  <c r="AR40" i="14"/>
  <c r="AR111" i="14"/>
  <c r="AR161" i="14"/>
  <c r="AR94" i="14"/>
  <c r="AR120" i="14"/>
  <c r="AR354" i="14"/>
  <c r="AR121" i="14"/>
  <c r="AR361" i="14"/>
  <c r="AR333" i="14"/>
  <c r="AR260" i="14"/>
  <c r="AR242" i="14"/>
  <c r="AR267" i="14"/>
  <c r="AR226" i="14"/>
  <c r="AR76" i="14"/>
  <c r="AR49" i="14"/>
  <c r="AR282" i="14"/>
  <c r="AR43" i="14"/>
  <c r="AR355" i="14"/>
  <c r="AR179" i="14"/>
  <c r="AR39" i="14"/>
  <c r="AR289" i="14"/>
  <c r="AR175" i="14"/>
  <c r="AR188" i="14"/>
  <c r="AR182" i="14"/>
  <c r="AR245" i="14"/>
  <c r="AR236" i="14"/>
  <c r="AR254" i="14"/>
  <c r="AR119" i="14"/>
  <c r="AR228" i="14"/>
  <c r="AR57" i="14"/>
  <c r="AR74" i="14"/>
  <c r="AR21" i="14"/>
  <c r="AR362" i="14"/>
  <c r="AR332" i="14"/>
  <c r="AR266" i="14"/>
  <c r="AR158" i="14"/>
  <c r="AR302" i="14"/>
  <c r="AR82" i="14"/>
  <c r="AR174" i="14"/>
  <c r="AR281" i="14"/>
  <c r="AR105" i="14"/>
  <c r="AR85" i="14"/>
  <c r="AR167" i="14"/>
  <c r="AR98" i="14"/>
  <c r="AR131" i="14"/>
  <c r="AR124" i="14"/>
  <c r="AR36" i="14"/>
  <c r="AR154" i="14"/>
  <c r="AR150" i="14"/>
  <c r="AR360" i="14"/>
  <c r="AR323" i="14"/>
  <c r="AR296" i="14"/>
  <c r="AR134" i="14"/>
  <c r="AR20" i="14"/>
  <c r="AR25" i="14"/>
  <c r="AR240" i="14"/>
  <c r="AR225" i="14"/>
  <c r="AR171" i="14"/>
  <c r="AR304" i="14"/>
  <c r="AR353" i="14"/>
  <c r="AR247" i="14"/>
  <c r="AR312" i="14"/>
  <c r="AR102" i="14"/>
  <c r="AR22" i="14"/>
  <c r="AR370" i="14"/>
  <c r="AR217" i="14"/>
  <c r="AR42" i="14"/>
  <c r="AR115" i="14"/>
  <c r="AR326" i="14"/>
  <c r="AR315" i="14"/>
  <c r="AR110" i="14"/>
  <c r="AR263" i="14"/>
  <c r="AR211" i="14"/>
  <c r="AR122" i="14"/>
  <c r="AR62" i="14"/>
  <c r="AR214" i="14"/>
  <c r="AR58" i="14"/>
  <c r="AR359" i="14"/>
  <c r="AR255" i="14"/>
  <c r="AR239" i="14"/>
  <c r="AR218" i="14"/>
  <c r="AR187" i="14"/>
  <c r="AR106" i="14"/>
  <c r="AR227" i="14"/>
  <c r="AR75" i="14"/>
  <c r="AR112" i="14"/>
  <c r="AR334" i="14"/>
  <c r="AR327" i="14"/>
  <c r="AR278" i="14"/>
  <c r="AR97" i="14"/>
  <c r="AR53" i="14"/>
  <c r="AR162" i="14"/>
  <c r="AR27" i="14"/>
  <c r="AR84" i="14"/>
  <c r="AR230" i="14"/>
  <c r="AR155" i="14"/>
  <c r="AR95" i="14"/>
  <c r="AR181" i="14"/>
  <c r="AR143" i="14"/>
  <c r="AR280" i="14"/>
  <c r="AR173" i="14"/>
  <c r="AR212" i="14"/>
  <c r="AR44" i="14"/>
  <c r="AR369" i="14"/>
  <c r="AR283" i="14"/>
  <c r="AR130" i="14"/>
  <c r="AR147" i="14"/>
  <c r="AR166" i="14"/>
  <c r="AR129" i="14"/>
  <c r="AR117" i="14"/>
  <c r="AR224" i="14"/>
  <c r="AR303" i="14"/>
  <c r="AR123" i="14"/>
  <c r="AR108" i="14"/>
  <c r="AR356" i="14"/>
  <c r="AR352" i="14"/>
  <c r="AR34" i="14"/>
  <c r="AR268" i="14"/>
  <c r="AR223" i="14"/>
  <c r="AR100" i="14"/>
  <c r="AR41" i="14"/>
  <c r="AR83" i="14"/>
  <c r="AR233" i="14"/>
  <c r="AR176" i="14"/>
  <c r="AR66" i="14"/>
  <c r="AR364" i="14"/>
  <c r="AR256" i="14"/>
  <c r="AR253" i="14"/>
  <c r="AR238" i="14"/>
  <c r="AR277" i="14"/>
  <c r="AR67" i="14"/>
  <c r="AR78" i="14"/>
  <c r="AR215" i="14"/>
  <c r="AR220" i="14"/>
  <c r="AR229" i="14"/>
  <c r="AR219" i="14"/>
  <c r="AR51" i="14"/>
  <c r="AR159" i="14"/>
  <c r="AR311" i="14"/>
  <c r="AR60" i="14"/>
  <c r="AR151" i="14"/>
  <c r="AR163" i="14"/>
  <c r="AR26" i="14"/>
  <c r="AR55" i="14"/>
  <c r="AR89" i="14"/>
  <c r="AR337" i="14"/>
  <c r="AR128" i="14"/>
  <c r="AR3" i="14"/>
  <c r="AR113" i="14"/>
  <c r="AR297" i="14"/>
  <c r="AR300" i="14"/>
  <c r="AR265" i="14"/>
  <c r="AR237" i="14"/>
  <c r="AR101" i="14"/>
  <c r="AR46" i="14"/>
  <c r="AR363" i="14"/>
  <c r="AR221" i="14"/>
  <c r="AR114" i="14"/>
  <c r="AR232" i="14"/>
  <c r="AR50" i="14"/>
  <c r="AR317" i="14"/>
  <c r="AR56" i="14"/>
  <c r="AR365" i="14"/>
  <c r="AR347" i="14"/>
  <c r="AR145" i="14"/>
  <c r="AR259" i="14"/>
  <c r="AR344" i="14"/>
  <c r="AR65" i="14"/>
  <c r="AR222" i="14"/>
  <c r="AR328" i="14"/>
  <c r="AR196" i="14"/>
  <c r="AR99" i="14"/>
  <c r="W277" i="14"/>
  <c r="J202" i="5"/>
  <c r="K202" i="5" s="1"/>
  <c r="Z337" i="13"/>
  <c r="Z337" i="14" s="1"/>
  <c r="O351" i="13"/>
  <c r="O336" i="13"/>
  <c r="O314" i="13"/>
  <c r="R314" i="13" s="1"/>
  <c r="O325" i="13"/>
  <c r="O306" i="13"/>
  <c r="O149" i="13"/>
  <c r="O288" i="13"/>
  <c r="O286" i="13"/>
  <c r="O275" i="13"/>
  <c r="O5" i="13"/>
  <c r="O148" i="13"/>
  <c r="O170" i="13"/>
  <c r="O170" i="14" s="1"/>
  <c r="O28" i="13"/>
  <c r="O263" i="13"/>
  <c r="O263" i="14" s="1"/>
  <c r="O154" i="13"/>
  <c r="O154" i="14" s="1"/>
  <c r="O361" i="13"/>
  <c r="O361" i="14" s="1"/>
  <c r="O256" i="13"/>
  <c r="O256" i="14" s="1"/>
  <c r="O24" i="13"/>
  <c r="O24" i="14" s="1"/>
  <c r="R24" i="14" s="1"/>
  <c r="O218" i="13"/>
  <c r="O218" i="14" s="1"/>
  <c r="Z87" i="13"/>
  <c r="Z156" i="13"/>
  <c r="Z156" i="14" s="1"/>
  <c r="Z66" i="13"/>
  <c r="Z66" i="14" s="1"/>
  <c r="Z61" i="13"/>
  <c r="Z61" i="14" s="1"/>
  <c r="Z121" i="13"/>
  <c r="Z121" i="14" s="1"/>
  <c r="Z114" i="13"/>
  <c r="Z114" i="14" s="1"/>
  <c r="Z215" i="13"/>
  <c r="Z215" i="14" s="1"/>
  <c r="Z27" i="13"/>
  <c r="Z27" i="14" s="1"/>
  <c r="Z45" i="13"/>
  <c r="Z45" i="14" s="1"/>
  <c r="Z134" i="13"/>
  <c r="Z134" i="14" s="1"/>
  <c r="Z244" i="13"/>
  <c r="Z244" i="14" s="1"/>
  <c r="Z268" i="13"/>
  <c r="Z268" i="14" s="1"/>
  <c r="Z364" i="13"/>
  <c r="Z364" i="14" s="1"/>
  <c r="Z316" i="13"/>
  <c r="Z316" i="14" s="1"/>
  <c r="Z352" i="13"/>
  <c r="Z352" i="14" s="1"/>
  <c r="Z62" i="13"/>
  <c r="Z62" i="14" s="1"/>
  <c r="Z144" i="13"/>
  <c r="Z144" i="14" s="1"/>
  <c r="Z365" i="13"/>
  <c r="Z365" i="14" s="1"/>
  <c r="Z159" i="13"/>
  <c r="Z159" i="14" s="1"/>
  <c r="Z113" i="13"/>
  <c r="Z113" i="14" s="1"/>
  <c r="Z233" i="13"/>
  <c r="Z233" i="14" s="1"/>
  <c r="Z52" i="13"/>
  <c r="Z52" i="14" s="1"/>
  <c r="Z132" i="13"/>
  <c r="Z184" i="13"/>
  <c r="Z261" i="13"/>
  <c r="Z298" i="13"/>
  <c r="Z349" i="13"/>
  <c r="Z19" i="13"/>
  <c r="Z190" i="13"/>
  <c r="Z276" i="13"/>
  <c r="Z346" i="13"/>
  <c r="Z128" i="13"/>
  <c r="Z128" i="14" s="1"/>
  <c r="Z147" i="13"/>
  <c r="Z147" i="14" s="1"/>
  <c r="Z217" i="13"/>
  <c r="Z217" i="14" s="1"/>
  <c r="Z131" i="13"/>
  <c r="Z131" i="14" s="1"/>
  <c r="Z46" i="13"/>
  <c r="Z46" i="14" s="1"/>
  <c r="Z277" i="13"/>
  <c r="Z277" i="14" s="1"/>
  <c r="Z97" i="13"/>
  <c r="Z97" i="14" s="1"/>
  <c r="Z266" i="13"/>
  <c r="Z266" i="14" s="1"/>
  <c r="Z359" i="13"/>
  <c r="Z359" i="14" s="1"/>
  <c r="Z338" i="13"/>
  <c r="Z338" i="14" s="1"/>
  <c r="Z58" i="13"/>
  <c r="Z58" i="14" s="1"/>
  <c r="Z104" i="13"/>
  <c r="Z104" i="14" s="1"/>
  <c r="Z145" i="13"/>
  <c r="Z145" i="14" s="1"/>
  <c r="Z311" i="13"/>
  <c r="Z311" i="14" s="1"/>
  <c r="Z181" i="13"/>
  <c r="Z181" i="14" s="1"/>
  <c r="Z155" i="13"/>
  <c r="Z155" i="14" s="1"/>
  <c r="Z240" i="13"/>
  <c r="Z240" i="14" s="1"/>
  <c r="Z37" i="13"/>
  <c r="Z135" i="13"/>
  <c r="Z135" i="14" s="1"/>
  <c r="Z189" i="13"/>
  <c r="Z269" i="13"/>
  <c r="Z367" i="13"/>
  <c r="Z371" i="14" s="1"/>
  <c r="Z357" i="13"/>
  <c r="Z29" i="13"/>
  <c r="Z194" i="13"/>
  <c r="Z286" i="13"/>
  <c r="Z351" i="13"/>
  <c r="Z129" i="13"/>
  <c r="Z129" i="14" s="1"/>
  <c r="Z115" i="13"/>
  <c r="Z115" i="14" s="1"/>
  <c r="Z77" i="13"/>
  <c r="Z77" i="14" s="1"/>
  <c r="Z221" i="13"/>
  <c r="Z221" i="14" s="1"/>
  <c r="Z78" i="13"/>
  <c r="Z78" i="14" s="1"/>
  <c r="Z162" i="13"/>
  <c r="Z162" i="14" s="1"/>
  <c r="Z245" i="13"/>
  <c r="Z245" i="14" s="1"/>
  <c r="Z296" i="13"/>
  <c r="Z296" i="14" s="1"/>
  <c r="Z360" i="13"/>
  <c r="Z360" i="14" s="1"/>
  <c r="Z375" i="13"/>
  <c r="Z375" i="14" s="1"/>
  <c r="Z161" i="13"/>
  <c r="Z161" i="14" s="1"/>
  <c r="Z111" i="13"/>
  <c r="Z111" i="14" s="1"/>
  <c r="Z146" i="13"/>
  <c r="Z146" i="14" s="1"/>
  <c r="Z339" i="13"/>
  <c r="Z339" i="14" s="1"/>
  <c r="Z182" i="13"/>
  <c r="Z182" i="14" s="1"/>
  <c r="Z171" i="13"/>
  <c r="Z171" i="14" s="1"/>
  <c r="Z234" i="13"/>
  <c r="Z234" i="14" s="1"/>
  <c r="Z329" i="13"/>
  <c r="Z329" i="14" s="1"/>
  <c r="Z136" i="13"/>
  <c r="Z136" i="14" s="1"/>
  <c r="Z193" i="13"/>
  <c r="Z270" i="13"/>
  <c r="Z301" i="13"/>
  <c r="Z301" i="14" s="1"/>
  <c r="Z116" i="13"/>
  <c r="Z116" i="14" s="1"/>
  <c r="Z48" i="13"/>
  <c r="Z204" i="13"/>
  <c r="Z350" i="13"/>
  <c r="Z358" i="13"/>
  <c r="Z158" i="13"/>
  <c r="Z158" i="14" s="1"/>
  <c r="Z267" i="13"/>
  <c r="Z267" i="14" s="1"/>
  <c r="Z242" i="13"/>
  <c r="Z242" i="14" s="1"/>
  <c r="Z178" i="13"/>
  <c r="Z178" i="14" s="1"/>
  <c r="Z79" i="13"/>
  <c r="Z79" i="14" s="1"/>
  <c r="Z160" i="13"/>
  <c r="Z160" i="14" s="1"/>
  <c r="Z241" i="13"/>
  <c r="Z241" i="14" s="1"/>
  <c r="Z322" i="13"/>
  <c r="Z322" i="14" s="1"/>
  <c r="Z361" i="13"/>
  <c r="Z361" i="14" s="1"/>
  <c r="Z300" i="13"/>
  <c r="Z300" i="14" s="1"/>
  <c r="Z213" i="13"/>
  <c r="Z213" i="14" s="1"/>
  <c r="Z112" i="13"/>
  <c r="Z112" i="14" s="1"/>
  <c r="Z175" i="13"/>
  <c r="Z175" i="14" s="1"/>
  <c r="Z124" i="13"/>
  <c r="Z124" i="14" s="1"/>
  <c r="Z216" i="13"/>
  <c r="Z216" i="14" s="1"/>
  <c r="Z177" i="13"/>
  <c r="Z177" i="14" s="1"/>
  <c r="Z235" i="13"/>
  <c r="Z235" i="14" s="1"/>
  <c r="Z284" i="13"/>
  <c r="Z284" i="14" s="1"/>
  <c r="Z137" i="13"/>
  <c r="Z137" i="14" s="1"/>
  <c r="Z197" i="13"/>
  <c r="Z271" i="13"/>
  <c r="Z305" i="13"/>
  <c r="Z117" i="13"/>
  <c r="Z117" i="14" s="1"/>
  <c r="Z38" i="13"/>
  <c r="Z205" i="13"/>
  <c r="Z288" i="13"/>
  <c r="Z308" i="13"/>
  <c r="Z308" i="14" s="1"/>
  <c r="Z164" i="13"/>
  <c r="Z164" i="14" s="1"/>
  <c r="Z41" i="13"/>
  <c r="Z41" i="14" s="1"/>
  <c r="Z218" i="13"/>
  <c r="Z218" i="14" s="1"/>
  <c r="Z179" i="13"/>
  <c r="Z179" i="14" s="1"/>
  <c r="Z65" i="13"/>
  <c r="Z65" i="14" s="1"/>
  <c r="Z163" i="13"/>
  <c r="Z163" i="14" s="1"/>
  <c r="Z212" i="13"/>
  <c r="Z212" i="14" s="1"/>
  <c r="Z312" i="13"/>
  <c r="Z312" i="14" s="1"/>
  <c r="Z54" i="13"/>
  <c r="Z54" i="14" s="1"/>
  <c r="Z34" i="13"/>
  <c r="Z34" i="14" s="1"/>
  <c r="Z214" i="13"/>
  <c r="Z214" i="14" s="1"/>
  <c r="Z167" i="13"/>
  <c r="Z167" i="14" s="1"/>
  <c r="Z347" i="13"/>
  <c r="Z347" i="14" s="1"/>
  <c r="Z372" i="13"/>
  <c r="Z372" i="14" s="1"/>
  <c r="Z95" i="13"/>
  <c r="Z95" i="14" s="1"/>
  <c r="Z224" i="13"/>
  <c r="Z224" i="14" s="1"/>
  <c r="Z315" i="13"/>
  <c r="Z315" i="14" s="1"/>
  <c r="Z72" i="13"/>
  <c r="Z72" i="14" s="1"/>
  <c r="Z138" i="13"/>
  <c r="Z138" i="14" s="1"/>
  <c r="Z198" i="13"/>
  <c r="Z272" i="13"/>
  <c r="Z307" i="13"/>
  <c r="Z307" i="14" s="1"/>
  <c r="Z326" i="13"/>
  <c r="Z326" i="14" s="1"/>
  <c r="Z69" i="13"/>
  <c r="Z206" i="13"/>
  <c r="Z291" i="13"/>
  <c r="Z3" i="13"/>
  <c r="Z3" i="14" s="1"/>
  <c r="Z166" i="13"/>
  <c r="Z166" i="14" s="1"/>
  <c r="Z42" i="13"/>
  <c r="Z42" i="14" s="1"/>
  <c r="Z281" i="13"/>
  <c r="Z281" i="14" s="1"/>
  <c r="Z363" i="13"/>
  <c r="Z363" i="14" s="1"/>
  <c r="Z67" i="13"/>
  <c r="Z67" i="14" s="1"/>
  <c r="Z53" i="13"/>
  <c r="Z53" i="14" s="1"/>
  <c r="Z119" i="13"/>
  <c r="Z119" i="14" s="1"/>
  <c r="Z323" i="13"/>
  <c r="Z323" i="14" s="1"/>
  <c r="Z23" i="13"/>
  <c r="Z23" i="14" s="1"/>
  <c r="Z82" i="13"/>
  <c r="Z82" i="14" s="1"/>
  <c r="Z43" i="13"/>
  <c r="Z43" i="14" s="1"/>
  <c r="Z282" i="13"/>
  <c r="Z282" i="14" s="1"/>
  <c r="Z6" i="13"/>
  <c r="Z6" i="14" s="1"/>
  <c r="Z70" i="13"/>
  <c r="Z70" i="14" s="1"/>
  <c r="Z188" i="13"/>
  <c r="Z188" i="14" s="1"/>
  <c r="Z120" i="13"/>
  <c r="Z120" i="14" s="1"/>
  <c r="Z191" i="13"/>
  <c r="Z150" i="13"/>
  <c r="Z150" i="14" s="1"/>
  <c r="Z279" i="13"/>
  <c r="Z279" i="14" s="1"/>
  <c r="Z108" i="13"/>
  <c r="Z108" i="14" s="1"/>
  <c r="Z211" i="13"/>
  <c r="Z211" i="14" s="1"/>
  <c r="Z8" i="13"/>
  <c r="Z317" i="13"/>
  <c r="Z317" i="14" s="1"/>
  <c r="Z226" i="13"/>
  <c r="Z226" i="14" s="1"/>
  <c r="Z11" i="13"/>
  <c r="Z68" i="13"/>
  <c r="Z139" i="13"/>
  <c r="Z139" i="14" s="1"/>
  <c r="Z200" i="13"/>
  <c r="Z264" i="13"/>
  <c r="Z264" i="14" s="1"/>
  <c r="Z324" i="13"/>
  <c r="Z192" i="13"/>
  <c r="Z92" i="13"/>
  <c r="Z208" i="13"/>
  <c r="Z299" i="13"/>
  <c r="Z21" i="13"/>
  <c r="Z21" i="14" s="1"/>
  <c r="Z196" i="13"/>
  <c r="Z196" i="14" s="1"/>
  <c r="Z89" i="13"/>
  <c r="Z89" i="14" s="1"/>
  <c r="Z283" i="13"/>
  <c r="Z283" i="14" s="1"/>
  <c r="Z22" i="13"/>
  <c r="Z22" i="14" s="1"/>
  <c r="Z71" i="13"/>
  <c r="Z71" i="14" s="1"/>
  <c r="Z33" i="13"/>
  <c r="Z33" i="14" s="1"/>
  <c r="Z59" i="13"/>
  <c r="Z59" i="14" s="1"/>
  <c r="Z249" i="13"/>
  <c r="Z249" i="14" s="1"/>
  <c r="Z103" i="13"/>
  <c r="Z103" i="14" s="1"/>
  <c r="Z369" i="13"/>
  <c r="Z368" i="14" s="1"/>
  <c r="Z31" i="13"/>
  <c r="Z31" i="14" s="1"/>
  <c r="Z96" i="13"/>
  <c r="Z96" i="14" s="1"/>
  <c r="Z236" i="13"/>
  <c r="Z236" i="14" s="1"/>
  <c r="Z260" i="13"/>
  <c r="Z260" i="14" s="1"/>
  <c r="Z332" i="13"/>
  <c r="Z332" i="14" s="1"/>
  <c r="Z127" i="13"/>
  <c r="Z127" i="14" s="1"/>
  <c r="Z154" i="13"/>
  <c r="Z154" i="14" s="1"/>
  <c r="Z195" i="13"/>
  <c r="Z195" i="14" s="1"/>
  <c r="Z123" i="13"/>
  <c r="Z123" i="14" s="1"/>
  <c r="Z263" i="13"/>
  <c r="Z263" i="14" s="1"/>
  <c r="Z49" i="13"/>
  <c r="Z49" i="14" s="1"/>
  <c r="Z228" i="13"/>
  <c r="Z228" i="14" s="1"/>
  <c r="Z4" i="13"/>
  <c r="Z90" i="13"/>
  <c r="Z157" i="13"/>
  <c r="Z157" i="14" s="1"/>
  <c r="Z202" i="13"/>
  <c r="Z290" i="13"/>
  <c r="Z309" i="13"/>
  <c r="Z15" i="13"/>
  <c r="Z133" i="13"/>
  <c r="Z258" i="13"/>
  <c r="Z325" i="13"/>
  <c r="Z83" i="13"/>
  <c r="Z83" i="14" s="1"/>
  <c r="Z187" i="13"/>
  <c r="Z187" i="14" s="1"/>
  <c r="Z105" i="13"/>
  <c r="Z105" i="14" s="1"/>
  <c r="Z25" i="13"/>
  <c r="Z25" i="14" s="1"/>
  <c r="Z40" i="13"/>
  <c r="Z40" i="14" s="1"/>
  <c r="Z101" i="13"/>
  <c r="Z100" i="14" s="1"/>
  <c r="Z239" i="13"/>
  <c r="Z239" i="14" s="1"/>
  <c r="Z57" i="13"/>
  <c r="Z57" i="14" s="1"/>
  <c r="Z302" i="13"/>
  <c r="Z302" i="14" s="1"/>
  <c r="Z251" i="13"/>
  <c r="Z251" i="14" s="1"/>
  <c r="Z174" i="13"/>
  <c r="Z174" i="14" s="1"/>
  <c r="Z36" i="13"/>
  <c r="Z36" i="14" s="1"/>
  <c r="Z142" i="13"/>
  <c r="Z142" i="14" s="1"/>
  <c r="Z303" i="13"/>
  <c r="Z303" i="14" s="1"/>
  <c r="Z110" i="13"/>
  <c r="Z110" i="14" s="1"/>
  <c r="Z75" i="13"/>
  <c r="Z75" i="14" s="1"/>
  <c r="Z231" i="13"/>
  <c r="Z231" i="14" s="1"/>
  <c r="Z28" i="13"/>
  <c r="Z109" i="13"/>
  <c r="Z109" i="14" s="1"/>
  <c r="Z170" i="13"/>
  <c r="Z170" i="14" s="1"/>
  <c r="Z366" i="13"/>
  <c r="Z366" i="14" s="1"/>
  <c r="Z294" i="13"/>
  <c r="Z294" i="14" s="1"/>
  <c r="Z342" i="13"/>
  <c r="Z342" i="14" s="1"/>
  <c r="Z18" i="13"/>
  <c r="Z93" i="13"/>
  <c r="Z274" i="13"/>
  <c r="Z310" i="13"/>
  <c r="Z130" i="13"/>
  <c r="Z130" i="14" s="1"/>
  <c r="Z243" i="13"/>
  <c r="Z243" i="14" s="1"/>
  <c r="Z344" i="13"/>
  <c r="Z344" i="14" s="1"/>
  <c r="Z280" i="13"/>
  <c r="Z280" i="14" s="1"/>
  <c r="Z289" i="13"/>
  <c r="Z289" i="14" s="1"/>
  <c r="Z76" i="13"/>
  <c r="Z76" i="14" s="1"/>
  <c r="Z340" i="13"/>
  <c r="Z340" i="14" s="1"/>
  <c r="Z203" i="13"/>
  <c r="Z345" i="13"/>
  <c r="Z209" i="13"/>
  <c r="Z222" i="13"/>
  <c r="Z222" i="14" s="1"/>
  <c r="Z223" i="13"/>
  <c r="Z223" i="14" s="1"/>
  <c r="Z362" i="13"/>
  <c r="Z362" i="14" s="1"/>
  <c r="Z85" i="13"/>
  <c r="Z85" i="14" s="1"/>
  <c r="Z297" i="13"/>
  <c r="Z297" i="14" s="1"/>
  <c r="Z225" i="13"/>
  <c r="Z225" i="14" s="1"/>
  <c r="Z86" i="13"/>
  <c r="Z186" i="13"/>
  <c r="Z186" i="14" s="1"/>
  <c r="Z374" i="13"/>
  <c r="Z374" i="14" s="1"/>
  <c r="Z210" i="13"/>
  <c r="Z368" i="13"/>
  <c r="Z367" i="14" s="1"/>
  <c r="Z237" i="13"/>
  <c r="Z237" i="14" s="1"/>
  <c r="Z63" i="13"/>
  <c r="Z356" i="13"/>
  <c r="Z356" i="14" s="1"/>
  <c r="Z304" i="13"/>
  <c r="Z304" i="14" s="1"/>
  <c r="Z219" i="13"/>
  <c r="Z219" i="14" s="1"/>
  <c r="Z88" i="13"/>
  <c r="Z88" i="14" s="1"/>
  <c r="Z257" i="13"/>
  <c r="Z64" i="13"/>
  <c r="Z262" i="13"/>
  <c r="Z370" i="13"/>
  <c r="Z369" i="14" s="1"/>
  <c r="Z238" i="13"/>
  <c r="Z238" i="14" s="1"/>
  <c r="Z7" i="13"/>
  <c r="Z7" i="14" s="1"/>
  <c r="Z247" i="13"/>
  <c r="Z247" i="14" s="1"/>
  <c r="Z373" i="13"/>
  <c r="Z373" i="14" s="1"/>
  <c r="Z227" i="13"/>
  <c r="Z227" i="14" s="1"/>
  <c r="Z80" i="13"/>
  <c r="Z285" i="13"/>
  <c r="Z9" i="13"/>
  <c r="Z273" i="13"/>
  <c r="Z74" i="13"/>
  <c r="Z74" i="14" s="1"/>
  <c r="Z26" i="13"/>
  <c r="Z26" i="14" s="1"/>
  <c r="Z253" i="13"/>
  <c r="Z253" i="14" s="1"/>
  <c r="Z250" i="13"/>
  <c r="Z250" i="14" s="1"/>
  <c r="Z107" i="13"/>
  <c r="Z107" i="14" s="1"/>
  <c r="Z39" i="13"/>
  <c r="Z39" i="14" s="1"/>
  <c r="Z230" i="13"/>
  <c r="Z230" i="14" s="1"/>
  <c r="Z168" i="13"/>
  <c r="Z168" i="14" s="1"/>
  <c r="Z287" i="13"/>
  <c r="Z17" i="13"/>
  <c r="Z149" i="13"/>
  <c r="Z220" i="13"/>
  <c r="Z220" i="14" s="1"/>
  <c r="Z30" i="13"/>
  <c r="Z30" i="14" s="1"/>
  <c r="Z278" i="13"/>
  <c r="Z278" i="14" s="1"/>
  <c r="Z151" i="13"/>
  <c r="Z151" i="14" s="1"/>
  <c r="Z122" i="13"/>
  <c r="Z122" i="14" s="1"/>
  <c r="Z153" i="13"/>
  <c r="Z153" i="14" s="1"/>
  <c r="Z12" i="13"/>
  <c r="Z318" i="13"/>
  <c r="Z148" i="13"/>
  <c r="Z81" i="13"/>
  <c r="Z331" i="13"/>
  <c r="Z355" i="13"/>
  <c r="Z355" i="14" s="1"/>
  <c r="Z98" i="13"/>
  <c r="Z98" i="14" s="1"/>
  <c r="Z327" i="13"/>
  <c r="Z327" i="14" s="1"/>
  <c r="Z173" i="13"/>
  <c r="Z173" i="14" s="1"/>
  <c r="Z180" i="13"/>
  <c r="Z180" i="14" s="1"/>
  <c r="Z176" i="13"/>
  <c r="Z176" i="14" s="1"/>
  <c r="Z32" i="13"/>
  <c r="Z32" i="14" s="1"/>
  <c r="Z199" i="13"/>
  <c r="Z313" i="13"/>
  <c r="Z319" i="13"/>
  <c r="Z5" i="13"/>
  <c r="Z140" i="13"/>
  <c r="Z56" i="13"/>
  <c r="Z56" i="14" s="1"/>
  <c r="Z295" i="13"/>
  <c r="Z295" i="14" s="1"/>
  <c r="Z20" i="13"/>
  <c r="Z20" i="14" s="1"/>
  <c r="Y297" i="13"/>
  <c r="Y297" i="14" s="1"/>
  <c r="O38" i="13"/>
  <c r="O305" i="13"/>
  <c r="O193" i="13"/>
  <c r="O329" i="13"/>
  <c r="O329" i="14" s="1"/>
  <c r="O317" i="13"/>
  <c r="O317" i="14" s="1"/>
  <c r="O107" i="13"/>
  <c r="O107" i="14" s="1"/>
  <c r="O259" i="13"/>
  <c r="O259" i="14" s="1"/>
  <c r="O114" i="13"/>
  <c r="O114" i="14" s="1"/>
  <c r="R114" i="14" s="1"/>
  <c r="Z16" i="13"/>
  <c r="Z125" i="13"/>
  <c r="Z35" i="13"/>
  <c r="Z35" i="14" s="1"/>
  <c r="Z183" i="13"/>
  <c r="Z183" i="14" s="1"/>
  <c r="Z371" i="13"/>
  <c r="Z370" i="14" s="1"/>
  <c r="Z143" i="13"/>
  <c r="Z143" i="14" s="1"/>
  <c r="Y161" i="13"/>
  <c r="Y161" i="14" s="1"/>
  <c r="Y375" i="13"/>
  <c r="Y375" i="14" s="1"/>
  <c r="O319" i="13"/>
  <c r="O341" i="13"/>
  <c r="O341" i="14" s="1"/>
  <c r="O186" i="13"/>
  <c r="O186" i="14" s="1"/>
  <c r="O88" i="13"/>
  <c r="O88" i="14" s="1"/>
  <c r="O229" i="13"/>
  <c r="O229" i="14" s="1"/>
  <c r="O76" i="13"/>
  <c r="O76" i="14" s="1"/>
  <c r="O165" i="13"/>
  <c r="O165" i="14" s="1"/>
  <c r="O248" i="13"/>
  <c r="O248" i="14" s="1"/>
  <c r="O312" i="13"/>
  <c r="O312" i="14" s="1"/>
  <c r="Z314" i="13"/>
  <c r="Z320" i="13"/>
  <c r="Z13" i="13"/>
  <c r="Z165" i="13"/>
  <c r="Z165" i="14" s="1"/>
  <c r="Z265" i="13"/>
  <c r="Z265" i="14" s="1"/>
  <c r="Z328" i="13"/>
  <c r="Z328" i="14" s="1"/>
  <c r="O3" i="13"/>
  <c r="O3" i="14" s="1"/>
  <c r="O21" i="13"/>
  <c r="O21" i="14" s="1"/>
  <c r="O59" i="13"/>
  <c r="O59" i="14" s="1"/>
  <c r="O99" i="13"/>
  <c r="O99" i="14" s="1"/>
  <c r="O106" i="13"/>
  <c r="O106" i="14" s="1"/>
  <c r="O128" i="13"/>
  <c r="O128" i="14" s="1"/>
  <c r="O158" i="13"/>
  <c r="O158" i="14" s="1"/>
  <c r="O166" i="13"/>
  <c r="O166" i="14" s="1"/>
  <c r="O196" i="13"/>
  <c r="O196" i="14" s="1"/>
  <c r="O249" i="13"/>
  <c r="O249" i="14" s="1"/>
  <c r="O337" i="13"/>
  <c r="O337" i="14" s="1"/>
  <c r="O355" i="13"/>
  <c r="O355" i="14" s="1"/>
  <c r="O147" i="13"/>
  <c r="O147" i="14" s="1"/>
  <c r="R147" i="14" s="1"/>
  <c r="O267" i="13"/>
  <c r="O267" i="14" s="1"/>
  <c r="R267" i="14" s="1"/>
  <c r="O42" i="13"/>
  <c r="O42" i="14" s="1"/>
  <c r="O89" i="13"/>
  <c r="O89" i="14" s="1"/>
  <c r="O103" i="13"/>
  <c r="O103" i="14" s="1"/>
  <c r="O130" i="13"/>
  <c r="O130" i="14" s="1"/>
  <c r="O222" i="13"/>
  <c r="O222" i="14" s="1"/>
  <c r="O217" i="13"/>
  <c r="O217" i="14" s="1"/>
  <c r="O242" i="13"/>
  <c r="O242" i="14" s="1"/>
  <c r="O281" i="13"/>
  <c r="O281" i="14" s="1"/>
  <c r="O283" i="13"/>
  <c r="O283" i="14" s="1"/>
  <c r="O369" i="13"/>
  <c r="O368" i="14" s="1"/>
  <c r="O371" i="13"/>
  <c r="O370" i="14" s="1"/>
  <c r="O26" i="13"/>
  <c r="O26" i="14" s="1"/>
  <c r="R26" i="14" s="1"/>
  <c r="O131" i="13"/>
  <c r="O131" i="14" s="1"/>
  <c r="R131" i="14" s="1"/>
  <c r="O178" i="13"/>
  <c r="O178" i="14" s="1"/>
  <c r="O363" i="13"/>
  <c r="O363" i="14" s="1"/>
  <c r="O22" i="13"/>
  <c r="O22" i="14" s="1"/>
  <c r="O31" i="13"/>
  <c r="O31" i="14" s="1"/>
  <c r="O30" i="13"/>
  <c r="O30" i="14" s="1"/>
  <c r="O44" i="13"/>
  <c r="O44" i="14" s="1"/>
  <c r="O46" i="13"/>
  <c r="O46" i="14" s="1"/>
  <c r="O79" i="13"/>
  <c r="O79" i="14" s="1"/>
  <c r="O67" i="13"/>
  <c r="O67" i="14" s="1"/>
  <c r="O71" i="13"/>
  <c r="O71" i="14" s="1"/>
  <c r="O96" i="13"/>
  <c r="O96" i="14" s="1"/>
  <c r="O100" i="13"/>
  <c r="O101" i="14" s="1"/>
  <c r="O102" i="13"/>
  <c r="O102" i="14" s="1"/>
  <c r="O277" i="13"/>
  <c r="O277" i="14" s="1"/>
  <c r="O160" i="13"/>
  <c r="O160" i="14" s="1"/>
  <c r="O53" i="13"/>
  <c r="O53" i="14" s="1"/>
  <c r="O243" i="13"/>
  <c r="O243" i="14" s="1"/>
  <c r="O236" i="13"/>
  <c r="O236" i="14" s="1"/>
  <c r="O238" i="13"/>
  <c r="O238" i="14" s="1"/>
  <c r="O354" i="13"/>
  <c r="O354" i="14" s="1"/>
  <c r="O97" i="13"/>
  <c r="O97" i="14" s="1"/>
  <c r="O241" i="13"/>
  <c r="O241" i="14" s="1"/>
  <c r="O119" i="13"/>
  <c r="O119" i="14" s="1"/>
  <c r="O253" i="13"/>
  <c r="O253" i="14" s="1"/>
  <c r="O260" i="13"/>
  <c r="O260" i="14" s="1"/>
  <c r="O278" i="13"/>
  <c r="O278" i="14" s="1"/>
  <c r="O265" i="13"/>
  <c r="O265" i="14" s="1"/>
  <c r="O266" i="13"/>
  <c r="O266" i="14" s="1"/>
  <c r="O322" i="13"/>
  <c r="O322" i="14" s="1"/>
  <c r="O323" i="13"/>
  <c r="O323" i="14" s="1"/>
  <c r="O327" i="13"/>
  <c r="O327" i="14" s="1"/>
  <c r="O333" i="13"/>
  <c r="O333" i="14" s="1"/>
  <c r="O302" i="13"/>
  <c r="O302" i="14" s="1"/>
  <c r="O364" i="13"/>
  <c r="O364" i="14" s="1"/>
  <c r="O360" i="13"/>
  <c r="O360" i="14" s="1"/>
  <c r="O54" i="13"/>
  <c r="O54" i="14" s="1"/>
  <c r="O191" i="13"/>
  <c r="O7" i="13"/>
  <c r="O7" i="14" s="1"/>
  <c r="O183" i="13"/>
  <c r="O183" i="14" s="1"/>
  <c r="O251" i="13"/>
  <c r="O251" i="14" s="1"/>
  <c r="O316" i="13"/>
  <c r="O316" i="14" s="1"/>
  <c r="O375" i="13"/>
  <c r="O375" i="14" s="1"/>
  <c r="O34" i="13"/>
  <c r="O34" i="14" s="1"/>
  <c r="O150" i="13"/>
  <c r="O150" i="14" s="1"/>
  <c r="O152" i="13"/>
  <c r="O152" i="14" s="1"/>
  <c r="O172" i="13"/>
  <c r="O172" i="14" s="1"/>
  <c r="O174" i="13"/>
  <c r="O174" i="14" s="1"/>
  <c r="O352" i="13"/>
  <c r="O352" i="14" s="1"/>
  <c r="O161" i="13"/>
  <c r="O161" i="14" s="1"/>
  <c r="O214" i="13"/>
  <c r="O214" i="14" s="1"/>
  <c r="O279" i="13"/>
  <c r="O279" i="14" s="1"/>
  <c r="O85" i="13"/>
  <c r="O85" i="14" s="1"/>
  <c r="O356" i="13"/>
  <c r="O356" i="14" s="1"/>
  <c r="O36" i="13"/>
  <c r="O36" i="14" s="1"/>
  <c r="O62" i="13"/>
  <c r="O62" i="14" s="1"/>
  <c r="O111" i="13"/>
  <c r="O111" i="14" s="1"/>
  <c r="O167" i="13"/>
  <c r="O167" i="14" s="1"/>
  <c r="O108" i="13"/>
  <c r="O108" i="14" s="1"/>
  <c r="O118" i="13"/>
  <c r="O118" i="14" s="1"/>
  <c r="O122" i="13"/>
  <c r="O122" i="14" s="1"/>
  <c r="O142" i="13"/>
  <c r="O142" i="14" s="1"/>
  <c r="O144" i="13"/>
  <c r="O144" i="14" s="1"/>
  <c r="O146" i="13"/>
  <c r="O146" i="14" s="1"/>
  <c r="O347" i="13"/>
  <c r="O347" i="14" s="1"/>
  <c r="O211" i="13"/>
  <c r="O211" i="14" s="1"/>
  <c r="O252" i="13"/>
  <c r="O252" i="14" s="1"/>
  <c r="O289" i="13"/>
  <c r="O289" i="14" s="1"/>
  <c r="O303" i="13"/>
  <c r="O303" i="14" s="1"/>
  <c r="O365" i="13"/>
  <c r="O365" i="14" s="1"/>
  <c r="O339" i="13"/>
  <c r="O339" i="14" s="1"/>
  <c r="O372" i="13"/>
  <c r="O372" i="14" s="1"/>
  <c r="O8" i="13"/>
  <c r="O39" i="13"/>
  <c r="O39" i="14" s="1"/>
  <c r="O66" i="13"/>
  <c r="O66" i="14" s="1"/>
  <c r="O153" i="13"/>
  <c r="O153" i="14" s="1"/>
  <c r="O181" i="13"/>
  <c r="O181" i="14" s="1"/>
  <c r="O216" i="13"/>
  <c r="O216" i="14" s="1"/>
  <c r="O254" i="13"/>
  <c r="O254" i="14" s="1"/>
  <c r="O176" i="13"/>
  <c r="O176" i="14" s="1"/>
  <c r="O50" i="13"/>
  <c r="O50" i="14" s="1"/>
  <c r="O75" i="13"/>
  <c r="O75" i="14" s="1"/>
  <c r="O113" i="13"/>
  <c r="O113" i="14" s="1"/>
  <c r="O171" i="13"/>
  <c r="O171" i="14" s="1"/>
  <c r="O224" i="13"/>
  <c r="O224" i="14" s="1"/>
  <c r="O308" i="13"/>
  <c r="O308" i="14" s="1"/>
  <c r="O23" i="13"/>
  <c r="O23" i="14" s="1"/>
  <c r="O43" i="13"/>
  <c r="O43" i="14" s="1"/>
  <c r="O6" i="13"/>
  <c r="O6" i="14" s="1"/>
  <c r="O188" i="13"/>
  <c r="O188" i="14" s="1"/>
  <c r="O343" i="13"/>
  <c r="O343" i="14" s="1"/>
  <c r="O151" i="13"/>
  <c r="O151" i="14" s="1"/>
  <c r="O353" i="13"/>
  <c r="O353" i="14" s="1"/>
  <c r="O35" i="13"/>
  <c r="O35" i="14" s="1"/>
  <c r="O115" i="13"/>
  <c r="O115" i="14" s="1"/>
  <c r="R115" i="14" s="1"/>
  <c r="O221" i="13"/>
  <c r="O221" i="14" s="1"/>
  <c r="R221" i="14" s="1"/>
  <c r="O162" i="13"/>
  <c r="O162" i="14" s="1"/>
  <c r="O296" i="13"/>
  <c r="O296" i="14" s="1"/>
  <c r="O300" i="13"/>
  <c r="O300" i="14" s="1"/>
  <c r="O112" i="13"/>
  <c r="O112" i="14" s="1"/>
  <c r="O124" i="13"/>
  <c r="O124" i="14" s="1"/>
  <c r="O225" i="13"/>
  <c r="O225" i="14" s="1"/>
  <c r="O219" i="13"/>
  <c r="O219" i="14" s="1"/>
  <c r="O228" i="13"/>
  <c r="O228" i="14" s="1"/>
  <c r="O230" i="13"/>
  <c r="O230" i="14" s="1"/>
  <c r="O232" i="13"/>
  <c r="O232" i="14" s="1"/>
  <c r="O240" i="13"/>
  <c r="O240" i="14" s="1"/>
  <c r="O235" i="13"/>
  <c r="O235" i="14" s="1"/>
  <c r="O10" i="13"/>
  <c r="O12" i="13"/>
  <c r="O4" i="13"/>
  <c r="O32" i="13"/>
  <c r="O32" i="14" s="1"/>
  <c r="O47" i="13"/>
  <c r="O37" i="13"/>
  <c r="O284" i="13"/>
  <c r="O284" i="14" s="1"/>
  <c r="O73" i="13"/>
  <c r="O73" i="14" s="1"/>
  <c r="O340" i="13"/>
  <c r="O340" i="14" s="1"/>
  <c r="O90" i="13"/>
  <c r="O80" i="13"/>
  <c r="O125" i="13"/>
  <c r="O135" i="13"/>
  <c r="O135" i="14" s="1"/>
  <c r="O137" i="13"/>
  <c r="O137" i="14" s="1"/>
  <c r="O168" i="13"/>
  <c r="O168" i="14" s="1"/>
  <c r="O140" i="13"/>
  <c r="O157" i="13"/>
  <c r="O157" i="14" s="1"/>
  <c r="O169" i="13"/>
  <c r="O169" i="14" s="1"/>
  <c r="O91" i="13"/>
  <c r="O189" i="13"/>
  <c r="O197" i="13"/>
  <c r="O199" i="13"/>
  <c r="O201" i="13"/>
  <c r="O203" i="13"/>
  <c r="O366" i="13"/>
  <c r="O366" i="14" s="1"/>
  <c r="O261" i="13"/>
  <c r="O270" i="13"/>
  <c r="O272" i="13"/>
  <c r="O264" i="13"/>
  <c r="O264" i="14" s="1"/>
  <c r="O287" i="13"/>
  <c r="O292" i="13"/>
  <c r="O292" i="14" s="1"/>
  <c r="O294" i="13"/>
  <c r="O294" i="14" s="1"/>
  <c r="O298" i="13"/>
  <c r="R298" i="13" s="1"/>
  <c r="O301" i="13"/>
  <c r="O301" i="14" s="1"/>
  <c r="O307" i="13"/>
  <c r="O307" i="14" s="1"/>
  <c r="O324" i="13"/>
  <c r="O313" i="13"/>
  <c r="O335" i="13"/>
  <c r="O342" i="13"/>
  <c r="O342" i="14" s="1"/>
  <c r="O349" i="13"/>
  <c r="O116" i="13"/>
  <c r="O116" i="14" s="1"/>
  <c r="O326" i="13"/>
  <c r="O326" i="14" s="1"/>
  <c r="O192" i="13"/>
  <c r="O9" i="13"/>
  <c r="O16" i="13"/>
  <c r="O18" i="13"/>
  <c r="O19" i="13"/>
  <c r="O48" i="13"/>
  <c r="O69" i="13"/>
  <c r="O92" i="13"/>
  <c r="O126" i="13"/>
  <c r="O141" i="13"/>
  <c r="O93" i="13"/>
  <c r="O190" i="13"/>
  <c r="O204" i="13"/>
  <c r="O206" i="13"/>
  <c r="O208" i="13"/>
  <c r="O210" i="13"/>
  <c r="O262" i="13"/>
  <c r="R262" i="13" s="1"/>
  <c r="O274" i="13"/>
  <c r="O187" i="13"/>
  <c r="O187" i="14" s="1"/>
  <c r="O25" i="13"/>
  <c r="O25" i="14" s="1"/>
  <c r="R25" i="14" s="1"/>
  <c r="O101" i="13"/>
  <c r="O100" i="14" s="1"/>
  <c r="O57" i="13"/>
  <c r="O57" i="14" s="1"/>
  <c r="O295" i="13"/>
  <c r="O295" i="14" s="1"/>
  <c r="O60" i="13"/>
  <c r="O60" i="14" s="1"/>
  <c r="O304" i="13"/>
  <c r="O304" i="14" s="1"/>
  <c r="O155" i="13"/>
  <c r="O155" i="14" s="1"/>
  <c r="O82" i="13"/>
  <c r="O82" i="14" s="1"/>
  <c r="O282" i="13"/>
  <c r="O282" i="14" s="1"/>
  <c r="O70" i="13"/>
  <c r="O70" i="14" s="1"/>
  <c r="O120" i="13"/>
  <c r="O120" i="14" s="1"/>
  <c r="O63" i="13"/>
  <c r="O280" i="13"/>
  <c r="O280" i="14" s="1"/>
  <c r="O246" i="13"/>
  <c r="O246" i="14" s="1"/>
  <c r="O49" i="13"/>
  <c r="O49" i="14" s="1"/>
  <c r="O121" i="13"/>
  <c r="O121" i="14" s="1"/>
  <c r="O215" i="13"/>
  <c r="O215" i="14" s="1"/>
  <c r="O45" i="13"/>
  <c r="O45" i="14" s="1"/>
  <c r="O244" i="13"/>
  <c r="O244" i="14" s="1"/>
  <c r="O359" i="13"/>
  <c r="O359" i="14" s="1"/>
  <c r="O58" i="13"/>
  <c r="O58" i="14" s="1"/>
  <c r="O145" i="13"/>
  <c r="O145" i="14" s="1"/>
  <c r="O182" i="13"/>
  <c r="O182" i="14" s="1"/>
  <c r="O358" i="13"/>
  <c r="O346" i="13"/>
  <c r="O310" i="13"/>
  <c r="O331" i="13"/>
  <c r="R331" i="13" s="1"/>
  <c r="O321" i="13"/>
  <c r="O299" i="13"/>
  <c r="O291" i="13"/>
  <c r="O350" i="13"/>
  <c r="O276" i="13"/>
  <c r="O185" i="13"/>
  <c r="O345" i="13"/>
  <c r="O257" i="13"/>
  <c r="R257" i="13" s="1"/>
  <c r="O109" i="13"/>
  <c r="O109" i="14" s="1"/>
  <c r="O231" i="13"/>
  <c r="O231" i="14" s="1"/>
  <c r="O373" i="13"/>
  <c r="O373" i="14" s="1"/>
  <c r="O143" i="13"/>
  <c r="O143" i="14" s="1"/>
  <c r="O27" i="13"/>
  <c r="O27" i="14" s="1"/>
  <c r="R27" i="14" s="1"/>
  <c r="Z321" i="13"/>
  <c r="Z293" i="13"/>
  <c r="Z293" i="14" s="1"/>
  <c r="Z10" i="13"/>
  <c r="Z118" i="13"/>
  <c r="Z118" i="14" s="1"/>
  <c r="Z256" i="13"/>
  <c r="Z256" i="14" s="1"/>
  <c r="Z106" i="13"/>
  <c r="Z106" i="14" s="1"/>
  <c r="Y343" i="13"/>
  <c r="Y343" i="14" s="1"/>
  <c r="Y56" i="13"/>
  <c r="Y56" i="14" s="1"/>
  <c r="Y253" i="13"/>
  <c r="Y253" i="14" s="1"/>
  <c r="Y134" i="13"/>
  <c r="Y134" i="14" s="1"/>
  <c r="O194" i="13"/>
  <c r="O357" i="13"/>
  <c r="O269" i="13"/>
  <c r="O132" i="13"/>
  <c r="O233" i="13"/>
  <c r="O233" i="14" s="1"/>
  <c r="O338" i="13"/>
  <c r="O338" i="14" s="1"/>
  <c r="O94" i="13"/>
  <c r="O94" i="14" s="1"/>
  <c r="O84" i="13"/>
  <c r="O84" i="14" s="1"/>
  <c r="O129" i="13"/>
  <c r="O129" i="14" s="1"/>
  <c r="Z306" i="13"/>
  <c r="Z292" i="13"/>
  <c r="Z292" i="14" s="1"/>
  <c r="Z232" i="13"/>
  <c r="Z232" i="14" s="1"/>
  <c r="Z353" i="13"/>
  <c r="Z353" i="14" s="1"/>
  <c r="Z255" i="13"/>
  <c r="Z255" i="14" s="1"/>
  <c r="Z99" i="13"/>
  <c r="Z99" i="14" s="1"/>
  <c r="O205" i="13"/>
  <c r="O117" i="13"/>
  <c r="O117" i="14" s="1"/>
  <c r="O271" i="13"/>
  <c r="O136" i="13"/>
  <c r="O136" i="14" s="1"/>
  <c r="O234" i="13"/>
  <c r="O234" i="14" s="1"/>
  <c r="O177" i="13"/>
  <c r="O177" i="14" s="1"/>
  <c r="O195" i="13"/>
  <c r="O195" i="14" s="1"/>
  <c r="O332" i="13"/>
  <c r="O332" i="14" s="1"/>
  <c r="O245" i="13"/>
  <c r="O245" i="14" s="1"/>
  <c r="O98" i="13"/>
  <c r="O98" i="14" s="1"/>
  <c r="O55" i="13"/>
  <c r="O55" i="14" s="1"/>
  <c r="O164" i="13"/>
  <c r="O164" i="14" s="1"/>
  <c r="Z275" i="13"/>
  <c r="Z348" i="13"/>
  <c r="Z229" i="13"/>
  <c r="Z229" i="14" s="1"/>
  <c r="Z60" i="13"/>
  <c r="Z60" i="14" s="1"/>
  <c r="Z354" i="13"/>
  <c r="Z354" i="14" s="1"/>
  <c r="Z336" i="13"/>
  <c r="Y171" i="13"/>
  <c r="Y171" i="14" s="1"/>
  <c r="O207" i="13"/>
  <c r="O374" i="13"/>
  <c r="O374" i="14" s="1"/>
  <c r="R374" i="14" s="1"/>
  <c r="O285" i="13"/>
  <c r="O138" i="13"/>
  <c r="O138" i="14" s="1"/>
  <c r="O315" i="13"/>
  <c r="O315" i="14" s="1"/>
  <c r="O56" i="13"/>
  <c r="O56" i="14" s="1"/>
  <c r="O175" i="13"/>
  <c r="O175" i="14" s="1"/>
  <c r="O247" i="13"/>
  <c r="O247" i="14" s="1"/>
  <c r="O334" i="13"/>
  <c r="O334" i="14" s="1"/>
  <c r="O212" i="13"/>
  <c r="O212" i="14" s="1"/>
  <c r="O179" i="13"/>
  <c r="O179" i="14" s="1"/>
  <c r="O105" i="13"/>
  <c r="O105" i="14" s="1"/>
  <c r="Z207" i="13"/>
  <c r="Z201" i="13"/>
  <c r="Z51" i="13"/>
  <c r="Z51" i="14" s="1"/>
  <c r="Z248" i="13"/>
  <c r="Z248" i="14" s="1"/>
  <c r="Z102" i="13"/>
  <c r="Z102" i="14" s="1"/>
  <c r="Z330" i="13"/>
  <c r="O209" i="13"/>
  <c r="O64" i="13"/>
  <c r="O348" i="13"/>
  <c r="O139" i="13"/>
  <c r="O139" i="14" s="1"/>
  <c r="O11" i="13"/>
  <c r="O110" i="13"/>
  <c r="O110" i="14" s="1"/>
  <c r="O180" i="13"/>
  <c r="O180" i="14" s="1"/>
  <c r="O61" i="13"/>
  <c r="O61" i="14" s="1"/>
  <c r="O344" i="13"/>
  <c r="O344" i="14" s="1"/>
  <c r="Z185" i="13"/>
  <c r="Z50" i="13"/>
  <c r="Z50" i="14" s="1"/>
  <c r="Z259" i="13"/>
  <c r="Z259" i="14" s="1"/>
  <c r="Z100" i="13"/>
  <c r="Z101" i="14" s="1"/>
  <c r="Z343" i="13"/>
  <c r="Z343" i="14" s="1"/>
  <c r="O258" i="13"/>
  <c r="Q258" i="13" s="1"/>
  <c r="O15" i="13"/>
  <c r="O290" i="13"/>
  <c r="O156" i="13"/>
  <c r="O156" i="14" s="1"/>
  <c r="O13" i="13"/>
  <c r="O159" i="13"/>
  <c r="O159" i="14" s="1"/>
  <c r="O134" i="13"/>
  <c r="O134" i="14" s="1"/>
  <c r="O220" i="13"/>
  <c r="O220" i="14" s="1"/>
  <c r="Z141" i="13"/>
  <c r="Z91" i="13"/>
  <c r="Z172" i="13"/>
  <c r="Z172" i="14" s="1"/>
  <c r="Z94" i="13"/>
  <c r="Z94" i="14" s="1"/>
  <c r="Z14" i="13"/>
  <c r="O273" i="13"/>
  <c r="O17" i="13"/>
  <c r="O293" i="13"/>
  <c r="O293" i="14" s="1"/>
  <c r="R293" i="14" s="1"/>
  <c r="O318" i="13"/>
  <c r="R318" i="13" s="1"/>
  <c r="O14" i="13"/>
  <c r="O104" i="13"/>
  <c r="O104" i="14" s="1"/>
  <c r="O255" i="13"/>
  <c r="O255" i="14" s="1"/>
  <c r="O20" i="13"/>
  <c r="O20" i="14" s="1"/>
  <c r="O77" i="13"/>
  <c r="O77" i="14" s="1"/>
  <c r="O328" i="13"/>
  <c r="O328" i="14" s="1"/>
  <c r="Z126" i="13"/>
  <c r="Z169" i="13"/>
  <c r="Z169" i="14" s="1"/>
  <c r="Z254" i="13"/>
  <c r="Z254" i="14" s="1"/>
  <c r="Z152" i="13"/>
  <c r="Z152" i="14" s="1"/>
  <c r="Z44" i="13"/>
  <c r="Z44" i="14" s="1"/>
  <c r="P323" i="13"/>
  <c r="P161" i="13"/>
  <c r="P295" i="13"/>
  <c r="Y158" i="13"/>
  <c r="Y158" i="14" s="1"/>
  <c r="X134" i="13"/>
  <c r="X134" i="14" s="1"/>
  <c r="X350" i="13"/>
  <c r="Y350" i="13"/>
  <c r="P350" i="13"/>
  <c r="X48" i="13"/>
  <c r="Y48" i="13"/>
  <c r="P48" i="13"/>
  <c r="X270" i="13"/>
  <c r="Y270" i="13"/>
  <c r="P270" i="13"/>
  <c r="AC135" i="13"/>
  <c r="AC135" i="14" s="1"/>
  <c r="X135" i="13"/>
  <c r="X135" i="14" s="1"/>
  <c r="Y135" i="13"/>
  <c r="Y135" i="14" s="1"/>
  <c r="P135" i="13"/>
  <c r="Y37" i="13"/>
  <c r="X37" i="13"/>
  <c r="U37" i="13"/>
  <c r="P37" i="13"/>
  <c r="X240" i="13"/>
  <c r="X240" i="14" s="1"/>
  <c r="Y240" i="13"/>
  <c r="Y240" i="14" s="1"/>
  <c r="AC308" i="13"/>
  <c r="AC308" i="14" s="1"/>
  <c r="Y308" i="13"/>
  <c r="Y308" i="14" s="1"/>
  <c r="X308" i="13"/>
  <c r="X308" i="14" s="1"/>
  <c r="P308" i="13"/>
  <c r="P240" i="13"/>
  <c r="AC301" i="13"/>
  <c r="AC301" i="14" s="1"/>
  <c r="Y301" i="13"/>
  <c r="Y301" i="14" s="1"/>
  <c r="X301" i="13"/>
  <c r="X301" i="14" s="1"/>
  <c r="U301" i="13"/>
  <c r="Y351" i="13"/>
  <c r="P351" i="13"/>
  <c r="X351" i="13"/>
  <c r="Y321" i="13"/>
  <c r="X321" i="13"/>
  <c r="P321" i="13"/>
  <c r="X286" i="13"/>
  <c r="Y286" i="13"/>
  <c r="P286" i="13"/>
  <c r="X210" i="13"/>
  <c r="Y210" i="13"/>
  <c r="X194" i="13"/>
  <c r="P194" i="13"/>
  <c r="Y194" i="13"/>
  <c r="Y126" i="13"/>
  <c r="X126" i="13"/>
  <c r="U126" i="13"/>
  <c r="Y29" i="13"/>
  <c r="X29" i="13"/>
  <c r="P29" i="13"/>
  <c r="X9" i="13"/>
  <c r="P9" i="13"/>
  <c r="Y9" i="13"/>
  <c r="Y357" i="13"/>
  <c r="P357" i="13"/>
  <c r="X313" i="13"/>
  <c r="Y313" i="13"/>
  <c r="P313" i="13"/>
  <c r="AC367" i="13"/>
  <c r="AC371" i="14" s="1"/>
  <c r="X367" i="13"/>
  <c r="X371" i="14" s="1"/>
  <c r="Y367" i="13"/>
  <c r="Y371" i="14" s="1"/>
  <c r="U367" i="13"/>
  <c r="X287" i="13"/>
  <c r="Y287" i="13"/>
  <c r="P287" i="13"/>
  <c r="Y269" i="13"/>
  <c r="X269" i="13"/>
  <c r="P269" i="13"/>
  <c r="Y201" i="13"/>
  <c r="P201" i="13"/>
  <c r="X184" i="13"/>
  <c r="Y184" i="13"/>
  <c r="P184" i="13"/>
  <c r="X140" i="13"/>
  <c r="Y140" i="13"/>
  <c r="U140" i="13"/>
  <c r="W140" i="13" s="1"/>
  <c r="P140" i="13"/>
  <c r="X132" i="13"/>
  <c r="Y132" i="13"/>
  <c r="P132" i="13"/>
  <c r="U132" i="13"/>
  <c r="AC340" i="13"/>
  <c r="AC340" i="14" s="1"/>
  <c r="X340" i="13"/>
  <c r="X340" i="14" s="1"/>
  <c r="Y340" i="13"/>
  <c r="Y340" i="14" s="1"/>
  <c r="P340" i="13"/>
  <c r="AC52" i="13"/>
  <c r="AC52" i="14" s="1"/>
  <c r="Y52" i="13"/>
  <c r="Y52" i="14" s="1"/>
  <c r="P52" i="13"/>
  <c r="X52" i="13"/>
  <c r="X52" i="14" s="1"/>
  <c r="Y12" i="13"/>
  <c r="X12" i="13"/>
  <c r="P12" i="13"/>
  <c r="Y233" i="13"/>
  <c r="Y233" i="14" s="1"/>
  <c r="X233" i="13"/>
  <c r="X233" i="14" s="1"/>
  <c r="X219" i="13"/>
  <c r="X219" i="14" s="1"/>
  <c r="Y219" i="13"/>
  <c r="Y219" i="14" s="1"/>
  <c r="P219" i="13"/>
  <c r="X113" i="13"/>
  <c r="X113" i="14" s="1"/>
  <c r="Y113" i="13"/>
  <c r="Y113" i="14" s="1"/>
  <c r="P113" i="13"/>
  <c r="P367" i="13"/>
  <c r="X204" i="13"/>
  <c r="Y204" i="13"/>
  <c r="P204" i="13"/>
  <c r="Y309" i="13"/>
  <c r="P309" i="13"/>
  <c r="X309" i="13"/>
  <c r="X189" i="13"/>
  <c r="Y189" i="13"/>
  <c r="P189" i="13"/>
  <c r="X358" i="13"/>
  <c r="Y358" i="13"/>
  <c r="P358" i="13"/>
  <c r="X133" i="13"/>
  <c r="Y133" i="13"/>
  <c r="U133" i="13"/>
  <c r="P133" i="13"/>
  <c r="AC116" i="13"/>
  <c r="AC116" i="14" s="1"/>
  <c r="X116" i="13"/>
  <c r="X116" i="14" s="1"/>
  <c r="Y116" i="13"/>
  <c r="Y116" i="14" s="1"/>
  <c r="X202" i="13"/>
  <c r="Y202" i="13"/>
  <c r="P202" i="13"/>
  <c r="X86" i="13"/>
  <c r="Y86" i="13"/>
  <c r="U86" i="13"/>
  <c r="P116" i="13"/>
  <c r="P301" i="13"/>
  <c r="Y346" i="13"/>
  <c r="P346" i="13"/>
  <c r="X346" i="13"/>
  <c r="Y306" i="13"/>
  <c r="X306" i="13"/>
  <c r="P306" i="13"/>
  <c r="Y276" i="13"/>
  <c r="P276" i="13"/>
  <c r="X276" i="13"/>
  <c r="X209" i="13"/>
  <c r="P209" i="13"/>
  <c r="Y209" i="13"/>
  <c r="X190" i="13"/>
  <c r="P190" i="13"/>
  <c r="Y190" i="13"/>
  <c r="X81" i="13"/>
  <c r="P81" i="13"/>
  <c r="Y81" i="13"/>
  <c r="X19" i="13"/>
  <c r="Y19" i="13"/>
  <c r="P19" i="13"/>
  <c r="AC64" i="13"/>
  <c r="AC64" i="14" s="1" a="1"/>
  <c r="AC64" i="14" s="1"/>
  <c r="X64" i="13"/>
  <c r="Y64" i="13"/>
  <c r="P64" i="13"/>
  <c r="Y349" i="13"/>
  <c r="X349" i="13"/>
  <c r="P349" i="13"/>
  <c r="X330" i="13"/>
  <c r="P330" i="13"/>
  <c r="Y330" i="13"/>
  <c r="Y298" i="13"/>
  <c r="X298" i="13"/>
  <c r="X348" i="13"/>
  <c r="Y348" i="13"/>
  <c r="P348" i="13"/>
  <c r="Y261" i="13"/>
  <c r="X261" i="13"/>
  <c r="X200" i="13"/>
  <c r="Y200" i="13"/>
  <c r="P200" i="13"/>
  <c r="X91" i="13"/>
  <c r="Y91" i="13"/>
  <c r="P91" i="13"/>
  <c r="U91" i="13"/>
  <c r="P261" i="13"/>
  <c r="X325" i="13"/>
  <c r="Y325" i="13"/>
  <c r="P325" i="13"/>
  <c r="X357" i="13"/>
  <c r="Y336" i="13"/>
  <c r="P336" i="13"/>
  <c r="X336" i="13"/>
  <c r="Y299" i="13"/>
  <c r="X299" i="13"/>
  <c r="P299" i="13"/>
  <c r="X275" i="13"/>
  <c r="Y275" i="13"/>
  <c r="P275" i="13"/>
  <c r="Y208" i="13"/>
  <c r="X208" i="13"/>
  <c r="P208" i="13"/>
  <c r="X185" i="13"/>
  <c r="Y185" i="13"/>
  <c r="P185" i="13"/>
  <c r="X92" i="13"/>
  <c r="Y92" i="13"/>
  <c r="Y5" i="13"/>
  <c r="X5" i="13"/>
  <c r="P5" i="13"/>
  <c r="X192" i="13"/>
  <c r="Y192" i="13"/>
  <c r="P192" i="13"/>
  <c r="X345" i="13"/>
  <c r="Y345" i="13"/>
  <c r="P345" i="13"/>
  <c r="X324" i="13"/>
  <c r="Y324" i="13"/>
  <c r="P324" i="13"/>
  <c r="Y148" i="13"/>
  <c r="X148" i="13"/>
  <c r="P148" i="13"/>
  <c r="AC264" i="13"/>
  <c r="AC264" i="14" s="1"/>
  <c r="X264" i="13"/>
  <c r="X264" i="14" s="1"/>
  <c r="Y264" i="13"/>
  <c r="Y264" i="14" s="1"/>
  <c r="P264" i="13"/>
  <c r="Y257" i="13"/>
  <c r="X257" i="13"/>
  <c r="Y199" i="13"/>
  <c r="X199" i="13"/>
  <c r="P199" i="13"/>
  <c r="AC170" i="13"/>
  <c r="AC170" i="14" s="1"/>
  <c r="X170" i="13"/>
  <c r="X170" i="14" s="1"/>
  <c r="Y170" i="13"/>
  <c r="Y170" i="14" s="1"/>
  <c r="P170" i="13"/>
  <c r="AC168" i="13"/>
  <c r="AC168" i="14" s="1"/>
  <c r="Y168" i="13"/>
  <c r="Y168" i="14" s="1"/>
  <c r="X168" i="13"/>
  <c r="X168" i="14" s="1"/>
  <c r="P168" i="13"/>
  <c r="AC109" i="13"/>
  <c r="AC109" i="14" s="1"/>
  <c r="X109" i="13"/>
  <c r="X109" i="14" s="1"/>
  <c r="Y109" i="13"/>
  <c r="Y109" i="14" s="1"/>
  <c r="P109" i="13"/>
  <c r="AC73" i="13"/>
  <c r="AC73" i="14" s="1"/>
  <c r="X73" i="13"/>
  <c r="X73" i="14" s="1"/>
  <c r="Y73" i="13"/>
  <c r="Y73" i="14" s="1"/>
  <c r="X28" i="13"/>
  <c r="Y28" i="13"/>
  <c r="P28" i="13"/>
  <c r="Y10" i="13"/>
  <c r="P10" i="13"/>
  <c r="X231" i="13"/>
  <c r="X231" i="14" s="1"/>
  <c r="Y231" i="13"/>
  <c r="Y231" i="14" s="1"/>
  <c r="P231" i="13"/>
  <c r="X225" i="13"/>
  <c r="X225" i="14" s="1"/>
  <c r="Y225" i="13"/>
  <c r="Y225" i="14" s="1"/>
  <c r="P225" i="13"/>
  <c r="Y75" i="13"/>
  <c r="Y75" i="14" s="1"/>
  <c r="X75" i="13"/>
  <c r="X75" i="14" s="1"/>
  <c r="P75" i="13"/>
  <c r="AC95" i="13"/>
  <c r="AC95" i="14" s="1"/>
  <c r="X95" i="13"/>
  <c r="X95" i="14" s="1"/>
  <c r="Y95" i="13"/>
  <c r="Y95" i="14" s="1"/>
  <c r="U95" i="13"/>
  <c r="P95" i="13"/>
  <c r="AC66" i="13"/>
  <c r="AC66" i="14" s="1"/>
  <c r="X66" i="13"/>
  <c r="X66" i="14" s="1"/>
  <c r="Y66" i="13"/>
  <c r="Y66" i="14" s="1"/>
  <c r="P66" i="13"/>
  <c r="AC124" i="13"/>
  <c r="AC124" i="14" s="1"/>
  <c r="X124" i="13"/>
  <c r="X124" i="14" s="1"/>
  <c r="Y124" i="13"/>
  <c r="Y124" i="14" s="1"/>
  <c r="P124" i="13"/>
  <c r="AC289" i="13"/>
  <c r="AC289" i="14" s="1"/>
  <c r="Y289" i="13"/>
  <c r="Y289" i="14" s="1"/>
  <c r="X289" i="13"/>
  <c r="X289" i="14" s="1"/>
  <c r="P289" i="13"/>
  <c r="AC175" i="13"/>
  <c r="AC175" i="14" s="1"/>
  <c r="X175" i="13"/>
  <c r="X175" i="14" s="1"/>
  <c r="Y175" i="13"/>
  <c r="Y175" i="14" s="1"/>
  <c r="P175" i="13"/>
  <c r="AC122" i="13"/>
  <c r="AC122" i="14" s="1"/>
  <c r="X122" i="13"/>
  <c r="X122" i="14" s="1"/>
  <c r="Y122" i="13"/>
  <c r="Y122" i="14" s="1"/>
  <c r="AC112" i="13"/>
  <c r="AC112" i="14" s="1"/>
  <c r="Y112" i="13"/>
  <c r="Y112" i="14" s="1"/>
  <c r="X112" i="13"/>
  <c r="X112" i="14" s="1"/>
  <c r="P112" i="13"/>
  <c r="AC356" i="13"/>
  <c r="AC356" i="14" s="1"/>
  <c r="AD356" i="13"/>
  <c r="AD356" i="14" s="1"/>
  <c r="X356" i="13"/>
  <c r="X356" i="14" s="1"/>
  <c r="Y356" i="13"/>
  <c r="Y356" i="14" s="1"/>
  <c r="U356" i="13"/>
  <c r="P356" i="13"/>
  <c r="Y213" i="13"/>
  <c r="Y213" i="14" s="1"/>
  <c r="X213" i="13"/>
  <c r="X213" i="14" s="1"/>
  <c r="Y172" i="13"/>
  <c r="Y172" i="14" s="1"/>
  <c r="X172" i="13"/>
  <c r="X172" i="14" s="1"/>
  <c r="P172" i="13"/>
  <c r="Y300" i="13"/>
  <c r="Y300" i="14" s="1"/>
  <c r="X300" i="13"/>
  <c r="X300" i="14" s="1"/>
  <c r="P300" i="13"/>
  <c r="Y183" i="13"/>
  <c r="Y183" i="14" s="1"/>
  <c r="AC183" i="13"/>
  <c r="AC183" i="14" s="1"/>
  <c r="X183" i="13"/>
  <c r="X183" i="14" s="1"/>
  <c r="P183" i="13"/>
  <c r="AC361" i="13"/>
  <c r="AC361" i="14" s="1"/>
  <c r="Y361" i="13"/>
  <c r="Y361" i="14" s="1"/>
  <c r="X361" i="13"/>
  <c r="X361" i="14" s="1"/>
  <c r="P361" i="13"/>
  <c r="AC333" i="13"/>
  <c r="AC333" i="14" s="1"/>
  <c r="X333" i="13"/>
  <c r="X333" i="14" s="1"/>
  <c r="Y333" i="13"/>
  <c r="Y333" i="14" s="1"/>
  <c r="P333" i="13"/>
  <c r="AC296" i="13"/>
  <c r="AC296" i="14" s="1"/>
  <c r="Y296" i="13"/>
  <c r="Y296" i="14" s="1"/>
  <c r="X296" i="13"/>
  <c r="X296" i="14" s="1"/>
  <c r="P296" i="13"/>
  <c r="AC260" i="13"/>
  <c r="AC260" i="14" s="1"/>
  <c r="X260" i="13"/>
  <c r="X260" i="14" s="1"/>
  <c r="Y260" i="13"/>
  <c r="Y260" i="14" s="1"/>
  <c r="U260" i="13"/>
  <c r="P260" i="13"/>
  <c r="AC245" i="13"/>
  <c r="AC245" i="14" s="1"/>
  <c r="Y245" i="13"/>
  <c r="Y245" i="14" s="1"/>
  <c r="X245" i="13"/>
  <c r="X245" i="14" s="1"/>
  <c r="P245" i="13"/>
  <c r="AC236" i="13"/>
  <c r="AC236" i="14" s="1"/>
  <c r="X236" i="13"/>
  <c r="X236" i="14" s="1"/>
  <c r="Y236" i="13"/>
  <c r="Y236" i="14" s="1"/>
  <c r="P236" i="13"/>
  <c r="Y162" i="13"/>
  <c r="Y162" i="14" s="1"/>
  <c r="AC162" i="13"/>
  <c r="AC162" i="14" s="1"/>
  <c r="X162" i="13"/>
  <c r="X162" i="14" s="1"/>
  <c r="P162" i="13"/>
  <c r="AC96" i="13"/>
  <c r="AC96" i="14" s="1"/>
  <c r="X96" i="13"/>
  <c r="X96" i="14" s="1"/>
  <c r="Y96" i="13"/>
  <c r="Y96" i="14" s="1"/>
  <c r="P96" i="13"/>
  <c r="AC78" i="13"/>
  <c r="AC78" i="14" s="1"/>
  <c r="Y78" i="13"/>
  <c r="Y78" i="14" s="1"/>
  <c r="X78" i="13"/>
  <c r="X78" i="14" s="1"/>
  <c r="P78" i="13"/>
  <c r="AC31" i="13"/>
  <c r="AC31" i="14" s="1"/>
  <c r="X31" i="13"/>
  <c r="X31" i="14" s="1"/>
  <c r="Y31" i="13"/>
  <c r="Y31" i="14" s="1"/>
  <c r="P31" i="13"/>
  <c r="Y221" i="13"/>
  <c r="Y221" i="14" s="1"/>
  <c r="AC221" i="13"/>
  <c r="AC221" i="14" s="1"/>
  <c r="AD221" i="13"/>
  <c r="AD221" i="14" s="1"/>
  <c r="X221" i="13"/>
  <c r="X221" i="14" s="1"/>
  <c r="U221" i="13"/>
  <c r="U221" i="14" s="1"/>
  <c r="W221" i="14" s="1"/>
  <c r="P221" i="13"/>
  <c r="X369" i="13"/>
  <c r="X368" i="14" s="1"/>
  <c r="P369" i="13"/>
  <c r="Y369" i="13"/>
  <c r="Y368" i="14" s="1"/>
  <c r="P77" i="13"/>
  <c r="X77" i="13"/>
  <c r="X77" i="14" s="1"/>
  <c r="Y77" i="13"/>
  <c r="Y77" i="14" s="1"/>
  <c r="X103" i="13"/>
  <c r="X103" i="14" s="1"/>
  <c r="Y103" i="13"/>
  <c r="Y103" i="14" s="1"/>
  <c r="P103" i="13"/>
  <c r="AC115" i="13"/>
  <c r="AC115" i="14" s="1"/>
  <c r="AD115" i="13"/>
  <c r="AD115" i="14" s="1"/>
  <c r="X115" i="13"/>
  <c r="X115" i="14" s="1"/>
  <c r="Y115" i="13"/>
  <c r="Y115" i="14" s="1"/>
  <c r="P115" i="13"/>
  <c r="U115" i="13"/>
  <c r="X249" i="13"/>
  <c r="X249" i="14" s="1"/>
  <c r="Y249" i="13"/>
  <c r="Y249" i="14" s="1"/>
  <c r="P249" i="13"/>
  <c r="X129" i="13"/>
  <c r="X129" i="14" s="1"/>
  <c r="Y129" i="13"/>
  <c r="Y129" i="14" s="1"/>
  <c r="P129" i="13"/>
  <c r="Y59" i="13"/>
  <c r="Y59" i="14" s="1"/>
  <c r="X59" i="13"/>
  <c r="X59" i="14" s="1"/>
  <c r="P59" i="13"/>
  <c r="X310" i="13"/>
  <c r="Y310" i="13"/>
  <c r="P310" i="13"/>
  <c r="Y149" i="13"/>
  <c r="X149" i="13"/>
  <c r="P149" i="13"/>
  <c r="Y274" i="13"/>
  <c r="P274" i="13"/>
  <c r="X274" i="13"/>
  <c r="X207" i="13"/>
  <c r="Y207" i="13"/>
  <c r="P207" i="13"/>
  <c r="X93" i="13"/>
  <c r="P93" i="13"/>
  <c r="Q93" i="13" s="1"/>
  <c r="Y93" i="13"/>
  <c r="AC87" i="13"/>
  <c r="AC87" i="14" s="1" a="1"/>
  <c r="AC87" i="14" s="1"/>
  <c r="X87" i="13"/>
  <c r="U87" i="13"/>
  <c r="Y87" i="13"/>
  <c r="X18" i="13"/>
  <c r="Y18" i="13"/>
  <c r="P18" i="13"/>
  <c r="AC374" i="13"/>
  <c r="AC374" i="14" s="1"/>
  <c r="X374" i="13"/>
  <c r="X374" i="14" s="1"/>
  <c r="Y374" i="13"/>
  <c r="Y374" i="14" s="1"/>
  <c r="AC342" i="13"/>
  <c r="AC342" i="14" s="1"/>
  <c r="X342" i="13"/>
  <c r="X342" i="14" s="1"/>
  <c r="P342" i="13"/>
  <c r="Y342" i="13"/>
  <c r="Y342" i="14" s="1"/>
  <c r="Y320" i="13"/>
  <c r="X320" i="13"/>
  <c r="P320" i="13"/>
  <c r="AC294" i="13"/>
  <c r="AC294" i="14" s="1"/>
  <c r="X294" i="13"/>
  <c r="X294" i="14" s="1"/>
  <c r="Y294" i="13"/>
  <c r="Y294" i="14" s="1"/>
  <c r="P294" i="13"/>
  <c r="Y285" i="13"/>
  <c r="P285" i="13"/>
  <c r="AC366" i="13"/>
  <c r="AC366" i="14" s="1"/>
  <c r="X366" i="13"/>
  <c r="X366" i="14" s="1"/>
  <c r="Y366" i="13"/>
  <c r="Y366" i="14" s="1"/>
  <c r="P210" i="13"/>
  <c r="U285" i="13"/>
  <c r="P126" i="13"/>
  <c r="P122" i="13"/>
  <c r="Y314" i="13"/>
  <c r="X314" i="13"/>
  <c r="X291" i="13"/>
  <c r="Y291" i="13"/>
  <c r="P291" i="13"/>
  <c r="X273" i="13"/>
  <c r="Y273" i="13"/>
  <c r="P273" i="13"/>
  <c r="X206" i="13"/>
  <c r="Y206" i="13"/>
  <c r="P206" i="13"/>
  <c r="X319" i="13"/>
  <c r="Y319" i="13"/>
  <c r="P319" i="13"/>
  <c r="AC69" i="13"/>
  <c r="AC69" i="14" s="1" a="1"/>
  <c r="AC69" i="14" s="1"/>
  <c r="X69" i="13"/>
  <c r="Y69" i="13"/>
  <c r="P69" i="13"/>
  <c r="X17" i="13"/>
  <c r="Y17" i="13"/>
  <c r="P17" i="13"/>
  <c r="AC326" i="13"/>
  <c r="AC326" i="14" s="1"/>
  <c r="X326" i="13"/>
  <c r="X326" i="14" s="1"/>
  <c r="Y326" i="13"/>
  <c r="Y326" i="14" s="1"/>
  <c r="AC341" i="13"/>
  <c r="AC341" i="14" s="1"/>
  <c r="X341" i="13"/>
  <c r="X341" i="14" s="1"/>
  <c r="Y341" i="13"/>
  <c r="Y341" i="14" s="1"/>
  <c r="P341" i="13"/>
  <c r="AC307" i="13"/>
  <c r="AC307" i="14" s="1"/>
  <c r="X307" i="13"/>
  <c r="X307" i="14" s="1"/>
  <c r="Y307" i="13"/>
  <c r="Y307" i="14" s="1"/>
  <c r="P307" i="13"/>
  <c r="AC293" i="13"/>
  <c r="AC293" i="14" s="1"/>
  <c r="X293" i="13"/>
  <c r="X293" i="14" s="1"/>
  <c r="Y293" i="13"/>
  <c r="Y293" i="14" s="1"/>
  <c r="P293" i="13"/>
  <c r="Y272" i="13"/>
  <c r="P272" i="13"/>
  <c r="X272" i="13"/>
  <c r="AC186" i="13"/>
  <c r="AC186" i="14" s="1"/>
  <c r="X186" i="13"/>
  <c r="X186" i="14" s="1"/>
  <c r="Y186" i="13"/>
  <c r="Y186" i="14" s="1"/>
  <c r="P186" i="13"/>
  <c r="X197" i="13"/>
  <c r="Y197" i="13"/>
  <c r="P197" i="13"/>
  <c r="X318" i="13"/>
  <c r="Y318" i="13"/>
  <c r="AC137" i="13"/>
  <c r="AC137" i="14" s="1"/>
  <c r="X137" i="13"/>
  <c r="X137" i="14" s="1"/>
  <c r="Y137" i="13"/>
  <c r="Y137" i="14" s="1"/>
  <c r="P137" i="13"/>
  <c r="AC88" i="13"/>
  <c r="AC88" i="14" s="1"/>
  <c r="Y88" i="13"/>
  <c r="Y88" i="14" s="1"/>
  <c r="X88" i="13"/>
  <c r="X88" i="14" s="1"/>
  <c r="P88" i="13"/>
  <c r="AC284" i="13"/>
  <c r="AC284" i="14" s="1"/>
  <c r="X284" i="13"/>
  <c r="X284" i="14" s="1"/>
  <c r="P284" i="13"/>
  <c r="Y284" i="13"/>
  <c r="Y284" i="14" s="1"/>
  <c r="X14" i="13"/>
  <c r="Y14" i="13"/>
  <c r="P14" i="13"/>
  <c r="X235" i="13"/>
  <c r="X235" i="14" s="1"/>
  <c r="Y235" i="13"/>
  <c r="Y235" i="14" s="1"/>
  <c r="P235" i="13"/>
  <c r="Y229" i="13"/>
  <c r="Y229" i="14" s="1"/>
  <c r="X229" i="13"/>
  <c r="X229" i="14" s="1"/>
  <c r="P229" i="13"/>
  <c r="X177" i="13"/>
  <c r="X177" i="14" s="1"/>
  <c r="Y177" i="13"/>
  <c r="Y177" i="14" s="1"/>
  <c r="P177" i="13"/>
  <c r="X50" i="13"/>
  <c r="X50" i="14" s="1"/>
  <c r="Y50" i="13"/>
  <c r="Y50" i="14" s="1"/>
  <c r="P50" i="13"/>
  <c r="AC182" i="13"/>
  <c r="AC182" i="14" s="1"/>
  <c r="Y182" i="13"/>
  <c r="Y182" i="14" s="1"/>
  <c r="X182" i="13"/>
  <c r="X182" i="14" s="1"/>
  <c r="P182" i="13"/>
  <c r="AC39" i="13"/>
  <c r="AC39" i="14" s="1"/>
  <c r="X39" i="13"/>
  <c r="X39" i="14" s="1"/>
  <c r="Y39" i="13"/>
  <c r="Y39" i="14" s="1"/>
  <c r="P39" i="13"/>
  <c r="AC311" i="13"/>
  <c r="AC311" i="14" s="1"/>
  <c r="X311" i="13"/>
  <c r="X311" i="14" s="1"/>
  <c r="Y311" i="13"/>
  <c r="Y311" i="14" s="1"/>
  <c r="AC252" i="13"/>
  <c r="AC252" i="14" s="1"/>
  <c r="X252" i="13"/>
  <c r="X252" i="14" s="1"/>
  <c r="Y252" i="13"/>
  <c r="Y252" i="14" s="1"/>
  <c r="P252" i="13"/>
  <c r="AC145" i="13"/>
  <c r="AC145" i="14" s="1"/>
  <c r="Y145" i="13"/>
  <c r="Y145" i="14" s="1"/>
  <c r="X145" i="13"/>
  <c r="X145" i="14" s="1"/>
  <c r="P145" i="13"/>
  <c r="AC118" i="13"/>
  <c r="AC118" i="14" s="1"/>
  <c r="P118" i="13"/>
  <c r="X118" i="13"/>
  <c r="X118" i="14" s="1"/>
  <c r="Y118" i="13"/>
  <c r="Y118" i="14" s="1"/>
  <c r="AC104" i="13"/>
  <c r="AC104" i="14" s="1"/>
  <c r="X104" i="13"/>
  <c r="X104" i="14" s="1"/>
  <c r="Y104" i="13"/>
  <c r="Y104" i="14" s="1"/>
  <c r="P104" i="13"/>
  <c r="AC85" i="13"/>
  <c r="AC85" i="14" s="1"/>
  <c r="AD85" i="13"/>
  <c r="AD85" i="14" s="1"/>
  <c r="Y85" i="13"/>
  <c r="Y85" i="14" s="1"/>
  <c r="U85" i="13"/>
  <c r="X85" i="13"/>
  <c r="X85" i="14" s="1"/>
  <c r="P85" i="13"/>
  <c r="X58" i="13"/>
  <c r="X58" i="14" s="1"/>
  <c r="Y58" i="13"/>
  <c r="Y58" i="14" s="1"/>
  <c r="P58" i="13"/>
  <c r="X152" i="13"/>
  <c r="X152" i="14" s="1"/>
  <c r="Y152" i="13"/>
  <c r="Y152" i="14" s="1"/>
  <c r="P152" i="13"/>
  <c r="AC338" i="13"/>
  <c r="AC338" i="14" s="1"/>
  <c r="Y338" i="13"/>
  <c r="Y338" i="14" s="1"/>
  <c r="U338" i="13"/>
  <c r="X338" i="13"/>
  <c r="X338" i="14" s="1"/>
  <c r="P338" i="13"/>
  <c r="AC7" i="13"/>
  <c r="AC7" i="14" s="1"/>
  <c r="X7" i="13"/>
  <c r="X7" i="14" s="1"/>
  <c r="Y7" i="13"/>
  <c r="Y7" i="14" s="1"/>
  <c r="P7" i="13"/>
  <c r="AC359" i="13"/>
  <c r="AC359" i="14" s="1"/>
  <c r="Y359" i="13"/>
  <c r="Y359" i="14" s="1"/>
  <c r="X359" i="13"/>
  <c r="X359" i="14" s="1"/>
  <c r="P359" i="13"/>
  <c r="AC327" i="13"/>
  <c r="AC327" i="14" s="1"/>
  <c r="X327" i="13"/>
  <c r="X327" i="14" s="1"/>
  <c r="Y327" i="13"/>
  <c r="Y327" i="14" s="1"/>
  <c r="P327" i="13"/>
  <c r="AC268" i="13"/>
  <c r="AC268" i="14" s="1"/>
  <c r="Y268" i="13"/>
  <c r="Y268" i="14" s="1"/>
  <c r="X268" i="13"/>
  <c r="X268" i="14" s="1"/>
  <c r="P268" i="13"/>
  <c r="AC253" i="13"/>
  <c r="AC253" i="14" s="1"/>
  <c r="X253" i="13"/>
  <c r="P253" i="13"/>
  <c r="AC244" i="13"/>
  <c r="AC244" i="14" s="1"/>
  <c r="X244" i="13"/>
  <c r="X244" i="14" s="1"/>
  <c r="Y244" i="13"/>
  <c r="Y244" i="14" s="1"/>
  <c r="AC243" i="13"/>
  <c r="AC243" i="14" s="1"/>
  <c r="X243" i="13"/>
  <c r="X243" i="14" s="1"/>
  <c r="Y243" i="13"/>
  <c r="Y243" i="14" s="1"/>
  <c r="P243" i="13"/>
  <c r="P92" i="13"/>
  <c r="P86" i="13"/>
  <c r="X258" i="13"/>
  <c r="Y258" i="13"/>
  <c r="U258" i="13"/>
  <c r="X15" i="13"/>
  <c r="Y15" i="13"/>
  <c r="P15" i="13"/>
  <c r="X290" i="13"/>
  <c r="Y290" i="13"/>
  <c r="P290" i="13"/>
  <c r="AC156" i="13"/>
  <c r="AC156" i="14" s="1"/>
  <c r="X156" i="13"/>
  <c r="X156" i="14" s="1"/>
  <c r="Y156" i="13"/>
  <c r="Y156" i="14" s="1"/>
  <c r="P156" i="13"/>
  <c r="X13" i="13"/>
  <c r="Y13" i="13"/>
  <c r="P13" i="13"/>
  <c r="X227" i="13"/>
  <c r="X227" i="14" s="1"/>
  <c r="Y227" i="13"/>
  <c r="Y227" i="14" s="1"/>
  <c r="P227" i="13"/>
  <c r="P87" i="13"/>
  <c r="P73" i="13"/>
  <c r="Y331" i="13"/>
  <c r="X331" i="13"/>
  <c r="X288" i="13"/>
  <c r="Y288" i="13"/>
  <c r="P288" i="13"/>
  <c r="U288" i="13"/>
  <c r="X262" i="13"/>
  <c r="Y262" i="13"/>
  <c r="Y205" i="13"/>
  <c r="X205" i="13"/>
  <c r="P205" i="13"/>
  <c r="X141" i="13"/>
  <c r="Y141" i="13"/>
  <c r="P141" i="13"/>
  <c r="U141" i="13"/>
  <c r="X38" i="13"/>
  <c r="Y38" i="13"/>
  <c r="P38" i="13"/>
  <c r="U38" i="13"/>
  <c r="Y16" i="13"/>
  <c r="X16" i="13"/>
  <c r="P16" i="13"/>
  <c r="AC117" i="13"/>
  <c r="AC117" i="14" s="1"/>
  <c r="X117" i="13"/>
  <c r="X117" i="14" s="1"/>
  <c r="Y117" i="13"/>
  <c r="Y117" i="14" s="1"/>
  <c r="P117" i="13"/>
  <c r="X335" i="13"/>
  <c r="Y335" i="13"/>
  <c r="P335" i="13"/>
  <c r="X305" i="13"/>
  <c r="Y305" i="13"/>
  <c r="P305" i="13"/>
  <c r="AC292" i="13"/>
  <c r="AC292" i="14" s="1"/>
  <c r="Y292" i="13"/>
  <c r="Y292" i="14" s="1"/>
  <c r="X292" i="13"/>
  <c r="X292" i="14" s="1"/>
  <c r="P292" i="13"/>
  <c r="X271" i="13"/>
  <c r="Y271" i="13"/>
  <c r="P271" i="13"/>
  <c r="X203" i="13"/>
  <c r="Y203" i="13"/>
  <c r="P203" i="13"/>
  <c r="P374" i="13"/>
  <c r="P213" i="13"/>
  <c r="Y139" i="13"/>
  <c r="Y139" i="14" s="1"/>
  <c r="AC139" i="13"/>
  <c r="AC139" i="14" s="1"/>
  <c r="P139" i="13"/>
  <c r="U125" i="13"/>
  <c r="X125" i="13"/>
  <c r="Y125" i="13"/>
  <c r="X68" i="13"/>
  <c r="Y68" i="13"/>
  <c r="P68" i="13"/>
  <c r="X47" i="13"/>
  <c r="Y47" i="13"/>
  <c r="Y11" i="13"/>
  <c r="P11" i="13"/>
  <c r="X11" i="13"/>
  <c r="X232" i="13"/>
  <c r="X232" i="14" s="1"/>
  <c r="Y232" i="13"/>
  <c r="Y232" i="14" s="1"/>
  <c r="X226" i="13"/>
  <c r="X226" i="14" s="1"/>
  <c r="Y226" i="13"/>
  <c r="Y226" i="14" s="1"/>
  <c r="P226" i="13"/>
  <c r="Y76" i="13"/>
  <c r="Y76" i="14" s="1"/>
  <c r="X76" i="13"/>
  <c r="X76" i="14" s="1"/>
  <c r="X254" i="13"/>
  <c r="X254" i="14" s="1"/>
  <c r="Y254" i="13"/>
  <c r="Y254" i="14" s="1"/>
  <c r="AC254" i="13"/>
  <c r="AC254" i="14" s="1"/>
  <c r="P254" i="13"/>
  <c r="AC110" i="13"/>
  <c r="AC110" i="14" s="1"/>
  <c r="X110" i="13"/>
  <c r="X110" i="14" s="1"/>
  <c r="Y110" i="13"/>
  <c r="Y110" i="14" s="1"/>
  <c r="AC372" i="13"/>
  <c r="AC372" i="14" s="1"/>
  <c r="Y372" i="13"/>
  <c r="Y372" i="14" s="1"/>
  <c r="X372" i="13"/>
  <c r="X372" i="14" s="1"/>
  <c r="P372" i="13"/>
  <c r="AC297" i="13"/>
  <c r="AC297" i="14" s="1"/>
  <c r="X297" i="13"/>
  <c r="X297" i="14" s="1"/>
  <c r="AC347" i="13"/>
  <c r="AC347" i="14" s="1"/>
  <c r="X347" i="13"/>
  <c r="X347" i="14" s="1"/>
  <c r="Y347" i="13"/>
  <c r="Y347" i="14" s="1"/>
  <c r="P347" i="13"/>
  <c r="X165" i="13"/>
  <c r="X165" i="14" s="1"/>
  <c r="AC165" i="13"/>
  <c r="AC165" i="14" s="1"/>
  <c r="Y165" i="13"/>
  <c r="Y165" i="14" s="1"/>
  <c r="U165" i="13"/>
  <c r="X167" i="13"/>
  <c r="X167" i="14" s="1"/>
  <c r="Y167" i="13"/>
  <c r="Y167" i="14" s="1"/>
  <c r="AC167" i="13"/>
  <c r="AC167" i="14" s="1"/>
  <c r="P167" i="13"/>
  <c r="Q167" i="13" s="1"/>
  <c r="AC247" i="13"/>
  <c r="AC247" i="14" s="1"/>
  <c r="Y247" i="13"/>
  <c r="Y247" i="14" s="1"/>
  <c r="X247" i="13"/>
  <c r="X247" i="14" s="1"/>
  <c r="X214" i="13"/>
  <c r="X214" i="14" s="1"/>
  <c r="Y214" i="13"/>
  <c r="Y214" i="14" s="1"/>
  <c r="P214" i="13"/>
  <c r="Y173" i="13"/>
  <c r="Y173" i="14" s="1"/>
  <c r="X173" i="13"/>
  <c r="X173" i="14" s="1"/>
  <c r="X34" i="13"/>
  <c r="X34" i="14" s="1"/>
  <c r="Y34" i="13"/>
  <c r="Y34" i="14" s="1"/>
  <c r="P34" i="13"/>
  <c r="AC250" i="13"/>
  <c r="AC250" i="14" s="1"/>
  <c r="U250" i="13"/>
  <c r="X250" i="13"/>
  <c r="X250" i="14" s="1"/>
  <c r="Y54" i="13"/>
  <c r="Y54" i="14" s="1"/>
  <c r="AC54" i="13"/>
  <c r="AC54" i="14" s="1"/>
  <c r="X54" i="13"/>
  <c r="X54" i="14" s="1"/>
  <c r="P54" i="13"/>
  <c r="X334" i="13"/>
  <c r="X334" i="14" s="1"/>
  <c r="AC334" i="13"/>
  <c r="AC334" i="14" s="1"/>
  <c r="Y334" i="13"/>
  <c r="Y334" i="14" s="1"/>
  <c r="X322" i="13"/>
  <c r="X322" i="14" s="1"/>
  <c r="Y322" i="13"/>
  <c r="Y322" i="14" s="1"/>
  <c r="P322" i="13"/>
  <c r="AC256" i="13"/>
  <c r="AC256" i="14" s="1"/>
  <c r="Y256" i="13"/>
  <c r="Y256" i="14" s="1"/>
  <c r="X256" i="13"/>
  <c r="X256" i="14" s="1"/>
  <c r="X241" i="13"/>
  <c r="X241" i="14" s="1"/>
  <c r="Y241" i="13"/>
  <c r="Y241" i="14" s="1"/>
  <c r="AC241" i="13"/>
  <c r="AC241" i="14" s="1"/>
  <c r="P241" i="13"/>
  <c r="Y237" i="13"/>
  <c r="Y237" i="14" s="1"/>
  <c r="X237" i="13"/>
  <c r="X237" i="14" s="1"/>
  <c r="AC237" i="13"/>
  <c r="AC237" i="14" s="1"/>
  <c r="AC160" i="13"/>
  <c r="AC160" i="14" s="1"/>
  <c r="Y160" i="13"/>
  <c r="Y160" i="14" s="1"/>
  <c r="X160" i="13"/>
  <c r="X160" i="14" s="1"/>
  <c r="P160" i="13"/>
  <c r="Y98" i="13"/>
  <c r="Y98" i="14" s="1"/>
  <c r="AC98" i="13"/>
  <c r="AC98" i="14" s="1"/>
  <c r="X98" i="13"/>
  <c r="X98" i="14" s="1"/>
  <c r="X79" i="13"/>
  <c r="X79" i="14" s="1"/>
  <c r="Y79" i="13"/>
  <c r="Y79" i="14" s="1"/>
  <c r="AC79" i="13"/>
  <c r="AC79" i="14" s="1"/>
  <c r="AC24" i="13"/>
  <c r="AC24" i="14" s="1"/>
  <c r="Y24" i="13"/>
  <c r="Y24" i="14" s="1"/>
  <c r="X24" i="13"/>
  <c r="X24" i="14" s="1"/>
  <c r="P24" i="13"/>
  <c r="X178" i="13"/>
  <c r="X178" i="14" s="1"/>
  <c r="Y178" i="13"/>
  <c r="Y178" i="14" s="1"/>
  <c r="AC178" i="13"/>
  <c r="Y370" i="13"/>
  <c r="Y369" i="14" s="1"/>
  <c r="X370" i="13"/>
  <c r="X369" i="14" s="1"/>
  <c r="X242" i="13"/>
  <c r="X242" i="14" s="1"/>
  <c r="Y242" i="13"/>
  <c r="Y242" i="14" s="1"/>
  <c r="P242" i="13"/>
  <c r="Y55" i="13"/>
  <c r="Y55" i="14" s="1"/>
  <c r="AC267" i="13"/>
  <c r="AC267" i="14" s="1"/>
  <c r="AD267" i="13"/>
  <c r="AD267" i="14" s="1"/>
  <c r="X267" i="13"/>
  <c r="X267" i="14" s="1"/>
  <c r="Y267" i="13"/>
  <c r="Y267" i="14" s="1"/>
  <c r="X328" i="13"/>
  <c r="X328" i="14" s="1"/>
  <c r="Y328" i="13"/>
  <c r="Y328" i="14" s="1"/>
  <c r="AC328" i="13"/>
  <c r="AC328" i="14" s="1"/>
  <c r="AC158" i="13"/>
  <c r="AC158" i="14" s="1"/>
  <c r="X74" i="13"/>
  <c r="X74" i="14" s="1"/>
  <c r="Y74" i="13"/>
  <c r="Y74" i="14" s="1"/>
  <c r="P74" i="13"/>
  <c r="P90" i="13"/>
  <c r="P178" i="13"/>
  <c r="P158" i="13"/>
  <c r="Y317" i="13"/>
  <c r="Y317" i="14" s="1"/>
  <c r="X198" i="13"/>
  <c r="Y198" i="13"/>
  <c r="X169" i="13"/>
  <c r="X169" i="14" s="1"/>
  <c r="Y169" i="13"/>
  <c r="Y169" i="14" s="1"/>
  <c r="AC169" i="13"/>
  <c r="AC169" i="14" s="1"/>
  <c r="AC138" i="13"/>
  <c r="AC138" i="14" s="1"/>
  <c r="X138" i="13"/>
  <c r="X138" i="14" s="1"/>
  <c r="Y138" i="13"/>
  <c r="Y138" i="14" s="1"/>
  <c r="Y80" i="13"/>
  <c r="X80" i="13"/>
  <c r="X72" i="13"/>
  <c r="X72" i="14" s="1"/>
  <c r="Y72" i="13"/>
  <c r="Y72" i="14" s="1"/>
  <c r="AC72" i="13"/>
  <c r="AC72" i="14" s="1"/>
  <c r="AC32" i="13"/>
  <c r="AC32" i="14" s="1"/>
  <c r="X32" i="13"/>
  <c r="X32" i="14" s="1"/>
  <c r="Y32" i="13"/>
  <c r="Y32" i="14" s="1"/>
  <c r="U32" i="13"/>
  <c r="X315" i="13"/>
  <c r="X315" i="14" s="1"/>
  <c r="Y315" i="13"/>
  <c r="Y315" i="14" s="1"/>
  <c r="X230" i="13"/>
  <c r="X230" i="14" s="1"/>
  <c r="Y230" i="13"/>
  <c r="Y230" i="14" s="1"/>
  <c r="X224" i="13"/>
  <c r="X224" i="14" s="1"/>
  <c r="Y224" i="13"/>
  <c r="Y224" i="14" s="1"/>
  <c r="X51" i="13"/>
  <c r="X51" i="14" s="1"/>
  <c r="Y51" i="13"/>
  <c r="Y51" i="14" s="1"/>
  <c r="Y216" i="13"/>
  <c r="Y216" i="14" s="1"/>
  <c r="AC216" i="13"/>
  <c r="AC216" i="14" s="1"/>
  <c r="AC56" i="13"/>
  <c r="AC56" i="14" s="1"/>
  <c r="X56" i="13"/>
  <c r="X56" i="14" s="1"/>
  <c r="AC339" i="13"/>
  <c r="AC339" i="14" s="1"/>
  <c r="X339" i="13"/>
  <c r="X339" i="14" s="1"/>
  <c r="Y339" i="13"/>
  <c r="Y339" i="14" s="1"/>
  <c r="AC263" i="13"/>
  <c r="AC263" i="14" s="1"/>
  <c r="X263" i="13"/>
  <c r="X263" i="14" s="1"/>
  <c r="Y263" i="13"/>
  <c r="Y263" i="14" s="1"/>
  <c r="AC146" i="13"/>
  <c r="AC146" i="14" s="1"/>
  <c r="X146" i="13"/>
  <c r="X146" i="14" s="1"/>
  <c r="Y146" i="13"/>
  <c r="Y146" i="14" s="1"/>
  <c r="X123" i="13"/>
  <c r="X123" i="14" s="1"/>
  <c r="Y123" i="13"/>
  <c r="Y123" i="14" s="1"/>
  <c r="AC123" i="13"/>
  <c r="AC123" i="14" s="1"/>
  <c r="AC111" i="13"/>
  <c r="AC111" i="14" s="1"/>
  <c r="X111" i="13"/>
  <c r="X111" i="14" s="1"/>
  <c r="Y111" i="13"/>
  <c r="Y111" i="14" s="1"/>
  <c r="X195" i="13"/>
  <c r="X195" i="14" s="1"/>
  <c r="Y195" i="13"/>
  <c r="Y195" i="14" s="1"/>
  <c r="AD195" i="13"/>
  <c r="AD195" i="14" s="1"/>
  <c r="AC195" i="13"/>
  <c r="AC195" i="14" s="1"/>
  <c r="U195" i="13"/>
  <c r="X161" i="13"/>
  <c r="X161" i="14" s="1"/>
  <c r="X154" i="13"/>
  <c r="X154" i="14" s="1"/>
  <c r="Y154" i="13"/>
  <c r="Y154" i="14" s="1"/>
  <c r="X375" i="13"/>
  <c r="AC375" i="13"/>
  <c r="AC375" i="14" s="1"/>
  <c r="X127" i="13"/>
  <c r="X127" i="14" s="1"/>
  <c r="Y127" i="13"/>
  <c r="Y127" i="14" s="1"/>
  <c r="AC127" i="13"/>
  <c r="AC127" i="14" s="1"/>
  <c r="U127" i="13"/>
  <c r="AC360" i="13"/>
  <c r="AC360" i="14" s="1"/>
  <c r="Y360" i="13"/>
  <c r="Y360" i="14" s="1"/>
  <c r="X360" i="13"/>
  <c r="X360" i="14" s="1"/>
  <c r="X332" i="13"/>
  <c r="X332" i="14" s="1"/>
  <c r="Y332" i="13"/>
  <c r="Y332" i="14" s="1"/>
  <c r="AC332" i="13"/>
  <c r="AC332" i="14" s="1"/>
  <c r="X266" i="13"/>
  <c r="X266" i="14" s="1"/>
  <c r="AC266" i="13"/>
  <c r="AC266" i="14" s="1"/>
  <c r="Y266" i="13"/>
  <c r="Y266" i="14" s="1"/>
  <c r="AC255" i="13"/>
  <c r="AC255" i="14" s="1"/>
  <c r="X255" i="13"/>
  <c r="X255" i="14" s="1"/>
  <c r="Y255" i="13"/>
  <c r="Y255" i="14" s="1"/>
  <c r="AC97" i="13"/>
  <c r="AC97" i="14" s="1"/>
  <c r="X97" i="13"/>
  <c r="X97" i="14" s="1"/>
  <c r="Y97" i="13"/>
  <c r="Y97" i="14" s="1"/>
  <c r="X223" i="13"/>
  <c r="X223" i="14" s="1"/>
  <c r="Y223" i="13"/>
  <c r="Y223" i="14" s="1"/>
  <c r="AC223" i="13"/>
  <c r="AC223" i="14" s="1"/>
  <c r="X277" i="13"/>
  <c r="X277" i="14" s="1"/>
  <c r="AC277" i="13"/>
  <c r="AC277" i="14" s="1"/>
  <c r="Y277" i="13"/>
  <c r="Y277" i="14" s="1"/>
  <c r="P277" i="13"/>
  <c r="X94" i="13"/>
  <c r="X94" i="14" s="1"/>
  <c r="Y94" i="13"/>
  <c r="Y94" i="14" s="1"/>
  <c r="AC94" i="13"/>
  <c r="AC94" i="14" s="1"/>
  <c r="AC46" i="13"/>
  <c r="AC46" i="14" s="1"/>
  <c r="X46" i="13"/>
  <c r="X46" i="14" s="1"/>
  <c r="Y46" i="13"/>
  <c r="Y46" i="14" s="1"/>
  <c r="P46" i="13"/>
  <c r="X20" i="13"/>
  <c r="X20" i="14" s="1"/>
  <c r="Y20" i="13"/>
  <c r="Y20" i="14" s="1"/>
  <c r="AC20" i="13"/>
  <c r="AC20" i="14" s="1"/>
  <c r="AD131" i="13"/>
  <c r="AD131" i="14" s="1"/>
  <c r="X131" i="13"/>
  <c r="X131" i="14" s="1"/>
  <c r="Y131" i="13"/>
  <c r="Y131" i="14" s="1"/>
  <c r="AC131" i="13"/>
  <c r="AC131" i="14" s="1"/>
  <c r="U131" i="13"/>
  <c r="X368" i="13"/>
  <c r="X367" i="14" s="1"/>
  <c r="Y368" i="13"/>
  <c r="Y367" i="14" s="1"/>
  <c r="Y217" i="13"/>
  <c r="Y217" i="14" s="1"/>
  <c r="X217" i="13"/>
  <c r="X217" i="14" s="1"/>
  <c r="X84" i="13"/>
  <c r="X84" i="14" s="1"/>
  <c r="Y84" i="13"/>
  <c r="Y84" i="14" s="1"/>
  <c r="P84" i="13"/>
  <c r="AC147" i="13"/>
  <c r="AC147" i="14" s="1"/>
  <c r="AD147" i="13"/>
  <c r="AD147" i="14" s="1"/>
  <c r="X147" i="13"/>
  <c r="X147" i="14" s="1"/>
  <c r="Y147" i="13"/>
  <c r="Y147" i="14" s="1"/>
  <c r="U147" i="13"/>
  <c r="P147" i="13"/>
  <c r="X220" i="13"/>
  <c r="X220" i="14" s="1"/>
  <c r="Y220" i="13"/>
  <c r="Y220" i="14" s="1"/>
  <c r="AC220" i="13"/>
  <c r="AC220" i="14" s="1"/>
  <c r="X128" i="13"/>
  <c r="X128" i="14" s="1"/>
  <c r="Y128" i="13"/>
  <c r="Y128" i="14" s="1"/>
  <c r="X33" i="13"/>
  <c r="X33" i="14" s="1"/>
  <c r="Y33" i="13"/>
  <c r="Y33" i="14" s="1"/>
  <c r="P237" i="13"/>
  <c r="P370" i="13"/>
  <c r="P230" i="13"/>
  <c r="R230" i="13" s="1"/>
  <c r="P216" i="13"/>
  <c r="P297" i="13"/>
  <c r="P127" i="13"/>
  <c r="P266" i="13"/>
  <c r="P79" i="13"/>
  <c r="P368" i="13"/>
  <c r="P267" i="13"/>
  <c r="P33" i="13"/>
  <c r="AC134" i="13"/>
  <c r="AC134" i="14" s="1"/>
  <c r="AC71" i="13"/>
  <c r="AC71" i="14" s="1"/>
  <c r="Y71" i="13"/>
  <c r="Y71" i="14" s="1"/>
  <c r="X71" i="13"/>
  <c r="X71" i="14" s="1"/>
  <c r="AC45" i="13"/>
  <c r="AC45" i="14" s="1"/>
  <c r="X45" i="13"/>
  <c r="X45" i="14" s="1"/>
  <c r="Y45" i="13"/>
  <c r="Y45" i="14" s="1"/>
  <c r="P45" i="13"/>
  <c r="AC22" i="13"/>
  <c r="AC22" i="14" s="1"/>
  <c r="X22" i="13"/>
  <c r="X22" i="14" s="1"/>
  <c r="Y22" i="13"/>
  <c r="Y22" i="14" s="1"/>
  <c r="AC27" i="13"/>
  <c r="AC27" i="14" s="1"/>
  <c r="AD27" i="13"/>
  <c r="AD27" i="14" s="1"/>
  <c r="Y27" i="13"/>
  <c r="Y27" i="14" s="1"/>
  <c r="X27" i="13"/>
  <c r="X27" i="14" s="1"/>
  <c r="P27" i="13"/>
  <c r="U27" i="13"/>
  <c r="Y283" i="13"/>
  <c r="Y283" i="14" s="1"/>
  <c r="X283" i="13"/>
  <c r="X283" i="14" s="1"/>
  <c r="X215" i="13"/>
  <c r="X215" i="14" s="1"/>
  <c r="Y215" i="13"/>
  <c r="Y215" i="14" s="1"/>
  <c r="X89" i="13"/>
  <c r="X89" i="14" s="1"/>
  <c r="Y89" i="13"/>
  <c r="Y89" i="14" s="1"/>
  <c r="X114" i="13"/>
  <c r="X114" i="14" s="1"/>
  <c r="AC114" i="13"/>
  <c r="AC114" i="14" s="1"/>
  <c r="Y114" i="13"/>
  <c r="Y114" i="14" s="1"/>
  <c r="AD114" i="13"/>
  <c r="AD114" i="14" s="1"/>
  <c r="U114" i="13"/>
  <c r="AC196" i="13"/>
  <c r="AC196" i="14" s="1"/>
  <c r="X196" i="13"/>
  <c r="X196" i="14" s="1"/>
  <c r="Y196" i="13"/>
  <c r="Y196" i="14" s="1"/>
  <c r="P196" i="13"/>
  <c r="X121" i="13"/>
  <c r="X121" i="14" s="1"/>
  <c r="Y121" i="13"/>
  <c r="Y121" i="14" s="1"/>
  <c r="AC121" i="13"/>
  <c r="AC121" i="14" s="1"/>
  <c r="P121" i="13"/>
  <c r="AC21" i="13"/>
  <c r="AC21" i="14" s="1"/>
  <c r="X21" i="13"/>
  <c r="X21" i="14" s="1"/>
  <c r="Y21" i="13"/>
  <c r="Y21" i="14" s="1"/>
  <c r="P283" i="13"/>
  <c r="P114" i="13"/>
  <c r="P21" i="13"/>
  <c r="P138" i="13"/>
  <c r="P47" i="13"/>
  <c r="P263" i="13"/>
  <c r="P111" i="13"/>
  <c r="P173" i="13"/>
  <c r="P191" i="13"/>
  <c r="P355" i="13"/>
  <c r="X139" i="13"/>
  <c r="X139" i="14" s="1"/>
  <c r="X216" i="13"/>
  <c r="X216" i="14" s="1"/>
  <c r="Y250" i="13"/>
  <c r="Y250" i="14" s="1"/>
  <c r="Y193" i="13"/>
  <c r="P193" i="13"/>
  <c r="AC157" i="13"/>
  <c r="AC157" i="14" s="1"/>
  <c r="X157" i="13"/>
  <c r="X157" i="14" s="1"/>
  <c r="Y157" i="13"/>
  <c r="Y157" i="14" s="1"/>
  <c r="AC136" i="13"/>
  <c r="AC136" i="14" s="1"/>
  <c r="X136" i="13"/>
  <c r="X136" i="14" s="1"/>
  <c r="Y136" i="13"/>
  <c r="Y136" i="14" s="1"/>
  <c r="P136" i="13"/>
  <c r="Y90" i="13"/>
  <c r="X90" i="13"/>
  <c r="Y329" i="13"/>
  <c r="P329" i="13"/>
  <c r="X4" i="13"/>
  <c r="Y4" i="13"/>
  <c r="X234" i="13"/>
  <c r="X234" i="14" s="1"/>
  <c r="Y234" i="13"/>
  <c r="Y234" i="14" s="1"/>
  <c r="P234" i="13"/>
  <c r="X228" i="13"/>
  <c r="X228" i="14" s="1"/>
  <c r="Y228" i="13"/>
  <c r="Y228" i="14" s="1"/>
  <c r="X171" i="13"/>
  <c r="X171" i="14" s="1"/>
  <c r="P171" i="13"/>
  <c r="X49" i="13"/>
  <c r="X49" i="14" s="1"/>
  <c r="Y49" i="13"/>
  <c r="Y49" i="14" s="1"/>
  <c r="AC181" i="13"/>
  <c r="AC181" i="14" s="1"/>
  <c r="X181" i="13"/>
  <c r="X181" i="14" s="1"/>
  <c r="Y181" i="13"/>
  <c r="Y181" i="14" s="1"/>
  <c r="P181" i="13"/>
  <c r="AC35" i="13"/>
  <c r="AC35" i="14" s="1"/>
  <c r="Y35" i="13"/>
  <c r="Y35" i="14" s="1"/>
  <c r="X35" i="13"/>
  <c r="X35" i="14" s="1"/>
  <c r="AC365" i="13"/>
  <c r="AC365" i="14" s="1"/>
  <c r="X365" i="13"/>
  <c r="X365" i="14" s="1"/>
  <c r="Y365" i="13"/>
  <c r="Y365" i="14" s="1"/>
  <c r="P365" i="13"/>
  <c r="AC246" i="13"/>
  <c r="AC246" i="14" s="1"/>
  <c r="X246" i="13"/>
  <c r="X246" i="14" s="1"/>
  <c r="Y246" i="13"/>
  <c r="Y246" i="14" s="1"/>
  <c r="AC144" i="13"/>
  <c r="AC144" i="14" s="1"/>
  <c r="P144" i="13"/>
  <c r="X144" i="13"/>
  <c r="X144" i="14" s="1"/>
  <c r="AC353" i="13"/>
  <c r="AC353" i="14" s="1"/>
  <c r="X353" i="13"/>
  <c r="X353" i="14" s="1"/>
  <c r="Y353" i="13"/>
  <c r="Y353" i="14" s="1"/>
  <c r="AC62" i="13"/>
  <c r="AC62" i="14" s="1"/>
  <c r="X62" i="13"/>
  <c r="X62" i="14" s="1"/>
  <c r="Y62" i="13"/>
  <c r="Y62" i="14" s="1"/>
  <c r="P62" i="13"/>
  <c r="Y280" i="13"/>
  <c r="Y280" i="14" s="1"/>
  <c r="X280" i="13"/>
  <c r="X280" i="14" s="1"/>
  <c r="X352" i="13"/>
  <c r="X352" i="14" s="1"/>
  <c r="Y352" i="13"/>
  <c r="Y352" i="14" s="1"/>
  <c r="P352" i="13"/>
  <c r="X151" i="13"/>
  <c r="X151" i="14" s="1"/>
  <c r="U151" i="13"/>
  <c r="Y151" i="13"/>
  <c r="Y151" i="14" s="1"/>
  <c r="AC316" i="13"/>
  <c r="AC316" i="14" s="1"/>
  <c r="X316" i="13"/>
  <c r="X316" i="14" s="1"/>
  <c r="Y316" i="13"/>
  <c r="Y316" i="14" s="1"/>
  <c r="P316" i="13"/>
  <c r="X63" i="13"/>
  <c r="Y63" i="13"/>
  <c r="AC364" i="13"/>
  <c r="AC364" i="14" s="1"/>
  <c r="X364" i="13"/>
  <c r="X364" i="14" s="1"/>
  <c r="Y364" i="13"/>
  <c r="Y364" i="14" s="1"/>
  <c r="P364" i="13"/>
  <c r="AC343" i="13"/>
  <c r="AC343" i="14" s="1"/>
  <c r="X343" i="13"/>
  <c r="AC265" i="13"/>
  <c r="AC265" i="14" s="1"/>
  <c r="X265" i="13"/>
  <c r="X265" i="14" s="1"/>
  <c r="Y265" i="13"/>
  <c r="Y265" i="14" s="1"/>
  <c r="P265" i="13"/>
  <c r="AC120" i="13"/>
  <c r="AC120" i="14" s="1"/>
  <c r="X120" i="13"/>
  <c r="X120" i="14" s="1"/>
  <c r="Y120" i="13"/>
  <c r="Y120" i="14" s="1"/>
  <c r="AC354" i="13"/>
  <c r="AC354" i="14" s="1"/>
  <c r="X354" i="13"/>
  <c r="X354" i="14" s="1"/>
  <c r="Y354" i="13"/>
  <c r="Y354" i="14" s="1"/>
  <c r="AC188" i="13"/>
  <c r="AC188" i="14" s="1"/>
  <c r="X188" i="13"/>
  <c r="X188" i="14" s="1"/>
  <c r="Y188" i="13"/>
  <c r="Y188" i="14" s="1"/>
  <c r="P188" i="13"/>
  <c r="AC102" i="13"/>
  <c r="AC102" i="14" s="1"/>
  <c r="X102" i="13"/>
  <c r="X102" i="14" s="1"/>
  <c r="Y102" i="13"/>
  <c r="Y102" i="14" s="1"/>
  <c r="AC70" i="13"/>
  <c r="AC70" i="14" s="1"/>
  <c r="X70" i="13"/>
  <c r="X70" i="14" s="1"/>
  <c r="Y70" i="13"/>
  <c r="Y70" i="14" s="1"/>
  <c r="AC44" i="13"/>
  <c r="AC44" i="14" s="1"/>
  <c r="X44" i="13"/>
  <c r="X44" i="14" s="1"/>
  <c r="Y44" i="13"/>
  <c r="Y44" i="14" s="1"/>
  <c r="AC6" i="13"/>
  <c r="AC6" i="14" s="1"/>
  <c r="AC26" i="13"/>
  <c r="AC26" i="14" s="1"/>
  <c r="AD26" i="13"/>
  <c r="AD26" i="14" s="1"/>
  <c r="X26" i="13"/>
  <c r="X26" i="14" s="1"/>
  <c r="Y26" i="13"/>
  <c r="Y26" i="14" s="1"/>
  <c r="U26" i="13"/>
  <c r="P26" i="13"/>
  <c r="X282" i="13"/>
  <c r="X282" i="14" s="1"/>
  <c r="Y282" i="13"/>
  <c r="Y282" i="14" s="1"/>
  <c r="X222" i="13"/>
  <c r="X222" i="14" s="1"/>
  <c r="Y222" i="13"/>
  <c r="Y222" i="14" s="1"/>
  <c r="P222" i="13"/>
  <c r="X43" i="13"/>
  <c r="X43" i="14" s="1"/>
  <c r="Y43" i="13"/>
  <c r="Y43" i="14" s="1"/>
  <c r="X355" i="13"/>
  <c r="X355" i="14" s="1"/>
  <c r="Y355" i="13"/>
  <c r="Y355" i="14" s="1"/>
  <c r="AC355" i="13"/>
  <c r="AC355" i="14" s="1"/>
  <c r="AC82" i="13"/>
  <c r="AC82" i="14" s="1"/>
  <c r="Y82" i="13"/>
  <c r="Y82" i="14" s="1"/>
  <c r="X82" i="13"/>
  <c r="X82" i="14" s="1"/>
  <c r="AC106" i="13"/>
  <c r="AC106" i="14" s="1"/>
  <c r="Y106" i="13"/>
  <c r="Y106" i="14" s="1"/>
  <c r="X106" i="13"/>
  <c r="X106" i="14" s="1"/>
  <c r="AC23" i="13"/>
  <c r="AC23" i="14" s="1"/>
  <c r="X23" i="13"/>
  <c r="X23" i="14" s="1"/>
  <c r="Y23" i="13"/>
  <c r="Y23" i="14" s="1"/>
  <c r="P23" i="13"/>
  <c r="P246" i="13"/>
  <c r="P53" i="13"/>
  <c r="P328" i="13"/>
  <c r="Y302" i="13"/>
  <c r="X55" i="13"/>
  <c r="X55" i="14" s="1"/>
  <c r="P198" i="13"/>
  <c r="P32" i="13"/>
  <c r="P224" i="13"/>
  <c r="P110" i="13"/>
  <c r="P154" i="13"/>
  <c r="P360" i="13"/>
  <c r="P256" i="13"/>
  <c r="X193" i="13"/>
  <c r="Y155" i="13"/>
  <c r="Y155" i="14" s="1"/>
  <c r="X155" i="13"/>
  <c r="X176" i="13"/>
  <c r="AC159" i="13"/>
  <c r="AC159" i="14" s="1"/>
  <c r="X159" i="13"/>
  <c r="X159" i="14" s="1"/>
  <c r="Y159" i="13"/>
  <c r="Y159" i="14" s="1"/>
  <c r="Y8" i="13"/>
  <c r="X8" i="13"/>
  <c r="AC304" i="13"/>
  <c r="AC304" i="14" s="1"/>
  <c r="X304" i="13"/>
  <c r="X304" i="14" s="1"/>
  <c r="Y304" i="13"/>
  <c r="AC211" i="13"/>
  <c r="AC211" i="14" s="1"/>
  <c r="Y211" i="13"/>
  <c r="Y211" i="14" s="1"/>
  <c r="X211" i="13"/>
  <c r="X211" i="14" s="1"/>
  <c r="AC143" i="13"/>
  <c r="AC143" i="14" s="1"/>
  <c r="X143" i="13"/>
  <c r="X143" i="14" s="1"/>
  <c r="Y143" i="13"/>
  <c r="Y143" i="14" s="1"/>
  <c r="AC108" i="13"/>
  <c r="AC108" i="14" s="1"/>
  <c r="Y108" i="13"/>
  <c r="Y108" i="14" s="1"/>
  <c r="X108" i="13"/>
  <c r="X108" i="14" s="1"/>
  <c r="AC60" i="13"/>
  <c r="AC60" i="14" s="1"/>
  <c r="Y60" i="13"/>
  <c r="Y60" i="14" s="1"/>
  <c r="X60" i="13"/>
  <c r="X60" i="14" s="1"/>
  <c r="Y279" i="13"/>
  <c r="Y279" i="14" s="1"/>
  <c r="X279" i="13"/>
  <c r="X279" i="14" s="1"/>
  <c r="X259" i="13"/>
  <c r="X259" i="14" s="1"/>
  <c r="Y259" i="13"/>
  <c r="Y259" i="14" s="1"/>
  <c r="X150" i="13"/>
  <c r="X150" i="14" s="1"/>
  <c r="Y150" i="13"/>
  <c r="Y150" i="14" s="1"/>
  <c r="AC295" i="13"/>
  <c r="AC295" i="14" s="1"/>
  <c r="Y295" i="13"/>
  <c r="Y295" i="14" s="1"/>
  <c r="X295" i="13"/>
  <c r="X295" i="14" s="1"/>
  <c r="Y191" i="13"/>
  <c r="AC344" i="13"/>
  <c r="AC344" i="14" s="1"/>
  <c r="Y344" i="13"/>
  <c r="Y344" i="14" s="1"/>
  <c r="X344" i="13"/>
  <c r="X344" i="14" s="1"/>
  <c r="AC323" i="13"/>
  <c r="AC323" i="14" s="1"/>
  <c r="Y323" i="13"/>
  <c r="AC57" i="13"/>
  <c r="AC57" i="14" s="1"/>
  <c r="X57" i="13"/>
  <c r="X57" i="14" s="1"/>
  <c r="Y57" i="13"/>
  <c r="Y57" i="14" s="1"/>
  <c r="AC119" i="13"/>
  <c r="AC119" i="14" s="1"/>
  <c r="Y119" i="13"/>
  <c r="AC239" i="13"/>
  <c r="AC239" i="14" s="1"/>
  <c r="Y239" i="13"/>
  <c r="Y239" i="14" s="1"/>
  <c r="P239" i="13"/>
  <c r="R239" i="13" s="1"/>
  <c r="AC53" i="13"/>
  <c r="AC53" i="14" s="1"/>
  <c r="Y53" i="13"/>
  <c r="AC101" i="13"/>
  <c r="AC100" i="14" s="1"/>
  <c r="Y101" i="13"/>
  <c r="Y100" i="14" s="1"/>
  <c r="X101" i="13"/>
  <c r="X100" i="14" s="1"/>
  <c r="AC67" i="13"/>
  <c r="AC67" i="14" s="1"/>
  <c r="X67" i="13"/>
  <c r="X67" i="14" s="1"/>
  <c r="Y67" i="13"/>
  <c r="Y67" i="14" s="1"/>
  <c r="P67" i="13"/>
  <c r="AC40" i="13"/>
  <c r="AC40" i="14" s="1"/>
  <c r="Y40" i="13"/>
  <c r="Y40" i="14" s="1"/>
  <c r="X40" i="13"/>
  <c r="X40" i="14" s="1"/>
  <c r="AC363" i="13"/>
  <c r="AC363" i="14" s="1"/>
  <c r="Y363" i="13"/>
  <c r="Y363" i="14" s="1"/>
  <c r="X363" i="13"/>
  <c r="X363" i="14" s="1"/>
  <c r="AC25" i="13"/>
  <c r="AC25" i="14" s="1"/>
  <c r="AD25" i="13"/>
  <c r="AD25" i="14" s="1"/>
  <c r="X25" i="13"/>
  <c r="X25" i="14" s="1"/>
  <c r="Y25" i="13"/>
  <c r="Y25" i="14" s="1"/>
  <c r="X281" i="13"/>
  <c r="X281" i="14" s="1"/>
  <c r="Y281" i="13"/>
  <c r="Y281" i="14" s="1"/>
  <c r="Y105" i="13"/>
  <c r="Y105" i="14" s="1"/>
  <c r="X105" i="13"/>
  <c r="X105" i="14" s="1"/>
  <c r="P105" i="13"/>
  <c r="X42" i="13"/>
  <c r="X42" i="14" s="1"/>
  <c r="Y42" i="13"/>
  <c r="Y187" i="13"/>
  <c r="Y187" i="14" s="1"/>
  <c r="X187" i="13"/>
  <c r="X187" i="14" s="1"/>
  <c r="P187" i="13"/>
  <c r="X166" i="13"/>
  <c r="X166" i="14" s="1"/>
  <c r="Y166" i="13"/>
  <c r="Y166" i="14" s="1"/>
  <c r="X83" i="13"/>
  <c r="X83" i="14" s="1"/>
  <c r="Y83" i="13"/>
  <c r="Y83" i="14" s="1"/>
  <c r="AC3" i="13"/>
  <c r="AC3" i="14" s="1"/>
  <c r="X3" i="13"/>
  <c r="X3" i="14" s="1"/>
  <c r="Y3" i="13"/>
  <c r="Y3" i="14" s="1"/>
  <c r="P4" i="13"/>
  <c r="P36" i="13"/>
  <c r="P151" i="13"/>
  <c r="P134" i="13"/>
  <c r="P20" i="13"/>
  <c r="P217" i="13"/>
  <c r="P220" i="13"/>
  <c r="Y6" i="13"/>
  <c r="Y6" i="14" s="1"/>
  <c r="P125" i="13"/>
  <c r="R125" i="13" s="1"/>
  <c r="P155" i="13"/>
  <c r="P56" i="13"/>
  <c r="P146" i="13"/>
  <c r="P247" i="13"/>
  <c r="P150" i="13"/>
  <c r="P344" i="13"/>
  <c r="P255" i="13"/>
  <c r="P102" i="13"/>
  <c r="P22" i="13"/>
  <c r="P215" i="13"/>
  <c r="P82" i="13"/>
  <c r="U267" i="13"/>
  <c r="X6" i="13"/>
  <c r="AC317" i="13"/>
  <c r="AC317" i="14" s="1"/>
  <c r="X317" i="13"/>
  <c r="X317" i="14" s="1"/>
  <c r="P317" i="13"/>
  <c r="AC153" i="13"/>
  <c r="AC153" i="14" s="1"/>
  <c r="X153" i="13"/>
  <c r="X153" i="14" s="1"/>
  <c r="Y153" i="13"/>
  <c r="Y153" i="14" s="1"/>
  <c r="AC373" i="13"/>
  <c r="AC373" i="14" s="1"/>
  <c r="X373" i="13"/>
  <c r="X373" i="14" s="1"/>
  <c r="Y373" i="13"/>
  <c r="Y373" i="14" s="1"/>
  <c r="P373" i="13"/>
  <c r="AC303" i="13"/>
  <c r="AC303" i="14" s="1"/>
  <c r="Y303" i="13"/>
  <c r="Y303" i="14" s="1"/>
  <c r="X303" i="13"/>
  <c r="X303" i="14" s="1"/>
  <c r="AC180" i="13"/>
  <c r="AC180" i="14" s="1"/>
  <c r="X180" i="13"/>
  <c r="X180" i="14" s="1"/>
  <c r="P180" i="13"/>
  <c r="Y180" i="13"/>
  <c r="Y180" i="14" s="1"/>
  <c r="AC142" i="13"/>
  <c r="AC142" i="14" s="1"/>
  <c r="X142" i="13"/>
  <c r="X142" i="14" s="1"/>
  <c r="Y142" i="13"/>
  <c r="Y142" i="14" s="1"/>
  <c r="AC107" i="13"/>
  <c r="AC107" i="14" s="1"/>
  <c r="X107" i="13"/>
  <c r="X107" i="14" s="1"/>
  <c r="Y107" i="13"/>
  <c r="Y107" i="14" s="1"/>
  <c r="P107" i="13"/>
  <c r="AC36" i="13"/>
  <c r="AC36" i="14" s="1"/>
  <c r="Y36" i="13"/>
  <c r="Y36" i="14" s="1"/>
  <c r="X36" i="13"/>
  <c r="X36" i="14" s="1"/>
  <c r="X248" i="13"/>
  <c r="X248" i="14" s="1"/>
  <c r="Y248" i="13"/>
  <c r="Y248" i="14" s="1"/>
  <c r="P248" i="13"/>
  <c r="Y174" i="13"/>
  <c r="Y174" i="14" s="1"/>
  <c r="X174" i="13"/>
  <c r="X174" i="14" s="1"/>
  <c r="X61" i="13"/>
  <c r="X61" i="14" s="1"/>
  <c r="Y61" i="13"/>
  <c r="Y61" i="14" s="1"/>
  <c r="P61" i="13"/>
  <c r="AC251" i="13"/>
  <c r="AC251" i="14" s="1"/>
  <c r="X251" i="13"/>
  <c r="X251" i="14" s="1"/>
  <c r="Y251" i="13"/>
  <c r="Y251" i="14" s="1"/>
  <c r="U251" i="13"/>
  <c r="AC362" i="13"/>
  <c r="AC362" i="14" s="1"/>
  <c r="X362" i="13"/>
  <c r="X362" i="14" s="1"/>
  <c r="Y362" i="13"/>
  <c r="Y362" i="14" s="1"/>
  <c r="P362" i="13"/>
  <c r="AC302" i="13"/>
  <c r="AC302" i="14" s="1"/>
  <c r="AC312" i="13"/>
  <c r="AC312" i="14" s="1"/>
  <c r="X312" i="13"/>
  <c r="X312" i="14" s="1"/>
  <c r="Y312" i="13"/>
  <c r="Y312" i="14" s="1"/>
  <c r="P312" i="13"/>
  <c r="AC278" i="13"/>
  <c r="AC278" i="14" s="1"/>
  <c r="Y278" i="13"/>
  <c r="Y278" i="14" s="1"/>
  <c r="X278" i="13"/>
  <c r="X278" i="14" s="1"/>
  <c r="AC212" i="13"/>
  <c r="AC212" i="14" s="1"/>
  <c r="Y212" i="13"/>
  <c r="Y212" i="14" s="1"/>
  <c r="X212" i="13"/>
  <c r="X212" i="14" s="1"/>
  <c r="P212" i="13"/>
  <c r="X238" i="13"/>
  <c r="X238" i="14" s="1"/>
  <c r="AC238" i="13"/>
  <c r="AC238" i="14" s="1"/>
  <c r="Y238" i="13"/>
  <c r="Y238" i="14" s="1"/>
  <c r="AC163" i="13"/>
  <c r="AC163" i="14" s="1"/>
  <c r="X163" i="13"/>
  <c r="X163" i="14" s="1"/>
  <c r="Y163" i="13"/>
  <c r="Y163" i="14" s="1"/>
  <c r="AC100" i="13"/>
  <c r="AC101" i="14" s="1"/>
  <c r="X100" i="13"/>
  <c r="X101" i="14" s="1"/>
  <c r="Y100" i="13"/>
  <c r="Y101" i="14" s="1"/>
  <c r="P100" i="13"/>
  <c r="AC65" i="13"/>
  <c r="AC65" i="14" s="1"/>
  <c r="X65" i="13"/>
  <c r="X65" i="14" s="1"/>
  <c r="Y65" i="13"/>
  <c r="Y65" i="14" s="1"/>
  <c r="AC30" i="13"/>
  <c r="AC30" i="14" s="1"/>
  <c r="Y30" i="13"/>
  <c r="Y30" i="14" s="1"/>
  <c r="X30" i="13"/>
  <c r="X30" i="14" s="1"/>
  <c r="AC179" i="13"/>
  <c r="AC179" i="14" s="1"/>
  <c r="X179" i="13"/>
  <c r="X179" i="14" s="1"/>
  <c r="Y179" i="13"/>
  <c r="Y179" i="14" s="1"/>
  <c r="P179" i="13"/>
  <c r="X371" i="13"/>
  <c r="X370" i="14" s="1"/>
  <c r="Y371" i="13"/>
  <c r="Y370" i="14" s="1"/>
  <c r="X218" i="13"/>
  <c r="X218" i="14" s="1"/>
  <c r="Y218" i="13"/>
  <c r="Y218" i="14" s="1"/>
  <c r="X130" i="13"/>
  <c r="X130" i="14" s="1"/>
  <c r="Y130" i="13"/>
  <c r="Y130" i="14" s="1"/>
  <c r="X41" i="13"/>
  <c r="X41" i="14" s="1"/>
  <c r="Y41" i="13"/>
  <c r="Y41" i="14" s="1"/>
  <c r="AC337" i="13"/>
  <c r="AC337" i="14" s="1"/>
  <c r="X337" i="13"/>
  <c r="X337" i="14" s="1"/>
  <c r="Y337" i="13"/>
  <c r="Y337" i="14" s="1"/>
  <c r="P337" i="13"/>
  <c r="X164" i="13"/>
  <c r="X164" i="14" s="1"/>
  <c r="Y164" i="13"/>
  <c r="Y164" i="14" s="1"/>
  <c r="AC164" i="13"/>
  <c r="AC164" i="14" s="1"/>
  <c r="AC99" i="13"/>
  <c r="AC99" i="14" s="1"/>
  <c r="X99" i="13"/>
  <c r="X99" i="14" s="1"/>
  <c r="Y99" i="13"/>
  <c r="Y99" i="14" s="1"/>
  <c r="P99" i="13"/>
  <c r="P35" i="13"/>
  <c r="P302" i="13"/>
  <c r="P120" i="13"/>
  <c r="P101" i="13"/>
  <c r="P6" i="13"/>
  <c r="P130" i="13"/>
  <c r="P166" i="13"/>
  <c r="P80" i="13"/>
  <c r="P315" i="13"/>
  <c r="P76" i="13"/>
  <c r="P8" i="13"/>
  <c r="P143" i="13"/>
  <c r="P195" i="13"/>
  <c r="P375" i="13"/>
  <c r="P119" i="13"/>
  <c r="P363" i="13"/>
  <c r="P164" i="13"/>
  <c r="Y144" i="13"/>
  <c r="Y144" i="14" s="1"/>
  <c r="X191" i="13"/>
  <c r="AC322" i="13"/>
  <c r="AC322" i="14" s="1"/>
  <c r="J122" i="5"/>
  <c r="K122" i="5" s="1"/>
  <c r="J32" i="5"/>
  <c r="J147" i="5"/>
  <c r="K147" i="5" s="1"/>
  <c r="J677" i="5"/>
  <c r="J713" i="5"/>
  <c r="K713" i="5" s="1"/>
  <c r="J739" i="5"/>
  <c r="K739" i="5" s="1"/>
  <c r="J832" i="5"/>
  <c r="J136" i="5"/>
  <c r="K136" i="5" s="1"/>
  <c r="J588" i="5"/>
  <c r="K588" i="5" s="1"/>
  <c r="J573" i="5"/>
  <c r="K573" i="5" s="1"/>
  <c r="J776" i="5"/>
  <c r="J429" i="5"/>
  <c r="J821" i="5"/>
  <c r="J682" i="5"/>
  <c r="K682" i="5" s="1"/>
  <c r="J363" i="5"/>
  <c r="K363" i="5" s="1"/>
  <c r="J304" i="5"/>
  <c r="K304" i="5" s="1"/>
  <c r="J853" i="5"/>
  <c r="K853" i="5" s="1"/>
  <c r="J792" i="5"/>
  <c r="K792" i="5" s="1"/>
  <c r="J369" i="5"/>
  <c r="J82" i="5"/>
  <c r="K82" i="5" s="1"/>
  <c r="J724" i="5"/>
  <c r="J327" i="5"/>
  <c r="K327" i="5" s="1"/>
  <c r="J579" i="5"/>
  <c r="K579" i="5" s="1"/>
  <c r="J216" i="5"/>
  <c r="K216" i="5" s="1"/>
  <c r="J221" i="5"/>
  <c r="K221" i="5" s="1"/>
  <c r="J101" i="5"/>
  <c r="K101" i="5" s="1"/>
  <c r="J594" i="5"/>
  <c r="K594" i="5" s="1"/>
  <c r="J59" i="5"/>
  <c r="K59" i="5" s="1"/>
  <c r="J533" i="5"/>
  <c r="K533" i="5" s="1"/>
  <c r="J568" i="5"/>
  <c r="K568" i="5" s="1"/>
  <c r="J394" i="5"/>
  <c r="K394" i="5" s="1"/>
  <c r="J325" i="5"/>
  <c r="K325" i="5" s="1"/>
  <c r="J807" i="5"/>
  <c r="K807" i="5" s="1"/>
  <c r="J553" i="5"/>
  <c r="K553" i="5" s="1"/>
  <c r="J837" i="5"/>
  <c r="K837" i="5" s="1"/>
  <c r="J621" i="5"/>
  <c r="K621" i="5" s="1"/>
  <c r="J112" i="5"/>
  <c r="K112" i="5" s="1"/>
  <c r="J820" i="5"/>
  <c r="J170" i="5"/>
  <c r="K170" i="5" s="1"/>
  <c r="J371" i="5"/>
  <c r="K371" i="5" s="1"/>
  <c r="J833" i="5"/>
  <c r="K833" i="5" s="1"/>
  <c r="J729" i="5"/>
  <c r="K729" i="5" s="1"/>
  <c r="J398" i="5"/>
  <c r="K398" i="5" s="1"/>
  <c r="J868" i="5"/>
  <c r="J741" i="5"/>
  <c r="K741" i="5" s="1"/>
  <c r="J193" i="5"/>
  <c r="K193" i="5" s="1"/>
  <c r="J471" i="5"/>
  <c r="J241" i="5"/>
  <c r="J581" i="5"/>
  <c r="K581" i="5" s="1"/>
  <c r="J61" i="5"/>
  <c r="K61" i="5" s="1"/>
  <c r="J273" i="5"/>
  <c r="K273" i="5" s="1"/>
  <c r="J305" i="5"/>
  <c r="K305" i="5" s="1"/>
  <c r="J326" i="5"/>
  <c r="J666" i="5"/>
  <c r="K666" i="5" s="1"/>
  <c r="J178" i="5"/>
  <c r="K178" i="5" s="1"/>
  <c r="J707" i="5"/>
  <c r="K707" i="5" s="1"/>
  <c r="J860" i="5"/>
  <c r="J773" i="5"/>
  <c r="K773" i="5" s="1"/>
  <c r="J735" i="5"/>
  <c r="K735" i="5" s="1"/>
  <c r="J701" i="5"/>
  <c r="J626" i="5"/>
  <c r="J31" i="5"/>
  <c r="K31" i="5" s="1"/>
  <c r="J811" i="5"/>
  <c r="J752" i="5"/>
  <c r="K752" i="5" s="1"/>
  <c r="J284" i="5"/>
  <c r="K284" i="5" s="1"/>
  <c r="J260" i="5"/>
  <c r="K260" i="5" s="1"/>
  <c r="J605" i="5"/>
  <c r="K605" i="5" s="1"/>
  <c r="J671" i="5"/>
  <c r="K671" i="5" s="1"/>
  <c r="J599" i="5"/>
  <c r="K599" i="5" s="1"/>
  <c r="J545" i="5"/>
  <c r="K545" i="5" s="1"/>
  <c r="J49" i="5"/>
  <c r="K49" i="5" s="1"/>
  <c r="J383" i="5"/>
  <c r="K383" i="5" s="1"/>
  <c r="J473" i="5"/>
  <c r="K473" i="5" s="1"/>
  <c r="J637" i="5"/>
  <c r="K637" i="5" s="1"/>
  <c r="J809" i="5"/>
  <c r="J787" i="5"/>
  <c r="U193" i="13" s="1"/>
  <c r="J583" i="5"/>
  <c r="K583" i="5" s="1"/>
  <c r="J565" i="5"/>
  <c r="K565" i="5" s="1"/>
  <c r="J457" i="5"/>
  <c r="K457" i="5" s="1"/>
  <c r="J417" i="5"/>
  <c r="K417" i="5" s="1"/>
  <c r="J550" i="5"/>
  <c r="K550" i="5" s="1"/>
  <c r="J477" i="5"/>
  <c r="K477" i="5" s="1"/>
  <c r="J90" i="5"/>
  <c r="K90" i="5" s="1"/>
  <c r="J44" i="5"/>
  <c r="K44" i="5" s="1"/>
  <c r="J782" i="5"/>
  <c r="K782" i="5" s="1"/>
  <c r="J656" i="5"/>
  <c r="J459" i="5"/>
  <c r="J377" i="5"/>
  <c r="J200" i="5"/>
  <c r="J422" i="5"/>
  <c r="J380" i="5"/>
  <c r="K380" i="5" s="1"/>
  <c r="J554" i="5"/>
  <c r="K554" i="5" s="1"/>
  <c r="J639" i="5"/>
  <c r="K639" i="5" s="1"/>
  <c r="J544" i="5"/>
  <c r="U143" i="13" s="1"/>
  <c r="J208" i="5"/>
  <c r="K208" i="5" s="1"/>
  <c r="J844" i="5"/>
  <c r="J689" i="5"/>
  <c r="K689" i="5" s="1"/>
  <c r="J478" i="5"/>
  <c r="K478" i="5" s="1"/>
  <c r="J660" i="5"/>
  <c r="K660" i="5" s="1"/>
  <c r="J470" i="5"/>
  <c r="K470" i="5" s="1"/>
  <c r="J458" i="5"/>
  <c r="K458" i="5" s="1"/>
  <c r="J18" i="5"/>
  <c r="K18" i="5" s="1"/>
  <c r="J9" i="5"/>
  <c r="K9" i="5" s="1"/>
  <c r="J131" i="5"/>
  <c r="K131" i="5" s="1"/>
  <c r="J827" i="5"/>
  <c r="K827" i="5" s="1"/>
  <c r="J864" i="5"/>
  <c r="J403" i="5"/>
  <c r="K403" i="5" s="1"/>
  <c r="J248" i="5"/>
  <c r="K248" i="5" s="1"/>
  <c r="J536" i="5"/>
  <c r="K536" i="5" s="1"/>
  <c r="J188" i="5"/>
  <c r="K188" i="5" s="1"/>
  <c r="J521" i="5"/>
  <c r="K521" i="5" s="1"/>
  <c r="J292" i="5"/>
  <c r="K292" i="5" s="1"/>
  <c r="J532" i="5"/>
  <c r="J206" i="5"/>
  <c r="K206" i="5" s="1"/>
  <c r="J823" i="5"/>
  <c r="J818" i="5"/>
  <c r="K818" i="5" s="1"/>
  <c r="J797" i="5"/>
  <c r="K797" i="5" s="1"/>
  <c r="J586" i="5"/>
  <c r="K586" i="5" s="1"/>
  <c r="J266" i="5"/>
  <c r="J566" i="5"/>
  <c r="K566" i="5" s="1"/>
  <c r="J244" i="5"/>
  <c r="K244" i="5" s="1"/>
  <c r="J310" i="5"/>
  <c r="K310" i="5" s="1"/>
  <c r="J133" i="5"/>
  <c r="K133" i="5" s="1"/>
  <c r="J126" i="5"/>
  <c r="K126" i="5" s="1"/>
  <c r="J748" i="5"/>
  <c r="K748" i="5" s="1"/>
  <c r="J229" i="5"/>
  <c r="J94" i="5"/>
  <c r="K94" i="5" s="1"/>
  <c r="J355" i="5"/>
  <c r="J539" i="5"/>
  <c r="K539" i="5" s="1"/>
  <c r="J364" i="5"/>
  <c r="K364" i="5" s="1"/>
  <c r="J674" i="5"/>
  <c r="K674" i="5" s="1"/>
  <c r="J281" i="5"/>
  <c r="K281" i="5" s="1"/>
  <c r="J855" i="5"/>
  <c r="U335" i="13" s="1"/>
  <c r="J150" i="5"/>
  <c r="K150" i="5" s="1"/>
  <c r="J857" i="5"/>
  <c r="J814" i="5"/>
  <c r="K814" i="5" s="1"/>
  <c r="J790" i="5"/>
  <c r="J361" i="5"/>
  <c r="J482" i="5"/>
  <c r="K482" i="5" s="1"/>
  <c r="J815" i="5"/>
  <c r="K815" i="5" s="1"/>
  <c r="J224" i="5"/>
  <c r="AT120" i="13" s="1"/>
  <c r="AW120" i="14" s="1"/>
  <c r="J238" i="5"/>
  <c r="J552" i="5"/>
  <c r="K552" i="5" s="1"/>
  <c r="J128" i="5"/>
  <c r="J414" i="5"/>
  <c r="K414" i="5" s="1"/>
  <c r="J30" i="5"/>
  <c r="K30" i="5" s="1"/>
  <c r="J765" i="5"/>
  <c r="K765" i="5" s="1"/>
  <c r="J839" i="5"/>
  <c r="K839" i="5" s="1"/>
  <c r="J772" i="5"/>
  <c r="K772" i="5" s="1"/>
  <c r="J744" i="5"/>
  <c r="J509" i="5"/>
  <c r="K509" i="5" s="1"/>
  <c r="J316" i="5"/>
  <c r="K316" i="5" s="1"/>
  <c r="J632" i="5"/>
  <c r="K632" i="5" s="1"/>
  <c r="J183" i="5"/>
  <c r="K183" i="5" s="1"/>
  <c r="J313" i="5"/>
  <c r="K313" i="5" s="1"/>
  <c r="J306" i="5"/>
  <c r="K306" i="5" s="1"/>
  <c r="J738" i="5"/>
  <c r="J587" i="5"/>
  <c r="K587" i="5" s="1"/>
  <c r="J508" i="5"/>
  <c r="K508" i="5" s="1"/>
  <c r="J358" i="5"/>
  <c r="K358" i="5" s="1"/>
  <c r="J798" i="5"/>
  <c r="K798" i="5" s="1"/>
  <c r="J348" i="5"/>
  <c r="J600" i="5"/>
  <c r="K600" i="5" s="1"/>
  <c r="J277" i="5"/>
  <c r="K277" i="5" s="1"/>
  <c r="J530" i="5"/>
  <c r="K530" i="5" s="1"/>
  <c r="J523" i="5"/>
  <c r="K523" i="5" s="1"/>
  <c r="J863" i="5"/>
  <c r="J817" i="5"/>
  <c r="K817" i="5" s="1"/>
  <c r="J496" i="5"/>
  <c r="K496" i="5" s="1"/>
  <c r="J251" i="5"/>
  <c r="J259" i="5"/>
  <c r="J717" i="5"/>
  <c r="K717" i="5" s="1"/>
  <c r="J461" i="5"/>
  <c r="K461" i="5" s="1"/>
  <c r="J572" i="5"/>
  <c r="K572" i="5" s="1"/>
  <c r="J806" i="5"/>
  <c r="J753" i="5"/>
  <c r="K753" i="5" s="1"/>
  <c r="J702" i="5"/>
  <c r="K702" i="5" s="1"/>
  <c r="J651" i="5"/>
  <c r="K651" i="5" s="1"/>
  <c r="J604" i="5"/>
  <c r="K604" i="5" s="1"/>
  <c r="J525" i="5"/>
  <c r="K525" i="5" s="1"/>
  <c r="J190" i="5"/>
  <c r="K190" i="5" s="1"/>
  <c r="J154" i="5"/>
  <c r="K154" i="5" s="1"/>
  <c r="J107" i="5"/>
  <c r="K107" i="5" s="1"/>
  <c r="J862" i="5"/>
  <c r="K862" i="5" s="1"/>
  <c r="J100" i="5"/>
  <c r="K100" i="5" s="1"/>
  <c r="J723" i="5"/>
  <c r="K723" i="5" s="1"/>
  <c r="J246" i="5"/>
  <c r="K246" i="5" s="1"/>
  <c r="J160" i="5"/>
  <c r="K160" i="5" s="1"/>
  <c r="J298" i="5"/>
  <c r="K298" i="5" s="1"/>
  <c r="J522" i="5"/>
  <c r="K522" i="5" s="1"/>
  <c r="J10" i="5"/>
  <c r="K10" i="5" s="1"/>
  <c r="J445" i="5"/>
  <c r="J423" i="5"/>
  <c r="J347" i="5"/>
  <c r="K347" i="5" s="1"/>
  <c r="J66" i="5"/>
  <c r="K66" i="5" s="1"/>
  <c r="J663" i="5"/>
  <c r="K663" i="5" s="1"/>
  <c r="J447" i="5"/>
  <c r="K447" i="5" s="1"/>
  <c r="J172" i="5"/>
  <c r="K172" i="5" s="1"/>
  <c r="J619" i="5"/>
  <c r="K619" i="5" s="1"/>
  <c r="J654" i="5"/>
  <c r="K654" i="5" s="1"/>
  <c r="J249" i="5"/>
  <c r="K249" i="5" s="1"/>
  <c r="J692" i="5"/>
  <c r="K692" i="5" s="1"/>
  <c r="J775" i="5"/>
  <c r="J746" i="5"/>
  <c r="U72" i="13" s="1"/>
  <c r="J726" i="5"/>
  <c r="K726" i="5" s="1"/>
  <c r="J561" i="5"/>
  <c r="K561" i="5" s="1"/>
  <c r="J540" i="5"/>
  <c r="K540" i="5" s="1"/>
  <c r="J727" i="5"/>
  <c r="J149" i="5"/>
  <c r="J607" i="5"/>
  <c r="K607" i="5" s="1"/>
  <c r="J124" i="5"/>
  <c r="K124" i="5" s="1"/>
  <c r="J785" i="5"/>
  <c r="K785" i="5" s="1"/>
  <c r="J640" i="5"/>
  <c r="K640" i="5" s="1"/>
  <c r="J24" i="5"/>
  <c r="J309" i="5"/>
  <c r="K309" i="5" s="1"/>
  <c r="J799" i="5"/>
  <c r="K799" i="5" s="1"/>
  <c r="J777" i="5"/>
  <c r="J7" i="5"/>
  <c r="K7" i="5" s="1"/>
  <c r="J526" i="5"/>
  <c r="U108" i="13" s="1"/>
  <c r="J795" i="5"/>
  <c r="K795" i="5" s="1"/>
  <c r="J320" i="5"/>
  <c r="J47" i="5"/>
  <c r="K47" i="5" s="1"/>
  <c r="J174" i="5"/>
  <c r="K174" i="5" s="1"/>
  <c r="J480" i="5"/>
  <c r="K480" i="5" s="1"/>
  <c r="J192" i="5"/>
  <c r="K192" i="5" s="1"/>
  <c r="J845" i="5"/>
  <c r="K845" i="5" s="1"/>
  <c r="J841" i="5"/>
  <c r="J760" i="5"/>
  <c r="K760" i="5" s="1"/>
  <c r="J4" i="5"/>
  <c r="K4" i="5" s="1"/>
  <c r="J847" i="5"/>
  <c r="J877" i="5"/>
  <c r="K877" i="5" s="1"/>
  <c r="J714" i="5"/>
  <c r="K714" i="5" s="1"/>
  <c r="J655" i="5"/>
  <c r="K655" i="5" s="1"/>
  <c r="J29" i="5"/>
  <c r="K29" i="5" s="1"/>
  <c r="J878" i="5"/>
  <c r="K878" i="5" s="1"/>
  <c r="J766" i="5"/>
  <c r="J357" i="5"/>
  <c r="J232" i="5"/>
  <c r="K232" i="5" s="1"/>
  <c r="J58" i="5"/>
  <c r="K58" i="5" s="1"/>
  <c r="J708" i="5"/>
  <c r="K708" i="5" s="1"/>
  <c r="J664" i="5"/>
  <c r="K664" i="5" s="1"/>
  <c r="J628" i="5"/>
  <c r="K628" i="5" s="1"/>
  <c r="J472" i="5"/>
  <c r="K472" i="5" s="1"/>
  <c r="J397" i="5"/>
  <c r="K397" i="5" s="1"/>
  <c r="J177" i="5"/>
  <c r="K177" i="5" s="1"/>
  <c r="J794" i="5"/>
  <c r="K794" i="5" s="1"/>
  <c r="J759" i="5"/>
  <c r="K759" i="5" s="1"/>
  <c r="J589" i="5"/>
  <c r="K589" i="5" s="1"/>
  <c r="J228" i="5"/>
  <c r="K228" i="5" s="1"/>
  <c r="J622" i="5"/>
  <c r="K622" i="5" s="1"/>
  <c r="J616" i="5"/>
  <c r="K616" i="5" s="1"/>
  <c r="J611" i="5"/>
  <c r="K611" i="5" s="1"/>
  <c r="J778" i="5"/>
  <c r="K778" i="5" s="1"/>
  <c r="J263" i="5"/>
  <c r="J755" i="5"/>
  <c r="K755" i="5" s="1"/>
  <c r="J644" i="5"/>
  <c r="K644" i="5" s="1"/>
  <c r="J427" i="5"/>
  <c r="K427" i="5" s="1"/>
  <c r="J757" i="5"/>
  <c r="K757" i="5" s="1"/>
  <c r="J360" i="5"/>
  <c r="K360" i="5" s="1"/>
  <c r="J301" i="5"/>
  <c r="K301" i="5" s="1"/>
  <c r="J425" i="5"/>
  <c r="J258" i="5"/>
  <c r="K258" i="5" s="1"/>
  <c r="J419" i="5"/>
  <c r="K419" i="5" s="1"/>
  <c r="J84" i="5"/>
  <c r="K84" i="5" s="1"/>
  <c r="J296" i="5"/>
  <c r="J645" i="5"/>
  <c r="K645" i="5" s="1"/>
  <c r="J198" i="5"/>
  <c r="J836" i="5"/>
  <c r="J34" i="5"/>
  <c r="K34" i="5" s="1"/>
  <c r="J835" i="5"/>
  <c r="J324" i="5"/>
  <c r="J613" i="5"/>
  <c r="U8" i="13" s="1"/>
  <c r="J255" i="5"/>
  <c r="J350" i="5"/>
  <c r="K350" i="5" s="1"/>
  <c r="J597" i="5"/>
  <c r="K597" i="5" s="1"/>
  <c r="J295" i="5"/>
  <c r="K295" i="5" s="1"/>
  <c r="J784" i="5"/>
  <c r="K784" i="5" s="1"/>
  <c r="J767" i="5"/>
  <c r="J349" i="5"/>
  <c r="K349" i="5" s="1"/>
  <c r="J46" i="5"/>
  <c r="K46" i="5" s="1"/>
  <c r="J851" i="5"/>
  <c r="J42" i="5"/>
  <c r="K42" i="5" s="1"/>
  <c r="J548" i="5"/>
  <c r="K548" i="5" s="1"/>
  <c r="J311" i="5"/>
  <c r="K311" i="5" s="1"/>
  <c r="J721" i="5"/>
  <c r="K721" i="5" s="1"/>
  <c r="J711" i="5"/>
  <c r="K711" i="5" s="1"/>
  <c r="J620" i="5"/>
  <c r="K620" i="5" s="1"/>
  <c r="J593" i="5"/>
  <c r="K593" i="5" s="1"/>
  <c r="J449" i="5"/>
  <c r="K449" i="5" s="1"/>
  <c r="J356" i="5"/>
  <c r="K356" i="5" s="1"/>
  <c r="J595" i="5"/>
  <c r="K595" i="5" s="1"/>
  <c r="J850" i="5"/>
  <c r="K850" i="5" s="1"/>
  <c r="J502" i="5"/>
  <c r="K502" i="5" s="1"/>
  <c r="J36" i="5"/>
  <c r="K36" i="5" s="1"/>
  <c r="J86" i="5"/>
  <c r="J661" i="5"/>
  <c r="K661" i="5" s="1"/>
  <c r="J421" i="5"/>
  <c r="K421" i="5" s="1"/>
  <c r="J516" i="5"/>
  <c r="J705" i="5"/>
  <c r="K705" i="5" s="1"/>
  <c r="J865" i="5"/>
  <c r="K865" i="5" s="1"/>
  <c r="J387" i="5"/>
  <c r="J657" i="5"/>
  <c r="K657" i="5" s="1"/>
  <c r="J490" i="5"/>
  <c r="K490" i="5" s="1"/>
  <c r="J321" i="5"/>
  <c r="K321" i="5" s="1"/>
  <c r="J804" i="5"/>
  <c r="J697" i="5"/>
  <c r="J673" i="5"/>
  <c r="J491" i="5"/>
  <c r="K491" i="5" s="1"/>
  <c r="J372" i="5"/>
  <c r="J400" i="5"/>
  <c r="K400" i="5" s="1"/>
  <c r="J688" i="5"/>
  <c r="K688" i="5" s="1"/>
  <c r="J451" i="5"/>
  <c r="K451" i="5" s="1"/>
  <c r="J524" i="5"/>
  <c r="K524" i="5" s="1"/>
  <c r="J27" i="5"/>
  <c r="K27" i="5" s="1"/>
  <c r="J627" i="5"/>
  <c r="K627" i="5" s="1"/>
  <c r="J166" i="5"/>
  <c r="K166" i="5" s="1"/>
  <c r="J322" i="5"/>
  <c r="K322" i="5" s="1"/>
  <c r="J498" i="5"/>
  <c r="K498" i="5" s="1"/>
  <c r="J563" i="5"/>
  <c r="K563" i="5" s="1"/>
  <c r="J642" i="5"/>
  <c r="K642" i="5" s="1"/>
  <c r="J156" i="5"/>
  <c r="K156" i="5" s="1"/>
  <c r="J378" i="5"/>
  <c r="K378" i="5" s="1"/>
  <c r="J340" i="5"/>
  <c r="K340" i="5" s="1"/>
  <c r="J635" i="5"/>
  <c r="K635" i="5" s="1"/>
  <c r="J12" i="5"/>
  <c r="K12" i="5" s="1"/>
  <c r="J137" i="5"/>
  <c r="K137" i="5" s="1"/>
  <c r="J334" i="5"/>
  <c r="K334" i="5" s="1"/>
  <c r="J576" i="5"/>
  <c r="K576" i="5" s="1"/>
  <c r="J643" i="5"/>
  <c r="K643" i="5" s="1"/>
  <c r="J614" i="5"/>
  <c r="K614" i="5" s="1"/>
  <c r="J653" i="5"/>
  <c r="K653" i="5" s="1"/>
  <c r="J129" i="5"/>
  <c r="K129" i="5" s="1"/>
  <c r="J488" i="5"/>
  <c r="K488" i="5" s="1"/>
  <c r="J196" i="5"/>
  <c r="J433" i="5"/>
  <c r="K433" i="5" s="1"/>
  <c r="J659" i="5"/>
  <c r="K659" i="5" s="1"/>
  <c r="J169" i="5"/>
  <c r="K169" i="5" s="1"/>
  <c r="J779" i="5"/>
  <c r="K779" i="5" s="1"/>
  <c r="J374" i="5"/>
  <c r="J774" i="5"/>
  <c r="K774" i="5" s="1"/>
  <c r="J880" i="5"/>
  <c r="K880" i="5" s="1"/>
  <c r="J549" i="5"/>
  <c r="K549" i="5" s="1"/>
  <c r="J16" i="5"/>
  <c r="K16" i="5" s="1"/>
  <c r="J484" i="5"/>
  <c r="K484" i="5" s="1"/>
  <c r="J328" i="5"/>
  <c r="J214" i="5"/>
  <c r="J512" i="5"/>
  <c r="K512" i="5" s="1"/>
  <c r="J870" i="5"/>
  <c r="K870" i="5" s="1"/>
  <c r="J495" i="5"/>
  <c r="K495" i="5" s="1"/>
  <c r="J389" i="5"/>
  <c r="K389" i="5" s="1"/>
  <c r="J53" i="5"/>
  <c r="K53" i="5" s="1"/>
  <c r="J483" i="5"/>
  <c r="K483" i="5" s="1"/>
  <c r="J455" i="5"/>
  <c r="K455" i="5" s="1"/>
  <c r="J231" i="5"/>
  <c r="K231" i="5" s="1"/>
  <c r="J634" i="5"/>
  <c r="K634" i="5" s="1"/>
  <c r="J75" i="5"/>
  <c r="K75" i="5" s="1"/>
  <c r="J432" i="5"/>
  <c r="K432" i="5" s="1"/>
  <c r="J217" i="5"/>
  <c r="K217" i="5" s="1"/>
  <c r="J668" i="5"/>
  <c r="K668" i="5" s="1"/>
  <c r="J187" i="5"/>
  <c r="K187" i="5" s="1"/>
  <c r="J633" i="5"/>
  <c r="K633" i="5" s="1"/>
  <c r="J460" i="5"/>
  <c r="K460" i="5" s="1"/>
  <c r="J354" i="5"/>
  <c r="K354" i="5" s="1"/>
  <c r="J734" i="5"/>
  <c r="J465" i="5"/>
  <c r="K465" i="5" s="1"/>
  <c r="J99" i="5"/>
  <c r="K99" i="5" s="1"/>
  <c r="J83" i="5"/>
  <c r="K83" i="5" s="1"/>
  <c r="J648" i="5"/>
  <c r="K648" i="5" s="1"/>
  <c r="J555" i="5"/>
  <c r="K555" i="5" s="1"/>
  <c r="J803" i="5"/>
  <c r="K803" i="5" s="1"/>
  <c r="J678" i="5"/>
  <c r="K678" i="5" s="1"/>
  <c r="J546" i="5"/>
  <c r="K546" i="5" s="1"/>
  <c r="J528" i="5"/>
  <c r="K528" i="5" s="1"/>
  <c r="J373" i="5"/>
  <c r="K373" i="5" s="1"/>
  <c r="J302" i="5"/>
  <c r="K302" i="5" s="1"/>
  <c r="J73" i="5"/>
  <c r="K73" i="5" s="1"/>
  <c r="J28" i="5"/>
  <c r="K28" i="5" s="1"/>
  <c r="J469" i="5"/>
  <c r="J118" i="5"/>
  <c r="U371" i="13" s="1"/>
  <c r="J796" i="5"/>
  <c r="K796" i="5" s="1"/>
  <c r="J367" i="5"/>
  <c r="K367" i="5" s="1"/>
  <c r="J693" i="5"/>
  <c r="K693" i="5" s="1"/>
  <c r="J48" i="5"/>
  <c r="K48" i="5" s="1"/>
  <c r="J542" i="5"/>
  <c r="K542" i="5" s="1"/>
  <c r="J376" i="5"/>
  <c r="K376" i="5" s="1"/>
  <c r="J157" i="5"/>
  <c r="K157" i="5" s="1"/>
  <c r="J409" i="5"/>
  <c r="K409" i="5" s="1"/>
  <c r="J876" i="5"/>
  <c r="K876" i="5" s="1"/>
  <c r="J578" i="5"/>
  <c r="K578" i="5" s="1"/>
  <c r="J182" i="5"/>
  <c r="K182" i="5" s="1"/>
  <c r="J443" i="5"/>
  <c r="K443" i="5" s="1"/>
  <c r="J180" i="5"/>
  <c r="K180" i="5" s="1"/>
  <c r="J511" i="5"/>
  <c r="K511" i="5" s="1"/>
  <c r="J247" i="5"/>
  <c r="K247" i="5" s="1"/>
  <c r="J223" i="5"/>
  <c r="K223" i="5" s="1"/>
  <c r="J20" i="5"/>
  <c r="K20" i="5" s="1"/>
  <c r="J395" i="5"/>
  <c r="J596" i="5"/>
  <c r="K596" i="5" s="1"/>
  <c r="J431" i="5"/>
  <c r="K431" i="5" s="1"/>
  <c r="J280" i="5"/>
  <c r="K280" i="5" s="1"/>
  <c r="J256" i="5"/>
  <c r="K256" i="5" s="1"/>
  <c r="J242" i="5"/>
  <c r="K242" i="5" s="1"/>
  <c r="J132" i="5"/>
  <c r="K132" i="5" s="1"/>
  <c r="J25" i="5"/>
  <c r="K25" i="5" s="1"/>
  <c r="J769" i="5"/>
  <c r="K769" i="5" s="1"/>
  <c r="J694" i="5"/>
  <c r="J393" i="5"/>
  <c r="J287" i="5"/>
  <c r="J184" i="5"/>
  <c r="J153" i="5"/>
  <c r="J319" i="5"/>
  <c r="K319" i="5" s="1"/>
  <c r="J492" i="5"/>
  <c r="K492" i="5" s="1"/>
  <c r="J789" i="5"/>
  <c r="K789" i="5" s="1"/>
  <c r="J92" i="5"/>
  <c r="J203" i="5"/>
  <c r="K203" i="5" s="1"/>
  <c r="J15" i="5"/>
  <c r="J435" i="5"/>
  <c r="K435" i="5" s="1"/>
  <c r="J486" i="5"/>
  <c r="K486" i="5" s="1"/>
  <c r="J239" i="5"/>
  <c r="K239" i="5" s="1"/>
  <c r="J547" i="5"/>
  <c r="J624" i="5"/>
  <c r="K624" i="5" s="1"/>
  <c r="J816" i="5"/>
  <c r="K816" i="5" s="1"/>
  <c r="J695" i="5"/>
  <c r="K695" i="5" s="1"/>
  <c r="J463" i="5"/>
  <c r="K463" i="5" s="1"/>
  <c r="J237" i="5"/>
  <c r="K237" i="5" s="1"/>
  <c r="J201" i="5"/>
  <c r="K201" i="5" s="1"/>
  <c r="J831" i="5"/>
  <c r="J344" i="5"/>
  <c r="J467" i="5"/>
  <c r="K467" i="5" s="1"/>
  <c r="J559" i="5"/>
  <c r="K559" i="5" s="1"/>
  <c r="J14" i="5"/>
  <c r="K14" i="5" s="1"/>
  <c r="J788" i="5"/>
  <c r="K788" i="5" s="1"/>
  <c r="J507" i="5"/>
  <c r="J105" i="5"/>
  <c r="K105" i="5" s="1"/>
  <c r="J2" i="5"/>
  <c r="K2" i="5" s="1"/>
  <c r="J610" i="5"/>
  <c r="K610" i="5" s="1"/>
  <c r="J617" i="5"/>
  <c r="K617" i="5" s="1"/>
  <c r="J424" i="5"/>
  <c r="K424" i="5" s="1"/>
  <c r="J405" i="5"/>
  <c r="K405" i="5" s="1"/>
  <c r="J489" i="5"/>
  <c r="K489" i="5" s="1"/>
  <c r="J687" i="5"/>
  <c r="K687" i="5" s="1"/>
  <c r="J527" i="5"/>
  <c r="K527" i="5" s="1"/>
  <c r="J120" i="5"/>
  <c r="K120" i="5" s="1"/>
  <c r="J513" i="5"/>
  <c r="K513" i="5" s="1"/>
  <c r="J669" i="5"/>
  <c r="K669" i="5" s="1"/>
  <c r="J830" i="5"/>
  <c r="K830" i="5" s="1"/>
  <c r="J375" i="5"/>
  <c r="K375" i="5" s="1"/>
  <c r="J829" i="5"/>
  <c r="K829" i="5" s="1"/>
  <c r="J497" i="5"/>
  <c r="K497" i="5" s="1"/>
  <c r="J146" i="5"/>
  <c r="K146" i="5" s="1"/>
  <c r="J19" i="5"/>
  <c r="K19" i="5" s="1"/>
  <c r="J385" i="5"/>
  <c r="J204" i="5"/>
  <c r="J343" i="5"/>
  <c r="K343" i="5" s="1"/>
  <c r="J335" i="5"/>
  <c r="K335" i="5" s="1"/>
  <c r="J113" i="5"/>
  <c r="K113" i="5" s="1"/>
  <c r="J709" i="5"/>
  <c r="K709" i="5" s="1"/>
  <c r="J250" i="5"/>
  <c r="K250" i="5" s="1"/>
  <c r="J670" i="5"/>
  <c r="K670" i="5" s="1"/>
  <c r="J591" i="5"/>
  <c r="J584" i="5"/>
  <c r="K584" i="5" s="1"/>
  <c r="J299" i="5"/>
  <c r="K299" i="5" s="1"/>
  <c r="J234" i="5"/>
  <c r="K234" i="5" s="1"/>
  <c r="J220" i="5"/>
  <c r="K220" i="5" s="1"/>
  <c r="J155" i="5"/>
  <c r="K155" i="5" s="1"/>
  <c r="J615" i="5"/>
  <c r="K615" i="5" s="1"/>
  <c r="J3" i="5"/>
  <c r="K3" i="5" s="1"/>
  <c r="J749" i="5"/>
  <c r="K749" i="5" s="1"/>
  <c r="J608" i="5"/>
  <c r="K608" i="5" s="1"/>
  <c r="J294" i="5"/>
  <c r="K294" i="5" s="1"/>
  <c r="J225" i="5"/>
  <c r="K225" i="5" s="1"/>
  <c r="J60" i="5"/>
  <c r="K60" i="5" s="1"/>
  <c r="J37" i="5"/>
  <c r="K37" i="5" s="1"/>
  <c r="J828" i="5"/>
  <c r="K828" i="5" s="1"/>
  <c r="J731" i="5"/>
  <c r="J710" i="5"/>
  <c r="J506" i="5"/>
  <c r="K506" i="5" s="1"/>
  <c r="J462" i="5"/>
  <c r="K462" i="5" s="1"/>
  <c r="J551" i="5"/>
  <c r="K551" i="5" s="1"/>
  <c r="J308" i="5"/>
  <c r="K308" i="5" s="1"/>
  <c r="J691" i="5"/>
  <c r="K691" i="5" s="1"/>
  <c r="J791" i="5"/>
  <c r="J745" i="5"/>
  <c r="K745" i="5" s="1"/>
  <c r="J728" i="5"/>
  <c r="K728" i="5" s="1"/>
  <c r="J454" i="5"/>
  <c r="K454" i="5" s="1"/>
  <c r="J412" i="5"/>
  <c r="K412" i="5" s="1"/>
  <c r="J345" i="5"/>
  <c r="K345" i="5" s="1"/>
  <c r="J164" i="5"/>
  <c r="K164" i="5" s="1"/>
  <c r="J104" i="5"/>
  <c r="K104" i="5" s="1"/>
  <c r="J867" i="5"/>
  <c r="J825" i="5"/>
  <c r="J754" i="5"/>
  <c r="J456" i="5"/>
  <c r="AT151" i="13" s="1"/>
  <c r="AW151" i="14" s="1"/>
  <c r="J438" i="5"/>
  <c r="K438" i="5" s="1"/>
  <c r="J275" i="5"/>
  <c r="AT256" i="13" s="1"/>
  <c r="AW256" i="14" s="1"/>
  <c r="J77" i="5"/>
  <c r="K77" i="5" s="1"/>
  <c r="J72" i="5"/>
  <c r="K72" i="5" s="1"/>
  <c r="J396" i="5"/>
  <c r="K396" i="5" s="1"/>
  <c r="J388" i="5"/>
  <c r="K388" i="5" s="1"/>
  <c r="J108" i="5"/>
  <c r="J485" i="5"/>
  <c r="K485" i="5" s="1"/>
  <c r="J474" i="5"/>
  <c r="J195" i="5"/>
  <c r="K195" i="5" s="1"/>
  <c r="J152" i="5"/>
  <c r="K152" i="5" s="1"/>
  <c r="J74" i="5"/>
  <c r="K74" i="5" s="1"/>
  <c r="J569" i="5"/>
  <c r="J859" i="5"/>
  <c r="J849" i="5"/>
  <c r="K849" i="5" s="1"/>
  <c r="J783" i="5"/>
  <c r="K783" i="5" s="1"/>
  <c r="J365" i="5"/>
  <c r="J662" i="5"/>
  <c r="K662" i="5" s="1"/>
  <c r="J269" i="5"/>
  <c r="K269" i="5" s="1"/>
  <c r="J138" i="5"/>
  <c r="K138" i="5" s="1"/>
  <c r="J167" i="5"/>
  <c r="J63" i="5"/>
  <c r="K63" i="5" s="1"/>
  <c r="J391" i="5"/>
  <c r="K391" i="5" s="1"/>
  <c r="J672" i="5"/>
  <c r="J81" i="5"/>
  <c r="K81" i="5" s="1"/>
  <c r="J134" i="5"/>
  <c r="K134" i="5" s="1"/>
  <c r="J514" i="5"/>
  <c r="K514" i="5" s="1"/>
  <c r="J346" i="5"/>
  <c r="J289" i="5"/>
  <c r="K289" i="5" s="1"/>
  <c r="J52" i="5"/>
  <c r="K52" i="5" s="1"/>
  <c r="J557" i="5"/>
  <c r="J38" i="5"/>
  <c r="K38" i="5" s="1"/>
  <c r="J629" i="5"/>
  <c r="K629" i="5" s="1"/>
  <c r="J130" i="5"/>
  <c r="K130" i="5" s="1"/>
  <c r="J312" i="5"/>
  <c r="K312" i="5" s="1"/>
  <c r="J758" i="5"/>
  <c r="K758" i="5" s="1"/>
  <c r="J567" i="5"/>
  <c r="K567" i="5" s="1"/>
  <c r="J531" i="5"/>
  <c r="K531" i="5" s="1"/>
  <c r="J407" i="5"/>
  <c r="K407" i="5" s="1"/>
  <c r="J288" i="5"/>
  <c r="K288" i="5" s="1"/>
  <c r="J215" i="5"/>
  <c r="K215" i="5" s="1"/>
  <c r="J159" i="5"/>
  <c r="K159" i="5" s="1"/>
  <c r="J54" i="5"/>
  <c r="K54" i="5" s="1"/>
  <c r="J747" i="5"/>
  <c r="J493" i="5"/>
  <c r="K493" i="5" s="1"/>
  <c r="J402" i="5"/>
  <c r="J353" i="5"/>
  <c r="J218" i="5"/>
  <c r="K218" i="5" s="1"/>
  <c r="J428" i="5"/>
  <c r="K428" i="5" s="1"/>
  <c r="J650" i="5"/>
  <c r="K650" i="5" s="1"/>
  <c r="J97" i="5"/>
  <c r="K97" i="5" s="1"/>
  <c r="J285" i="5"/>
  <c r="K285" i="5" s="1"/>
  <c r="J564" i="5"/>
  <c r="K564" i="5" s="1"/>
  <c r="J230" i="5"/>
  <c r="K230" i="5" s="1"/>
  <c r="J736" i="5"/>
  <c r="K736" i="5" s="1"/>
  <c r="J575" i="5"/>
  <c r="K575" i="5" s="1"/>
  <c r="J742" i="5"/>
  <c r="J370" i="5"/>
  <c r="K370" i="5" s="1"/>
  <c r="J264" i="5"/>
  <c r="K264" i="5" s="1"/>
  <c r="J135" i="5"/>
  <c r="K135" i="5" s="1"/>
  <c r="J756" i="5"/>
  <c r="J762" i="5"/>
  <c r="K762" i="5" s="1"/>
  <c r="J685" i="5"/>
  <c r="K685" i="5" s="1"/>
  <c r="J368" i="5"/>
  <c r="J117" i="5"/>
  <c r="K117" i="5" s="1"/>
  <c r="J464" i="5"/>
  <c r="K464" i="5" s="1"/>
  <c r="AC11" i="6"/>
  <c r="AD11" i="6" s="1"/>
  <c r="J291" i="5"/>
  <c r="K291" i="5" s="1"/>
  <c r="J434" i="5"/>
  <c r="K434" i="5" s="1"/>
  <c r="J392" i="5"/>
  <c r="K392" i="5" s="1"/>
  <c r="J712" i="5"/>
  <c r="K712" i="5" s="1"/>
  <c r="J704" i="5"/>
  <c r="K704" i="5" s="1"/>
  <c r="J871" i="5"/>
  <c r="K871" i="5" s="1"/>
  <c r="J813" i="5"/>
  <c r="K813" i="5" s="1"/>
  <c r="J763" i="5"/>
  <c r="U136" i="13" s="1"/>
  <c r="J408" i="5"/>
  <c r="K408" i="5" s="1"/>
  <c r="J852" i="5"/>
  <c r="K852" i="5" s="1"/>
  <c r="J805" i="5"/>
  <c r="K805" i="5" s="1"/>
  <c r="J764" i="5"/>
  <c r="K764" i="5" s="1"/>
  <c r="J725" i="5"/>
  <c r="J690" i="5"/>
  <c r="K690" i="5" s="1"/>
  <c r="J638" i="5"/>
  <c r="K638" i="5" s="1"/>
  <c r="J510" i="5"/>
  <c r="K510" i="5" s="1"/>
  <c r="J503" i="5"/>
  <c r="K503" i="5" s="1"/>
  <c r="J683" i="5"/>
  <c r="K683" i="5" s="1"/>
  <c r="J874" i="5"/>
  <c r="K874" i="5" s="1"/>
  <c r="J879" i="5"/>
  <c r="J413" i="5"/>
  <c r="K413" i="5" s="1"/>
  <c r="J585" i="5"/>
  <c r="K585" i="5" s="1"/>
  <c r="J505" i="5"/>
  <c r="K505" i="5" s="1"/>
  <c r="J40" i="5"/>
  <c r="K40" i="5" s="1"/>
  <c r="J22" i="5"/>
  <c r="K22" i="5" s="1"/>
  <c r="J279" i="5"/>
  <c r="K279" i="5" s="1"/>
  <c r="J330" i="5"/>
  <c r="K330" i="5" s="1"/>
  <c r="J8" i="5"/>
  <c r="K8" i="5" s="1"/>
  <c r="J848" i="5"/>
  <c r="U324" i="13" s="1"/>
  <c r="J802" i="5"/>
  <c r="J720" i="5"/>
  <c r="U4" i="13" s="1"/>
  <c r="J446" i="5"/>
  <c r="K446" i="5" s="1"/>
  <c r="J205" i="5"/>
  <c r="K205" i="5" s="1"/>
  <c r="J210" i="5"/>
  <c r="AT100" i="13" s="1"/>
  <c r="AW101" i="14" s="1"/>
  <c r="J846" i="5"/>
  <c r="K846" i="5" s="1"/>
  <c r="J448" i="5"/>
  <c r="K448" i="5" s="1"/>
  <c r="J718" i="5"/>
  <c r="K718" i="5" s="1"/>
  <c r="J636" i="5"/>
  <c r="K636" i="5" s="1"/>
  <c r="J283" i="5"/>
  <c r="J715" i="5"/>
  <c r="J115" i="5"/>
  <c r="J571" i="5"/>
  <c r="K571" i="5" s="1"/>
  <c r="J466" i="5"/>
  <c r="K466" i="5" s="1"/>
  <c r="J207" i="5"/>
  <c r="K207" i="5" s="1"/>
  <c r="J240" i="5"/>
  <c r="K240" i="5" s="1"/>
  <c r="J667" i="5"/>
  <c r="K667" i="5" s="1"/>
  <c r="AD13" i="6"/>
  <c r="AC15" i="13" s="1"/>
  <c r="AC11" i="14" s="1" a="1"/>
  <c r="AC11" i="14" s="1"/>
  <c r="X32" i="6"/>
  <c r="J78" i="5"/>
  <c r="K78" i="5" s="1"/>
  <c r="J808" i="5"/>
  <c r="J332" i="5"/>
  <c r="J176" i="5"/>
  <c r="J401" i="5"/>
  <c r="K401" i="5" s="1"/>
  <c r="J262" i="5"/>
  <c r="K262" i="5" s="1"/>
  <c r="J144" i="5"/>
  <c r="K144" i="5" s="1"/>
  <c r="J71" i="5"/>
  <c r="K71" i="5" s="1"/>
  <c r="J257" i="5"/>
  <c r="K257" i="5" s="1"/>
  <c r="J706" i="5"/>
  <c r="K706" i="5" s="1"/>
  <c r="J303" i="5"/>
  <c r="K303" i="5" s="1"/>
  <c r="J822" i="5"/>
  <c r="K822" i="5" s="1"/>
  <c r="J771" i="5"/>
  <c r="J703" i="5"/>
  <c r="K703" i="5" s="1"/>
  <c r="J858" i="5"/>
  <c r="K858" i="5" s="1"/>
  <c r="J812" i="5"/>
  <c r="K812" i="5" s="1"/>
  <c r="J770" i="5"/>
  <c r="K770" i="5" s="1"/>
  <c r="J732" i="5"/>
  <c r="J698" i="5"/>
  <c r="K698" i="5" s="1"/>
  <c r="J646" i="5"/>
  <c r="K646" i="5" s="1"/>
  <c r="J362" i="5"/>
  <c r="K362" i="5" s="1"/>
  <c r="J333" i="5"/>
  <c r="K333" i="5" s="1"/>
  <c r="J109" i="5"/>
  <c r="K109" i="5" s="1"/>
  <c r="J854" i="5"/>
  <c r="J737" i="5"/>
  <c r="J173" i="5"/>
  <c r="J866" i="5"/>
  <c r="K866" i="5" s="1"/>
  <c r="J592" i="5"/>
  <c r="K592" i="5" s="1"/>
  <c r="J293" i="5"/>
  <c r="K293" i="5" s="1"/>
  <c r="J282" i="5"/>
  <c r="K282" i="5" s="1"/>
  <c r="J235" i="5"/>
  <c r="K235" i="5" s="1"/>
  <c r="J96" i="5"/>
  <c r="K96" i="5" s="1"/>
  <c r="J440" i="5"/>
  <c r="K440" i="5" s="1"/>
  <c r="J151" i="5"/>
  <c r="K151" i="5" s="1"/>
  <c r="J869" i="5"/>
  <c r="K869" i="5" s="1"/>
  <c r="J810" i="5"/>
  <c r="K810" i="5" s="1"/>
  <c r="J399" i="5"/>
  <c r="K399" i="5" s="1"/>
  <c r="J543" i="5"/>
  <c r="K543" i="5" s="1"/>
  <c r="J382" i="5"/>
  <c r="K382" i="5" s="1"/>
  <c r="J185" i="5"/>
  <c r="K185" i="5" s="1"/>
  <c r="J406" i="5"/>
  <c r="J339" i="5"/>
  <c r="K339" i="5" s="1"/>
  <c r="J290" i="5"/>
  <c r="K290" i="5" s="1"/>
  <c r="J570" i="5"/>
  <c r="K570" i="5" s="1"/>
  <c r="J601" i="5"/>
  <c r="K601" i="5" s="1"/>
  <c r="J436" i="5"/>
  <c r="K436" i="5" s="1"/>
  <c r="J381" i="5"/>
  <c r="K381" i="5" s="1"/>
  <c r="J267" i="5"/>
  <c r="K267" i="5" s="1"/>
  <c r="J212" i="5"/>
  <c r="J307" i="5"/>
  <c r="K307" i="5" s="1"/>
  <c r="J834" i="5"/>
  <c r="K834" i="5" s="1"/>
  <c r="J781" i="5"/>
  <c r="K781" i="5" s="1"/>
  <c r="J733" i="5"/>
  <c r="K733" i="5" s="1"/>
  <c r="J366" i="5"/>
  <c r="K366" i="5" s="1"/>
  <c r="J826" i="5"/>
  <c r="J780" i="5"/>
  <c r="K780" i="5" s="1"/>
  <c r="J743" i="5"/>
  <c r="U68" i="13" s="1"/>
  <c r="J875" i="5"/>
  <c r="K875" i="5" s="1"/>
  <c r="J658" i="5"/>
  <c r="K658" i="5" s="1"/>
  <c r="J630" i="5"/>
  <c r="K630" i="5" s="1"/>
  <c r="J219" i="5"/>
  <c r="K219" i="5" s="1"/>
  <c r="J268" i="5"/>
  <c r="J141" i="5"/>
  <c r="J494" i="5"/>
  <c r="K494" i="5" s="1"/>
  <c r="J162" i="5"/>
  <c r="K162" i="5" s="1"/>
  <c r="J437" i="5"/>
  <c r="K437" i="5" s="1"/>
  <c r="J265" i="5"/>
  <c r="K265" i="5" s="1"/>
  <c r="J518" i="5"/>
  <c r="K518" i="5" s="1"/>
  <c r="J314" i="5"/>
  <c r="K314" i="5" s="1"/>
  <c r="J580" i="5"/>
  <c r="K580" i="5" s="1"/>
  <c r="J35" i="5"/>
  <c r="K35" i="5" s="1"/>
  <c r="J558" i="5"/>
  <c r="K558" i="5" s="1"/>
  <c r="J515" i="5"/>
  <c r="K515" i="5" s="1"/>
  <c r="J245" i="5"/>
  <c r="K245" i="5" s="1"/>
  <c r="J89" i="5"/>
  <c r="K89" i="5" s="1"/>
  <c r="J716" i="5"/>
  <c r="J499" i="5"/>
  <c r="J254" i="5"/>
  <c r="K254" i="5" s="1"/>
  <c r="J686" i="5"/>
  <c r="K686" i="5" s="1"/>
  <c r="J625" i="5"/>
  <c r="K625" i="5" s="1"/>
  <c r="J590" i="5"/>
  <c r="K590" i="5" s="1"/>
  <c r="J577" i="5"/>
  <c r="K577" i="5" s="1"/>
  <c r="J476" i="5"/>
  <c r="K476" i="5" s="1"/>
  <c r="J276" i="5"/>
  <c r="K276" i="5" s="1"/>
  <c r="J211" i="5"/>
  <c r="K211" i="5" s="1"/>
  <c r="J13" i="5"/>
  <c r="K13" i="5" s="1"/>
  <c r="J501" i="5"/>
  <c r="K501" i="5" s="1"/>
  <c r="J730" i="5"/>
  <c r="K730" i="5" s="1"/>
  <c r="J123" i="5"/>
  <c r="J226" i="5"/>
  <c r="K226" i="5" s="1"/>
  <c r="J17" i="5"/>
  <c r="K17" i="5" s="1"/>
  <c r="J329" i="5"/>
  <c r="K329" i="5" s="1"/>
  <c r="J93" i="5"/>
  <c r="K93" i="5" s="1"/>
  <c r="J336" i="5"/>
  <c r="J236" i="5"/>
  <c r="J452" i="5"/>
  <c r="K452" i="5" s="1"/>
  <c r="J95" i="5"/>
  <c r="K95" i="5" s="1"/>
  <c r="J21" i="5"/>
  <c r="K21" i="5" s="1"/>
  <c r="J179" i="5"/>
  <c r="K179" i="5" s="1"/>
  <c r="J6" i="5"/>
  <c r="K6" i="5" s="1"/>
  <c r="J359" i="5"/>
  <c r="J76" i="5"/>
  <c r="K76" i="5" s="1"/>
  <c r="J300" i="5"/>
  <c r="K300" i="5" s="1"/>
  <c r="J227" i="5"/>
  <c r="K227" i="5" s="1"/>
  <c r="J165" i="5"/>
  <c r="K165" i="5" s="1"/>
  <c r="J556" i="5"/>
  <c r="K556" i="5" s="1"/>
  <c r="J142" i="5"/>
  <c r="K142" i="5" s="1"/>
  <c r="J125" i="5"/>
  <c r="K125" i="5" s="1"/>
  <c r="J838" i="5"/>
  <c r="J786" i="5"/>
  <c r="J612" i="5"/>
  <c r="J430" i="5"/>
  <c r="J145" i="5"/>
  <c r="J352" i="5"/>
  <c r="K352" i="5" s="1"/>
  <c r="J384" i="5"/>
  <c r="K384" i="5" s="1"/>
  <c r="J121" i="5"/>
  <c r="K121" i="5" s="1"/>
  <c r="J418" i="5"/>
  <c r="K418" i="5" s="1"/>
  <c r="J415" i="5"/>
  <c r="K415" i="5" s="1"/>
  <c r="J410" i="5"/>
  <c r="K410" i="5" s="1"/>
  <c r="J85" i="5"/>
  <c r="J79" i="5"/>
  <c r="K79" i="5" s="1"/>
  <c r="J140" i="5"/>
  <c r="K140" i="5" s="1"/>
  <c r="J110" i="5"/>
  <c r="K110" i="5" s="1"/>
  <c r="J253" i="5"/>
  <c r="J535" i="5"/>
  <c r="J80" i="5"/>
  <c r="K80" i="5" s="1"/>
  <c r="J11" i="5"/>
  <c r="K11" i="5" s="1"/>
  <c r="J426" i="5"/>
  <c r="J143" i="5"/>
  <c r="J602" i="5"/>
  <c r="K602" i="5" s="1"/>
  <c r="J65" i="5"/>
  <c r="K65" i="5" s="1"/>
  <c r="J699" i="5"/>
  <c r="K699" i="5" s="1"/>
  <c r="J26" i="5"/>
  <c r="J631" i="5"/>
  <c r="K631" i="5" s="1"/>
  <c r="J534" i="5"/>
  <c r="K534" i="5" s="1"/>
  <c r="J519" i="5"/>
  <c r="K519" i="5" s="1"/>
  <c r="J317" i="5"/>
  <c r="K317" i="5" s="1"/>
  <c r="J272" i="5"/>
  <c r="K272" i="5" s="1"/>
  <c r="J181" i="5"/>
  <c r="K181" i="5" s="1"/>
  <c r="J119" i="5"/>
  <c r="K119" i="5" s="1"/>
  <c r="J87" i="5"/>
  <c r="K87" i="5" s="1"/>
  <c r="J51" i="5"/>
  <c r="K51" i="5" s="1"/>
  <c r="J722" i="5"/>
  <c r="K722" i="5" s="1"/>
  <c r="J681" i="5"/>
  <c r="J504" i="5"/>
  <c r="K504" i="5" s="1"/>
  <c r="J189" i="5"/>
  <c r="J163" i="5"/>
  <c r="J331" i="5"/>
  <c r="K331" i="5" s="1"/>
  <c r="J271" i="5"/>
  <c r="K271" i="5" s="1"/>
  <c r="J793" i="5"/>
  <c r="K793" i="5" s="1"/>
  <c r="J103" i="5"/>
  <c r="K103" i="5" s="1"/>
  <c r="J481" i="5"/>
  <c r="U177" i="13" s="1"/>
  <c r="J680" i="5"/>
  <c r="J213" i="5"/>
  <c r="K213" i="5" s="1"/>
  <c r="J675" i="5"/>
  <c r="K675" i="5" s="1"/>
  <c r="J351" i="5"/>
  <c r="J342" i="5"/>
  <c r="K342" i="5" s="1"/>
  <c r="J318" i="5"/>
  <c r="J652" i="5"/>
  <c r="J194" i="5"/>
  <c r="J139" i="5"/>
  <c r="K139" i="5" s="1"/>
  <c r="J158" i="5"/>
  <c r="J574" i="5"/>
  <c r="K574" i="5" s="1"/>
  <c r="J700" i="5"/>
  <c r="U224" i="13" s="1"/>
  <c r="J696" i="5"/>
  <c r="J199" i="5"/>
  <c r="K199" i="5" s="1"/>
  <c r="J562" i="5"/>
  <c r="K562" i="5" s="1"/>
  <c r="J560" i="5"/>
  <c r="K560" i="5" s="1"/>
  <c r="J222" i="5"/>
  <c r="K222" i="5" s="1"/>
  <c r="J386" i="5"/>
  <c r="K386" i="5" s="1"/>
  <c r="J64" i="5"/>
  <c r="K64" i="5" s="1"/>
  <c r="J719" i="5"/>
  <c r="J441" i="5"/>
  <c r="J416" i="5"/>
  <c r="J278" i="5"/>
  <c r="K278" i="5" s="1"/>
  <c r="J98" i="5"/>
  <c r="K98" i="5" s="1"/>
  <c r="J33" i="5"/>
  <c r="K33" i="5" s="1"/>
  <c r="J609" i="5"/>
  <c r="K609" i="5" s="1"/>
  <c r="J603" i="5"/>
  <c r="K603" i="5" s="1"/>
  <c r="J341" i="5"/>
  <c r="K341" i="5" s="1"/>
  <c r="J23" i="5"/>
  <c r="K23" i="5" s="1"/>
  <c r="J520" i="5"/>
  <c r="K520" i="5" s="1"/>
  <c r="J102" i="5"/>
  <c r="K102" i="5" s="1"/>
  <c r="J50" i="5"/>
  <c r="K50" i="5" s="1"/>
  <c r="J676" i="5"/>
  <c r="K676" i="5" s="1"/>
  <c r="J444" i="5"/>
  <c r="K444" i="5" s="1"/>
  <c r="J315" i="5"/>
  <c r="K315" i="5" s="1"/>
  <c r="J191" i="5"/>
  <c r="O36" i="11"/>
  <c r="Z37" i="11"/>
  <c r="P39" i="11"/>
  <c r="G41" i="11"/>
  <c r="Q42" i="11"/>
  <c r="H44" i="11"/>
  <c r="H84" i="11" s="1"/>
  <c r="X45" i="11"/>
  <c r="I47" i="11"/>
  <c r="Y48" i="11"/>
  <c r="Y94" i="11" s="1"/>
  <c r="O50" i="11"/>
  <c r="Z51" i="11"/>
  <c r="P53" i="11"/>
  <c r="P98" i="11" s="1"/>
  <c r="G58" i="11"/>
  <c r="P61" i="11"/>
  <c r="Y70" i="11"/>
  <c r="I35" i="11"/>
  <c r="Y36" i="11"/>
  <c r="O38" i="11"/>
  <c r="Z39" i="11"/>
  <c r="P41" i="11"/>
  <c r="G43" i="11"/>
  <c r="G83" i="11" s="1"/>
  <c r="Q44" i="11"/>
  <c r="Q84" i="11" s="1"/>
  <c r="H46" i="11"/>
  <c r="X47" i="11"/>
  <c r="I49" i="11"/>
  <c r="Y50" i="11"/>
  <c r="O52" i="11"/>
  <c r="O97" i="11" s="1"/>
  <c r="Z53" i="11"/>
  <c r="Z98" i="11" s="1"/>
  <c r="Z36" i="11"/>
  <c r="P38" i="11"/>
  <c r="G40" i="11"/>
  <c r="Q41" i="11"/>
  <c r="H43" i="11"/>
  <c r="H83" i="11" s="1"/>
  <c r="X44" i="11"/>
  <c r="X84" i="11" s="1"/>
  <c r="I46" i="11"/>
  <c r="Y47" i="11"/>
  <c r="O49" i="11"/>
  <c r="Z50" i="11"/>
  <c r="P52" i="11"/>
  <c r="P97" i="11" s="1"/>
  <c r="G54" i="11"/>
  <c r="P35" i="11"/>
  <c r="G37" i="11"/>
  <c r="Q38" i="11"/>
  <c r="H40" i="11"/>
  <c r="X41" i="11"/>
  <c r="I43" i="11"/>
  <c r="I83" i="11" s="1"/>
  <c r="Y44" i="11"/>
  <c r="Y84" i="11" s="1"/>
  <c r="O46" i="11"/>
  <c r="Z47" i="11"/>
  <c r="P49" i="11"/>
  <c r="G51" i="11"/>
  <c r="Q52" i="11"/>
  <c r="Q97" i="11" s="1"/>
  <c r="H54" i="11"/>
  <c r="X35" i="11"/>
  <c r="I37" i="11"/>
  <c r="Y38" i="11"/>
  <c r="O40" i="11"/>
  <c r="Z41" i="11"/>
  <c r="P43" i="11"/>
  <c r="P83" i="11" s="1"/>
  <c r="G45" i="11"/>
  <c r="Q46" i="11"/>
  <c r="H48" i="11"/>
  <c r="H94" i="11" s="1"/>
  <c r="X49" i="11"/>
  <c r="I51" i="11"/>
  <c r="Y52" i="11"/>
  <c r="Y97" i="11" s="1"/>
  <c r="O54" i="11"/>
  <c r="Z35" i="11"/>
  <c r="P37" i="11"/>
  <c r="G39" i="11"/>
  <c r="Q40" i="11"/>
  <c r="H42" i="11"/>
  <c r="X43" i="11"/>
  <c r="X83" i="11" s="1"/>
  <c r="I45" i="11"/>
  <c r="Y46" i="11"/>
  <c r="O48" i="11"/>
  <c r="O94" i="11" s="1"/>
  <c r="Z49" i="11"/>
  <c r="P51" i="11"/>
  <c r="G53" i="11"/>
  <c r="G98" i="11" s="1"/>
  <c r="Q54" i="11"/>
  <c r="G36" i="11"/>
  <c r="Q37" i="11"/>
  <c r="H39" i="11"/>
  <c r="X40" i="11"/>
  <c r="I42" i="11"/>
  <c r="Y43" i="11"/>
  <c r="Y83" i="11" s="1"/>
  <c r="O45" i="11"/>
  <c r="Z46" i="11"/>
  <c r="P48" i="11"/>
  <c r="P94" i="11" s="1"/>
  <c r="G50" i="11"/>
  <c r="Q51" i="11"/>
  <c r="H53" i="11"/>
  <c r="H98" i="11" s="1"/>
  <c r="X54" i="11"/>
  <c r="H36" i="11"/>
  <c r="X37" i="11"/>
  <c r="I39" i="11"/>
  <c r="Y40" i="11"/>
  <c r="O42" i="11"/>
  <c r="Z43" i="11"/>
  <c r="Z83" i="11" s="1"/>
  <c r="P45" i="11"/>
  <c r="G47" i="11"/>
  <c r="Q48" i="11"/>
  <c r="Q94" i="11" s="1"/>
  <c r="H50" i="11"/>
  <c r="X51" i="11"/>
  <c r="I53" i="11"/>
  <c r="I98" i="11" s="1"/>
  <c r="AG11" i="10"/>
  <c r="AH11" i="10" s="1"/>
  <c r="C12" i="6" s="1"/>
  <c r="AN28" i="10"/>
  <c r="AO28" i="10" s="1"/>
  <c r="AP28" i="10" s="1"/>
  <c r="AN27" i="10"/>
  <c r="AO27" i="10" s="1"/>
  <c r="AP27" i="10" s="1"/>
  <c r="AN26" i="10"/>
  <c r="AO26" i="10" s="1"/>
  <c r="AP26" i="10" s="1"/>
  <c r="AG12" i="10"/>
  <c r="AH12" i="10" s="1"/>
  <c r="AN29" i="10"/>
  <c r="AO29" i="10" s="1"/>
  <c r="AP29" i="10" s="1"/>
  <c r="C13" i="6" s="1"/>
  <c r="AN33" i="10"/>
  <c r="AO33" i="10" s="1"/>
  <c r="AP33" i="10" s="1"/>
  <c r="AN32" i="10"/>
  <c r="AO32" i="10" s="1"/>
  <c r="AP32" i="10" s="1"/>
  <c r="AN31" i="10"/>
  <c r="AO31" i="10" s="1"/>
  <c r="AP31" i="10" s="1"/>
  <c r="C15" i="6" s="1"/>
  <c r="AG14" i="10"/>
  <c r="AH14" i="10" s="1"/>
  <c r="AG13" i="10"/>
  <c r="AH13" i="10" s="1"/>
  <c r="AN30" i="10"/>
  <c r="AO30" i="10" s="1"/>
  <c r="AP30" i="10" s="1"/>
  <c r="C14" i="6" s="1"/>
  <c r="AN19" i="10"/>
  <c r="AO19" i="10" s="1"/>
  <c r="AP19" i="10" s="1"/>
  <c r="AG9" i="10"/>
  <c r="AH9" i="10" s="1"/>
  <c r="AN18" i="10"/>
  <c r="AO18" i="10" s="1"/>
  <c r="AP18" i="10" s="1"/>
  <c r="C10" i="6" s="1"/>
  <c r="AN21" i="10"/>
  <c r="AO21" i="10" s="1"/>
  <c r="AP21" i="10" s="1"/>
  <c r="AN20" i="10"/>
  <c r="AO20" i="10" s="1"/>
  <c r="AP20" i="10" s="1"/>
  <c r="AG15" i="10"/>
  <c r="AH15" i="10" s="1"/>
  <c r="AN36" i="10"/>
  <c r="AO36" i="10" s="1"/>
  <c r="AP36" i="10" s="1"/>
  <c r="AN35" i="10"/>
  <c r="AO35" i="10" s="1"/>
  <c r="AP35" i="10" s="1"/>
  <c r="AN34" i="10"/>
  <c r="AO34" i="10" s="1"/>
  <c r="AP34" i="10" s="1"/>
  <c r="C16" i="6" s="1"/>
  <c r="AN24" i="10"/>
  <c r="AO24" i="10" s="1"/>
  <c r="AP24" i="10" s="1"/>
  <c r="AN23" i="10"/>
  <c r="AO23" i="10" s="1"/>
  <c r="AP23" i="10" s="1"/>
  <c r="AN22" i="10"/>
  <c r="AO22" i="10" s="1"/>
  <c r="AP22" i="10" s="1"/>
  <c r="C11" i="6" s="1"/>
  <c r="AG10" i="10"/>
  <c r="AH10" i="10" s="1"/>
  <c r="AN25" i="10"/>
  <c r="AO25" i="10" s="1"/>
  <c r="AP25" i="10" s="1"/>
  <c r="AN9" i="10"/>
  <c r="AO9" i="10" s="1"/>
  <c r="AP9" i="10" s="1"/>
  <c r="AN7" i="10"/>
  <c r="AG5" i="10"/>
  <c r="AH5" i="10" s="1"/>
  <c r="AH4" i="8"/>
  <c r="AI4" i="8" s="1"/>
  <c r="AB3" i="8"/>
  <c r="AH3" i="8"/>
  <c r="AI3" i="8" s="1"/>
  <c r="AH5" i="8"/>
  <c r="AI5" i="8" s="1"/>
  <c r="AH30" i="8"/>
  <c r="AI30" i="8" s="1"/>
  <c r="AB13" i="8"/>
  <c r="AH32" i="8"/>
  <c r="AI32" i="8" s="1"/>
  <c r="AH31" i="8"/>
  <c r="AI31" i="8" s="1"/>
  <c r="AH17" i="8"/>
  <c r="AI17" i="8" s="1"/>
  <c r="AH20" i="8"/>
  <c r="AI20" i="8" s="1"/>
  <c r="AB8" i="8"/>
  <c r="AH19" i="8"/>
  <c r="AI19" i="8" s="1"/>
  <c r="AH18" i="8"/>
  <c r="AI18" i="8" s="1"/>
  <c r="AH24" i="8"/>
  <c r="AI24" i="8" s="1"/>
  <c r="AH22" i="8"/>
  <c r="AI22" i="8" s="1"/>
  <c r="AH23" i="8"/>
  <c r="AI23" i="8" s="1"/>
  <c r="AB9" i="8"/>
  <c r="AH21" i="8"/>
  <c r="AI21" i="8" s="1"/>
  <c r="AH7" i="8"/>
  <c r="AI7" i="8" s="1"/>
  <c r="AB4" i="8"/>
  <c r="AH6" i="8"/>
  <c r="AH8" i="8"/>
  <c r="AI8" i="8" s="1"/>
  <c r="AH42" i="8"/>
  <c r="AI42" i="8" s="1"/>
  <c r="AB15" i="8"/>
  <c r="AB12" i="8"/>
  <c r="AH15" i="8"/>
  <c r="AI15" i="8" s="1"/>
  <c r="AH38" i="8"/>
  <c r="AI38" i="8" s="1"/>
  <c r="AH12" i="8"/>
  <c r="AI12" i="8" s="1"/>
  <c r="AB6" i="8"/>
  <c r="AH9" i="8"/>
  <c r="AI9" i="8" s="1"/>
  <c r="AH27" i="8"/>
  <c r="AI27" i="8" s="1"/>
  <c r="AB19" i="8"/>
  <c r="AB10" i="8"/>
  <c r="AH34" i="8"/>
  <c r="AI34" i="8" s="1"/>
  <c r="AH13" i="8"/>
  <c r="AI13" i="8" s="1"/>
  <c r="AH40" i="8"/>
  <c r="AI40" i="8" s="1"/>
  <c r="AH35" i="8"/>
  <c r="AI35" i="8" s="1"/>
  <c r="J337" i="5"/>
  <c r="K337" i="5" s="1"/>
  <c r="J740" i="5"/>
  <c r="J411" i="5"/>
  <c r="J62" i="5"/>
  <c r="K62" i="5" s="1"/>
  <c r="J537" i="5"/>
  <c r="K537" i="5" s="1"/>
  <c r="J450" i="5"/>
  <c r="K450" i="5" s="1"/>
  <c r="J43" i="5"/>
  <c r="K43" i="5" s="1"/>
  <c r="J517" i="5"/>
  <c r="K517" i="5" s="1"/>
  <c r="J168" i="5"/>
  <c r="K168" i="5" s="1"/>
  <c r="J252" i="5"/>
  <c r="K252" i="5" s="1"/>
  <c r="J243" i="5"/>
  <c r="J641" i="5"/>
  <c r="K641" i="5" s="1"/>
  <c r="J116" i="5"/>
  <c r="K116" i="5" s="1"/>
  <c r="J843" i="5"/>
  <c r="J500" i="5"/>
  <c r="J582" i="5"/>
  <c r="K582" i="5" s="1"/>
  <c r="J91" i="5"/>
  <c r="K91" i="5" s="1"/>
  <c r="J824" i="5"/>
  <c r="K824" i="5" s="1"/>
  <c r="J475" i="5"/>
  <c r="J623" i="5"/>
  <c r="K623" i="5" s="1"/>
  <c r="J197" i="5"/>
  <c r="K197" i="5" s="1"/>
  <c r="J538" i="5"/>
  <c r="U123" i="13" s="1"/>
  <c r="J479" i="5"/>
  <c r="K479" i="5" s="1"/>
  <c r="J67" i="5"/>
  <c r="K67" i="5" s="1"/>
  <c r="J872" i="5"/>
  <c r="K872" i="5" s="1"/>
  <c r="J684" i="5"/>
  <c r="K684" i="5" s="1"/>
  <c r="J598" i="5"/>
  <c r="K598" i="5" s="1"/>
  <c r="J323" i="5"/>
  <c r="K323" i="5" s="1"/>
  <c r="J274" i="5"/>
  <c r="K274" i="5" s="1"/>
  <c r="J468" i="5"/>
  <c r="K468" i="5" s="1"/>
  <c r="J679" i="5"/>
  <c r="K679" i="5" s="1"/>
  <c r="J148" i="5"/>
  <c r="K148" i="5" s="1"/>
  <c r="J161" i="5"/>
  <c r="K161" i="5" s="1"/>
  <c r="J233" i="5"/>
  <c r="K233" i="5" s="1"/>
  <c r="J801" i="5"/>
  <c r="J453" i="5"/>
  <c r="K453" i="5" s="1"/>
  <c r="J297" i="5"/>
  <c r="K297" i="5" s="1"/>
  <c r="J420" i="5"/>
  <c r="K420" i="5" s="1"/>
  <c r="J442" i="5"/>
  <c r="K442" i="5" s="1"/>
  <c r="J606" i="5"/>
  <c r="J106" i="5"/>
  <c r="J39" i="5"/>
  <c r="K39" i="5" s="1"/>
  <c r="J88" i="5"/>
  <c r="K88" i="5" s="1"/>
  <c r="J111" i="5"/>
  <c r="K111" i="5" s="1"/>
  <c r="J286" i="5"/>
  <c r="K286" i="5" s="1"/>
  <c r="J175" i="5"/>
  <c r="K175" i="5" s="1"/>
  <c r="J127" i="5"/>
  <c r="K127" i="5" s="1"/>
  <c r="J487" i="5"/>
  <c r="K487" i="5" s="1"/>
  <c r="J45" i="5"/>
  <c r="K45" i="5" s="1"/>
  <c r="J209" i="5"/>
  <c r="K209" i="5" s="1"/>
  <c r="J439" i="5"/>
  <c r="K439" i="5" s="1"/>
  <c r="J338" i="5"/>
  <c r="K338" i="5" s="1"/>
  <c r="J665" i="5"/>
  <c r="J114" i="5"/>
  <c r="K114" i="5" s="1"/>
  <c r="J270" i="5"/>
  <c r="J261" i="5"/>
  <c r="K261" i="5" s="1"/>
  <c r="J649" i="5"/>
  <c r="K649" i="5" s="1"/>
  <c r="J647" i="5"/>
  <c r="K647" i="5" s="1"/>
  <c r="J41" i="5"/>
  <c r="K41" i="5" s="1"/>
  <c r="J541" i="5"/>
  <c r="K541" i="5" s="1"/>
  <c r="J873" i="5"/>
  <c r="J186" i="5"/>
  <c r="K186" i="5" s="1"/>
  <c r="J171" i="5"/>
  <c r="J618" i="5"/>
  <c r="K618" i="5" s="1"/>
  <c r="J5" i="5"/>
  <c r="K5" i="5" s="1"/>
  <c r="J529" i="5"/>
  <c r="U111" i="13" s="1"/>
  <c r="G3" i="3" a="1"/>
  <c r="G3" i="3" s="1"/>
  <c r="H3" i="3" s="1"/>
  <c r="L3" i="3" a="1"/>
  <c r="L3" i="3" s="1"/>
  <c r="M3" i="3" s="1"/>
  <c r="Q3" i="3" a="1"/>
  <c r="Q3" i="3" s="1"/>
  <c r="R3" i="3" s="1"/>
  <c r="AL295" i="14" l="1"/>
  <c r="AL7" i="14"/>
  <c r="AU120" i="13"/>
  <c r="AX120" i="14" s="1"/>
  <c r="U101" i="13"/>
  <c r="AT132" i="13"/>
  <c r="AU141" i="13"/>
  <c r="AI201" i="14"/>
  <c r="AL185" i="13"/>
  <c r="AL246" i="13"/>
  <c r="R23" i="13"/>
  <c r="U120" i="13"/>
  <c r="U249" i="13"/>
  <c r="U249" i="14" s="1"/>
  <c r="W249" i="14" s="1"/>
  <c r="AI184" i="14"/>
  <c r="AL227" i="13"/>
  <c r="AL258" i="13"/>
  <c r="AI200" i="14"/>
  <c r="AH357" i="14"/>
  <c r="AL330" i="13"/>
  <c r="AU252" i="13"/>
  <c r="AX252" i="14" s="1"/>
  <c r="AL54" i="13"/>
  <c r="AG309" i="14"/>
  <c r="AL234" i="13"/>
  <c r="AL267" i="13"/>
  <c r="AL223" i="13"/>
  <c r="AU260" i="13"/>
  <c r="AX260" i="14" s="1"/>
  <c r="AU249" i="13"/>
  <c r="AX249" i="14" s="1"/>
  <c r="AU56" i="13"/>
  <c r="AX56" i="14" s="1"/>
  <c r="AL372" i="13"/>
  <c r="AT285" i="13"/>
  <c r="U56" i="13"/>
  <c r="AG204" i="14"/>
  <c r="AU256" i="13"/>
  <c r="AX256" i="14" s="1"/>
  <c r="AU151" i="13"/>
  <c r="AX151" i="14" s="1"/>
  <c r="AU129" i="13"/>
  <c r="AX129" i="14" s="1"/>
  <c r="U256" i="13"/>
  <c r="AI210" i="14"/>
  <c r="AL56" i="13"/>
  <c r="AL319" i="13"/>
  <c r="AL194" i="13"/>
  <c r="AL281" i="13"/>
  <c r="U252" i="13"/>
  <c r="U257" i="13"/>
  <c r="W257" i="13" s="1"/>
  <c r="O321" i="14"/>
  <c r="AL306" i="13"/>
  <c r="AL12" i="13"/>
  <c r="AL256" i="13"/>
  <c r="AT155" i="13"/>
  <c r="AW155" i="14" s="1"/>
  <c r="AU140" i="13"/>
  <c r="AU100" i="13"/>
  <c r="AX101" i="14" s="1"/>
  <c r="R155" i="13"/>
  <c r="AT287" i="13"/>
  <c r="AT140" i="13"/>
  <c r="AU43" i="13"/>
  <c r="AX43" i="14" s="1"/>
  <c r="O184" i="14"/>
  <c r="AH63" i="14"/>
  <c r="AH209" i="14"/>
  <c r="AT301" i="13"/>
  <c r="AW301" i="14" s="1"/>
  <c r="U100" i="13"/>
  <c r="AL45" i="13"/>
  <c r="AT133" i="13"/>
  <c r="AT141" i="13"/>
  <c r="AT288" i="13"/>
  <c r="U43" i="13"/>
  <c r="U43" i="14" s="1"/>
  <c r="W43" i="14" s="1"/>
  <c r="AG268" i="14"/>
  <c r="AL268" i="14" s="1"/>
  <c r="AG71" i="14"/>
  <c r="AL39" i="13"/>
  <c r="U286" i="13"/>
  <c r="R65" i="13"/>
  <c r="O331" i="14"/>
  <c r="R331" i="14" s="1"/>
  <c r="AI64" i="14"/>
  <c r="AI257" i="14"/>
  <c r="AI351" i="14"/>
  <c r="Q74" i="13"/>
  <c r="AH29" i="14"/>
  <c r="AL7" i="13"/>
  <c r="AL260" i="13"/>
  <c r="AL149" i="13"/>
  <c r="AT286" i="13"/>
  <c r="U88" i="13"/>
  <c r="AU155" i="13"/>
  <c r="AX155" i="14" s="1"/>
  <c r="U155" i="13"/>
  <c r="U287" i="13"/>
  <c r="W287" i="13" s="1"/>
  <c r="U129" i="13"/>
  <c r="U129" i="14" s="1"/>
  <c r="W129" i="14" s="1"/>
  <c r="AH9" i="14"/>
  <c r="AL57" i="13"/>
  <c r="AL189" i="13"/>
  <c r="AL38" i="13"/>
  <c r="AL202" i="13"/>
  <c r="AL269" i="13"/>
  <c r="AT260" i="13"/>
  <c r="AW260" i="14" s="1"/>
  <c r="AL122" i="14"/>
  <c r="AL75" i="14"/>
  <c r="AL176" i="14"/>
  <c r="W277" i="13"/>
  <c r="AL366" i="14"/>
  <c r="AL96" i="14"/>
  <c r="AL243" i="14"/>
  <c r="AD164" i="13"/>
  <c r="AD164" i="14" s="1"/>
  <c r="AD308" i="13"/>
  <c r="AD308" i="14" s="1"/>
  <c r="AL199" i="13"/>
  <c r="AL201" i="13"/>
  <c r="AG87" i="14"/>
  <c r="AG68" i="14"/>
  <c r="AL133" i="13"/>
  <c r="AG18" i="14"/>
  <c r="AL8" i="13"/>
  <c r="AG90" i="14"/>
  <c r="AL273" i="13"/>
  <c r="AL176" i="13"/>
  <c r="AL293" i="13"/>
  <c r="AL50" i="13"/>
  <c r="AL5" i="13"/>
  <c r="AL206" i="13"/>
  <c r="AG30" i="13"/>
  <c r="AG30" i="14" s="1"/>
  <c r="AL30" i="14" s="1"/>
  <c r="AG316" i="13"/>
  <c r="AG316" i="14" s="1"/>
  <c r="R134" i="14"/>
  <c r="AD53" i="13"/>
  <c r="AD53" i="14" s="1"/>
  <c r="AD104" i="13"/>
  <c r="AD104" i="14" s="1"/>
  <c r="AD304" i="13"/>
  <c r="AD304" i="14" s="1"/>
  <c r="AD23" i="13"/>
  <c r="AD23" i="14" s="1"/>
  <c r="AD149" i="13"/>
  <c r="AD149" i="14" s="1" a="1"/>
  <c r="AD149" i="14" s="1"/>
  <c r="AD111" i="13"/>
  <c r="AD111" i="14" s="1"/>
  <c r="AD188" i="13"/>
  <c r="AD188" i="14" s="1"/>
  <c r="AD182" i="13"/>
  <c r="AD182" i="14" s="1"/>
  <c r="AD168" i="13"/>
  <c r="AD168" i="14" s="1"/>
  <c r="AD346" i="13"/>
  <c r="AD346" i="14" s="1" a="1"/>
  <c r="AD346" i="14" s="1"/>
  <c r="AD190" i="13"/>
  <c r="AD190" i="14" s="1" a="1"/>
  <c r="AD190" i="14" s="1"/>
  <c r="AD302" i="13"/>
  <c r="AD302" i="14" s="1"/>
  <c r="AD31" i="13"/>
  <c r="AD31" i="14" s="1"/>
  <c r="AD163" i="13"/>
  <c r="AD163" i="14" s="1"/>
  <c r="AD355" i="13"/>
  <c r="AD355" i="14" s="1"/>
  <c r="AD94" i="13"/>
  <c r="AD94" i="14" s="1"/>
  <c r="AD146" i="13"/>
  <c r="AD146" i="14" s="1"/>
  <c r="AD145" i="13"/>
  <c r="AD145" i="14" s="1"/>
  <c r="AD144" i="13"/>
  <c r="AD144" i="14" s="1"/>
  <c r="AF144" i="14" s="1"/>
  <c r="AD311" i="13"/>
  <c r="AD311" i="14" s="1"/>
  <c r="AD162" i="13"/>
  <c r="AD162" i="14" s="1"/>
  <c r="AD339" i="13"/>
  <c r="AD339" i="14" s="1"/>
  <c r="AD241" i="13"/>
  <c r="AD241" i="14" s="1"/>
  <c r="AD30" i="13"/>
  <c r="AD30" i="14" s="1"/>
  <c r="AF30" i="14" s="1"/>
  <c r="AD78" i="13"/>
  <c r="AD78" i="14" s="1"/>
  <c r="AF78" i="14" s="1"/>
  <c r="AD373" i="13"/>
  <c r="AD373" i="14" s="1"/>
  <c r="AD54" i="13"/>
  <c r="AD54" i="14" s="1"/>
  <c r="AD244" i="13"/>
  <c r="AD244" i="14" s="1"/>
  <c r="AD327" i="13"/>
  <c r="AD327" i="14" s="1"/>
  <c r="AD101" i="13"/>
  <c r="AD100" i="14" s="1"/>
  <c r="AD62" i="13"/>
  <c r="AD62" i="14" s="1"/>
  <c r="AD66" i="13"/>
  <c r="AD66" i="14" s="1"/>
  <c r="AD212" i="13"/>
  <c r="AD212" i="14" s="1"/>
  <c r="AD106" i="13"/>
  <c r="AD106" i="14" s="1"/>
  <c r="AD277" i="13"/>
  <c r="AD277" i="14" s="1"/>
  <c r="AD123" i="13"/>
  <c r="AD123" i="14" s="1"/>
  <c r="AD237" i="13"/>
  <c r="AD237" i="14" s="1"/>
  <c r="AD179" i="13"/>
  <c r="AD179" i="14" s="1"/>
  <c r="AF179" i="14" s="1"/>
  <c r="AD100" i="13"/>
  <c r="AD101" i="14" s="1"/>
  <c r="AF101" i="14" s="1"/>
  <c r="AD180" i="13"/>
  <c r="AD180" i="14" s="1"/>
  <c r="AD3" i="13"/>
  <c r="AD3" i="14" s="1"/>
  <c r="AD108" i="13"/>
  <c r="AD108" i="14" s="1"/>
  <c r="AD354" i="13"/>
  <c r="AD354" i="14" s="1"/>
  <c r="AD134" i="13"/>
  <c r="AD134" i="14" s="1"/>
  <c r="AD223" i="13"/>
  <c r="AD223" i="14" s="1"/>
  <c r="AD312" i="13"/>
  <c r="AD312" i="14" s="1"/>
  <c r="AD323" i="13"/>
  <c r="AD323" i="14" s="1"/>
  <c r="AF323" i="14" s="1"/>
  <c r="AD6" i="13"/>
  <c r="AD6" i="14" s="1"/>
  <c r="AD45" i="13"/>
  <c r="AD45" i="14" s="1"/>
  <c r="AD263" i="13"/>
  <c r="AD263" i="14" s="1"/>
  <c r="AD116" i="13"/>
  <c r="AD116" i="14" s="1"/>
  <c r="AD265" i="13"/>
  <c r="AD265" i="14" s="1"/>
  <c r="AF265" i="14" s="1"/>
  <c r="AD255" i="13"/>
  <c r="AD255" i="14" s="1"/>
  <c r="AF255" i="14" s="1"/>
  <c r="AD158" i="13"/>
  <c r="AD158" i="14" s="1"/>
  <c r="AD297" i="13"/>
  <c r="AD297" i="14" s="1"/>
  <c r="AD117" i="13"/>
  <c r="AD117" i="14" s="1"/>
  <c r="AD326" i="13"/>
  <c r="AD326" i="14" s="1"/>
  <c r="AD40" i="13"/>
  <c r="AD40" i="14" s="1"/>
  <c r="AD44" i="13"/>
  <c r="AD44" i="14" s="1"/>
  <c r="AD35" i="13"/>
  <c r="AD35" i="14" s="1"/>
  <c r="AD322" i="13"/>
  <c r="AD322" i="14" s="1"/>
  <c r="AD333" i="13"/>
  <c r="AD333" i="14" s="1"/>
  <c r="AD112" i="13"/>
  <c r="AD112" i="14" s="1"/>
  <c r="AD36" i="13"/>
  <c r="AD36" i="14" s="1"/>
  <c r="AD119" i="13"/>
  <c r="AD119" i="14" s="1"/>
  <c r="AF119" i="14" s="1"/>
  <c r="AD70" i="13"/>
  <c r="AD70" i="14" s="1"/>
  <c r="AF70" i="14" s="1"/>
  <c r="AD364" i="13"/>
  <c r="AD364" i="14" s="1"/>
  <c r="AF364" i="14" s="1"/>
  <c r="AD332" i="13"/>
  <c r="AD332" i="14" s="1"/>
  <c r="AD79" i="13"/>
  <c r="AD79" i="14" s="1"/>
  <c r="AD268" i="13"/>
  <c r="AD268" i="14" s="1"/>
  <c r="AD122" i="13"/>
  <c r="AD122" i="14" s="1"/>
  <c r="AD124" i="13"/>
  <c r="AD124" i="14" s="1"/>
  <c r="AD153" i="13"/>
  <c r="AD153" i="14" s="1"/>
  <c r="AD353" i="13"/>
  <c r="AD353" i="14" s="1"/>
  <c r="AD71" i="13"/>
  <c r="AD71" i="14" s="1"/>
  <c r="AD20" i="13"/>
  <c r="AD20" i="14" s="1"/>
  <c r="AD266" i="13"/>
  <c r="AD266" i="14" s="1"/>
  <c r="AD253" i="13"/>
  <c r="AD253" i="14" s="1"/>
  <c r="AD359" i="13"/>
  <c r="AD359" i="14" s="1"/>
  <c r="AD252" i="13"/>
  <c r="AD252" i="14" s="1"/>
  <c r="AF252" i="14" s="1"/>
  <c r="AD96" i="13"/>
  <c r="AD96" i="14" s="1"/>
  <c r="AF96" i="14" s="1"/>
  <c r="AD245" i="13"/>
  <c r="AD245" i="14" s="1"/>
  <c r="AD289" i="13"/>
  <c r="AD289" i="14" s="1"/>
  <c r="AD337" i="13"/>
  <c r="AD337" i="14" s="1"/>
  <c r="AD278" i="13"/>
  <c r="AD278" i="14" s="1"/>
  <c r="AD167" i="13"/>
  <c r="AD167" i="14" s="1"/>
  <c r="AD67" i="13"/>
  <c r="AD67" i="14" s="1"/>
  <c r="AD82" i="13"/>
  <c r="AD82" i="14" s="1"/>
  <c r="AD181" i="13"/>
  <c r="AD181" i="14" s="1"/>
  <c r="AD21" i="13"/>
  <c r="AD21" i="14" s="1"/>
  <c r="AD46" i="13"/>
  <c r="AD46" i="14" s="1"/>
  <c r="AD334" i="13"/>
  <c r="AD334" i="14" s="1"/>
  <c r="AD110" i="13"/>
  <c r="AD110" i="14" s="1"/>
  <c r="AF110" i="14" s="1"/>
  <c r="AD243" i="13"/>
  <c r="AD243" i="14" s="1"/>
  <c r="AF243" i="14" s="1"/>
  <c r="AD260" i="13"/>
  <c r="AD260" i="14" s="1"/>
  <c r="AF260" i="14" s="1"/>
  <c r="AD361" i="13"/>
  <c r="AD361" i="14" s="1"/>
  <c r="AU322" i="13"/>
  <c r="AX322" i="14" s="1"/>
  <c r="AU84" i="13"/>
  <c r="AX84" i="14" s="1"/>
  <c r="AU214" i="13"/>
  <c r="AX214" i="14" s="1"/>
  <c r="AU266" i="13"/>
  <c r="AX266" i="14" s="1"/>
  <c r="AU150" i="13"/>
  <c r="AX150" i="14" s="1"/>
  <c r="AU112" i="13"/>
  <c r="AX112" i="14" s="1"/>
  <c r="AU44" i="13"/>
  <c r="AX44" i="14" s="1"/>
  <c r="AU121" i="13"/>
  <c r="AX121" i="14" s="1"/>
  <c r="AU304" i="13"/>
  <c r="AX304" i="14" s="1"/>
  <c r="AU41" i="13"/>
  <c r="AX41" i="14" s="1"/>
  <c r="AU71" i="13"/>
  <c r="AX71" i="14" s="1"/>
  <c r="AU167" i="13"/>
  <c r="AX167" i="14" s="1"/>
  <c r="AU172" i="13"/>
  <c r="AX172" i="14" s="1"/>
  <c r="AU213" i="13"/>
  <c r="AX213" i="14" s="1"/>
  <c r="AU143" i="13"/>
  <c r="AX143" i="14" s="1"/>
  <c r="AU224" i="13"/>
  <c r="AX224" i="14" s="1"/>
  <c r="AU30" i="13"/>
  <c r="AX30" i="14" s="1"/>
  <c r="AU334" i="13"/>
  <c r="AX334" i="14" s="1"/>
  <c r="AU280" i="13"/>
  <c r="AX280" i="14" s="1"/>
  <c r="AU282" i="13"/>
  <c r="AX282" i="14" s="1"/>
  <c r="AU226" i="13"/>
  <c r="AX226" i="14" s="1"/>
  <c r="AU263" i="13"/>
  <c r="AX263" i="14" s="1"/>
  <c r="AU362" i="13"/>
  <c r="AX362" i="14" s="1"/>
  <c r="AU46" i="13"/>
  <c r="AX46" i="14" s="1"/>
  <c r="AU183" i="13"/>
  <c r="AX183" i="14" s="1"/>
  <c r="AU323" i="13"/>
  <c r="AX323" i="14" s="1"/>
  <c r="AU182" i="13"/>
  <c r="AX182" i="14" s="1"/>
  <c r="AU234" i="13"/>
  <c r="AX234" i="14" s="1"/>
  <c r="AU222" i="13"/>
  <c r="AX222" i="14" s="1"/>
  <c r="AU60" i="13"/>
  <c r="AX60" i="14" s="1"/>
  <c r="AU111" i="13"/>
  <c r="AX111" i="14" s="1"/>
  <c r="AU371" i="13"/>
  <c r="AX370" i="14" s="1"/>
  <c r="AU94" i="13"/>
  <c r="AX94" i="14" s="1"/>
  <c r="AU65" i="13"/>
  <c r="AX65" i="14" s="1"/>
  <c r="AU246" i="13"/>
  <c r="AX246" i="14" s="1"/>
  <c r="AU353" i="13"/>
  <c r="AX353" i="14" s="1"/>
  <c r="AU254" i="13"/>
  <c r="AX254" i="14" s="1"/>
  <c r="AU188" i="13"/>
  <c r="AX188" i="14" s="1"/>
  <c r="AU128" i="13"/>
  <c r="AX128" i="14" s="1"/>
  <c r="AU333" i="13"/>
  <c r="AX333" i="14" s="1"/>
  <c r="AU119" i="13"/>
  <c r="AX119" i="14" s="1"/>
  <c r="AU361" i="13"/>
  <c r="AX361" i="14" s="1"/>
  <c r="AU104" i="13"/>
  <c r="AX104" i="14" s="1"/>
  <c r="AU355" i="13"/>
  <c r="AX355" i="14" s="1"/>
  <c r="AU259" i="13"/>
  <c r="AX259" i="14" s="1"/>
  <c r="AU233" i="13"/>
  <c r="AX233" i="14" s="1"/>
  <c r="AU237" i="13"/>
  <c r="AX237" i="14" s="1"/>
  <c r="AU223" i="13"/>
  <c r="AX223" i="14" s="1"/>
  <c r="AU107" i="13"/>
  <c r="AX107" i="14" s="1"/>
  <c r="AU283" i="13"/>
  <c r="AX283" i="14" s="1"/>
  <c r="AU326" i="13"/>
  <c r="AX326" i="14" s="1"/>
  <c r="AU53" i="13"/>
  <c r="AX53" i="14" s="1"/>
  <c r="AU296" i="13"/>
  <c r="AX296" i="14" s="1"/>
  <c r="AU268" i="13"/>
  <c r="AX268" i="14" s="1"/>
  <c r="AU181" i="13"/>
  <c r="AX181" i="14" s="1"/>
  <c r="AU106" i="13"/>
  <c r="AX106" i="14" s="1"/>
  <c r="AU295" i="13"/>
  <c r="AX295" i="14" s="1"/>
  <c r="AU113" i="13"/>
  <c r="AX113" i="14" s="1"/>
  <c r="AU337" i="13"/>
  <c r="AX337" i="14" s="1"/>
  <c r="AU98" i="13"/>
  <c r="AX98" i="14" s="1"/>
  <c r="AU372" i="13"/>
  <c r="AX372" i="14" s="1"/>
  <c r="AU253" i="13"/>
  <c r="AX253" i="14" s="1"/>
  <c r="AU21" i="13"/>
  <c r="AX21" i="14" s="1"/>
  <c r="AU236" i="13"/>
  <c r="AX236" i="14" s="1"/>
  <c r="AU67" i="13"/>
  <c r="AX67" i="14" s="1"/>
  <c r="AU245" i="13"/>
  <c r="AX245" i="14" s="1"/>
  <c r="AU215" i="13"/>
  <c r="AX215" i="14" s="1"/>
  <c r="AU365" i="13"/>
  <c r="AX365" i="14" s="1"/>
  <c r="AU116" i="13"/>
  <c r="AX116" i="14" s="1"/>
  <c r="AU344" i="13"/>
  <c r="AX344" i="14" s="1"/>
  <c r="AU284" i="13"/>
  <c r="AX284" i="14" s="1"/>
  <c r="AU153" i="13"/>
  <c r="AX153" i="14" s="1"/>
  <c r="AU99" i="13"/>
  <c r="AX99" i="14" s="1"/>
  <c r="AU24" i="13"/>
  <c r="AX24" i="14" s="1"/>
  <c r="AU248" i="13"/>
  <c r="AX248" i="14" s="1"/>
  <c r="AU20" i="13"/>
  <c r="AX20" i="14" s="1"/>
  <c r="AU50" i="13"/>
  <c r="AX50" i="14" s="1"/>
  <c r="AU243" i="13"/>
  <c r="AX243" i="14" s="1"/>
  <c r="AU230" i="13"/>
  <c r="AX230" i="14" s="1"/>
  <c r="AU177" i="13"/>
  <c r="AX177" i="14" s="1"/>
  <c r="AU96" i="13"/>
  <c r="AX96" i="14" s="1"/>
  <c r="AU363" i="13"/>
  <c r="AX363" i="14" s="1"/>
  <c r="AU308" i="13"/>
  <c r="AX308" i="14" s="1"/>
  <c r="AU144" i="13"/>
  <c r="AX144" i="14" s="1"/>
  <c r="AU216" i="13"/>
  <c r="AX216" i="14" s="1"/>
  <c r="AU45" i="13"/>
  <c r="AX45" i="14" s="1"/>
  <c r="AU303" i="13"/>
  <c r="AX303" i="14" s="1"/>
  <c r="AU370" i="13"/>
  <c r="AX369" i="14" s="1"/>
  <c r="AU343" i="13"/>
  <c r="AX343" i="14" s="1"/>
  <c r="AU35" i="13"/>
  <c r="AX35" i="14" s="1"/>
  <c r="AU219" i="13"/>
  <c r="AX219" i="14" s="1"/>
  <c r="AU196" i="13"/>
  <c r="AX196" i="14" s="1"/>
  <c r="AU123" i="13"/>
  <c r="AX123" i="14" s="1"/>
  <c r="AU49" i="13"/>
  <c r="AX49" i="14" s="1"/>
  <c r="AU368" i="13"/>
  <c r="AX367" i="14" s="1"/>
  <c r="AU311" i="13"/>
  <c r="AX311" i="14" s="1"/>
  <c r="AU31" i="13"/>
  <c r="AX31" i="14" s="1"/>
  <c r="AU281" i="13"/>
  <c r="AX281" i="14" s="1"/>
  <c r="AU78" i="13"/>
  <c r="AX78" i="14" s="1"/>
  <c r="AU62" i="13"/>
  <c r="AX62" i="14" s="1"/>
  <c r="AU375" i="13"/>
  <c r="AX375" i="14" s="1"/>
  <c r="AU239" i="13"/>
  <c r="AX239" i="14" s="1"/>
  <c r="AU142" i="13"/>
  <c r="AX142" i="14" s="1"/>
  <c r="AU339" i="13"/>
  <c r="AX339" i="14" s="1"/>
  <c r="AU232" i="13"/>
  <c r="AX232" i="14" s="1"/>
  <c r="AU89" i="13"/>
  <c r="AX89" i="14" s="1"/>
  <c r="AU152" i="13"/>
  <c r="AX152" i="14" s="1"/>
  <c r="AU373" i="13"/>
  <c r="AX373" i="14" s="1"/>
  <c r="AU51" i="13"/>
  <c r="AX51" i="14" s="1"/>
  <c r="AU118" i="13"/>
  <c r="AX118" i="14" s="1"/>
  <c r="AU23" i="13"/>
  <c r="AX23" i="14" s="1"/>
  <c r="AU58" i="13"/>
  <c r="AX58" i="14" s="1"/>
  <c r="AU369" i="13"/>
  <c r="AX368" i="14" s="1"/>
  <c r="AU227" i="13"/>
  <c r="AX227" i="14" s="1"/>
  <c r="AU42" i="13"/>
  <c r="AX42" i="14" s="1"/>
  <c r="AU352" i="13"/>
  <c r="AX352" i="14" s="1"/>
  <c r="AU101" i="13"/>
  <c r="AX100" i="14" s="1"/>
  <c r="AU36" i="13"/>
  <c r="AX36" i="14" s="1"/>
  <c r="AU217" i="13"/>
  <c r="AX217" i="14" s="1"/>
  <c r="AU76" i="13"/>
  <c r="AX76" i="14" s="1"/>
  <c r="AU328" i="13"/>
  <c r="AX328" i="14" s="1"/>
  <c r="AU229" i="13"/>
  <c r="AX229" i="14" s="1"/>
  <c r="AU332" i="13"/>
  <c r="AX332" i="14" s="1"/>
  <c r="AU255" i="13"/>
  <c r="AX255" i="14" s="1"/>
  <c r="AU312" i="13"/>
  <c r="AX312" i="14" s="1"/>
  <c r="AU347" i="13"/>
  <c r="AX347" i="14" s="1"/>
  <c r="AU212" i="13"/>
  <c r="AX212" i="14" s="1"/>
  <c r="AU127" i="13"/>
  <c r="AX127" i="14" s="1"/>
  <c r="AU163" i="13"/>
  <c r="AX163" i="14" s="1"/>
  <c r="AU338" i="13"/>
  <c r="AX338" i="14" s="1"/>
  <c r="AU231" i="13"/>
  <c r="AX231" i="14" s="1"/>
  <c r="AU103" i="13"/>
  <c r="AX103" i="14" s="1"/>
  <c r="AU176" i="13"/>
  <c r="AX176" i="14" s="1"/>
  <c r="AU166" i="13"/>
  <c r="AX166" i="14" s="1"/>
  <c r="AU77" i="13"/>
  <c r="AX77" i="14" s="1"/>
  <c r="AU40" i="13"/>
  <c r="AX40" i="14" s="1"/>
  <c r="AU174" i="13"/>
  <c r="AX174" i="14" s="1"/>
  <c r="AU110" i="13"/>
  <c r="AX110" i="14" s="1"/>
  <c r="AU74" i="13"/>
  <c r="AX74" i="14" s="1"/>
  <c r="AU160" i="13"/>
  <c r="AX160" i="14" s="1"/>
  <c r="AU79" i="13"/>
  <c r="AX79" i="14" s="1"/>
  <c r="AU61" i="13"/>
  <c r="AX61" i="14" s="1"/>
  <c r="AU6" i="13"/>
  <c r="AX6" i="14" s="1"/>
  <c r="AU241" i="13"/>
  <c r="AX241" i="14" s="1"/>
  <c r="AU315" i="13"/>
  <c r="AX315" i="14" s="1"/>
  <c r="AU75" i="13"/>
  <c r="AX75" i="14" s="1"/>
  <c r="AU3" i="13"/>
  <c r="AX3" i="14" s="1"/>
  <c r="AU225" i="13"/>
  <c r="AX225" i="14" s="1"/>
  <c r="AU117" i="13"/>
  <c r="AX117" i="14" s="1"/>
  <c r="AU364" i="13"/>
  <c r="AX364" i="14" s="1"/>
  <c r="AU244" i="13"/>
  <c r="AX244" i="14" s="1"/>
  <c r="AU297" i="13"/>
  <c r="AX297" i="14" s="1"/>
  <c r="AU218" i="13"/>
  <c r="AX218" i="14" s="1"/>
  <c r="AU220" i="13"/>
  <c r="AX220" i="14" s="1"/>
  <c r="AU164" i="13"/>
  <c r="AX164" i="14" s="1"/>
  <c r="AU179" i="13"/>
  <c r="AX179" i="14" s="1"/>
  <c r="AU7" i="13"/>
  <c r="AX7" i="14" s="1"/>
  <c r="AU374" i="13"/>
  <c r="AX374" i="14" s="1"/>
  <c r="AU146" i="13"/>
  <c r="AX146" i="14" s="1"/>
  <c r="AU66" i="13"/>
  <c r="AX66" i="14" s="1"/>
  <c r="AU59" i="13"/>
  <c r="AX59" i="14" s="1"/>
  <c r="AU211" i="13"/>
  <c r="AX211" i="14" s="1"/>
  <c r="AU242" i="13"/>
  <c r="AX242" i="14" s="1"/>
  <c r="AU265" i="13"/>
  <c r="AX265" i="14" s="1"/>
  <c r="AU235" i="13"/>
  <c r="AX235" i="14" s="1"/>
  <c r="AU240" i="13"/>
  <c r="AX240" i="14" s="1"/>
  <c r="AU302" i="13"/>
  <c r="AX302" i="14" s="1"/>
  <c r="AU228" i="13"/>
  <c r="AX228" i="14" s="1"/>
  <c r="AU22" i="13"/>
  <c r="AX22" i="14" s="1"/>
  <c r="AU33" i="13"/>
  <c r="AX33" i="14" s="1"/>
  <c r="AU178" i="13"/>
  <c r="AX178" i="14" s="1"/>
  <c r="AU161" i="13"/>
  <c r="AX161" i="14" s="1"/>
  <c r="AU289" i="13"/>
  <c r="AX289" i="14" s="1"/>
  <c r="AU108" i="13"/>
  <c r="AX108" i="14" s="1"/>
  <c r="AU124" i="13"/>
  <c r="AX124" i="14" s="1"/>
  <c r="AU354" i="13"/>
  <c r="AX354" i="14" s="1"/>
  <c r="AU145" i="13"/>
  <c r="AX145" i="14" s="1"/>
  <c r="AU187" i="13"/>
  <c r="AX187" i="14" s="1"/>
  <c r="AU278" i="13"/>
  <c r="AX278" i="14" s="1"/>
  <c r="AU39" i="13"/>
  <c r="AX39" i="14" s="1"/>
  <c r="AU70" i="13"/>
  <c r="AX70" i="14" s="1"/>
  <c r="AU154" i="13"/>
  <c r="AX154" i="14" s="1"/>
  <c r="AU82" i="13"/>
  <c r="AX82" i="14" s="1"/>
  <c r="AU327" i="13"/>
  <c r="AX327" i="14" s="1"/>
  <c r="AU360" i="13"/>
  <c r="AX360" i="14" s="1"/>
  <c r="AU122" i="13"/>
  <c r="AX122" i="14" s="1"/>
  <c r="AU279" i="13"/>
  <c r="AX279" i="14" s="1"/>
  <c r="AU158" i="13"/>
  <c r="AX158" i="14" s="1"/>
  <c r="AU175" i="13"/>
  <c r="AX175" i="14" s="1"/>
  <c r="AU97" i="13"/>
  <c r="AX97" i="14" s="1"/>
  <c r="AU102" i="13"/>
  <c r="AX102" i="14" s="1"/>
  <c r="AU359" i="13"/>
  <c r="AX359" i="14" s="1"/>
  <c r="AU159" i="13"/>
  <c r="AX159" i="14" s="1"/>
  <c r="AU83" i="13"/>
  <c r="AX83" i="14" s="1"/>
  <c r="AU238" i="13"/>
  <c r="AX238" i="14" s="1"/>
  <c r="AU173" i="13"/>
  <c r="AX173" i="14" s="1"/>
  <c r="AX313" i="14"/>
  <c r="AX314" i="14"/>
  <c r="AX4" i="14"/>
  <c r="AX5" i="14"/>
  <c r="AX204" i="14"/>
  <c r="AX203" i="14"/>
  <c r="AX14" i="14"/>
  <c r="AX15" i="14"/>
  <c r="AX13" i="14"/>
  <c r="AX12" i="14"/>
  <c r="AX80" i="14"/>
  <c r="AX81" i="14"/>
  <c r="AX140" i="14"/>
  <c r="AX141" i="14"/>
  <c r="AX287" i="14"/>
  <c r="AX288" i="14"/>
  <c r="AX319" i="14"/>
  <c r="AX318" i="14"/>
  <c r="AX348" i="14"/>
  <c r="AX349" i="14"/>
  <c r="AX90" i="14"/>
  <c r="AX91" i="14"/>
  <c r="AX285" i="14"/>
  <c r="AX286" i="14"/>
  <c r="AX68" i="14"/>
  <c r="AX69" i="14"/>
  <c r="AX64" i="14"/>
  <c r="AX63" i="14"/>
  <c r="AX209" i="14"/>
  <c r="AX210" i="14"/>
  <c r="AX18" i="14"/>
  <c r="AX19" i="14"/>
  <c r="AX335" i="14"/>
  <c r="AX336" i="14"/>
  <c r="AX331" i="14"/>
  <c r="AX330" i="14"/>
  <c r="AX206" i="14"/>
  <c r="AX205" i="14"/>
  <c r="AX197" i="14"/>
  <c r="AX198" i="14"/>
  <c r="AX345" i="14"/>
  <c r="AX346" i="14"/>
  <c r="AX148" i="14"/>
  <c r="AX149" i="14"/>
  <c r="AX258" i="14"/>
  <c r="AX257" i="14"/>
  <c r="AX28" i="14"/>
  <c r="AX29" i="14"/>
  <c r="AX310" i="14"/>
  <c r="AX309" i="14"/>
  <c r="AX291" i="14"/>
  <c r="AX290" i="14"/>
  <c r="AX207" i="14"/>
  <c r="AX208" i="14"/>
  <c r="AX86" i="14"/>
  <c r="AX87" i="14"/>
  <c r="AX17" i="14"/>
  <c r="AX16" i="14"/>
  <c r="AX9" i="14"/>
  <c r="AX8" i="14"/>
  <c r="AX191" i="14"/>
  <c r="AX192" i="14"/>
  <c r="AX324" i="14"/>
  <c r="AX325" i="14"/>
  <c r="AX201" i="14"/>
  <c r="AX202" i="14"/>
  <c r="AX10" i="14"/>
  <c r="AX11" i="14"/>
  <c r="AX200" i="14"/>
  <c r="AX199" i="14"/>
  <c r="AX305" i="14"/>
  <c r="AX306" i="14"/>
  <c r="AX273" i="14"/>
  <c r="AX274" i="14"/>
  <c r="AX193" i="14"/>
  <c r="AX194" i="14"/>
  <c r="AX275" i="14"/>
  <c r="AX276" i="14"/>
  <c r="AX271" i="14"/>
  <c r="AX272" i="14"/>
  <c r="AX189" i="14"/>
  <c r="AX190" i="14"/>
  <c r="AX37" i="14"/>
  <c r="AX38" i="14"/>
  <c r="AX320" i="14"/>
  <c r="AX321" i="14"/>
  <c r="AX358" i="14"/>
  <c r="AX357" i="14"/>
  <c r="AX269" i="14"/>
  <c r="AX270" i="14"/>
  <c r="AX184" i="14"/>
  <c r="AX185" i="14"/>
  <c r="AX132" i="14"/>
  <c r="AX133" i="14"/>
  <c r="AX350" i="14"/>
  <c r="AX351" i="14"/>
  <c r="AX298" i="14"/>
  <c r="AX299" i="14"/>
  <c r="AX261" i="14"/>
  <c r="AX262" i="14"/>
  <c r="AX93" i="14"/>
  <c r="AX92" i="14"/>
  <c r="AX126" i="14"/>
  <c r="AX125" i="14"/>
  <c r="AX47" i="14"/>
  <c r="AX48" i="14"/>
  <c r="CA21" i="16"/>
  <c r="CA46" i="16"/>
  <c r="CA47" i="16"/>
  <c r="AD250" i="13"/>
  <c r="AD250" i="14" s="1"/>
  <c r="AF250" i="14" s="1"/>
  <c r="AD55" i="13"/>
  <c r="AD55" i="14" s="1"/>
  <c r="AD74" i="13"/>
  <c r="AD74" i="14" s="1"/>
  <c r="AD57" i="13"/>
  <c r="AD57" i="14" s="1"/>
  <c r="AD56" i="13"/>
  <c r="AD56" i="14" s="1"/>
  <c r="AD160" i="13"/>
  <c r="AD160" i="14" s="1"/>
  <c r="AD256" i="13"/>
  <c r="AD256" i="14" s="1"/>
  <c r="AD68" i="13"/>
  <c r="AD203" i="13"/>
  <c r="AD39" i="13"/>
  <c r="AD39" i="14" s="1"/>
  <c r="AD201" i="13"/>
  <c r="AD142" i="13"/>
  <c r="AD142" i="14" s="1"/>
  <c r="AD211" i="13"/>
  <c r="AD211" i="14" s="1"/>
  <c r="AD63" i="13"/>
  <c r="AD246" i="13"/>
  <c r="AD246" i="14" s="1"/>
  <c r="AF246" i="14" s="1"/>
  <c r="AD97" i="13"/>
  <c r="AD97" i="14" s="1"/>
  <c r="AF97" i="14" s="1"/>
  <c r="AD216" i="13"/>
  <c r="AD216" i="14" s="1"/>
  <c r="AD236" i="13"/>
  <c r="AD236" i="14" s="1"/>
  <c r="AC235" i="13"/>
  <c r="AC235" i="14" s="1"/>
  <c r="AC155" i="13"/>
  <c r="AC155" i="14" s="1"/>
  <c r="AC329" i="13"/>
  <c r="AC329" i="14" s="1"/>
  <c r="AC290" i="13"/>
  <c r="CA19" i="16"/>
  <c r="CB45" i="16"/>
  <c r="CB48" i="16"/>
  <c r="AL179" i="14"/>
  <c r="AL352" i="13"/>
  <c r="AL14" i="13"/>
  <c r="AL69" i="13"/>
  <c r="AL158" i="13"/>
  <c r="AL341" i="13"/>
  <c r="AL222" i="13"/>
  <c r="AL236" i="13"/>
  <c r="AL204" i="13"/>
  <c r="AL184" i="13"/>
  <c r="AL59" i="13"/>
  <c r="AL373" i="13"/>
  <c r="AL250" i="13"/>
  <c r="AL340" i="13"/>
  <c r="AL126" i="13"/>
  <c r="AL313" i="13"/>
  <c r="AL334" i="13"/>
  <c r="AL220" i="13"/>
  <c r="AL81" i="13"/>
  <c r="AL207" i="13"/>
  <c r="AL125" i="13"/>
  <c r="AL19" i="13"/>
  <c r="AL61" i="13"/>
  <c r="AL163" i="13"/>
  <c r="AL192" i="13"/>
  <c r="AL24" i="13"/>
  <c r="AI357" i="14"/>
  <c r="AL30" i="13"/>
  <c r="P100" i="11"/>
  <c r="G88" i="11"/>
  <c r="X81" i="11"/>
  <c r="P89" i="11"/>
  <c r="X62" i="11"/>
  <c r="G89" i="11"/>
  <c r="G60" i="11"/>
  <c r="AL114" i="13"/>
  <c r="AG119" i="14"/>
  <c r="AL51" i="13"/>
  <c r="AL261" i="13"/>
  <c r="AL214" i="13"/>
  <c r="Y69" i="11"/>
  <c r="Q87" i="11"/>
  <c r="AG24" i="14"/>
  <c r="AG335" i="14"/>
  <c r="AI13" i="14"/>
  <c r="AI313" i="14"/>
  <c r="AL313" i="14" s="1"/>
  <c r="AL205" i="13"/>
  <c r="AL270" i="13"/>
  <c r="X66" i="11"/>
  <c r="H96" i="11"/>
  <c r="Z82" i="11"/>
  <c r="AL232" i="13"/>
  <c r="AL216" i="13"/>
  <c r="AG358" i="14"/>
  <c r="Y86" i="11"/>
  <c r="Y79" i="11"/>
  <c r="AL217" i="13"/>
  <c r="AI208" i="14"/>
  <c r="AG341" i="14"/>
  <c r="AL341" i="14" s="1"/>
  <c r="AI37" i="14"/>
  <c r="AL235" i="13"/>
  <c r="AI87" i="14"/>
  <c r="AL31" i="13"/>
  <c r="Z81" i="11"/>
  <c r="AL96" i="13"/>
  <c r="AL43" i="13"/>
  <c r="AL115" i="13"/>
  <c r="AL89" i="13"/>
  <c r="Q59" i="11"/>
  <c r="Z99" i="11"/>
  <c r="AG334" i="14"/>
  <c r="AL334" i="14" s="1"/>
  <c r="AG314" i="14"/>
  <c r="CD19" i="16"/>
  <c r="CO19" i="16" s="1"/>
  <c r="P72" i="11"/>
  <c r="CD26" i="16"/>
  <c r="CO26" i="16" s="1"/>
  <c r="CC8" i="16"/>
  <c r="CN8" i="16" s="1"/>
  <c r="CD28" i="16"/>
  <c r="CO28" i="16" s="1"/>
  <c r="CD35" i="16"/>
  <c r="CO35" i="16" s="1"/>
  <c r="CD23" i="16"/>
  <c r="CO23" i="16" s="1"/>
  <c r="P75" i="11"/>
  <c r="AL229" i="13"/>
  <c r="AI288" i="14"/>
  <c r="AI19" i="14"/>
  <c r="AG126" i="14"/>
  <c r="AG56" i="14"/>
  <c r="AL56" i="14" s="1"/>
  <c r="AI336" i="14"/>
  <c r="AL175" i="13"/>
  <c r="AL134" i="13"/>
  <c r="AL364" i="13"/>
  <c r="AI203" i="14"/>
  <c r="P73" i="11"/>
  <c r="AL131" i="13"/>
  <c r="AL107" i="13"/>
  <c r="AL211" i="13"/>
  <c r="AL277" i="13"/>
  <c r="AL48" i="13"/>
  <c r="AL179" i="13"/>
  <c r="I100" i="11"/>
  <c r="AL18" i="13"/>
  <c r="AI10" i="14"/>
  <c r="AL231" i="13"/>
  <c r="AL34" i="13"/>
  <c r="X80" i="11"/>
  <c r="X67" i="11"/>
  <c r="AG298" i="14"/>
  <c r="AI90" i="14"/>
  <c r="AG340" i="14"/>
  <c r="AG348" i="14"/>
  <c r="AL348" i="14" s="1"/>
  <c r="AI330" i="14"/>
  <c r="AL36" i="13"/>
  <c r="AI5" i="14"/>
  <c r="AL137" i="13"/>
  <c r="AL150" i="13"/>
  <c r="AL27" i="13"/>
  <c r="AL17" i="13"/>
  <c r="AI291" i="14"/>
  <c r="Z72" i="11"/>
  <c r="AI305" i="14"/>
  <c r="AL298" i="13"/>
  <c r="Q60" i="11"/>
  <c r="AL52" i="13"/>
  <c r="AL195" i="13"/>
  <c r="AL247" i="13"/>
  <c r="AL302" i="13"/>
  <c r="AL349" i="13"/>
  <c r="AL13" i="13"/>
  <c r="AL329" i="13"/>
  <c r="AG365" i="14"/>
  <c r="AL365" i="14" s="1"/>
  <c r="AG93" i="14"/>
  <c r="AG198" i="14"/>
  <c r="AL292" i="13"/>
  <c r="AG52" i="14"/>
  <c r="AL52" i="14" s="1"/>
  <c r="AL263" i="13"/>
  <c r="AL154" i="13"/>
  <c r="AL353" i="13"/>
  <c r="AG349" i="14"/>
  <c r="AG206" i="14"/>
  <c r="AL74" i="13"/>
  <c r="AL345" i="13"/>
  <c r="AL15" i="13"/>
  <c r="AG63" i="14"/>
  <c r="AL312" i="13"/>
  <c r="AL243" i="13"/>
  <c r="AL339" i="13"/>
  <c r="AL320" i="13"/>
  <c r="AG202" i="14"/>
  <c r="AG37" i="14"/>
  <c r="AG351" i="14"/>
  <c r="AL40" i="13"/>
  <c r="AL101" i="13"/>
  <c r="AL171" i="13"/>
  <c r="AG352" i="14"/>
  <c r="AG191" i="14"/>
  <c r="AL191" i="14" s="1"/>
  <c r="AG137" i="14"/>
  <c r="AL137" i="14" s="1"/>
  <c r="AL172" i="13"/>
  <c r="AG223" i="14"/>
  <c r="AG346" i="14"/>
  <c r="AG270" i="14"/>
  <c r="AL270" i="14" s="1"/>
  <c r="AG288" i="14"/>
  <c r="AL288" i="14" s="1"/>
  <c r="AL311" i="13"/>
  <c r="AL108" i="13"/>
  <c r="AG274" i="14"/>
  <c r="AL287" i="13"/>
  <c r="AL271" i="13"/>
  <c r="AL75" i="13"/>
  <c r="AL117" i="13"/>
  <c r="AG269" i="14"/>
  <c r="AL269" i="14" s="1"/>
  <c r="AG148" i="14"/>
  <c r="AL239" i="13"/>
  <c r="AL241" i="13"/>
  <c r="AL97" i="13"/>
  <c r="AL33" i="13"/>
  <c r="AL169" i="13"/>
  <c r="AL265" i="13"/>
  <c r="AL145" i="13"/>
  <c r="AG256" i="14"/>
  <c r="AL367" i="13"/>
  <c r="AL66" i="13"/>
  <c r="AL208" i="13"/>
  <c r="AL291" i="13"/>
  <c r="AL322" i="13"/>
  <c r="AD262" i="13"/>
  <c r="AD262" i="14" s="1" a="1"/>
  <c r="AD262" i="14" s="1"/>
  <c r="AD310" i="13"/>
  <c r="AD310" i="14" s="1" a="1"/>
  <c r="AD310" i="14" s="1"/>
  <c r="AD238" i="13"/>
  <c r="AD238" i="14" s="1"/>
  <c r="AD196" i="13"/>
  <c r="AD196" i="14" s="1"/>
  <c r="AD24" i="13"/>
  <c r="AD24" i="14" s="1"/>
  <c r="AF24" i="14" s="1"/>
  <c r="AD254" i="13"/>
  <c r="AD254" i="14" s="1"/>
  <c r="AF254" i="14" s="1"/>
  <c r="AD118" i="13"/>
  <c r="AD118" i="14" s="1"/>
  <c r="AD374" i="13"/>
  <c r="AD374" i="14" s="1"/>
  <c r="AD296" i="13"/>
  <c r="AD296" i="14" s="1"/>
  <c r="AD175" i="13"/>
  <c r="AD175" i="14" s="1"/>
  <c r="AD362" i="13"/>
  <c r="AD362" i="14" s="1"/>
  <c r="AD363" i="13"/>
  <c r="AD363" i="14" s="1"/>
  <c r="AD143" i="13"/>
  <c r="AD143" i="14" s="1"/>
  <c r="AD159" i="13"/>
  <c r="AD159" i="14" s="1"/>
  <c r="AD343" i="13"/>
  <c r="AD343" i="14" s="1"/>
  <c r="AD365" i="13"/>
  <c r="AD365" i="14" s="1"/>
  <c r="AD121" i="13"/>
  <c r="AD121" i="14" s="1"/>
  <c r="AD22" i="13"/>
  <c r="AD22" i="14" s="1"/>
  <c r="AD220" i="13"/>
  <c r="AD220" i="14" s="1"/>
  <c r="AF220" i="14" s="1"/>
  <c r="AD328" i="13"/>
  <c r="AD328" i="14" s="1"/>
  <c r="AF328" i="14" s="1"/>
  <c r="AD178" i="13"/>
  <c r="AD178" i="14" s="1"/>
  <c r="AD98" i="13"/>
  <c r="AD98" i="14" s="1"/>
  <c r="AD165" i="13"/>
  <c r="AD165" i="14" s="1"/>
  <c r="AD372" i="13"/>
  <c r="AD372" i="14" s="1"/>
  <c r="AD95" i="13"/>
  <c r="AD95" i="14" s="1"/>
  <c r="AD309" i="13"/>
  <c r="AD135" i="13"/>
  <c r="AD135" i="14" s="1"/>
  <c r="AD28" i="13"/>
  <c r="U262" i="13"/>
  <c r="W262" i="13" s="1"/>
  <c r="AD157" i="13"/>
  <c r="AD157" i="14" s="1"/>
  <c r="AD93" i="13"/>
  <c r="AD93" i="14" s="1" a="1"/>
  <c r="AD93" i="14" s="1"/>
  <c r="AD64" i="13"/>
  <c r="AD64" i="14" s="1" a="1"/>
  <c r="AD64" i="14" s="1"/>
  <c r="AD209" i="13"/>
  <c r="AD208" i="14" s="1" a="1"/>
  <c r="AD208" i="14" s="1"/>
  <c r="AD321" i="13"/>
  <c r="AD321" i="14" s="1" a="1"/>
  <c r="AD321" i="14" s="1"/>
  <c r="AD99" i="13"/>
  <c r="AD99" i="14" s="1"/>
  <c r="AD65" i="13"/>
  <c r="AD65" i="14" s="1"/>
  <c r="AD107" i="13"/>
  <c r="AD107" i="14" s="1"/>
  <c r="AD303" i="13"/>
  <c r="AD303" i="14" s="1"/>
  <c r="AD317" i="13"/>
  <c r="AD317" i="14" s="1"/>
  <c r="AD239" i="13"/>
  <c r="AD239" i="14" s="1"/>
  <c r="AD344" i="13"/>
  <c r="AD344" i="14" s="1"/>
  <c r="AD60" i="13"/>
  <c r="AD60" i="14" s="1"/>
  <c r="AF60" i="14" s="1"/>
  <c r="AD102" i="13"/>
  <c r="AD102" i="14" s="1"/>
  <c r="AD120" i="13"/>
  <c r="AD120" i="14" s="1"/>
  <c r="AD360" i="13"/>
  <c r="AD360" i="14" s="1"/>
  <c r="AF360" i="14" s="1"/>
  <c r="AD247" i="13"/>
  <c r="AD247" i="14" s="1"/>
  <c r="AF247" i="14" s="1"/>
  <c r="AD293" i="13"/>
  <c r="AD293" i="14" s="1"/>
  <c r="AF293" i="14" s="1"/>
  <c r="CD30" i="16"/>
  <c r="CO30" i="16" s="1"/>
  <c r="CD39" i="16"/>
  <c r="CO39" i="16" s="1"/>
  <c r="CD31" i="16"/>
  <c r="CO31" i="16" s="1"/>
  <c r="CD33" i="16"/>
  <c r="CO33" i="16" s="1"/>
  <c r="CD12" i="16"/>
  <c r="CO12" i="16" s="1"/>
  <c r="CD21" i="16"/>
  <c r="CO21" i="16" s="1"/>
  <c r="CO11" i="16"/>
  <c r="CD29" i="16"/>
  <c r="CO29" i="16" s="1"/>
  <c r="CD27" i="16"/>
  <c r="CO27" i="16" s="1"/>
  <c r="CD13" i="16"/>
  <c r="CO13" i="16" s="1"/>
  <c r="CD32" i="16"/>
  <c r="CO32" i="16" s="1"/>
  <c r="CD20" i="16"/>
  <c r="CO20" i="16" s="1"/>
  <c r="CD38" i="16"/>
  <c r="CO38" i="16" s="1"/>
  <c r="CD24" i="16"/>
  <c r="CO24" i="16" s="1"/>
  <c r="CD17" i="16"/>
  <c r="CO17" i="16" s="1"/>
  <c r="AL323" i="14"/>
  <c r="AL216" i="14"/>
  <c r="AL43" i="14"/>
  <c r="AD285" i="13"/>
  <c r="AD348" i="13"/>
  <c r="AD371" i="13"/>
  <c r="AD370" i="14" s="1"/>
  <c r="AD197" i="13"/>
  <c r="AD287" i="13"/>
  <c r="AD282" i="13"/>
  <c r="AD282" i="14" s="1"/>
  <c r="AD75" i="13"/>
  <c r="AD75" i="14" s="1"/>
  <c r="AL31" i="14"/>
  <c r="AD295" i="13"/>
  <c r="AD295" i="14" s="1"/>
  <c r="AF295" i="14" s="1"/>
  <c r="AD4" i="13"/>
  <c r="AD229" i="13"/>
  <c r="AD229" i="14" s="1"/>
  <c r="AD88" i="13"/>
  <c r="AD88" i="14" s="1"/>
  <c r="AD113" i="13"/>
  <c r="AD113" i="14" s="1"/>
  <c r="AD184" i="13"/>
  <c r="AD8" i="13"/>
  <c r="AD11" i="13"/>
  <c r="AD13" i="13"/>
  <c r="AD189" i="13"/>
  <c r="AD126" i="13"/>
  <c r="AD126" i="14" s="1" a="1"/>
  <c r="AD126" i="14" s="1"/>
  <c r="AD305" i="13"/>
  <c r="AD128" i="13"/>
  <c r="AD128" i="14" s="1"/>
  <c r="AD84" i="13"/>
  <c r="AD84" i="14" s="1"/>
  <c r="AD47" i="13"/>
  <c r="AL174" i="14"/>
  <c r="AD198" i="13"/>
  <c r="AD226" i="13"/>
  <c r="AD226" i="14" s="1"/>
  <c r="AD335" i="13"/>
  <c r="AD314" i="13"/>
  <c r="AD314" i="14" s="1" a="1"/>
  <c r="AD314" i="14" s="1"/>
  <c r="AD294" i="13"/>
  <c r="AD294" i="14" s="1"/>
  <c r="AD91" i="13"/>
  <c r="AD298" i="13"/>
  <c r="AD313" i="13"/>
  <c r="AD270" i="13"/>
  <c r="AD199" i="13"/>
  <c r="AD299" i="13"/>
  <c r="AD299" i="14" s="1" a="1"/>
  <c r="AD299" i="14" s="1"/>
  <c r="AD86" i="13"/>
  <c r="AD194" i="13"/>
  <c r="AD194" i="14" s="1" a="1"/>
  <c r="AD194" i="14" s="1"/>
  <c r="AD90" i="13"/>
  <c r="AD271" i="13"/>
  <c r="AD7" i="13"/>
  <c r="AD7" i="14" s="1"/>
  <c r="AD14" i="13"/>
  <c r="AD272" i="13"/>
  <c r="AD319" i="13"/>
  <c r="AD319" i="14" s="1" a="1"/>
  <c r="AD319" i="14" s="1"/>
  <c r="AD92" i="13"/>
  <c r="AD91" i="14" s="1" a="1"/>
  <c r="AD91" i="14" s="1"/>
  <c r="AD193" i="13"/>
  <c r="AD148" i="13"/>
  <c r="AD12" i="13"/>
  <c r="AD132" i="13"/>
  <c r="AD269" i="13"/>
  <c r="AD127" i="13"/>
  <c r="AD127" i="14" s="1"/>
  <c r="AD80" i="13"/>
  <c r="AD125" i="13"/>
  <c r="AD290" i="13"/>
  <c r="AD320" i="13"/>
  <c r="AD324" i="13"/>
  <c r="AD52" i="13"/>
  <c r="AD52" i="14" s="1"/>
  <c r="AD357" i="13"/>
  <c r="AD318" i="13"/>
  <c r="AD200" i="13"/>
  <c r="AD330" i="13"/>
  <c r="AD140" i="13"/>
  <c r="AL240" i="14"/>
  <c r="AL233" i="14"/>
  <c r="AD10" i="13"/>
  <c r="AD257" i="13"/>
  <c r="AD261" i="13"/>
  <c r="AD202" i="13"/>
  <c r="AD37" i="13"/>
  <c r="AL49" i="14"/>
  <c r="AL171" i="14"/>
  <c r="AD191" i="13"/>
  <c r="AD89" i="13"/>
  <c r="AD89" i="14" s="1"/>
  <c r="AD138" i="13"/>
  <c r="AD138" i="14" s="1"/>
  <c r="AD345" i="13"/>
  <c r="AD350" i="13"/>
  <c r="AD349" i="14" s="1" a="1"/>
  <c r="AD349" i="14" s="1"/>
  <c r="AL250" i="14"/>
  <c r="AL51" i="14"/>
  <c r="AL297" i="14"/>
  <c r="AL223" i="14"/>
  <c r="AL239" i="14"/>
  <c r="AL147" i="14"/>
  <c r="AL188" i="14"/>
  <c r="AL355" i="14"/>
  <c r="AL303" i="14"/>
  <c r="AL35" i="14"/>
  <c r="AL374" i="14"/>
  <c r="AL99" i="14"/>
  <c r="AL151" i="14"/>
  <c r="AL103" i="14"/>
  <c r="AL294" i="14"/>
  <c r="AL60" i="14"/>
  <c r="AL34" i="14"/>
  <c r="AL301" i="14"/>
  <c r="AL21" i="14"/>
  <c r="AL145" i="14"/>
  <c r="AL71" i="14"/>
  <c r="AL177" i="14"/>
  <c r="AL282" i="14"/>
  <c r="AL129" i="14"/>
  <c r="AL368" i="14"/>
  <c r="AL108" i="14"/>
  <c r="AL361" i="14"/>
  <c r="AG325" i="14"/>
  <c r="AL325" i="14" s="1"/>
  <c r="R65" i="14"/>
  <c r="R83" i="14"/>
  <c r="F120" i="18" a="1"/>
  <c r="F120" i="18" s="1"/>
  <c r="AL297" i="13"/>
  <c r="AL123" i="13"/>
  <c r="AL303" i="13"/>
  <c r="AL35" i="13"/>
  <c r="AG89" i="14"/>
  <c r="AL10" i="13"/>
  <c r="AL361" i="13"/>
  <c r="AL233" i="13"/>
  <c r="AL122" i="13"/>
  <c r="AL175" i="14"/>
  <c r="AG133" i="14"/>
  <c r="AG28" i="14"/>
  <c r="AL28" i="14" s="1"/>
  <c r="AL22" i="13"/>
  <c r="AG182" i="14"/>
  <c r="AL182" i="14" s="1"/>
  <c r="AL134" i="14"/>
  <c r="AL304" i="13"/>
  <c r="AL226" i="14"/>
  <c r="AL77" i="13"/>
  <c r="AG211" i="14"/>
  <c r="AL135" i="13"/>
  <c r="AG306" i="14"/>
  <c r="AL306" i="14" s="1"/>
  <c r="AG208" i="14"/>
  <c r="AL208" i="14" s="1"/>
  <c r="AL253" i="13"/>
  <c r="AL54" i="14"/>
  <c r="AG285" i="14"/>
  <c r="AG246" i="14"/>
  <c r="AL246" i="14" s="1"/>
  <c r="AL347" i="13"/>
  <c r="AL73" i="14"/>
  <c r="AL252" i="14"/>
  <c r="AL21" i="13"/>
  <c r="AG13" i="14"/>
  <c r="AL289" i="13"/>
  <c r="AL209" i="13"/>
  <c r="AL289" i="14"/>
  <c r="AL36" i="14"/>
  <c r="AL77" i="14"/>
  <c r="AG271" i="14"/>
  <c r="AL369" i="13"/>
  <c r="AL226" i="13"/>
  <c r="AG190" i="14"/>
  <c r="AG207" i="14"/>
  <c r="AL207" i="14" s="1"/>
  <c r="AL324" i="13"/>
  <c r="AL222" i="14"/>
  <c r="AG17" i="14"/>
  <c r="AL17" i="14" s="1"/>
  <c r="AG9" i="14"/>
  <c r="AL9" i="14" s="1"/>
  <c r="AG158" i="14"/>
  <c r="AL73" i="13"/>
  <c r="AG276" i="14"/>
  <c r="AL276" i="14" s="1"/>
  <c r="AG141" i="14"/>
  <c r="AL47" i="13"/>
  <c r="AL9" i="13"/>
  <c r="AG321" i="14"/>
  <c r="AL57" i="14"/>
  <c r="AL113" i="14"/>
  <c r="AL314" i="13"/>
  <c r="BF29" i="16"/>
  <c r="CB29" i="16" s="1"/>
  <c r="BA28" i="16"/>
  <c r="BA26" i="16"/>
  <c r="BE29" i="16"/>
  <c r="CA29" i="16" s="1"/>
  <c r="BA29" i="16"/>
  <c r="BC28" i="16"/>
  <c r="AX28" i="16"/>
  <c r="BB28" i="16"/>
  <c r="BB27" i="16"/>
  <c r="BB26" i="16"/>
  <c r="AY27" i="16"/>
  <c r="BD29" i="16"/>
  <c r="AY29" i="16"/>
  <c r="AX29" i="16"/>
  <c r="BC27" i="16"/>
  <c r="BF28" i="16"/>
  <c r="CB28" i="16" s="1"/>
  <c r="BE28" i="16"/>
  <c r="CA28" i="16" s="1"/>
  <c r="AZ29" i="16"/>
  <c r="BC26" i="16"/>
  <c r="BD27" i="16"/>
  <c r="BE26" i="16"/>
  <c r="CA26" i="16" s="1"/>
  <c r="BD28" i="16"/>
  <c r="BB29" i="16"/>
  <c r="AY26" i="16"/>
  <c r="BA27" i="16"/>
  <c r="BE27" i="16"/>
  <c r="CA27" i="16" s="1"/>
  <c r="AZ28" i="16"/>
  <c r="BD26" i="16"/>
  <c r="AZ27" i="16"/>
  <c r="BF26" i="16"/>
  <c r="CB26" i="16" s="1"/>
  <c r="AY28" i="16"/>
  <c r="BC29" i="16"/>
  <c r="AX27" i="16"/>
  <c r="AX26" i="16"/>
  <c r="BF27" i="16"/>
  <c r="CB27" i="16" s="1"/>
  <c r="AZ26" i="16"/>
  <c r="AZ40" i="16"/>
  <c r="AZ39" i="16"/>
  <c r="AX38" i="16"/>
  <c r="BD40" i="16"/>
  <c r="BC39" i="16"/>
  <c r="BC40" i="16"/>
  <c r="BA40" i="16"/>
  <c r="BC38" i="16"/>
  <c r="BF40" i="16"/>
  <c r="CB40" i="16" s="1"/>
  <c r="AY39" i="16"/>
  <c r="BE39" i="16"/>
  <c r="CA39" i="16" s="1"/>
  <c r="BE40" i="16"/>
  <c r="CA40" i="16" s="1"/>
  <c r="BB38" i="16"/>
  <c r="BE38" i="16"/>
  <c r="CA38" i="16" s="1"/>
  <c r="BB40" i="16"/>
  <c r="BB39" i="16"/>
  <c r="AX40" i="16"/>
  <c r="BF39" i="16"/>
  <c r="CB39" i="16" s="1"/>
  <c r="AY38" i="16"/>
  <c r="AX39" i="16"/>
  <c r="AZ38" i="16"/>
  <c r="BA38" i="16"/>
  <c r="BD39" i="16"/>
  <c r="BD38" i="16"/>
  <c r="BF38" i="16"/>
  <c r="CB38" i="16" s="1"/>
  <c r="BA39" i="16"/>
  <c r="AY40" i="16"/>
  <c r="BD25" i="16"/>
  <c r="BF23" i="16"/>
  <c r="CB23" i="16" s="1"/>
  <c r="AY22" i="16"/>
  <c r="BC25" i="16"/>
  <c r="BF22" i="16"/>
  <c r="CB22" i="16" s="1"/>
  <c r="AX22" i="16"/>
  <c r="BA25" i="16"/>
  <c r="BA22" i="16"/>
  <c r="AZ24" i="16"/>
  <c r="AZ23" i="16"/>
  <c r="BA23" i="16"/>
  <c r="BE24" i="16"/>
  <c r="CA24" i="16" s="1"/>
  <c r="AX24" i="16"/>
  <c r="BE23" i="16"/>
  <c r="CA23" i="16" s="1"/>
  <c r="AY23" i="16"/>
  <c r="BC23" i="16"/>
  <c r="BF25" i="16"/>
  <c r="CB25" i="16" s="1"/>
  <c r="BE25" i="16"/>
  <c r="CA25" i="16" s="1"/>
  <c r="BB25" i="16"/>
  <c r="BE22" i="16"/>
  <c r="CA22" i="16" s="1"/>
  <c r="BC22" i="16"/>
  <c r="BB22" i="16"/>
  <c r="AZ25" i="16"/>
  <c r="AZ22" i="16"/>
  <c r="BC24" i="16"/>
  <c r="AY24" i="16"/>
  <c r="BB23" i="16"/>
  <c r="BF24" i="16"/>
  <c r="CB24" i="16" s="1"/>
  <c r="AX25" i="16"/>
  <c r="BB24" i="16"/>
  <c r="BD22" i="16"/>
  <c r="BA24" i="16"/>
  <c r="AY25" i="16"/>
  <c r="BD24" i="16"/>
  <c r="BD23" i="16"/>
  <c r="AX23" i="16"/>
  <c r="AY34" i="16"/>
  <c r="BD34" i="16"/>
  <c r="AX34" i="16"/>
  <c r="BF34" i="16"/>
  <c r="CB34" i="16" s="1"/>
  <c r="AZ34" i="16"/>
  <c r="BB34" i="16"/>
  <c r="BC34" i="16"/>
  <c r="BA34" i="16"/>
  <c r="BE34" i="16"/>
  <c r="CA34" i="16" s="1"/>
  <c r="BA36" i="16"/>
  <c r="AZ36" i="16"/>
  <c r="AY35" i="16"/>
  <c r="BA35" i="16"/>
  <c r="BD37" i="16"/>
  <c r="BC35" i="16"/>
  <c r="BD35" i="16"/>
  <c r="BB36" i="16"/>
  <c r="BF35" i="16"/>
  <c r="CB35" i="16" s="1"/>
  <c r="BE37" i="16"/>
  <c r="CA37" i="16" s="1"/>
  <c r="AX37" i="16"/>
  <c r="AZ35" i="16"/>
  <c r="BC37" i="16"/>
  <c r="BC36" i="16"/>
  <c r="AZ37" i="16"/>
  <c r="BF37" i="16"/>
  <c r="CB37" i="16" s="1"/>
  <c r="AX36" i="16"/>
  <c r="BD36" i="16"/>
  <c r="AX35" i="16"/>
  <c r="BB35" i="16"/>
  <c r="BB37" i="16"/>
  <c r="BA37" i="16"/>
  <c r="BF36" i="16"/>
  <c r="CB36" i="16" s="1"/>
  <c r="AY37" i="16"/>
  <c r="AY36" i="16"/>
  <c r="BE36" i="16"/>
  <c r="CA36" i="16" s="1"/>
  <c r="BE35" i="16"/>
  <c r="CA35" i="16" s="1"/>
  <c r="BB33" i="16"/>
  <c r="BC33" i="16"/>
  <c r="AY33" i="16"/>
  <c r="BA33" i="16"/>
  <c r="BD33" i="16"/>
  <c r="BE33" i="16"/>
  <c r="CA33" i="16" s="1"/>
  <c r="BF33" i="16"/>
  <c r="CB33" i="16" s="1"/>
  <c r="AX33" i="16"/>
  <c r="AZ33" i="16"/>
  <c r="AY32" i="16"/>
  <c r="AZ31" i="16"/>
  <c r="AZ32" i="16"/>
  <c r="BD32" i="16"/>
  <c r="BE32" i="16"/>
  <c r="CA32" i="16" s="1"/>
  <c r="BF32" i="16"/>
  <c r="CB32" i="16" s="1"/>
  <c r="BD31" i="16"/>
  <c r="BA31" i="16"/>
  <c r="AY31" i="16"/>
  <c r="BE30" i="16"/>
  <c r="CA30" i="16" s="1"/>
  <c r="BC31" i="16"/>
  <c r="BB31" i="16"/>
  <c r="BA32" i="16"/>
  <c r="AX31" i="16"/>
  <c r="BC32" i="16"/>
  <c r="BA30" i="16"/>
  <c r="BB30" i="16"/>
  <c r="BF31" i="16"/>
  <c r="CB31" i="16" s="1"/>
  <c r="BD30" i="16"/>
  <c r="BF30" i="16"/>
  <c r="CB30" i="16" s="1"/>
  <c r="BB32" i="16"/>
  <c r="AX30" i="16"/>
  <c r="AY30" i="16"/>
  <c r="AZ30" i="16"/>
  <c r="BC30" i="16"/>
  <c r="BE31" i="16"/>
  <c r="CA31" i="16" s="1"/>
  <c r="AX32" i="16"/>
  <c r="P117" i="18" a="1"/>
  <c r="P117" i="18" s="1"/>
  <c r="P169" i="18" a="1"/>
  <c r="P169" i="18" s="1"/>
  <c r="G126" i="18" a="1"/>
  <c r="G126" i="18" s="1"/>
  <c r="G175" i="18" a="1"/>
  <c r="G175" i="18" s="1"/>
  <c r="G214" i="18" a="1"/>
  <c r="G214" i="18" s="1"/>
  <c r="G26" i="18" a="1"/>
  <c r="G26" i="18" s="1"/>
  <c r="G81" i="18" a="1"/>
  <c r="G81" i="18" s="1"/>
  <c r="G134" i="18" a="1"/>
  <c r="G134" i="18" s="1"/>
  <c r="G183" i="18" a="1"/>
  <c r="G183" i="18" s="1"/>
  <c r="G238" i="18" a="1"/>
  <c r="G238" i="18" s="1"/>
  <c r="G36" i="18" a="1"/>
  <c r="G36" i="18" s="1"/>
  <c r="G91" i="18" a="1"/>
  <c r="G91" i="18" s="1"/>
  <c r="G118" i="18" a="1"/>
  <c r="G118" i="18" s="1"/>
  <c r="G153" i="18" a="1"/>
  <c r="G153" i="18" s="1"/>
  <c r="G192" i="18" a="1"/>
  <c r="G192" i="18" s="1"/>
  <c r="G233" i="18" a="1"/>
  <c r="G233" i="18" s="1"/>
  <c r="G45" i="18" a="1"/>
  <c r="G45" i="18" s="1"/>
  <c r="G112" i="18" a="1"/>
  <c r="G112" i="18" s="1"/>
  <c r="G161" i="18" a="1"/>
  <c r="G161" i="18" s="1"/>
  <c r="G200" i="18" a="1"/>
  <c r="G200" i="18" s="1"/>
  <c r="G12" i="18" a="1"/>
  <c r="G12" i="18" s="1"/>
  <c r="G67" i="18" a="1"/>
  <c r="G67" i="18" s="1"/>
  <c r="G122" i="18" a="1"/>
  <c r="G122" i="18" s="1"/>
  <c r="G171" i="18" a="1"/>
  <c r="G171" i="18" s="1"/>
  <c r="G224" i="18" a="1"/>
  <c r="G224" i="18" s="1"/>
  <c r="G22" i="18" a="1"/>
  <c r="G22" i="18" s="1"/>
  <c r="G77" i="18" a="1"/>
  <c r="G77" i="18" s="1"/>
  <c r="G104" i="18" a="1"/>
  <c r="G104" i="18" s="1"/>
  <c r="G142" i="18" a="1"/>
  <c r="G142" i="18" s="1"/>
  <c r="G180" i="18" a="1"/>
  <c r="G180" i="18" s="1"/>
  <c r="G219" i="18" a="1"/>
  <c r="G219" i="18" s="1"/>
  <c r="G31" i="18" a="1"/>
  <c r="G31" i="18" s="1"/>
  <c r="G72" i="18" a="1"/>
  <c r="G72" i="18" s="1"/>
  <c r="G98" i="18" a="1"/>
  <c r="G98" i="18" s="1"/>
  <c r="G137" i="18" a="1"/>
  <c r="G137" i="18" s="1"/>
  <c r="G186" i="18" a="1"/>
  <c r="G186" i="18" s="1"/>
  <c r="G241" i="18" a="1"/>
  <c r="G241" i="18" s="1"/>
  <c r="G53" i="18" a="1"/>
  <c r="G53" i="18" s="1"/>
  <c r="G108" i="18" a="1"/>
  <c r="G108" i="18" s="1"/>
  <c r="G157" i="18" a="1"/>
  <c r="G157" i="18" s="1"/>
  <c r="G210" i="18" a="1"/>
  <c r="G210" i="18" s="1"/>
  <c r="G8" i="18" a="1"/>
  <c r="G8" i="18" s="1"/>
  <c r="G63" i="18" a="1"/>
  <c r="G63" i="18" s="1"/>
  <c r="G90" i="18" a="1"/>
  <c r="G90" i="18" s="1"/>
  <c r="G129" i="18" a="1"/>
  <c r="G129" i="18" s="1"/>
  <c r="G166" i="18" a="1"/>
  <c r="G166" i="18" s="1"/>
  <c r="G205" i="18" a="1"/>
  <c r="G205" i="18" s="1"/>
  <c r="G17" i="18" a="1"/>
  <c r="G17" i="18" s="1"/>
  <c r="G58" i="18" a="1"/>
  <c r="G58" i="18" s="1"/>
  <c r="G244" i="18" a="1"/>
  <c r="G244" i="18" s="1"/>
  <c r="G42" i="18" a="1"/>
  <c r="G42" i="18" s="1"/>
  <c r="G83" i="18" a="1"/>
  <c r="G83" i="18" s="1"/>
  <c r="G136" i="18" a="1"/>
  <c r="G136" i="18" s="1"/>
  <c r="G185" i="18" a="1"/>
  <c r="G185" i="18" s="1"/>
  <c r="G240" i="18" a="1"/>
  <c r="G240" i="18" s="1"/>
  <c r="G52" i="18" a="1"/>
  <c r="G52" i="18" s="1"/>
  <c r="G107" i="18" a="1"/>
  <c r="G107" i="18" s="1"/>
  <c r="G156" i="18" a="1"/>
  <c r="G156" i="18" s="1"/>
  <c r="G195" i="18" a="1"/>
  <c r="G195" i="18" s="1"/>
  <c r="G236" i="18" a="1"/>
  <c r="G236" i="18" s="1"/>
  <c r="G34" i="18" a="1"/>
  <c r="G34" i="18" s="1"/>
  <c r="G75" i="18" a="1"/>
  <c r="G75" i="18" s="1"/>
  <c r="G148" i="18" a="1"/>
  <c r="G148" i="18" s="1"/>
  <c r="G187" i="18" a="1"/>
  <c r="G187" i="18" s="1"/>
  <c r="G228" i="18" a="1"/>
  <c r="G228" i="18" s="1"/>
  <c r="G40" i="18" a="1"/>
  <c r="G40" i="18" s="1"/>
  <c r="G95" i="18" a="1"/>
  <c r="G95" i="18" s="1"/>
  <c r="G145" i="18" a="1"/>
  <c r="G145" i="18" s="1"/>
  <c r="G197" i="18" a="1"/>
  <c r="G197" i="18" s="1"/>
  <c r="G9" i="18" a="1"/>
  <c r="G9" i="18" s="1"/>
  <c r="G50" i="18" a="1"/>
  <c r="G50" i="18" s="1"/>
  <c r="G105" i="18" a="1"/>
  <c r="G105" i="18" s="1"/>
  <c r="G130" i="18" a="1"/>
  <c r="G130" i="18" s="1"/>
  <c r="G167" i="18" a="1"/>
  <c r="G167" i="18" s="1"/>
  <c r="G206" i="18" a="1"/>
  <c r="G206" i="18" s="1"/>
  <c r="G18" i="18" a="1"/>
  <c r="G18" i="18" s="1"/>
  <c r="G59" i="18" a="1"/>
  <c r="G59" i="18" s="1"/>
  <c r="G229" i="18" a="1"/>
  <c r="G229" i="18" s="1"/>
  <c r="G147" i="18" a="1"/>
  <c r="G147" i="18" s="1"/>
  <c r="G123" i="18" a="1"/>
  <c r="G123" i="18" s="1"/>
  <c r="G38" i="18" a="1"/>
  <c r="G38" i="18" s="1"/>
  <c r="G23" i="18" a="1"/>
  <c r="G23" i="18" s="1"/>
  <c r="G169" i="18" a="1"/>
  <c r="G169" i="18" s="1"/>
  <c r="G76" i="18" a="1"/>
  <c r="G76" i="18" s="1"/>
  <c r="G33" i="18" a="1"/>
  <c r="G33" i="18" s="1"/>
  <c r="G191" i="18" a="1"/>
  <c r="G191" i="18" s="1"/>
  <c r="G178" i="18" a="1"/>
  <c r="G178" i="18" s="1"/>
  <c r="G203" i="18" a="1"/>
  <c r="G203" i="18" s="1"/>
  <c r="G15" i="18" a="1"/>
  <c r="G15" i="18" s="1"/>
  <c r="G215" i="18" a="1"/>
  <c r="G215" i="18" s="1"/>
  <c r="G124" i="18" a="1"/>
  <c r="G124" i="18" s="1"/>
  <c r="G109" i="18" a="1"/>
  <c r="G109" i="18" s="1"/>
  <c r="G24" i="18" a="1"/>
  <c r="G24" i="18" s="1"/>
  <c r="G196" i="18" a="1"/>
  <c r="G196" i="18" s="1"/>
  <c r="G155" i="18" a="1"/>
  <c r="G155" i="18" s="1"/>
  <c r="G62" i="18" a="1"/>
  <c r="G62" i="18" s="1"/>
  <c r="G19" i="18" a="1"/>
  <c r="G19" i="18" s="1"/>
  <c r="G179" i="18" a="1"/>
  <c r="G179" i="18" s="1"/>
  <c r="G164" i="18" a="1"/>
  <c r="G164" i="18" s="1"/>
  <c r="G189" i="18" a="1"/>
  <c r="G189" i="18" s="1"/>
  <c r="G230" i="18" a="1"/>
  <c r="G230" i="18" s="1"/>
  <c r="G201" i="18" a="1"/>
  <c r="G201" i="18" s="1"/>
  <c r="G110" i="18" a="1"/>
  <c r="G110" i="18" s="1"/>
  <c r="G39" i="18" a="1"/>
  <c r="G39" i="18" s="1"/>
  <c r="G10" i="18" a="1"/>
  <c r="G10" i="18" s="1"/>
  <c r="G182" i="18" a="1"/>
  <c r="G182" i="18" s="1"/>
  <c r="G143" i="18" a="1"/>
  <c r="G143" i="18" s="1"/>
  <c r="G48" i="18" a="1"/>
  <c r="G48" i="18" s="1"/>
  <c r="G234" i="18" a="1"/>
  <c r="G234" i="18" s="1"/>
  <c r="G165" i="18" a="1"/>
  <c r="G165" i="18" s="1"/>
  <c r="G150" i="18" a="1"/>
  <c r="G150" i="18" s="1"/>
  <c r="G177" i="18" a="1"/>
  <c r="G177" i="18" s="1"/>
  <c r="G216" i="18" a="1"/>
  <c r="G216" i="18" s="1"/>
  <c r="G125" i="18" a="1"/>
  <c r="G125" i="18" s="1"/>
  <c r="G96" i="18" a="1"/>
  <c r="G96" i="18" s="1"/>
  <c r="G25" i="18" a="1"/>
  <c r="G25" i="18" s="1"/>
  <c r="G239" i="18" a="1"/>
  <c r="G239" i="18" s="1"/>
  <c r="G170" i="18" a="1"/>
  <c r="G170" i="18" s="1"/>
  <c r="G131" i="18" a="1"/>
  <c r="G131" i="18" s="1"/>
  <c r="G20" i="18" a="1"/>
  <c r="G20" i="18" s="1"/>
  <c r="G220" i="18" a="1"/>
  <c r="G220" i="18" s="1"/>
  <c r="G151" i="18" a="1"/>
  <c r="G151" i="18" s="1"/>
  <c r="G139" i="18" a="1"/>
  <c r="G139" i="18" s="1"/>
  <c r="G163" i="18" a="1"/>
  <c r="G163" i="18" s="1"/>
  <c r="G202" i="18" a="1"/>
  <c r="G202" i="18" s="1"/>
  <c r="G111" i="18" a="1"/>
  <c r="G111" i="18" s="1"/>
  <c r="G82" i="18" a="1"/>
  <c r="G82" i="18" s="1"/>
  <c r="G11" i="18" a="1"/>
  <c r="G11" i="18" s="1"/>
  <c r="G225" i="18" a="1"/>
  <c r="G225" i="18" s="1"/>
  <c r="G132" i="18" a="1"/>
  <c r="G132" i="18" s="1"/>
  <c r="G119" i="18" a="1"/>
  <c r="G119" i="18" s="1"/>
  <c r="G235" i="18" a="1"/>
  <c r="G235" i="18" s="1"/>
  <c r="G152" i="18" a="1"/>
  <c r="G152" i="18" s="1"/>
  <c r="G140" i="18" a="1"/>
  <c r="G140" i="18" s="1"/>
  <c r="G3" i="18" a="1"/>
  <c r="G3" i="18" s="1"/>
  <c r="G149" i="18" a="1"/>
  <c r="G149" i="18" s="1"/>
  <c r="G188" i="18" a="1"/>
  <c r="G188" i="18" s="1"/>
  <c r="G97" i="18" a="1"/>
  <c r="G97" i="18" s="1"/>
  <c r="G68" i="18" a="1"/>
  <c r="G68" i="18" s="1"/>
  <c r="G226" i="18" a="1"/>
  <c r="G226" i="18" s="1"/>
  <c r="G211" i="18" a="1"/>
  <c r="G211" i="18" s="1"/>
  <c r="G120" i="18" a="1"/>
  <c r="G120" i="18" s="1"/>
  <c r="G49" i="18" a="1"/>
  <c r="G49" i="18" s="1"/>
  <c r="G221" i="18" a="1"/>
  <c r="G221" i="18" s="1"/>
  <c r="G141" i="18" a="1"/>
  <c r="G141" i="18" s="1"/>
  <c r="G4" i="18" a="1"/>
  <c r="G4" i="18" s="1"/>
  <c r="G114" i="18" a="1"/>
  <c r="G114" i="18" s="1"/>
  <c r="G138" i="18" a="1"/>
  <c r="G138" i="18" s="1"/>
  <c r="G176" i="18" a="1"/>
  <c r="G176" i="18" s="1"/>
  <c r="G69" i="18" a="1"/>
  <c r="G69" i="18" s="1"/>
  <c r="G54" i="18" a="1"/>
  <c r="G54" i="18" s="1"/>
  <c r="G212" i="18" a="1"/>
  <c r="G212" i="18" s="1"/>
  <c r="G144" i="18" a="1"/>
  <c r="G144" i="18" s="1"/>
  <c r="G106" i="18" a="1"/>
  <c r="G106" i="18" s="1"/>
  <c r="G35" i="18" a="1"/>
  <c r="G35" i="18" s="1"/>
  <c r="G207" i="18" a="1"/>
  <c r="G207" i="18" s="1"/>
  <c r="G128" i="18" a="1"/>
  <c r="G128" i="18" s="1"/>
  <c r="G115" i="18" a="1"/>
  <c r="G115" i="18" s="1"/>
  <c r="G100" i="18" a="1"/>
  <c r="G100" i="18" s="1"/>
  <c r="G127" i="18" a="1"/>
  <c r="G127" i="18" s="1"/>
  <c r="G162" i="18" a="1"/>
  <c r="G162" i="18" s="1"/>
  <c r="G55" i="18" a="1"/>
  <c r="G55" i="18" s="1"/>
  <c r="G227" i="18" a="1"/>
  <c r="G227" i="18" s="1"/>
  <c r="G198" i="18" a="1"/>
  <c r="G198" i="18" s="1"/>
  <c r="G133" i="18" a="1"/>
  <c r="G133" i="18" s="1"/>
  <c r="G92" i="18" a="1"/>
  <c r="G92" i="18" s="1"/>
  <c r="G21" i="18" a="1"/>
  <c r="G21" i="18" s="1"/>
  <c r="G193" i="18" a="1"/>
  <c r="G193" i="18" s="1"/>
  <c r="G116" i="18" a="1"/>
  <c r="G116" i="18" s="1"/>
  <c r="G101" i="18" a="1"/>
  <c r="G101" i="18" s="1"/>
  <c r="G86" i="18" a="1"/>
  <c r="G86" i="18" s="1"/>
  <c r="G113" i="18" a="1"/>
  <c r="G113" i="18" s="1"/>
  <c r="G84" i="18" a="1"/>
  <c r="G84" i="18" s="1"/>
  <c r="G41" i="18" a="1"/>
  <c r="G41" i="18" s="1"/>
  <c r="G213" i="18" a="1"/>
  <c r="G213" i="18" s="1"/>
  <c r="G184" i="18" a="1"/>
  <c r="G184" i="18" s="1"/>
  <c r="G121" i="18" a="1"/>
  <c r="G121" i="18" s="1"/>
  <c r="G78" i="18" a="1"/>
  <c r="G78" i="18" s="1"/>
  <c r="G222" i="18" a="1"/>
  <c r="G222" i="18" s="1"/>
  <c r="G181" i="18" a="1"/>
  <c r="G181" i="18" s="1"/>
  <c r="G102" i="18" a="1"/>
  <c r="G102" i="18" s="1"/>
  <c r="G87" i="18" a="1"/>
  <c r="G87" i="18" s="1"/>
  <c r="G44" i="18" a="1"/>
  <c r="G44" i="18" s="1"/>
  <c r="G99" i="18" a="1"/>
  <c r="G99" i="18" s="1"/>
  <c r="G70" i="18" a="1"/>
  <c r="G70" i="18" s="1"/>
  <c r="G27" i="18" a="1"/>
  <c r="G27" i="18" s="1"/>
  <c r="G199" i="18" a="1"/>
  <c r="G199" i="18" s="1"/>
  <c r="G172" i="18" a="1"/>
  <c r="G172" i="18" s="1"/>
  <c r="G93" i="18" a="1"/>
  <c r="G93" i="18" s="1"/>
  <c r="G64" i="18" a="1"/>
  <c r="G64" i="18" s="1"/>
  <c r="G208" i="18" a="1"/>
  <c r="G208" i="18" s="1"/>
  <c r="G117" i="18" a="1"/>
  <c r="G117" i="18" s="1"/>
  <c r="G88" i="18" a="1"/>
  <c r="G88" i="18" s="1"/>
  <c r="G73" i="18" a="1"/>
  <c r="G73" i="18" s="1"/>
  <c r="G30" i="18" a="1"/>
  <c r="G30" i="18" s="1"/>
  <c r="G85" i="18" a="1"/>
  <c r="G85" i="18" s="1"/>
  <c r="G56" i="18" a="1"/>
  <c r="G56" i="18" s="1"/>
  <c r="G13" i="18" a="1"/>
  <c r="G13" i="18" s="1"/>
  <c r="G173" i="18" a="1"/>
  <c r="G173" i="18" s="1"/>
  <c r="G158" i="18" a="1"/>
  <c r="G158" i="18" s="1"/>
  <c r="G79" i="18" a="1"/>
  <c r="G79" i="18" s="1"/>
  <c r="G237" i="18" a="1"/>
  <c r="G237" i="18" s="1"/>
  <c r="G194" i="18" a="1"/>
  <c r="G194" i="18" s="1"/>
  <c r="G103" i="18" a="1"/>
  <c r="G103" i="18" s="1"/>
  <c r="G74" i="18" a="1"/>
  <c r="G74" i="18" s="1"/>
  <c r="G232" i="18" a="1"/>
  <c r="G232" i="18" s="1"/>
  <c r="G16" i="18" a="1"/>
  <c r="G16" i="18" s="1"/>
  <c r="G71" i="18" a="1"/>
  <c r="G71" i="18" s="1"/>
  <c r="G28" i="18" a="1"/>
  <c r="G28" i="18" s="1"/>
  <c r="G242" i="18" a="1"/>
  <c r="G242" i="18" s="1"/>
  <c r="G159" i="18" a="1"/>
  <c r="G159" i="18" s="1"/>
  <c r="G94" i="18" a="1"/>
  <c r="G94" i="18" s="1"/>
  <c r="G65" i="18" a="1"/>
  <c r="G65" i="18" s="1"/>
  <c r="G223" i="18" a="1"/>
  <c r="G223" i="18" s="1"/>
  <c r="G5" i="18" a="1"/>
  <c r="G5" i="18" s="1"/>
  <c r="G89" i="18" a="1"/>
  <c r="G89" i="18" s="1"/>
  <c r="G60" i="18" a="1"/>
  <c r="G60" i="18" s="1"/>
  <c r="G218" i="18" a="1"/>
  <c r="G218" i="18" s="1"/>
  <c r="G7" i="18" a="1"/>
  <c r="G7" i="18" s="1"/>
  <c r="G57" i="18" a="1"/>
  <c r="G57" i="18" s="1"/>
  <c r="G14" i="18" a="1"/>
  <c r="G14" i="18" s="1"/>
  <c r="G174" i="18" a="1"/>
  <c r="G174" i="18" s="1"/>
  <c r="G146" i="18" a="1"/>
  <c r="G146" i="18" s="1"/>
  <c r="G80" i="18" a="1"/>
  <c r="G80" i="18" s="1"/>
  <c r="G51" i="18" a="1"/>
  <c r="G51" i="18" s="1"/>
  <c r="G209" i="18" a="1"/>
  <c r="G209" i="18" s="1"/>
  <c r="G168" i="18" a="1"/>
  <c r="G168" i="18" s="1"/>
  <c r="G61" i="18" a="1"/>
  <c r="G61" i="18" s="1"/>
  <c r="G46" i="18" a="1"/>
  <c r="G46" i="18" s="1"/>
  <c r="G204" i="18" a="1"/>
  <c r="G204" i="18" s="1"/>
  <c r="G231" i="18" a="1"/>
  <c r="G231" i="18" s="1"/>
  <c r="G43" i="18" a="1"/>
  <c r="G43" i="18" s="1"/>
  <c r="G243" i="18" a="1"/>
  <c r="G243" i="18" s="1"/>
  <c r="G160" i="18" a="1"/>
  <c r="G160" i="18" s="1"/>
  <c r="G135" i="18" a="1"/>
  <c r="G135" i="18" s="1"/>
  <c r="G66" i="18" a="1"/>
  <c r="G66" i="18" s="1"/>
  <c r="G37" i="18" a="1"/>
  <c r="G37" i="18" s="1"/>
  <c r="G6" i="18" a="1"/>
  <c r="G6" i="18" s="1"/>
  <c r="G154" i="18" a="1"/>
  <c r="G154" i="18" s="1"/>
  <c r="G47" i="18" a="1"/>
  <c r="G47" i="18" s="1"/>
  <c r="G32" i="18" a="1"/>
  <c r="G32" i="18" s="1"/>
  <c r="G190" i="18" a="1"/>
  <c r="G190" i="18" s="1"/>
  <c r="G217" i="18" a="1"/>
  <c r="G217" i="18" s="1"/>
  <c r="G29" i="18" a="1"/>
  <c r="G29" i="18" s="1"/>
  <c r="AH6" i="14"/>
  <c r="AL6" i="13"/>
  <c r="AH318" i="14"/>
  <c r="AL318" i="14" s="1"/>
  <c r="AL318" i="13"/>
  <c r="AH319" i="14"/>
  <c r="AL319" i="14" s="1"/>
  <c r="AH230" i="14"/>
  <c r="AL230" i="14" s="1"/>
  <c r="AL230" i="13"/>
  <c r="AH121" i="14"/>
  <c r="AL121" i="14" s="1"/>
  <c r="AL121" i="13"/>
  <c r="AL315" i="14"/>
  <c r="AL41" i="13"/>
  <c r="AL124" i="13"/>
  <c r="AL311" i="14"/>
  <c r="AL74" i="14"/>
  <c r="R268" i="14"/>
  <c r="AL177" i="13"/>
  <c r="AL215" i="13"/>
  <c r="AL255" i="13"/>
  <c r="R3" i="14"/>
  <c r="AL65" i="14"/>
  <c r="AL107" i="14"/>
  <c r="AL78" i="13"/>
  <c r="AL106" i="13"/>
  <c r="AL228" i="13"/>
  <c r="AH53" i="14"/>
  <c r="AL53" i="13"/>
  <c r="AH46" i="14"/>
  <c r="AL46" i="14" s="1"/>
  <c r="AL46" i="13"/>
  <c r="AH237" i="14"/>
  <c r="AL237" i="13"/>
  <c r="AH156" i="14"/>
  <c r="AL156" i="14" s="1"/>
  <c r="AL156" i="13"/>
  <c r="AH316" i="14"/>
  <c r="AL316" i="14" s="1"/>
  <c r="AL316" i="13"/>
  <c r="AH199" i="14"/>
  <c r="AL199" i="14" s="1"/>
  <c r="AH200" i="14"/>
  <c r="AL200" i="14" s="1"/>
  <c r="P67" i="18" a="1"/>
  <c r="P67" i="18" s="1"/>
  <c r="P47" i="18" a="1"/>
  <c r="P47" i="18" s="1"/>
  <c r="P211" i="18" a="1"/>
  <c r="P211" i="18" s="1"/>
  <c r="P161" i="18" a="1"/>
  <c r="P161" i="18" s="1"/>
  <c r="P46" i="18" a="1"/>
  <c r="P46" i="18" s="1"/>
  <c r="P85" i="18" a="1"/>
  <c r="P85" i="18" s="1"/>
  <c r="P132" i="18" a="1"/>
  <c r="P132" i="18" s="1"/>
  <c r="P81" i="18" a="1"/>
  <c r="P81" i="18" s="1"/>
  <c r="P235" i="18" a="1"/>
  <c r="P235" i="18" s="1"/>
  <c r="P239" i="18" a="1"/>
  <c r="P239" i="18" s="1"/>
  <c r="P66" i="18" a="1"/>
  <c r="P66" i="18" s="1"/>
  <c r="P221" i="18" a="1"/>
  <c r="P221" i="18" s="1"/>
  <c r="P182" i="18" a="1"/>
  <c r="P182" i="18" s="1"/>
  <c r="P198" i="18" a="1"/>
  <c r="P198" i="18" s="1"/>
  <c r="P222" i="18" a="1"/>
  <c r="P222" i="18" s="1"/>
  <c r="P173" i="18" a="1"/>
  <c r="P173" i="18" s="1"/>
  <c r="P44" i="18" a="1"/>
  <c r="P44" i="18" s="1"/>
  <c r="P51" i="18" a="1"/>
  <c r="P51" i="18" s="1"/>
  <c r="P59" i="18" a="1"/>
  <c r="P59" i="18" s="1"/>
  <c r="P11" i="18" a="1"/>
  <c r="P11" i="18" s="1"/>
  <c r="P223" i="18" a="1"/>
  <c r="P223" i="18" s="1"/>
  <c r="P165" i="18" a="1"/>
  <c r="P165" i="18" s="1"/>
  <c r="P75" i="18" a="1"/>
  <c r="P75" i="18" s="1"/>
  <c r="P89" i="18" a="1"/>
  <c r="P89" i="18" s="1"/>
  <c r="P150" i="18" a="1"/>
  <c r="P150" i="18" s="1"/>
  <c r="P94" i="18" a="1"/>
  <c r="P94" i="18" s="1"/>
  <c r="P242" i="18" a="1"/>
  <c r="P242" i="18" s="1"/>
  <c r="P14" i="18" a="1"/>
  <c r="P14" i="18" s="1"/>
  <c r="P82" i="18" a="1"/>
  <c r="P82" i="18" s="1"/>
  <c r="P35" i="18" a="1"/>
  <c r="P35" i="18" s="1"/>
  <c r="P185" i="18" a="1"/>
  <c r="P185" i="18" s="1"/>
  <c r="P210" i="18" a="1"/>
  <c r="P210" i="18" s="1"/>
  <c r="P240" i="18" a="1"/>
  <c r="P240" i="18" s="1"/>
  <c r="P177" i="18" a="1"/>
  <c r="P177" i="18" s="1"/>
  <c r="P63" i="18" a="1"/>
  <c r="P63" i="18" s="1"/>
  <c r="P15" i="18" a="1"/>
  <c r="P15" i="18" s="1"/>
  <c r="P52" i="18" a="1"/>
  <c r="P52" i="18" s="1"/>
  <c r="P174" i="18" a="1"/>
  <c r="P174" i="18" s="1"/>
  <c r="P80" i="18" a="1"/>
  <c r="P80" i="18" s="1"/>
  <c r="P114" i="18" a="1"/>
  <c r="P114" i="18" s="1"/>
  <c r="P154" i="18" a="1"/>
  <c r="P154" i="18" s="1"/>
  <c r="P119" i="18" a="1"/>
  <c r="P119" i="18" s="1"/>
  <c r="P34" i="18" a="1"/>
  <c r="P34" i="18" s="1"/>
  <c r="P48" i="18" a="1"/>
  <c r="P48" i="18" s="1"/>
  <c r="P95" i="18" a="1"/>
  <c r="P95" i="18" s="1"/>
  <c r="P56" i="18" a="1"/>
  <c r="P56" i="18" s="1"/>
  <c r="P189" i="18" a="1"/>
  <c r="P189" i="18" s="1"/>
  <c r="P229" i="18" a="1"/>
  <c r="P229" i="18" s="1"/>
  <c r="P57" i="18" a="1"/>
  <c r="P57" i="18" s="1"/>
  <c r="P181" i="18" a="1"/>
  <c r="P181" i="18" s="1"/>
  <c r="P74" i="18" a="1"/>
  <c r="P74" i="18" s="1"/>
  <c r="P72" i="18" a="1"/>
  <c r="P72" i="18" s="1"/>
  <c r="P28" i="18" a="1"/>
  <c r="P28" i="18" s="1"/>
  <c r="P58" i="18" a="1"/>
  <c r="P58" i="18" s="1"/>
  <c r="P187" i="18" a="1"/>
  <c r="P187" i="18" s="1"/>
  <c r="P93" i="18" a="1"/>
  <c r="P93" i="18" s="1"/>
  <c r="P136" i="18" a="1"/>
  <c r="P136" i="18" s="1"/>
  <c r="P158" i="18" a="1"/>
  <c r="P158" i="18" s="1"/>
  <c r="P128" i="18" a="1"/>
  <c r="P128" i="18" s="1"/>
  <c r="P55" i="18" a="1"/>
  <c r="P55" i="18" s="1"/>
  <c r="P61" i="18" a="1"/>
  <c r="P61" i="18" s="1"/>
  <c r="P99" i="18" a="1"/>
  <c r="P99" i="18" s="1"/>
  <c r="P78" i="18" a="1"/>
  <c r="P78" i="18" s="1"/>
  <c r="P202" i="18" a="1"/>
  <c r="P202" i="18" s="1"/>
  <c r="P12" i="18" a="1"/>
  <c r="P12" i="18" s="1"/>
  <c r="P36" i="18" a="1"/>
  <c r="P36" i="18" s="1"/>
  <c r="P64" i="18" a="1"/>
  <c r="P64" i="18" s="1"/>
  <c r="P191" i="18" a="1"/>
  <c r="P191" i="18" s="1"/>
  <c r="P118" i="18" a="1"/>
  <c r="P118" i="18" s="1"/>
  <c r="P145" i="18" a="1"/>
  <c r="P145" i="18" s="1"/>
  <c r="P166" i="18" a="1"/>
  <c r="P166" i="18" s="1"/>
  <c r="P141" i="18" a="1"/>
  <c r="P141" i="18" s="1"/>
  <c r="P71" i="18" a="1"/>
  <c r="P71" i="18" s="1"/>
  <c r="P111" i="18" a="1"/>
  <c r="P111" i="18" s="1"/>
  <c r="P107" i="18" a="1"/>
  <c r="P107" i="18" s="1"/>
  <c r="P87" i="18" a="1"/>
  <c r="P87" i="18" s="1"/>
  <c r="P217" i="18" a="1"/>
  <c r="P217" i="18" s="1"/>
  <c r="P23" i="18" a="1"/>
  <c r="P23" i="18" s="1"/>
  <c r="P79" i="18" a="1"/>
  <c r="P79" i="18" s="1"/>
  <c r="P16" i="18" a="1"/>
  <c r="P16" i="18" s="1"/>
  <c r="P38" i="18" a="1"/>
  <c r="P38" i="18" s="1"/>
  <c r="P97" i="18" a="1"/>
  <c r="P97" i="18" s="1"/>
  <c r="P204" i="18" a="1"/>
  <c r="P204" i="18" s="1"/>
  <c r="P4" i="18" a="1"/>
  <c r="P4" i="18" s="1"/>
  <c r="P178" i="18" a="1"/>
  <c r="P178" i="18" s="1"/>
  <c r="P196" i="18" a="1"/>
  <c r="P196" i="18" s="1"/>
  <c r="P162" i="18" a="1"/>
  <c r="P162" i="18" s="1"/>
  <c r="P86" i="18" a="1"/>
  <c r="P86" i="18" s="1"/>
  <c r="P133" i="18" a="1"/>
  <c r="P133" i="18" s="1"/>
  <c r="P120" i="18" a="1"/>
  <c r="P120" i="18" s="1"/>
  <c r="P103" i="18" a="1"/>
  <c r="P103" i="18" s="1"/>
  <c r="P225" i="18" a="1"/>
  <c r="P225" i="18" s="1"/>
  <c r="P29" i="18" a="1"/>
  <c r="P29" i="18" s="1"/>
  <c r="P69" i="18" a="1"/>
  <c r="P69" i="18" s="1"/>
  <c r="P101" i="18" a="1"/>
  <c r="P101" i="18" s="1"/>
  <c r="P215" i="18" a="1"/>
  <c r="P215" i="18" s="1"/>
  <c r="P140" i="18" a="1"/>
  <c r="P140" i="18" s="1"/>
  <c r="P231" i="18" a="1"/>
  <c r="P231" i="18" s="1"/>
  <c r="P212" i="18" a="1"/>
  <c r="P212" i="18" s="1"/>
  <c r="P171" i="18" a="1"/>
  <c r="P171" i="18" s="1"/>
  <c r="P90" i="18" a="1"/>
  <c r="P90" i="18" s="1"/>
  <c r="P151" i="18" a="1"/>
  <c r="P151" i="18" s="1"/>
  <c r="P127" i="18" a="1"/>
  <c r="P127" i="18" s="1"/>
  <c r="P116" i="18" a="1"/>
  <c r="P116" i="18" s="1"/>
  <c r="P236" i="18" a="1"/>
  <c r="P236" i="18" s="1"/>
  <c r="P83" i="18" a="1"/>
  <c r="P83" i="18" s="1"/>
  <c r="P100" i="18" a="1"/>
  <c r="P100" i="18" s="1"/>
  <c r="P207" i="18" a="1"/>
  <c r="P207" i="18" s="1"/>
  <c r="P139" i="18" a="1"/>
  <c r="P139" i="18" s="1"/>
  <c r="P33" i="18" a="1"/>
  <c r="P33" i="18" s="1"/>
  <c r="P84" i="18" a="1"/>
  <c r="P84" i="18" s="1"/>
  <c r="P105" i="18" a="1"/>
  <c r="P105" i="18" s="1"/>
  <c r="P219" i="18" a="1"/>
  <c r="P219" i="18" s="1"/>
  <c r="P170" i="18" a="1"/>
  <c r="P170" i="18" s="1"/>
  <c r="P53" i="18" a="1"/>
  <c r="P53" i="18" s="1"/>
  <c r="P220" i="18" a="1"/>
  <c r="P220" i="18" s="1"/>
  <c r="P175" i="18" a="1"/>
  <c r="P175" i="18" s="1"/>
  <c r="P102" i="18" a="1"/>
  <c r="P102" i="18" s="1"/>
  <c r="P167" i="18" a="1"/>
  <c r="P167" i="18" s="1"/>
  <c r="P142" i="18" a="1"/>
  <c r="P142" i="18" s="1"/>
  <c r="P124" i="18" a="1"/>
  <c r="P124" i="18" s="1"/>
  <c r="P243" i="18" a="1"/>
  <c r="P243" i="18" s="1"/>
  <c r="P37" i="18" a="1"/>
  <c r="P37" i="18" s="1"/>
  <c r="P88" i="18" a="1"/>
  <c r="P88" i="18" s="1"/>
  <c r="P109" i="18" a="1"/>
  <c r="P109" i="18" s="1"/>
  <c r="P227" i="18" a="1"/>
  <c r="P227" i="18" s="1"/>
  <c r="P5" i="18" a="1"/>
  <c r="P5" i="18" s="1"/>
  <c r="P60" i="18" a="1"/>
  <c r="P60" i="18" s="1"/>
  <c r="P224" i="18" a="1"/>
  <c r="P224" i="18" s="1"/>
  <c r="P184" i="18" a="1"/>
  <c r="P184" i="18" s="1"/>
  <c r="P115" i="18" a="1"/>
  <c r="P115" i="18" s="1"/>
  <c r="P197" i="18" a="1"/>
  <c r="P197" i="18" s="1"/>
  <c r="P155" i="18" a="1"/>
  <c r="P155" i="18" s="1"/>
  <c r="P129" i="18" a="1"/>
  <c r="P129" i="18" s="1"/>
  <c r="P43" i="18" a="1"/>
  <c r="P43" i="18" s="1"/>
  <c r="P121" i="18" a="1"/>
  <c r="P121" i="18" s="1"/>
  <c r="P20" i="18" a="1"/>
  <c r="P20" i="18" s="1"/>
  <c r="P50" i="18" a="1"/>
  <c r="P50" i="18" s="1"/>
  <c r="P113" i="18" a="1"/>
  <c r="P113" i="18" s="1"/>
  <c r="P122" i="18" a="1"/>
  <c r="P122" i="18" s="1"/>
  <c r="P234" i="18" a="1"/>
  <c r="P234" i="18" s="1"/>
  <c r="P200" i="18" a="1"/>
  <c r="P200" i="18" s="1"/>
  <c r="P98" i="18" a="1"/>
  <c r="P98" i="18" s="1"/>
  <c r="P21" i="18" a="1"/>
  <c r="P21" i="18" s="1"/>
  <c r="P188" i="18" a="1"/>
  <c r="P188" i="18" s="1"/>
  <c r="P137" i="18" a="1"/>
  <c r="P137" i="18" s="1"/>
  <c r="P209" i="18" a="1"/>
  <c r="P209" i="18" s="1"/>
  <c r="P159" i="18" a="1"/>
  <c r="P159" i="18" s="1"/>
  <c r="P138" i="18" a="1"/>
  <c r="P138" i="18" s="1"/>
  <c r="P24" i="18" a="1"/>
  <c r="P24" i="18" s="1"/>
  <c r="P77" i="18" a="1"/>
  <c r="P77" i="18" s="1"/>
  <c r="P135" i="18" a="1"/>
  <c r="P135" i="18" s="1"/>
  <c r="P131" i="18" a="1"/>
  <c r="P131" i="18" s="1"/>
  <c r="P19" i="18" a="1"/>
  <c r="P19" i="18" s="1"/>
  <c r="P208" i="18" a="1"/>
  <c r="P208" i="18" s="1"/>
  <c r="P106" i="18" a="1"/>
  <c r="P106" i="18" s="1"/>
  <c r="P27" i="18" a="1"/>
  <c r="P27" i="18" s="1"/>
  <c r="P192" i="18" a="1"/>
  <c r="P192" i="18" s="1"/>
  <c r="P146" i="18" a="1"/>
  <c r="P146" i="18" s="1"/>
  <c r="P232" i="18" a="1"/>
  <c r="P232" i="18" s="1"/>
  <c r="P176" i="18" a="1"/>
  <c r="P176" i="18" s="1"/>
  <c r="P147" i="18" a="1"/>
  <c r="P147" i="18" s="1"/>
  <c r="P41" i="18" a="1"/>
  <c r="P41" i="18" s="1"/>
  <c r="P9" i="18" a="1"/>
  <c r="P9" i="18" s="1"/>
  <c r="P144" i="18" a="1"/>
  <c r="P144" i="18" s="1"/>
  <c r="P149" i="18" a="1"/>
  <c r="P149" i="18" s="1"/>
  <c r="P26" i="18" a="1"/>
  <c r="P26" i="18" s="1"/>
  <c r="P238" i="18" a="1"/>
  <c r="P238" i="18" s="1"/>
  <c r="P110" i="18" a="1"/>
  <c r="P110" i="18" s="1"/>
  <c r="P40" i="18" a="1"/>
  <c r="P40" i="18" s="1"/>
  <c r="P205" i="18" a="1"/>
  <c r="P205" i="18" s="1"/>
  <c r="P179" i="18" a="1"/>
  <c r="P179" i="18" s="1"/>
  <c r="P8" i="18" a="1"/>
  <c r="P8" i="18" s="1"/>
  <c r="P193" i="18" a="1"/>
  <c r="P193" i="18" s="1"/>
  <c r="P163" i="18" a="1"/>
  <c r="P163" i="18" s="1"/>
  <c r="P91" i="18" a="1"/>
  <c r="P91" i="18" s="1"/>
  <c r="P45" i="18" a="1"/>
  <c r="P45" i="18" s="1"/>
  <c r="P13" i="18" a="1"/>
  <c r="P13" i="18" s="1"/>
  <c r="P183" i="18" a="1"/>
  <c r="P183" i="18" s="1"/>
  <c r="P153" i="18" a="1"/>
  <c r="P153" i="18" s="1"/>
  <c r="P32" i="18" a="1"/>
  <c r="P32" i="18" s="1"/>
  <c r="P241" i="18" a="1"/>
  <c r="P241" i="18" s="1"/>
  <c r="P123" i="18" a="1"/>
  <c r="P123" i="18" s="1"/>
  <c r="P65" i="18" a="1"/>
  <c r="P65" i="18" s="1"/>
  <c r="P216" i="18" a="1"/>
  <c r="P216" i="18" s="1"/>
  <c r="P6" i="18" a="1"/>
  <c r="P6" i="18" s="1"/>
  <c r="P22" i="18" a="1"/>
  <c r="P22" i="18" s="1"/>
  <c r="P206" i="18" a="1"/>
  <c r="P206" i="18" s="1"/>
  <c r="P172" i="18" a="1"/>
  <c r="P172" i="18" s="1"/>
  <c r="P54" i="18" a="1"/>
  <c r="P54" i="18" s="1"/>
  <c r="P30" i="18" a="1"/>
  <c r="P30" i="18" s="1"/>
  <c r="P195" i="18" a="1"/>
  <c r="P195" i="18" s="1"/>
  <c r="P157" i="18" a="1"/>
  <c r="P157" i="18" s="1"/>
  <c r="P39" i="18" a="1"/>
  <c r="P39" i="18" s="1"/>
  <c r="P70" i="18" a="1"/>
  <c r="P70" i="18" s="1"/>
  <c r="P126" i="18" a="1"/>
  <c r="P126" i="18" s="1"/>
  <c r="P76" i="18" a="1"/>
  <c r="P76" i="18" s="1"/>
  <c r="P228" i="18" a="1"/>
  <c r="P228" i="18" s="1"/>
  <c r="P201" i="18" a="1"/>
  <c r="P201" i="18" s="1"/>
  <c r="P42" i="18" a="1"/>
  <c r="P42" i="18" s="1"/>
  <c r="P213" i="18" a="1"/>
  <c r="P213" i="18" s="1"/>
  <c r="P180" i="18" a="1"/>
  <c r="P180" i="18" s="1"/>
  <c r="P168" i="18" a="1"/>
  <c r="P168" i="18" s="1"/>
  <c r="P214" i="18" a="1"/>
  <c r="P214" i="18" s="1"/>
  <c r="P164" i="18" a="1"/>
  <c r="P164" i="18" s="1"/>
  <c r="P31" i="18" a="1"/>
  <c r="P31" i="18" s="1"/>
  <c r="P112" i="18" a="1"/>
  <c r="P112" i="18" s="1"/>
  <c r="P152" i="18" a="1"/>
  <c r="P152" i="18" s="1"/>
  <c r="P17" i="18" a="1"/>
  <c r="P17" i="18" s="1"/>
  <c r="P156" i="18" a="1"/>
  <c r="P156" i="18" s="1"/>
  <c r="P68" i="18" a="1"/>
  <c r="P68" i="18" s="1"/>
  <c r="P186" i="18" a="1"/>
  <c r="P186" i="18" s="1"/>
  <c r="P230" i="18" a="1"/>
  <c r="P230" i="18" s="1"/>
  <c r="P108" i="18" a="1"/>
  <c r="P108" i="18" s="1"/>
  <c r="P190" i="18" a="1"/>
  <c r="P190" i="18" s="1"/>
  <c r="P237" i="18" a="1"/>
  <c r="P237" i="18" s="1"/>
  <c r="P134" i="18" a="1"/>
  <c r="P134" i="18" s="1"/>
  <c r="P203" i="18" a="1"/>
  <c r="P203" i="18" s="1"/>
  <c r="P143" i="18" a="1"/>
  <c r="P143" i="18" s="1"/>
  <c r="P218" i="18" a="1"/>
  <c r="P218" i="18" s="1"/>
  <c r="P160" i="18" a="1"/>
  <c r="P160" i="18" s="1"/>
  <c r="P226" i="18" a="1"/>
  <c r="P226" i="18" s="1"/>
  <c r="P194" i="18" a="1"/>
  <c r="P194" i="18" s="1"/>
  <c r="P233" i="18" a="1"/>
  <c r="P233" i="18" s="1"/>
  <c r="P62" i="18" a="1"/>
  <c r="P62" i="18" s="1"/>
  <c r="P10" i="18" a="1"/>
  <c r="P10" i="18" s="1"/>
  <c r="P96" i="18" a="1"/>
  <c r="P96" i="18" s="1"/>
  <c r="P18" i="18" a="1"/>
  <c r="P18" i="18" s="1"/>
  <c r="P104" i="18" a="1"/>
  <c r="P104" i="18" s="1"/>
  <c r="P25" i="18" a="1"/>
  <c r="P25" i="18" s="1"/>
  <c r="P3" i="18" a="1"/>
  <c r="P3" i="18" s="1"/>
  <c r="P92" i="18" a="1"/>
  <c r="P92" i="18" s="1"/>
  <c r="P49" i="18" a="1"/>
  <c r="P49" i="18" s="1"/>
  <c r="P130" i="18" a="1"/>
  <c r="P130" i="18" s="1"/>
  <c r="P73" i="18" a="1"/>
  <c r="P73" i="18" s="1"/>
  <c r="P148" i="18" a="1"/>
  <c r="P148" i="18" s="1"/>
  <c r="P125" i="18" a="1"/>
  <c r="P125" i="18" s="1"/>
  <c r="P199" i="18" a="1"/>
  <c r="P199" i="18" s="1"/>
  <c r="P244" i="18" a="1"/>
  <c r="P244" i="18" s="1"/>
  <c r="P7" i="18" a="1"/>
  <c r="P7" i="18" s="1"/>
  <c r="AL124" i="14"/>
  <c r="AL375" i="13"/>
  <c r="AL65" i="13"/>
  <c r="AL129" i="13"/>
  <c r="AL102" i="14"/>
  <c r="AL136" i="13"/>
  <c r="AL285" i="13"/>
  <c r="AL288" i="13"/>
  <c r="AH101" i="14"/>
  <c r="AL101" i="14" s="1"/>
  <c r="AL100" i="13"/>
  <c r="AH87" i="14"/>
  <c r="AL87" i="14" s="1"/>
  <c r="AL86" i="13"/>
  <c r="AH86" i="14"/>
  <c r="AL86" i="14" s="1"/>
  <c r="AL255" i="14"/>
  <c r="AL153" i="14"/>
  <c r="AH67" i="14"/>
  <c r="AL67" i="13"/>
  <c r="AH161" i="14"/>
  <c r="AL161" i="14" s="1"/>
  <c r="AL161" i="13"/>
  <c r="AL131" i="14"/>
  <c r="AH144" i="14"/>
  <c r="AL144" i="14" s="1"/>
  <c r="AL144" i="13"/>
  <c r="AL32" i="13"/>
  <c r="AR191" i="14"/>
  <c r="AI42" i="18" a="1"/>
  <c r="AI42" i="18" s="1"/>
  <c r="AN42" i="18" s="1"/>
  <c r="AI182" i="18" a="1"/>
  <c r="AI182" i="18" s="1"/>
  <c r="AN182" i="18" s="1"/>
  <c r="AI73" i="18" a="1"/>
  <c r="AI73" i="18" s="1"/>
  <c r="AN73" i="18" s="1"/>
  <c r="AI116" i="18" a="1"/>
  <c r="AI116" i="18" s="1"/>
  <c r="AN116" i="18" s="1"/>
  <c r="AI148" i="18" a="1"/>
  <c r="AI148" i="18" s="1"/>
  <c r="AN148" i="18" s="1"/>
  <c r="AI154" i="18" a="1"/>
  <c r="AI154" i="18" s="1"/>
  <c r="AN154" i="18" s="1"/>
  <c r="AI133" i="18" a="1"/>
  <c r="AI133" i="18" s="1"/>
  <c r="AN133" i="18" s="1"/>
  <c r="AI117" i="18" a="1"/>
  <c r="AI117" i="18" s="1"/>
  <c r="AN117" i="18" s="1"/>
  <c r="AI62" i="18" a="1"/>
  <c r="AI62" i="18" s="1"/>
  <c r="AN62" i="18" s="1"/>
  <c r="AI146" i="18" a="1"/>
  <c r="AI146" i="18" s="1"/>
  <c r="AN146" i="18" s="1"/>
  <c r="AI134" i="18" a="1"/>
  <c r="AI134" i="18" s="1"/>
  <c r="AN134" i="18" s="1"/>
  <c r="AI131" i="18" a="1"/>
  <c r="AI131" i="18" s="1"/>
  <c r="AN131" i="18" s="1"/>
  <c r="AI20" i="18" a="1"/>
  <c r="AI20" i="18" s="1"/>
  <c r="AN20" i="18" s="1"/>
  <c r="AI109" i="18" a="1"/>
  <c r="AI109" i="18" s="1"/>
  <c r="AN109" i="18" s="1"/>
  <c r="AI234" i="18" a="1"/>
  <c r="AI234" i="18" s="1"/>
  <c r="AN234" i="18" s="1"/>
  <c r="AI230" i="18" a="1"/>
  <c r="AI230" i="18" s="1"/>
  <c r="AN230" i="18" s="1"/>
  <c r="AI226" i="18" a="1"/>
  <c r="AI226" i="18" s="1"/>
  <c r="AN226" i="18" s="1"/>
  <c r="AI8" i="18" a="1"/>
  <c r="AI8" i="18" s="1"/>
  <c r="AN8" i="18" s="1"/>
  <c r="AI82" i="18" a="1"/>
  <c r="AI82" i="18" s="1"/>
  <c r="AN82" i="18" s="1"/>
  <c r="AI189" i="18" a="1"/>
  <c r="AI189" i="18" s="1"/>
  <c r="AN189" i="18" s="1"/>
  <c r="AI76" i="18" a="1"/>
  <c r="AI76" i="18" s="1"/>
  <c r="AN76" i="18" s="1"/>
  <c r="AI119" i="18" a="1"/>
  <c r="AI119" i="18" s="1"/>
  <c r="AN119" i="18" s="1"/>
  <c r="AI40" i="18" a="1"/>
  <c r="AI40" i="18" s="1"/>
  <c r="AN40" i="18" s="1"/>
  <c r="AI157" i="18" a="1"/>
  <c r="AI157" i="18" s="1"/>
  <c r="AN157" i="18" s="1"/>
  <c r="AI215" i="18" a="1"/>
  <c r="AI215" i="18" s="1"/>
  <c r="AN215" i="18" s="1"/>
  <c r="AI120" i="18" a="1"/>
  <c r="AI120" i="18" s="1"/>
  <c r="AN120" i="18" s="1"/>
  <c r="AI65" i="18" a="1"/>
  <c r="AI65" i="18" s="1"/>
  <c r="AN65" i="18" s="1"/>
  <c r="AI149" i="18" a="1"/>
  <c r="AI149" i="18" s="1"/>
  <c r="AN149" i="18" s="1"/>
  <c r="AI137" i="18" a="1"/>
  <c r="AI137" i="18" s="1"/>
  <c r="AN137" i="18" s="1"/>
  <c r="AI152" i="18" a="1"/>
  <c r="AI152" i="18" s="1"/>
  <c r="AN152" i="18" s="1"/>
  <c r="AI23" i="18" a="1"/>
  <c r="AI23" i="18" s="1"/>
  <c r="AN23" i="18" s="1"/>
  <c r="AI112" i="18" a="1"/>
  <c r="AI112" i="18" s="1"/>
  <c r="AN112" i="18" s="1"/>
  <c r="AI241" i="18" a="1"/>
  <c r="AI241" i="18" s="1"/>
  <c r="AN241" i="18" s="1"/>
  <c r="AI242" i="18" a="1"/>
  <c r="AI242" i="18" s="1"/>
  <c r="AN242" i="18" s="1"/>
  <c r="AI233" i="18" a="1"/>
  <c r="AI233" i="18" s="1"/>
  <c r="AN233" i="18" s="1"/>
  <c r="AI45" i="18" a="1"/>
  <c r="AI45" i="18" s="1"/>
  <c r="AN45" i="18" s="1"/>
  <c r="AI85" i="18" a="1"/>
  <c r="AI85" i="18" s="1"/>
  <c r="AN85" i="18" s="1"/>
  <c r="AI196" i="18" a="1"/>
  <c r="AI196" i="18" s="1"/>
  <c r="AN196" i="18" s="1"/>
  <c r="AI79" i="18" a="1"/>
  <c r="AI79" i="18" s="1"/>
  <c r="AN79" i="18" s="1"/>
  <c r="AI160" i="18" a="1"/>
  <c r="AI160" i="18" s="1"/>
  <c r="AN160" i="18" s="1"/>
  <c r="AI43" i="18" a="1"/>
  <c r="AI43" i="18" s="1"/>
  <c r="AN43" i="18" s="1"/>
  <c r="AI164" i="18" a="1"/>
  <c r="AI164" i="18" s="1"/>
  <c r="AN164" i="18" s="1"/>
  <c r="AI222" i="18" a="1"/>
  <c r="AI222" i="18" s="1"/>
  <c r="AN222" i="18" s="1"/>
  <c r="AI123" i="18" a="1"/>
  <c r="AI123" i="18" s="1"/>
  <c r="AN123" i="18" s="1"/>
  <c r="AI108" i="18" a="1"/>
  <c r="AI108" i="18" s="1"/>
  <c r="AN108" i="18" s="1"/>
  <c r="AI158" i="18" a="1"/>
  <c r="AI158" i="18" s="1"/>
  <c r="AN158" i="18" s="1"/>
  <c r="AI140" i="18" a="1"/>
  <c r="AI140" i="18" s="1"/>
  <c r="AN140" i="18" s="1"/>
  <c r="AI155" i="18" a="1"/>
  <c r="AI155" i="18" s="1"/>
  <c r="AN155" i="18" s="1"/>
  <c r="AI66" i="18" a="1"/>
  <c r="AI66" i="18" s="1"/>
  <c r="AN66" i="18" s="1"/>
  <c r="AI150" i="18" a="1"/>
  <c r="AI150" i="18" s="1"/>
  <c r="AN150" i="18" s="1"/>
  <c r="AI204" i="18" a="1"/>
  <c r="AI204" i="18" s="1"/>
  <c r="AN204" i="18" s="1"/>
  <c r="AI211" i="18" a="1"/>
  <c r="AI211" i="18" s="1"/>
  <c r="AN211" i="18" s="1"/>
  <c r="AI216" i="18" a="1"/>
  <c r="AI216" i="18" s="1"/>
  <c r="AN216" i="18" s="1"/>
  <c r="AI48" i="18" a="1"/>
  <c r="AI48" i="18" s="1"/>
  <c r="AN48" i="18" s="1"/>
  <c r="AI88" i="18" a="1"/>
  <c r="AI88" i="18" s="1"/>
  <c r="AN88" i="18" s="1"/>
  <c r="AI203" i="18" a="1"/>
  <c r="AI203" i="18" s="1"/>
  <c r="AN203" i="18" s="1"/>
  <c r="AI122" i="18" a="1"/>
  <c r="AI122" i="18" s="1"/>
  <c r="AN122" i="18" s="1"/>
  <c r="AI167" i="18" a="1"/>
  <c r="AI167" i="18" s="1"/>
  <c r="AN167" i="18" s="1"/>
  <c r="AI46" i="18" a="1"/>
  <c r="AI46" i="18" s="1"/>
  <c r="AN46" i="18" s="1"/>
  <c r="AI171" i="18" a="1"/>
  <c r="AI171" i="18" s="1"/>
  <c r="AN171" i="18" s="1"/>
  <c r="AI229" i="18" a="1"/>
  <c r="AI229" i="18" s="1"/>
  <c r="AN229" i="18" s="1"/>
  <c r="AI126" i="18" a="1"/>
  <c r="AI126" i="18" s="1"/>
  <c r="AN126" i="18" s="1"/>
  <c r="AI111" i="18" a="1"/>
  <c r="AI111" i="18" s="1"/>
  <c r="AN111" i="18" s="1"/>
  <c r="AI165" i="18" a="1"/>
  <c r="AI165" i="18" s="1"/>
  <c r="AN165" i="18" s="1"/>
  <c r="AI26" i="18" a="1"/>
  <c r="AI26" i="18" s="1"/>
  <c r="AN26" i="18" s="1"/>
  <c r="AI162" i="18" a="1"/>
  <c r="AI162" i="18" s="1"/>
  <c r="AN162" i="18" s="1"/>
  <c r="AI69" i="18" a="1"/>
  <c r="AI69" i="18" s="1"/>
  <c r="AN69" i="18" s="1"/>
  <c r="AI159" i="18" a="1"/>
  <c r="AI159" i="18" s="1"/>
  <c r="AN159" i="18" s="1"/>
  <c r="AI218" i="18" a="1"/>
  <c r="AI218" i="18" s="1"/>
  <c r="AN218" i="18" s="1"/>
  <c r="AI223" i="18" a="1"/>
  <c r="AI223" i="18" s="1"/>
  <c r="AN223" i="18" s="1"/>
  <c r="AI239" i="18" a="1"/>
  <c r="AI239" i="18" s="1"/>
  <c r="AN239" i="18" s="1"/>
  <c r="AI51" i="18" a="1"/>
  <c r="AI51" i="18" s="1"/>
  <c r="AN51" i="18" s="1"/>
  <c r="AI91" i="18" a="1"/>
  <c r="AI91" i="18" s="1"/>
  <c r="AN91" i="18" s="1"/>
  <c r="AI210" i="18" a="1"/>
  <c r="AI210" i="18" s="1"/>
  <c r="AN210" i="18" s="1"/>
  <c r="AI125" i="18" a="1"/>
  <c r="AI125" i="18" s="1"/>
  <c r="AN125" i="18" s="1"/>
  <c r="AI174" i="18" a="1"/>
  <c r="AI174" i="18" s="1"/>
  <c r="AN174" i="18" s="1"/>
  <c r="AI49" i="18" a="1"/>
  <c r="AI49" i="18" s="1"/>
  <c r="AN49" i="18" s="1"/>
  <c r="AI178" i="18" a="1"/>
  <c r="AI178" i="18" s="1"/>
  <c r="AN178" i="18" s="1"/>
  <c r="AI13" i="18" a="1"/>
  <c r="AI13" i="18" s="1"/>
  <c r="AN13" i="18" s="1"/>
  <c r="AI161" i="18" a="1"/>
  <c r="AI161" i="18" s="1"/>
  <c r="AN161" i="18" s="1"/>
  <c r="AI114" i="18" a="1"/>
  <c r="AI114" i="18" s="1"/>
  <c r="AN114" i="18" s="1"/>
  <c r="AI172" i="18" a="1"/>
  <c r="AI172" i="18" s="1"/>
  <c r="AN172" i="18" s="1"/>
  <c r="AI29" i="18" a="1"/>
  <c r="AI29" i="18" s="1"/>
  <c r="AN29" i="18" s="1"/>
  <c r="AI169" i="18" a="1"/>
  <c r="AI169" i="18" s="1"/>
  <c r="AN169" i="18" s="1"/>
  <c r="AI72" i="18" a="1"/>
  <c r="AI72" i="18" s="1"/>
  <c r="AN72" i="18" s="1"/>
  <c r="AI166" i="18" a="1"/>
  <c r="AI166" i="18" s="1"/>
  <c r="AN166" i="18" s="1"/>
  <c r="AI205" i="18" a="1"/>
  <c r="AI205" i="18" s="1"/>
  <c r="AN205" i="18" s="1"/>
  <c r="AI244" i="18" a="1"/>
  <c r="AI244" i="18" s="1"/>
  <c r="AN244" i="18" s="1"/>
  <c r="AI228" i="18" a="1"/>
  <c r="AI228" i="18" s="1"/>
  <c r="AN228" i="18" s="1"/>
  <c r="AI94" i="18" a="1"/>
  <c r="AI94" i="18" s="1"/>
  <c r="AN94" i="18" s="1"/>
  <c r="AI129" i="18" a="1"/>
  <c r="AI129" i="18" s="1"/>
  <c r="AN129" i="18" s="1"/>
  <c r="AI217" i="18" a="1"/>
  <c r="AI217" i="18" s="1"/>
  <c r="AN217" i="18" s="1"/>
  <c r="AI3" i="18" a="1"/>
  <c r="AI3" i="18" s="1"/>
  <c r="AN3" i="18" s="1"/>
  <c r="AI181" i="18" a="1"/>
  <c r="AI181" i="18" s="1"/>
  <c r="AN181" i="18" s="1"/>
  <c r="AI89" i="18" a="1"/>
  <c r="AI89" i="18" s="1"/>
  <c r="AN89" i="18" s="1"/>
  <c r="AI183" i="18" a="1"/>
  <c r="AI183" i="18" s="1"/>
  <c r="AN183" i="18" s="1"/>
  <c r="AI16" i="18" a="1"/>
  <c r="AI16" i="18" s="1"/>
  <c r="AN16" i="18" s="1"/>
  <c r="AI168" i="18" a="1"/>
  <c r="AI168" i="18" s="1"/>
  <c r="AN168" i="18" s="1"/>
  <c r="AI47" i="18" a="1"/>
  <c r="AI47" i="18" s="1"/>
  <c r="AN47" i="18" s="1"/>
  <c r="AI179" i="18" a="1"/>
  <c r="AI179" i="18" s="1"/>
  <c r="AN179" i="18" s="1"/>
  <c r="AI32" i="18" a="1"/>
  <c r="AI32" i="18" s="1"/>
  <c r="AN32" i="18" s="1"/>
  <c r="AI176" i="18" a="1"/>
  <c r="AI176" i="18" s="1"/>
  <c r="AN176" i="18" s="1"/>
  <c r="AI115" i="18" a="1"/>
  <c r="AI115" i="18" s="1"/>
  <c r="AN115" i="18" s="1"/>
  <c r="AI173" i="18" a="1"/>
  <c r="AI173" i="18" s="1"/>
  <c r="AN173" i="18" s="1"/>
  <c r="AI219" i="18" a="1"/>
  <c r="AI219" i="18" s="1"/>
  <c r="AN219" i="18" s="1"/>
  <c r="AI212" i="18" a="1"/>
  <c r="AI212" i="18" s="1"/>
  <c r="AN212" i="18" s="1"/>
  <c r="AI97" i="18" a="1"/>
  <c r="AI97" i="18" s="1"/>
  <c r="AN97" i="18" s="1"/>
  <c r="AI132" i="18" a="1"/>
  <c r="AI132" i="18" s="1"/>
  <c r="AN132" i="18" s="1"/>
  <c r="AI224" i="18" a="1"/>
  <c r="AI224" i="18" s="1"/>
  <c r="AN224" i="18" s="1"/>
  <c r="AI18" i="18" a="1"/>
  <c r="AI18" i="18" s="1"/>
  <c r="AN18" i="18" s="1"/>
  <c r="AI186" i="18" a="1"/>
  <c r="AI186" i="18" s="1"/>
  <c r="AN186" i="18" s="1"/>
  <c r="AI92" i="18" a="1"/>
  <c r="AI92" i="18" s="1"/>
  <c r="AN92" i="18" s="1"/>
  <c r="AI31" i="18" a="1"/>
  <c r="AI31" i="18" s="1"/>
  <c r="AN31" i="18" s="1"/>
  <c r="AI19" i="18" a="1"/>
  <c r="AI19" i="18" s="1"/>
  <c r="AN19" i="18" s="1"/>
  <c r="AI175" i="18" a="1"/>
  <c r="AI175" i="18" s="1"/>
  <c r="AN175" i="18" s="1"/>
  <c r="AI50" i="18" a="1"/>
  <c r="AI50" i="18" s="1"/>
  <c r="AN50" i="18" s="1"/>
  <c r="AI184" i="18" a="1"/>
  <c r="AI184" i="18" s="1"/>
  <c r="AN184" i="18" s="1"/>
  <c r="AI35" i="18" a="1"/>
  <c r="AI35" i="18" s="1"/>
  <c r="AN35" i="18" s="1"/>
  <c r="AI6" i="18" a="1"/>
  <c r="AI6" i="18" s="1"/>
  <c r="AN6" i="18" s="1"/>
  <c r="AI118" i="18" a="1"/>
  <c r="AI118" i="18" s="1"/>
  <c r="AN118" i="18" s="1"/>
  <c r="AI180" i="18" a="1"/>
  <c r="AI180" i="18" s="1"/>
  <c r="AN180" i="18" s="1"/>
  <c r="AI235" i="18" a="1"/>
  <c r="AI235" i="18" s="1"/>
  <c r="AN235" i="18" s="1"/>
  <c r="AI197" i="18" a="1"/>
  <c r="AI197" i="18" s="1"/>
  <c r="AN197" i="18" s="1"/>
  <c r="AI100" i="18" a="1"/>
  <c r="AI100" i="18" s="1"/>
  <c r="AN100" i="18" s="1"/>
  <c r="AI135" i="18" a="1"/>
  <c r="AI135" i="18" s="1"/>
  <c r="AN135" i="18" s="1"/>
  <c r="AI231" i="18" a="1"/>
  <c r="AI231" i="18" s="1"/>
  <c r="AN231" i="18" s="1"/>
  <c r="AI21" i="18" a="1"/>
  <c r="AI21" i="18" s="1"/>
  <c r="AN21" i="18" s="1"/>
  <c r="AI9" i="18" a="1"/>
  <c r="AI9" i="18" s="1"/>
  <c r="AN9" i="18" s="1"/>
  <c r="AI95" i="18" a="1"/>
  <c r="AI95" i="18" s="1"/>
  <c r="AN95" i="18" s="1"/>
  <c r="AI34" i="18" a="1"/>
  <c r="AI34" i="18" s="1"/>
  <c r="AN34" i="18" s="1"/>
  <c r="AI22" i="18" a="1"/>
  <c r="AI22" i="18" s="1"/>
  <c r="AN22" i="18" s="1"/>
  <c r="AI5" i="18" a="1"/>
  <c r="AI5" i="18" s="1"/>
  <c r="AN5" i="18" s="1"/>
  <c r="AI53" i="18" a="1"/>
  <c r="AI53" i="18" s="1"/>
  <c r="AN53" i="18" s="1"/>
  <c r="AI191" i="18" a="1"/>
  <c r="AI191" i="18" s="1"/>
  <c r="AN191" i="18" s="1"/>
  <c r="AI75" i="18" a="1"/>
  <c r="AI75" i="18" s="1"/>
  <c r="AN75" i="18" s="1"/>
  <c r="AI188" i="18" a="1"/>
  <c r="AI188" i="18" s="1"/>
  <c r="AN188" i="18" s="1"/>
  <c r="AI121" i="18" a="1"/>
  <c r="AI121" i="18" s="1"/>
  <c r="AN121" i="18" s="1"/>
  <c r="AI185" i="18" a="1"/>
  <c r="AI185" i="18" s="1"/>
  <c r="AN185" i="18" s="1"/>
  <c r="AI240" i="18" a="1"/>
  <c r="AI240" i="18" s="1"/>
  <c r="AN240" i="18" s="1"/>
  <c r="AI237" i="18" a="1"/>
  <c r="AI237" i="18" s="1"/>
  <c r="AN237" i="18" s="1"/>
  <c r="AI141" i="18" a="1"/>
  <c r="AI141" i="18" s="1"/>
  <c r="AN141" i="18" s="1"/>
  <c r="AI138" i="18" a="1"/>
  <c r="AI138" i="18" s="1"/>
  <c r="AN138" i="18" s="1"/>
  <c r="AI238" i="18" a="1"/>
  <c r="AI238" i="18" s="1"/>
  <c r="AN238" i="18" s="1"/>
  <c r="AI61" i="18" a="1"/>
  <c r="AI61" i="18" s="1"/>
  <c r="AN61" i="18" s="1"/>
  <c r="AI52" i="18" a="1"/>
  <c r="AI52" i="18" s="1"/>
  <c r="AN52" i="18" s="1"/>
  <c r="AI98" i="18" a="1"/>
  <c r="AI98" i="18" s="1"/>
  <c r="AN98" i="18" s="1"/>
  <c r="AI37" i="18" a="1"/>
  <c r="AI37" i="18" s="1"/>
  <c r="AN37" i="18" s="1"/>
  <c r="AI25" i="18" a="1"/>
  <c r="AI25" i="18" s="1"/>
  <c r="AN25" i="18" s="1"/>
  <c r="AI187" i="18" a="1"/>
  <c r="AI187" i="18" s="1"/>
  <c r="AN187" i="18" s="1"/>
  <c r="AI56" i="18" a="1"/>
  <c r="AI56" i="18" s="1"/>
  <c r="AN56" i="18" s="1"/>
  <c r="AI38" i="18" a="1"/>
  <c r="AI38" i="18" s="1"/>
  <c r="AN38" i="18" s="1"/>
  <c r="AI78" i="18" a="1"/>
  <c r="AI78" i="18" s="1"/>
  <c r="AN78" i="18" s="1"/>
  <c r="AI195" i="18" a="1"/>
  <c r="AI195" i="18" s="1"/>
  <c r="AN195" i="18" s="1"/>
  <c r="AI54" i="18" a="1"/>
  <c r="AI54" i="18" s="1"/>
  <c r="AN54" i="18" s="1"/>
  <c r="AI192" i="18" a="1"/>
  <c r="AI192" i="18" s="1"/>
  <c r="AN192" i="18" s="1"/>
  <c r="AI207" i="18" a="1"/>
  <c r="AI207" i="18" s="1"/>
  <c r="AN207" i="18" s="1"/>
  <c r="AI243" i="18" a="1"/>
  <c r="AI243" i="18" s="1"/>
  <c r="AN243" i="18" s="1"/>
  <c r="AI144" i="18" a="1"/>
  <c r="AI144" i="18" s="1"/>
  <c r="AN144" i="18" s="1"/>
  <c r="AI153" i="18" a="1"/>
  <c r="AI153" i="18" s="1"/>
  <c r="AN153" i="18" s="1"/>
  <c r="AI12" i="18" a="1"/>
  <c r="AI12" i="18" s="1"/>
  <c r="AN12" i="18" s="1"/>
  <c r="AI64" i="18" a="1"/>
  <c r="AI64" i="18" s="1"/>
  <c r="AN64" i="18" s="1"/>
  <c r="AI55" i="18" a="1"/>
  <c r="AI55" i="18" s="1"/>
  <c r="AN55" i="18" s="1"/>
  <c r="AI136" i="18" a="1"/>
  <c r="AI136" i="18" s="1"/>
  <c r="AN136" i="18" s="1"/>
  <c r="AI80" i="18" a="1"/>
  <c r="AI80" i="18" s="1"/>
  <c r="AN80" i="18" s="1"/>
  <c r="AI28" i="18" a="1"/>
  <c r="AI28" i="18" s="1"/>
  <c r="AN28" i="18" s="1"/>
  <c r="AI194" i="18" a="1"/>
  <c r="AI194" i="18" s="1"/>
  <c r="AN194" i="18" s="1"/>
  <c r="AI96" i="18" a="1"/>
  <c r="AI96" i="18" s="1"/>
  <c r="AN96" i="18" s="1"/>
  <c r="AI41" i="18" a="1"/>
  <c r="AI41" i="18" s="1"/>
  <c r="AN41" i="18" s="1"/>
  <c r="AI81" i="18" a="1"/>
  <c r="AI81" i="18" s="1"/>
  <c r="AN81" i="18" s="1"/>
  <c r="AI202" i="18" a="1"/>
  <c r="AI202" i="18" s="1"/>
  <c r="AN202" i="18" s="1"/>
  <c r="AI57" i="18" a="1"/>
  <c r="AI57" i="18" s="1"/>
  <c r="AN57" i="18" s="1"/>
  <c r="AI199" i="18" a="1"/>
  <c r="AI199" i="18" s="1"/>
  <c r="AN199" i="18" s="1"/>
  <c r="AI7" i="18" a="1"/>
  <c r="AI7" i="18" s="1"/>
  <c r="AN7" i="18" s="1"/>
  <c r="AI198" i="18" a="1"/>
  <c r="AI198" i="18" s="1"/>
  <c r="AN198" i="18" s="1"/>
  <c r="AI147" i="18" a="1"/>
  <c r="AI147" i="18" s="1"/>
  <c r="AN147" i="18" s="1"/>
  <c r="AI156" i="18" a="1"/>
  <c r="AI156" i="18" s="1"/>
  <c r="AN156" i="18" s="1"/>
  <c r="AI15" i="18" a="1"/>
  <c r="AI15" i="18" s="1"/>
  <c r="AN15" i="18" s="1"/>
  <c r="AI67" i="18" a="1"/>
  <c r="AI67" i="18" s="1"/>
  <c r="AN67" i="18" s="1"/>
  <c r="AI58" i="18" a="1"/>
  <c r="AI58" i="18" s="1"/>
  <c r="AN58" i="18" s="1"/>
  <c r="AI139" i="18" a="1"/>
  <c r="AI139" i="18" s="1"/>
  <c r="AN139" i="18" s="1"/>
  <c r="AI83" i="18" a="1"/>
  <c r="AI83" i="18" s="1"/>
  <c r="AN83" i="18" s="1"/>
  <c r="AI68" i="18" a="1"/>
  <c r="AI68" i="18" s="1"/>
  <c r="AN68" i="18" s="1"/>
  <c r="AI201" i="18" a="1"/>
  <c r="AI201" i="18" s="1"/>
  <c r="AN201" i="18" s="1"/>
  <c r="AI99" i="18" a="1"/>
  <c r="AI99" i="18" s="1"/>
  <c r="AN99" i="18" s="1"/>
  <c r="AI44" i="18" a="1"/>
  <c r="AI44" i="18" s="1"/>
  <c r="AN44" i="18" s="1"/>
  <c r="AI84" i="18" a="1"/>
  <c r="AI84" i="18" s="1"/>
  <c r="AN84" i="18" s="1"/>
  <c r="AI209" i="18" a="1"/>
  <c r="AI209" i="18" s="1"/>
  <c r="AN209" i="18" s="1"/>
  <c r="AI60" i="18" a="1"/>
  <c r="AI60" i="18" s="1"/>
  <c r="AN60" i="18" s="1"/>
  <c r="AI206" i="18" a="1"/>
  <c r="AI206" i="18" s="1"/>
  <c r="AN206" i="18" s="1"/>
  <c r="AI190" i="18" a="1"/>
  <c r="AI190" i="18" s="1"/>
  <c r="AN190" i="18" s="1"/>
  <c r="AI214" i="18" a="1"/>
  <c r="AI214" i="18" s="1"/>
  <c r="AN214" i="18" s="1"/>
  <c r="AI33" i="18" a="1"/>
  <c r="AI33" i="18" s="1"/>
  <c r="AN33" i="18" s="1"/>
  <c r="AI163" i="18" a="1"/>
  <c r="AI163" i="18" s="1"/>
  <c r="AN163" i="18" s="1"/>
  <c r="AI24" i="18" a="1"/>
  <c r="AI24" i="18" s="1"/>
  <c r="AN24" i="18" s="1"/>
  <c r="AI70" i="18" a="1"/>
  <c r="AI70" i="18" s="1"/>
  <c r="AN70" i="18" s="1"/>
  <c r="AI101" i="18" a="1"/>
  <c r="AI101" i="18" s="1"/>
  <c r="AN101" i="18" s="1"/>
  <c r="AI142" i="18" a="1"/>
  <c r="AI142" i="18" s="1"/>
  <c r="AN142" i="18" s="1"/>
  <c r="AI86" i="18" a="1"/>
  <c r="AI86" i="18" s="1"/>
  <c r="AN86" i="18" s="1"/>
  <c r="AI71" i="18" a="1"/>
  <c r="AI71" i="18" s="1"/>
  <c r="AN71" i="18" s="1"/>
  <c r="AI208" i="18" a="1"/>
  <c r="AI208" i="18" s="1"/>
  <c r="AN208" i="18" s="1"/>
  <c r="AI102" i="18" a="1"/>
  <c r="AI102" i="18" s="1"/>
  <c r="AN102" i="18" s="1"/>
  <c r="AI87" i="18" a="1"/>
  <c r="AI87" i="18" s="1"/>
  <c r="AN87" i="18" s="1"/>
  <c r="AI124" i="18" a="1"/>
  <c r="AI124" i="18" s="1"/>
  <c r="AN124" i="18" s="1"/>
  <c r="AI11" i="18" a="1"/>
  <c r="AI11" i="18" s="1"/>
  <c r="AN11" i="18" s="1"/>
  <c r="AI63" i="18" a="1"/>
  <c r="AI63" i="18" s="1"/>
  <c r="AN63" i="18" s="1"/>
  <c r="AI213" i="18" a="1"/>
  <c r="AI213" i="18" s="1"/>
  <c r="AN213" i="18" s="1"/>
  <c r="AI221" i="18" a="1"/>
  <c r="AI221" i="18" s="1"/>
  <c r="AN221" i="18" s="1"/>
  <c r="AI225" i="18" a="1"/>
  <c r="AI225" i="18" s="1"/>
  <c r="AN225" i="18" s="1"/>
  <c r="AI36" i="18" a="1"/>
  <c r="AI36" i="18" s="1"/>
  <c r="AN36" i="18" s="1"/>
  <c r="AI170" i="18" a="1"/>
  <c r="AI170" i="18" s="1"/>
  <c r="AN170" i="18" s="1"/>
  <c r="AI27" i="18" a="1"/>
  <c r="AI27" i="18" s="1"/>
  <c r="AN27" i="18" s="1"/>
  <c r="AI110" i="18" a="1"/>
  <c r="AI110" i="18" s="1"/>
  <c r="AN110" i="18" s="1"/>
  <c r="AI104" i="18" a="1"/>
  <c r="AI104" i="18" s="1"/>
  <c r="AN104" i="18" s="1"/>
  <c r="AI145" i="18" a="1"/>
  <c r="AI145" i="18" s="1"/>
  <c r="AN145" i="18" s="1"/>
  <c r="AI4" i="18" a="1"/>
  <c r="AI4" i="18" s="1"/>
  <c r="AN4" i="18" s="1"/>
  <c r="AI74" i="18" a="1"/>
  <c r="AI74" i="18" s="1"/>
  <c r="AN74" i="18" s="1"/>
  <c r="AI10" i="18" a="1"/>
  <c r="AI10" i="18" s="1"/>
  <c r="AN10" i="18" s="1"/>
  <c r="AI105" i="18" a="1"/>
  <c r="AI105" i="18" s="1"/>
  <c r="AN105" i="18" s="1"/>
  <c r="AI90" i="18" a="1"/>
  <c r="AI90" i="18" s="1"/>
  <c r="AN90" i="18" s="1"/>
  <c r="AI127" i="18" a="1"/>
  <c r="AI127" i="18" s="1"/>
  <c r="AN127" i="18" s="1"/>
  <c r="AI14" i="18" a="1"/>
  <c r="AI14" i="18" s="1"/>
  <c r="AN14" i="18" s="1"/>
  <c r="AI103" i="18" a="1"/>
  <c r="AI103" i="18" s="1"/>
  <c r="AN103" i="18" s="1"/>
  <c r="AI220" i="18" a="1"/>
  <c r="AI220" i="18" s="1"/>
  <c r="AN220" i="18" s="1"/>
  <c r="AI193" i="18" a="1"/>
  <c r="AI193" i="18" s="1"/>
  <c r="AN193" i="18" s="1"/>
  <c r="AI232" i="18" a="1"/>
  <c r="AI232" i="18" s="1"/>
  <c r="AN232" i="18" s="1"/>
  <c r="AI39" i="18" a="1"/>
  <c r="AI39" i="18" s="1"/>
  <c r="AN39" i="18" s="1"/>
  <c r="AI177" i="18" a="1"/>
  <c r="AI177" i="18" s="1"/>
  <c r="AN177" i="18" s="1"/>
  <c r="AI30" i="18" a="1"/>
  <c r="AI30" i="18" s="1"/>
  <c r="AN30" i="18" s="1"/>
  <c r="AI113" i="18" a="1"/>
  <c r="AI113" i="18" s="1"/>
  <c r="AN113" i="18" s="1"/>
  <c r="AI107" i="18" a="1"/>
  <c r="AI107" i="18" s="1"/>
  <c r="AN107" i="18" s="1"/>
  <c r="AI151" i="18" a="1"/>
  <c r="AI151" i="18" s="1"/>
  <c r="AN151" i="18" s="1"/>
  <c r="AI130" i="18" a="1"/>
  <c r="AI130" i="18" s="1"/>
  <c r="AN130" i="18" s="1"/>
  <c r="AI77" i="18" a="1"/>
  <c r="AI77" i="18" s="1"/>
  <c r="AN77" i="18" s="1"/>
  <c r="AI59" i="18" a="1"/>
  <c r="AI59" i="18" s="1"/>
  <c r="AN59" i="18" s="1"/>
  <c r="AI143" i="18" a="1"/>
  <c r="AI143" i="18" s="1"/>
  <c r="AN143" i="18" s="1"/>
  <c r="AI93" i="18" a="1"/>
  <c r="AI93" i="18" s="1"/>
  <c r="AN93" i="18" s="1"/>
  <c r="AI128" i="18" a="1"/>
  <c r="AI128" i="18" s="1"/>
  <c r="AN128" i="18" s="1"/>
  <c r="AI17" i="18" a="1"/>
  <c r="AI17" i="18" s="1"/>
  <c r="AN17" i="18" s="1"/>
  <c r="AI106" i="18" a="1"/>
  <c r="AI106" i="18" s="1"/>
  <c r="AN106" i="18" s="1"/>
  <c r="AI227" i="18" a="1"/>
  <c r="AI227" i="18" s="1"/>
  <c r="AN227" i="18" s="1"/>
  <c r="AI236" i="18" a="1"/>
  <c r="AI236" i="18" s="1"/>
  <c r="AN236" i="18" s="1"/>
  <c r="AI200" i="18" a="1"/>
  <c r="AI200" i="18" s="1"/>
  <c r="AN200" i="18" s="1"/>
  <c r="AL213" i="14"/>
  <c r="AL62" i="14"/>
  <c r="AH271" i="14"/>
  <c r="AL296" i="14"/>
  <c r="AL282" i="13"/>
  <c r="AH261" i="14"/>
  <c r="AL60" i="13"/>
  <c r="AL6" i="14"/>
  <c r="AL304" i="14"/>
  <c r="AH283" i="14"/>
  <c r="AL283" i="14" s="1"/>
  <c r="AL283" i="13"/>
  <c r="AH55" i="14"/>
  <c r="AL55" i="14" s="1"/>
  <c r="AL55" i="13"/>
  <c r="AH204" i="14"/>
  <c r="AL200" i="13"/>
  <c r="AL228" i="14"/>
  <c r="AL337" i="14"/>
  <c r="AL241" i="14"/>
  <c r="AL112" i="14"/>
  <c r="H123" i="18" a="1"/>
  <c r="H123" i="18" s="1"/>
  <c r="H181" i="18" a="1"/>
  <c r="H181" i="18" s="1"/>
  <c r="H228" i="18" a="1"/>
  <c r="H228" i="18" s="1"/>
  <c r="H43" i="18" a="1"/>
  <c r="H43" i="18" s="1"/>
  <c r="H82" i="18" a="1"/>
  <c r="H82" i="18" s="1"/>
  <c r="H107" i="18" a="1"/>
  <c r="H107" i="18" s="1"/>
  <c r="H163" i="18" a="1"/>
  <c r="H163" i="18" s="1"/>
  <c r="H213" i="18" a="1"/>
  <c r="H213" i="18" s="1"/>
  <c r="H25" i="18" a="1"/>
  <c r="H25" i="18" s="1"/>
  <c r="H79" i="18" a="1"/>
  <c r="H79" i="18" s="1"/>
  <c r="H103" i="18" a="1"/>
  <c r="H103" i="18" s="1"/>
  <c r="H147" i="18" a="1"/>
  <c r="H147" i="18" s="1"/>
  <c r="H184" i="18" a="1"/>
  <c r="H184" i="18" s="1"/>
  <c r="H221" i="18" a="1"/>
  <c r="H221" i="18" s="1"/>
  <c r="H34" i="18" a="1"/>
  <c r="H34" i="18" s="1"/>
  <c r="H99" i="18" a="1"/>
  <c r="H99" i="18" s="1"/>
  <c r="H143" i="18" a="1"/>
  <c r="H143" i="18" s="1"/>
  <c r="H110" i="18" a="1"/>
  <c r="H110" i="18" s="1"/>
  <c r="H167" i="18" a="1"/>
  <c r="H167" i="18" s="1"/>
  <c r="H217" i="18" a="1"/>
  <c r="H217" i="18" s="1"/>
  <c r="H29" i="18" a="1"/>
  <c r="H29" i="18" s="1"/>
  <c r="H70" i="18" a="1"/>
  <c r="H70" i="18" s="1"/>
  <c r="H94" i="18" a="1"/>
  <c r="H94" i="18" s="1"/>
  <c r="H150" i="18" a="1"/>
  <c r="H150" i="18" s="1"/>
  <c r="H200" i="18" a="1"/>
  <c r="H200" i="18" s="1"/>
  <c r="H11" i="18" a="1"/>
  <c r="H11" i="18" s="1"/>
  <c r="H66" i="18" a="1"/>
  <c r="H66" i="18" s="1"/>
  <c r="H90" i="18" a="1"/>
  <c r="H90" i="18" s="1"/>
  <c r="H135" i="18" a="1"/>
  <c r="H135" i="18" s="1"/>
  <c r="H172" i="18" a="1"/>
  <c r="H172" i="18" s="1"/>
  <c r="H209" i="18" a="1"/>
  <c r="H209" i="18" s="1"/>
  <c r="H20" i="18" a="1"/>
  <c r="H20" i="18" s="1"/>
  <c r="H87" i="18" a="1"/>
  <c r="H87" i="18" s="1"/>
  <c r="H132" i="18" a="1"/>
  <c r="H132" i="18" s="1"/>
  <c r="H97" i="18" a="1"/>
  <c r="H97" i="18" s="1"/>
  <c r="H154" i="18" a="1"/>
  <c r="H154" i="18" s="1"/>
  <c r="H204" i="18" a="1"/>
  <c r="H204" i="18" s="1"/>
  <c r="H15" i="18" a="1"/>
  <c r="H15" i="18" s="1"/>
  <c r="H56" i="18" a="1"/>
  <c r="H56" i="18" s="1"/>
  <c r="H81" i="18" a="1"/>
  <c r="H81" i="18" s="1"/>
  <c r="H138" i="18" a="1"/>
  <c r="H138" i="18" s="1"/>
  <c r="H188" i="18" a="1"/>
  <c r="H188" i="18" s="1"/>
  <c r="H237" i="18" a="1"/>
  <c r="H237" i="18" s="1"/>
  <c r="H52" i="18" a="1"/>
  <c r="H52" i="18" s="1"/>
  <c r="H78" i="18" a="1"/>
  <c r="H78" i="18" s="1"/>
  <c r="H115" i="18" a="1"/>
  <c r="H115" i="18" s="1"/>
  <c r="H159" i="18" a="1"/>
  <c r="H159" i="18" s="1"/>
  <c r="H196" i="18" a="1"/>
  <c r="H196" i="18" s="1"/>
  <c r="H7" i="18" a="1"/>
  <c r="H7" i="18" s="1"/>
  <c r="H74" i="18" a="1"/>
  <c r="H74" i="18" s="1"/>
  <c r="H111" i="18" a="1"/>
  <c r="H111" i="18" s="1"/>
  <c r="H85" i="18" a="1"/>
  <c r="H85" i="18" s="1"/>
  <c r="H141" i="18" a="1"/>
  <c r="H141" i="18" s="1"/>
  <c r="H180" i="18" a="1"/>
  <c r="H180" i="18" s="1"/>
  <c r="H227" i="18" a="1"/>
  <c r="H227" i="18" s="1"/>
  <c r="H42" i="18" a="1"/>
  <c r="H42" i="18" s="1"/>
  <c r="H69" i="18" a="1"/>
  <c r="H69" i="18" s="1"/>
  <c r="H128" i="18" a="1"/>
  <c r="H128" i="18" s="1"/>
  <c r="H176" i="18" a="1"/>
  <c r="H176" i="18" s="1"/>
  <c r="H212" i="18" a="1"/>
  <c r="H212" i="18" s="1"/>
  <c r="H38" i="18" a="1"/>
  <c r="H38" i="18" s="1"/>
  <c r="H65" i="18" a="1"/>
  <c r="H65" i="18" s="1"/>
  <c r="H102" i="18" a="1"/>
  <c r="H102" i="18" s="1"/>
  <c r="H146" i="18" a="1"/>
  <c r="H146" i="18" s="1"/>
  <c r="H183" i="18" a="1"/>
  <c r="H183" i="18" s="1"/>
  <c r="H232" i="18" a="1"/>
  <c r="H232" i="18" s="1"/>
  <c r="H61" i="18" a="1"/>
  <c r="H61" i="18" s="1"/>
  <c r="H98" i="18" a="1"/>
  <c r="H98" i="18" s="1"/>
  <c r="H73" i="18" a="1"/>
  <c r="H73" i="18" s="1"/>
  <c r="H131" i="18" a="1"/>
  <c r="H131" i="18" s="1"/>
  <c r="H166" i="18" a="1"/>
  <c r="H166" i="18" s="1"/>
  <c r="H216" i="18" a="1"/>
  <c r="H216" i="18" s="1"/>
  <c r="H28" i="18" a="1"/>
  <c r="H28" i="18" s="1"/>
  <c r="H55" i="18" a="1"/>
  <c r="H55" i="18" s="1"/>
  <c r="H118" i="18" a="1"/>
  <c r="H118" i="18" s="1"/>
  <c r="H149" i="18" a="1"/>
  <c r="H149" i="18" s="1"/>
  <c r="H199" i="18" a="1"/>
  <c r="H199" i="18" s="1"/>
  <c r="H24" i="18" a="1"/>
  <c r="H24" i="18" s="1"/>
  <c r="H51" i="18" a="1"/>
  <c r="H51" i="18" s="1"/>
  <c r="H89" i="18" a="1"/>
  <c r="H89" i="18" s="1"/>
  <c r="H126" i="18" a="1"/>
  <c r="H126" i="18" s="1"/>
  <c r="H171" i="18" a="1"/>
  <c r="H171" i="18" s="1"/>
  <c r="H220" i="18" a="1"/>
  <c r="H220" i="18" s="1"/>
  <c r="H47" i="18" a="1"/>
  <c r="H47" i="18" s="1"/>
  <c r="H86" i="18" a="1"/>
  <c r="H86" i="18" s="1"/>
  <c r="H243" i="18" a="1"/>
  <c r="H243" i="18" s="1"/>
  <c r="H59" i="18" a="1"/>
  <c r="H59" i="18" s="1"/>
  <c r="H122" i="18" a="1"/>
  <c r="H122" i="18" s="1"/>
  <c r="H153" i="18" a="1"/>
  <c r="H153" i="18" s="1"/>
  <c r="H203" i="18" a="1"/>
  <c r="H203" i="18" s="1"/>
  <c r="H14" i="18" a="1"/>
  <c r="H14" i="18" s="1"/>
  <c r="H41" i="18" a="1"/>
  <c r="H41" i="18" s="1"/>
  <c r="H106" i="18" a="1"/>
  <c r="H106" i="18" s="1"/>
  <c r="H137" i="18" a="1"/>
  <c r="H137" i="18" s="1"/>
  <c r="H187" i="18" a="1"/>
  <c r="H187" i="18" s="1"/>
  <c r="H10" i="18" a="1"/>
  <c r="H10" i="18" s="1"/>
  <c r="H37" i="18" a="1"/>
  <c r="H37" i="18" s="1"/>
  <c r="H77" i="18" a="1"/>
  <c r="H77" i="18" s="1"/>
  <c r="H114" i="18" a="1"/>
  <c r="H114" i="18" s="1"/>
  <c r="H158" i="18" a="1"/>
  <c r="H158" i="18" s="1"/>
  <c r="H208" i="18" a="1"/>
  <c r="H208" i="18" s="1"/>
  <c r="H33" i="18" a="1"/>
  <c r="H33" i="18" s="1"/>
  <c r="H60" i="18" a="1"/>
  <c r="H60" i="18" s="1"/>
  <c r="H230" i="18" a="1"/>
  <c r="H230" i="18" s="1"/>
  <c r="H45" i="18" a="1"/>
  <c r="H45" i="18" s="1"/>
  <c r="H96" i="18" a="1"/>
  <c r="H96" i="18" s="1"/>
  <c r="H140" i="18" a="1"/>
  <c r="H140" i="18" s="1"/>
  <c r="H191" i="18" a="1"/>
  <c r="H191" i="18" s="1"/>
  <c r="H240" i="18" a="1"/>
  <c r="H240" i="18" s="1"/>
  <c r="H27" i="18" a="1"/>
  <c r="H27" i="18" s="1"/>
  <c r="H93" i="18" a="1"/>
  <c r="H93" i="18" s="1"/>
  <c r="H4" i="18" a="1"/>
  <c r="H4" i="18" s="1"/>
  <c r="H175" i="18" a="1"/>
  <c r="H175" i="18" s="1"/>
  <c r="H236" i="18" a="1"/>
  <c r="H236" i="18" s="1"/>
  <c r="H23" i="18" a="1"/>
  <c r="H23" i="18" s="1"/>
  <c r="H64" i="18" a="1"/>
  <c r="H64" i="18" s="1"/>
  <c r="H101" i="18" a="1"/>
  <c r="H101" i="18" s="1"/>
  <c r="H145" i="18" a="1"/>
  <c r="H145" i="18" s="1"/>
  <c r="H195" i="18" a="1"/>
  <c r="H195" i="18" s="1"/>
  <c r="H19" i="18" a="1"/>
  <c r="H19" i="18" s="1"/>
  <c r="H46" i="18" a="1"/>
  <c r="H46" i="18" s="1"/>
  <c r="H219" i="18" a="1"/>
  <c r="H219" i="18" s="1"/>
  <c r="H31" i="18" a="1"/>
  <c r="H31" i="18" s="1"/>
  <c r="H84" i="18" a="1"/>
  <c r="H84" i="18" s="1"/>
  <c r="H130" i="18" a="1"/>
  <c r="H130" i="18" s="1"/>
  <c r="H179" i="18" a="1"/>
  <c r="H179" i="18" s="1"/>
  <c r="H215" i="18" a="1"/>
  <c r="H215" i="18" s="1"/>
  <c r="H13" i="18" a="1"/>
  <c r="H13" i="18" s="1"/>
  <c r="H68" i="18" a="1"/>
  <c r="H68" i="18" s="1"/>
  <c r="H117" i="18" a="1"/>
  <c r="H117" i="18" s="1"/>
  <c r="H162" i="18" a="1"/>
  <c r="H162" i="18" s="1"/>
  <c r="H224" i="18" a="1"/>
  <c r="H224" i="18" s="1"/>
  <c r="H9" i="18" a="1"/>
  <c r="H9" i="18" s="1"/>
  <c r="H50" i="18" a="1"/>
  <c r="H50" i="18" s="1"/>
  <c r="H88" i="18" a="1"/>
  <c r="H88" i="18" s="1"/>
  <c r="H134" i="18" a="1"/>
  <c r="H134" i="18" s="1"/>
  <c r="H182" i="18" a="1"/>
  <c r="H182" i="18" s="1"/>
  <c r="H244" i="18" a="1"/>
  <c r="H244" i="18" s="1"/>
  <c r="H32" i="18" a="1"/>
  <c r="H32" i="18" s="1"/>
  <c r="H206" i="18" a="1"/>
  <c r="H206" i="18" s="1"/>
  <c r="H17" i="18" a="1"/>
  <c r="H17" i="18" s="1"/>
  <c r="H72" i="18" a="1"/>
  <c r="H72" i="18" s="1"/>
  <c r="H121" i="18" a="1"/>
  <c r="H121" i="18" s="1"/>
  <c r="H165" i="18" a="1"/>
  <c r="H165" i="18" s="1"/>
  <c r="H202" i="18" a="1"/>
  <c r="H202" i="18" s="1"/>
  <c r="H239" i="18" a="1"/>
  <c r="H239" i="18" s="1"/>
  <c r="H54" i="18" a="1"/>
  <c r="H54" i="18" s="1"/>
  <c r="H105" i="18" a="1"/>
  <c r="H105" i="18" s="1"/>
  <c r="H148" i="18" a="1"/>
  <c r="H148" i="18" s="1"/>
  <c r="H211" i="18" a="1"/>
  <c r="H211" i="18" s="1"/>
  <c r="H235" i="18" a="1"/>
  <c r="H235" i="18" s="1"/>
  <c r="H36" i="18" a="1"/>
  <c r="H36" i="18" s="1"/>
  <c r="H76" i="18" a="1"/>
  <c r="H76" i="18" s="1"/>
  <c r="H125" i="18" a="1"/>
  <c r="H125" i="18" s="1"/>
  <c r="H170" i="18" a="1"/>
  <c r="H170" i="18" s="1"/>
  <c r="H231" i="18" a="1"/>
  <c r="H231" i="18" s="1"/>
  <c r="H18" i="18" a="1"/>
  <c r="H18" i="18" s="1"/>
  <c r="H193" i="18" a="1"/>
  <c r="H193" i="18" s="1"/>
  <c r="H242" i="18" a="1"/>
  <c r="H242" i="18" s="1"/>
  <c r="H58" i="18" a="1"/>
  <c r="H58" i="18" s="1"/>
  <c r="H109" i="18" a="1"/>
  <c r="H109" i="18" s="1"/>
  <c r="H152" i="18" a="1"/>
  <c r="H152" i="18" s="1"/>
  <c r="H190" i="18" a="1"/>
  <c r="H190" i="18" s="1"/>
  <c r="H226" i="18" a="1"/>
  <c r="H226" i="18" s="1"/>
  <c r="H40" i="18" a="1"/>
  <c r="H40" i="18" s="1"/>
  <c r="H92" i="18" a="1"/>
  <c r="H92" i="18" s="1"/>
  <c r="H136" i="18" a="1"/>
  <c r="H136" i="18" s="1"/>
  <c r="H198" i="18" a="1"/>
  <c r="H198" i="18" s="1"/>
  <c r="H223" i="18" a="1"/>
  <c r="H223" i="18" s="1"/>
  <c r="H22" i="18" a="1"/>
  <c r="H22" i="18" s="1"/>
  <c r="H63" i="18" a="1"/>
  <c r="H63" i="18" s="1"/>
  <c r="H113" i="18" a="1"/>
  <c r="H113" i="18" s="1"/>
  <c r="H157" i="18" a="1"/>
  <c r="H157" i="18" s="1"/>
  <c r="H207" i="18" a="1"/>
  <c r="H207" i="18" s="1"/>
  <c r="H5" i="18" a="1"/>
  <c r="H5" i="18" s="1"/>
  <c r="H229" i="18" a="1"/>
  <c r="H229" i="18" s="1"/>
  <c r="H44" i="18" a="1"/>
  <c r="H44" i="18" s="1"/>
  <c r="H95" i="18" a="1"/>
  <c r="H95" i="18" s="1"/>
  <c r="H139" i="18" a="1"/>
  <c r="H139" i="18" s="1"/>
  <c r="H178" i="18" a="1"/>
  <c r="H178" i="18" s="1"/>
  <c r="H214" i="18" a="1"/>
  <c r="H214" i="18" s="1"/>
  <c r="H26" i="18" a="1"/>
  <c r="H26" i="18" s="1"/>
  <c r="H80" i="18" a="1"/>
  <c r="H80" i="18" s="1"/>
  <c r="H3" i="18" a="1"/>
  <c r="H3" i="18" s="1"/>
  <c r="H186" i="18" a="1"/>
  <c r="H186" i="18" s="1"/>
  <c r="H197" i="18" a="1"/>
  <c r="H197" i="18" s="1"/>
  <c r="H8" i="18" a="1"/>
  <c r="H8" i="18" s="1"/>
  <c r="H49" i="18" a="1"/>
  <c r="H49" i="18" s="1"/>
  <c r="H100" i="18" a="1"/>
  <c r="H100" i="18" s="1"/>
  <c r="H144" i="18" a="1"/>
  <c r="H144" i="18" s="1"/>
  <c r="H194" i="18" a="1"/>
  <c r="H194" i="18" s="1"/>
  <c r="H168" i="18" a="1"/>
  <c r="H168" i="18" s="1"/>
  <c r="H218" i="18" a="1"/>
  <c r="H218" i="18" s="1"/>
  <c r="H30" i="18" a="1"/>
  <c r="H30" i="18" s="1"/>
  <c r="H83" i="18" a="1"/>
  <c r="H83" i="18" s="1"/>
  <c r="H129" i="18" a="1"/>
  <c r="H129" i="18" s="1"/>
  <c r="H164" i="18" a="1"/>
  <c r="H164" i="18" s="1"/>
  <c r="H201" i="18" a="1"/>
  <c r="H201" i="18" s="1"/>
  <c r="H12" i="18" a="1"/>
  <c r="H12" i="18" s="1"/>
  <c r="H67" i="18" a="1"/>
  <c r="H67" i="18" s="1"/>
  <c r="H116" i="18" a="1"/>
  <c r="H116" i="18" s="1"/>
  <c r="H174" i="18" a="1"/>
  <c r="H174" i="18" s="1"/>
  <c r="H185" i="18" a="1"/>
  <c r="H185" i="18" s="1"/>
  <c r="H234" i="18" a="1"/>
  <c r="H234" i="18" s="1"/>
  <c r="H35" i="18" a="1"/>
  <c r="H35" i="18" s="1"/>
  <c r="H75" i="18" a="1"/>
  <c r="H75" i="18" s="1"/>
  <c r="H133" i="18" a="1"/>
  <c r="H133" i="18" s="1"/>
  <c r="H6" i="18" a="1"/>
  <c r="H6" i="18" s="1"/>
  <c r="H155" i="18" a="1"/>
  <c r="H155" i="18" s="1"/>
  <c r="H205" i="18" a="1"/>
  <c r="H205" i="18" s="1"/>
  <c r="H16" i="18" a="1"/>
  <c r="H16" i="18" s="1"/>
  <c r="H71" i="18" a="1"/>
  <c r="H71" i="18" s="1"/>
  <c r="H120" i="18" a="1"/>
  <c r="H120" i="18" s="1"/>
  <c r="H151" i="18" a="1"/>
  <c r="H151" i="18" s="1"/>
  <c r="H189" i="18" a="1"/>
  <c r="H189" i="18" s="1"/>
  <c r="H238" i="18" a="1"/>
  <c r="H238" i="18" s="1"/>
  <c r="H53" i="18" a="1"/>
  <c r="H53" i="18" s="1"/>
  <c r="H104" i="18" a="1"/>
  <c r="H104" i="18" s="1"/>
  <c r="H161" i="18" a="1"/>
  <c r="H161" i="18" s="1"/>
  <c r="H173" i="18" a="1"/>
  <c r="H173" i="18" s="1"/>
  <c r="H222" i="18" a="1"/>
  <c r="H222" i="18" s="1"/>
  <c r="H21" i="18" a="1"/>
  <c r="H21" i="18" s="1"/>
  <c r="H62" i="18" a="1"/>
  <c r="H62" i="18" s="1"/>
  <c r="H124" i="18" a="1"/>
  <c r="H124" i="18" s="1"/>
  <c r="H169" i="18" a="1"/>
  <c r="H169" i="18" s="1"/>
  <c r="H142" i="18" a="1"/>
  <c r="H142" i="18" s="1"/>
  <c r="H192" i="18" a="1"/>
  <c r="H192" i="18" s="1"/>
  <c r="H241" i="18" a="1"/>
  <c r="H241" i="18" s="1"/>
  <c r="H57" i="18" a="1"/>
  <c r="H57" i="18" s="1"/>
  <c r="H108" i="18" a="1"/>
  <c r="H108" i="18" s="1"/>
  <c r="H119" i="18" a="1"/>
  <c r="H119" i="18" s="1"/>
  <c r="H177" i="18" a="1"/>
  <c r="H177" i="18" s="1"/>
  <c r="H225" i="18" a="1"/>
  <c r="H225" i="18" s="1"/>
  <c r="H39" i="18" a="1"/>
  <c r="H39" i="18" s="1"/>
  <c r="H91" i="18" a="1"/>
  <c r="H91" i="18" s="1"/>
  <c r="H127" i="18" a="1"/>
  <c r="H127" i="18" s="1"/>
  <c r="H160" i="18" a="1"/>
  <c r="H160" i="18" s="1"/>
  <c r="H210" i="18" a="1"/>
  <c r="H210" i="18" s="1"/>
  <c r="H233" i="18" a="1"/>
  <c r="H233" i="18" s="1"/>
  <c r="H48" i="18" a="1"/>
  <c r="H48" i="18" s="1"/>
  <c r="H112" i="18" a="1"/>
  <c r="H112" i="18" s="1"/>
  <c r="H156" i="18" a="1"/>
  <c r="H156" i="18" s="1"/>
  <c r="O8" i="18" a="1"/>
  <c r="O8" i="18" s="1"/>
  <c r="O11" i="18" a="1"/>
  <c r="O11" i="18" s="1"/>
  <c r="O165" i="18" a="1"/>
  <c r="O165" i="18" s="1"/>
  <c r="O93" i="18" a="1"/>
  <c r="O93" i="18" s="1"/>
  <c r="O136" i="18" a="1"/>
  <c r="O136" i="18" s="1"/>
  <c r="O154" i="18" a="1"/>
  <c r="O154" i="18" s="1"/>
  <c r="O65" i="18" a="1"/>
  <c r="O65" i="18" s="1"/>
  <c r="O71" i="18" a="1"/>
  <c r="O71" i="18" s="1"/>
  <c r="O111" i="18" a="1"/>
  <c r="O111" i="18" s="1"/>
  <c r="O99" i="18" a="1"/>
  <c r="O99" i="18" s="1"/>
  <c r="O56" i="18" a="1"/>
  <c r="O56" i="18" s="1"/>
  <c r="O189" i="18" a="1"/>
  <c r="O189" i="18" s="1"/>
  <c r="O17" i="18" a="1"/>
  <c r="O17" i="18" s="1"/>
  <c r="O222" i="18" a="1"/>
  <c r="O222" i="18" s="1"/>
  <c r="O164" i="18" a="1"/>
  <c r="O164" i="18" s="1"/>
  <c r="O51" i="18" a="1"/>
  <c r="O51" i="18" s="1"/>
  <c r="O88" i="18" a="1"/>
  <c r="O88" i="18" s="1"/>
  <c r="O25" i="18" a="1"/>
  <c r="O25" i="18" s="1"/>
  <c r="O52" i="18" a="1"/>
  <c r="O52" i="18" s="1"/>
  <c r="O174" i="18" a="1"/>
  <c r="O174" i="18" s="1"/>
  <c r="O118" i="18" a="1"/>
  <c r="O118" i="18" s="1"/>
  <c r="O145" i="18" a="1"/>
  <c r="O145" i="18" s="1"/>
  <c r="O158" i="18" a="1"/>
  <c r="O158" i="18" s="1"/>
  <c r="O76" i="18" a="1"/>
  <c r="O76" i="18" s="1"/>
  <c r="O86" i="18" a="1"/>
  <c r="O86" i="18" s="1"/>
  <c r="O127" i="18" a="1"/>
  <c r="O127" i="18" s="1"/>
  <c r="O107" i="18" a="1"/>
  <c r="O107" i="18" s="1"/>
  <c r="O72" i="18" a="1"/>
  <c r="O72" i="18" s="1"/>
  <c r="O202" i="18" a="1"/>
  <c r="O202" i="18" s="1"/>
  <c r="O23" i="18" a="1"/>
  <c r="O23" i="18" s="1"/>
  <c r="O36" i="18" a="1"/>
  <c r="O36" i="18" s="1"/>
  <c r="O173" i="18" a="1"/>
  <c r="O173" i="18" s="1"/>
  <c r="O74" i="18" a="1"/>
  <c r="O74" i="18" s="1"/>
  <c r="O113" i="18" a="1"/>
  <c r="O113" i="18" s="1"/>
  <c r="O46" i="18" a="1"/>
  <c r="O46" i="18" s="1"/>
  <c r="O58" i="18" a="1"/>
  <c r="O58" i="18" s="1"/>
  <c r="O187" i="18" a="1"/>
  <c r="O187" i="18" s="1"/>
  <c r="O140" i="18" a="1"/>
  <c r="O140" i="18" s="1"/>
  <c r="O212" i="18" a="1"/>
  <c r="O212" i="18" s="1"/>
  <c r="O166" i="18" a="1"/>
  <c r="O166" i="18" s="1"/>
  <c r="O81" i="18" a="1"/>
  <c r="O81" i="18" s="1"/>
  <c r="O90" i="18" a="1"/>
  <c r="O90" i="18" s="1"/>
  <c r="O133" i="18" a="1"/>
  <c r="O133" i="18" s="1"/>
  <c r="O120" i="18" a="1"/>
  <c r="O120" i="18" s="1"/>
  <c r="O78" i="18" a="1"/>
  <c r="O78" i="18" s="1"/>
  <c r="O217" i="18" a="1"/>
  <c r="O217" i="18" s="1"/>
  <c r="O30" i="18" a="1"/>
  <c r="O30" i="18" s="1"/>
  <c r="O57" i="18" a="1"/>
  <c r="O57" i="18" s="1"/>
  <c r="O181" i="18" a="1"/>
  <c r="O181" i="18" s="1"/>
  <c r="O92" i="18" a="1"/>
  <c r="O92" i="18" s="1"/>
  <c r="O135" i="18" a="1"/>
  <c r="O135" i="18" s="1"/>
  <c r="O55" i="18" a="1"/>
  <c r="O55" i="18" s="1"/>
  <c r="O64" i="18" a="1"/>
  <c r="O64" i="18" s="1"/>
  <c r="O191" i="18" a="1"/>
  <c r="O191" i="18" s="1"/>
  <c r="O170" i="18" a="1"/>
  <c r="O170" i="18" s="1"/>
  <c r="O224" i="18" a="1"/>
  <c r="O224" i="18" s="1"/>
  <c r="O184" i="18" a="1"/>
  <c r="O184" i="18" s="1"/>
  <c r="O94" i="18" a="1"/>
  <c r="O94" i="18" s="1"/>
  <c r="O102" i="18" a="1"/>
  <c r="O102" i="18" s="1"/>
  <c r="O151" i="18" a="1"/>
  <c r="O151" i="18" s="1"/>
  <c r="O129" i="18" a="1"/>
  <c r="O129" i="18" s="1"/>
  <c r="O87" i="18" a="1"/>
  <c r="O87" i="18" s="1"/>
  <c r="O225" i="18" a="1"/>
  <c r="O225" i="18" s="1"/>
  <c r="O67" i="18" a="1"/>
  <c r="O67" i="18" s="1"/>
  <c r="O62" i="18" a="1"/>
  <c r="O62" i="18" s="1"/>
  <c r="O186" i="18" a="1"/>
  <c r="O186" i="18" s="1"/>
  <c r="O117" i="18" a="1"/>
  <c r="O117" i="18" s="1"/>
  <c r="O144" i="18" a="1"/>
  <c r="O144" i="18" s="1"/>
  <c r="O68" i="18" a="1"/>
  <c r="O68" i="18" s="1"/>
  <c r="O97" i="18" a="1"/>
  <c r="O97" i="18" s="1"/>
  <c r="O204" i="18" a="1"/>
  <c r="O204" i="18" s="1"/>
  <c r="O178" i="18" a="1"/>
  <c r="O178" i="18" s="1"/>
  <c r="O13" i="18" a="1"/>
  <c r="O13" i="18" s="1"/>
  <c r="O188" i="18" a="1"/>
  <c r="O188" i="18" s="1"/>
  <c r="O119" i="18" a="1"/>
  <c r="O119" i="18" s="1"/>
  <c r="O115" i="18" a="1"/>
  <c r="O115" i="18" s="1"/>
  <c r="O159" i="18" a="1"/>
  <c r="O159" i="18" s="1"/>
  <c r="O142" i="18" a="1"/>
  <c r="O142" i="18" s="1"/>
  <c r="O103" i="18" a="1"/>
  <c r="O103" i="18" s="1"/>
  <c r="O236" i="18" a="1"/>
  <c r="O236" i="18" s="1"/>
  <c r="O83" i="18" a="1"/>
  <c r="O83" i="18" s="1"/>
  <c r="O79" i="18" a="1"/>
  <c r="O79" i="18" s="1"/>
  <c r="O190" i="18" a="1"/>
  <c r="O190" i="18" s="1"/>
  <c r="O139" i="18" a="1"/>
  <c r="O139" i="18" s="1"/>
  <c r="O161" i="18" a="1"/>
  <c r="O161" i="18" s="1"/>
  <c r="O59" i="18" a="1"/>
  <c r="O59" i="18" s="1"/>
  <c r="O9" i="18" a="1"/>
  <c r="O9" i="18" s="1"/>
  <c r="O101" i="18" a="1"/>
  <c r="O101" i="18" s="1"/>
  <c r="O208" i="18" a="1"/>
  <c r="O208" i="18" s="1"/>
  <c r="O5" i="18" a="1"/>
  <c r="O5" i="18" s="1"/>
  <c r="O53" i="18" a="1"/>
  <c r="O53" i="18" s="1"/>
  <c r="O192" i="18" a="1"/>
  <c r="O192" i="18" s="1"/>
  <c r="O128" i="18" a="1"/>
  <c r="O128" i="18" s="1"/>
  <c r="O137" i="18" a="1"/>
  <c r="O137" i="18" s="1"/>
  <c r="O167" i="18" a="1"/>
  <c r="O167" i="18" s="1"/>
  <c r="O155" i="18" a="1"/>
  <c r="O155" i="18" s="1"/>
  <c r="O116" i="18" a="1"/>
  <c r="O116" i="18" s="1"/>
  <c r="O49" i="18" a="1"/>
  <c r="O49" i="18" s="1"/>
  <c r="O108" i="18" a="1"/>
  <c r="O108" i="18" s="1"/>
  <c r="O96" i="18" a="1"/>
  <c r="O96" i="18" s="1"/>
  <c r="O203" i="18" a="1"/>
  <c r="O203" i="18" s="1"/>
  <c r="O169" i="18" a="1"/>
  <c r="O169" i="18" s="1"/>
  <c r="O195" i="18" a="1"/>
  <c r="O195" i="18" s="1"/>
  <c r="O63" i="18" a="1"/>
  <c r="O63" i="18" s="1"/>
  <c r="O26" i="18" a="1"/>
  <c r="O26" i="18" s="1"/>
  <c r="O105" i="18" a="1"/>
  <c r="O105" i="18" s="1"/>
  <c r="O219" i="18" a="1"/>
  <c r="O219" i="18" s="1"/>
  <c r="O200" i="18" a="1"/>
  <c r="O200" i="18" s="1"/>
  <c r="O60" i="18" a="1"/>
  <c r="O60" i="18" s="1"/>
  <c r="O196" i="18" a="1"/>
  <c r="O196" i="18" s="1"/>
  <c r="O141" i="18" a="1"/>
  <c r="O141" i="18" s="1"/>
  <c r="O146" i="18" a="1"/>
  <c r="O146" i="18" s="1"/>
  <c r="O197" i="18" a="1"/>
  <c r="O197" i="18" s="1"/>
  <c r="O176" i="18" a="1"/>
  <c r="O176" i="18" s="1"/>
  <c r="O124" i="18" a="1"/>
  <c r="O124" i="18" s="1"/>
  <c r="O73" i="18" a="1"/>
  <c r="O73" i="18" s="1"/>
  <c r="O121" i="18" a="1"/>
  <c r="O121" i="18" s="1"/>
  <c r="O100" i="18" a="1"/>
  <c r="O100" i="18" s="1"/>
  <c r="O218" i="18" a="1"/>
  <c r="O218" i="18" s="1"/>
  <c r="O183" i="18" a="1"/>
  <c r="O183" i="18" s="1"/>
  <c r="O215" i="18" a="1"/>
  <c r="O215" i="18" s="1"/>
  <c r="O12" i="18" a="1"/>
  <c r="O12" i="18" s="1"/>
  <c r="O34" i="18" a="1"/>
  <c r="O34" i="18" s="1"/>
  <c r="O109" i="18" a="1"/>
  <c r="O109" i="18" s="1"/>
  <c r="O227" i="18" a="1"/>
  <c r="O227" i="18" s="1"/>
  <c r="O231" i="18" a="1"/>
  <c r="O231" i="18" s="1"/>
  <c r="O98" i="18" a="1"/>
  <c r="O98" i="18" s="1"/>
  <c r="O220" i="18" a="1"/>
  <c r="O220" i="18" s="1"/>
  <c r="O162" i="18" a="1"/>
  <c r="O162" i="18" s="1"/>
  <c r="O179" i="18" a="1"/>
  <c r="O179" i="18" s="1"/>
  <c r="O209" i="18" a="1"/>
  <c r="O209" i="18" s="1"/>
  <c r="O193" i="18" a="1"/>
  <c r="O193" i="18" s="1"/>
  <c r="O138" i="18" a="1"/>
  <c r="O138" i="18" s="1"/>
  <c r="O91" i="18" a="1"/>
  <c r="O91" i="18" s="1"/>
  <c r="O134" i="18" a="1"/>
  <c r="O134" i="18" s="1"/>
  <c r="O104" i="18" a="1"/>
  <c r="O104" i="18" s="1"/>
  <c r="O226" i="18" a="1"/>
  <c r="O226" i="18" s="1"/>
  <c r="O199" i="18" a="1"/>
  <c r="O199" i="18" s="1"/>
  <c r="O223" i="18" a="1"/>
  <c r="O223" i="18" s="1"/>
  <c r="O16" i="18" a="1"/>
  <c r="O16" i="18" s="1"/>
  <c r="O43" i="18" a="1"/>
  <c r="O43" i="18" s="1"/>
  <c r="O122" i="18" a="1"/>
  <c r="O122" i="18" s="1"/>
  <c r="O234" i="18" a="1"/>
  <c r="O234" i="18" s="1"/>
  <c r="O238" i="18" a="1"/>
  <c r="O238" i="18" s="1"/>
  <c r="O106" i="18" a="1"/>
  <c r="O106" i="18" s="1"/>
  <c r="O228" i="18" a="1"/>
  <c r="O228" i="18" s="1"/>
  <c r="O171" i="18" a="1"/>
  <c r="O171" i="18" s="1"/>
  <c r="O6" i="18" a="1"/>
  <c r="O6" i="18" s="1"/>
  <c r="O22" i="18" a="1"/>
  <c r="O22" i="18" s="1"/>
  <c r="O206" i="18" a="1"/>
  <c r="O206" i="18" s="1"/>
  <c r="O147" i="18" a="1"/>
  <c r="O147" i="18" s="1"/>
  <c r="O112" i="18" a="1"/>
  <c r="O112" i="18" s="1"/>
  <c r="O143" i="18" a="1"/>
  <c r="O143" i="18" s="1"/>
  <c r="O125" i="18" a="1"/>
  <c r="O125" i="18" s="1"/>
  <c r="O233" i="18" a="1"/>
  <c r="O233" i="18" s="1"/>
  <c r="O211" i="18" a="1"/>
  <c r="O211" i="18" s="1"/>
  <c r="O7" i="18" a="1"/>
  <c r="O7" i="18" s="1"/>
  <c r="O29" i="18" a="1"/>
  <c r="O29" i="18" s="1"/>
  <c r="O20" i="18" a="1"/>
  <c r="O20" i="18" s="1"/>
  <c r="O4" i="18" a="1"/>
  <c r="O4" i="18" s="1"/>
  <c r="O19" i="18" a="1"/>
  <c r="O19" i="18" s="1"/>
  <c r="O241" i="18" a="1"/>
  <c r="O241" i="18" s="1"/>
  <c r="O110" i="18" a="1"/>
  <c r="O110" i="18" s="1"/>
  <c r="O235" i="18" a="1"/>
  <c r="O235" i="18" s="1"/>
  <c r="O175" i="18" a="1"/>
  <c r="O175" i="18" s="1"/>
  <c r="O201" i="18" a="1"/>
  <c r="O201" i="18" s="1"/>
  <c r="O28" i="18" a="1"/>
  <c r="O28" i="18" s="1"/>
  <c r="O213" i="18" a="1"/>
  <c r="O213" i="18" s="1"/>
  <c r="O163" i="18" a="1"/>
  <c r="O163" i="18" s="1"/>
  <c r="O168" i="18" a="1"/>
  <c r="O168" i="18" s="1"/>
  <c r="O160" i="18" a="1"/>
  <c r="O160" i="18" s="1"/>
  <c r="O3" i="18" a="1"/>
  <c r="O3" i="18" s="1"/>
  <c r="O244" i="18" a="1"/>
  <c r="O244" i="18" s="1"/>
  <c r="O230" i="18" a="1"/>
  <c r="O230" i="18" s="1"/>
  <c r="O33" i="18" a="1"/>
  <c r="O33" i="18" s="1"/>
  <c r="O24" i="18" a="1"/>
  <c r="O24" i="18" s="1"/>
  <c r="O131" i="18" a="1"/>
  <c r="O131" i="18" s="1"/>
  <c r="O32" i="18" a="1"/>
  <c r="O32" i="18" s="1"/>
  <c r="O70" i="18" a="1"/>
  <c r="O70" i="18" s="1"/>
  <c r="O123" i="18" a="1"/>
  <c r="O123" i="18" s="1"/>
  <c r="O21" i="18" a="1"/>
  <c r="O21" i="18" s="1"/>
  <c r="O205" i="18" a="1"/>
  <c r="O205" i="18" s="1"/>
  <c r="O232" i="18" a="1"/>
  <c r="O232" i="18" s="1"/>
  <c r="O42" i="18" a="1"/>
  <c r="O42" i="18" s="1"/>
  <c r="O221" i="18" a="1"/>
  <c r="O221" i="18" s="1"/>
  <c r="O172" i="18" a="1"/>
  <c r="O172" i="18" s="1"/>
  <c r="O198" i="18" a="1"/>
  <c r="O198" i="18" s="1"/>
  <c r="O177" i="18" a="1"/>
  <c r="O177" i="18" s="1"/>
  <c r="O130" i="18" a="1"/>
  <c r="O130" i="18" s="1"/>
  <c r="O10" i="18" a="1"/>
  <c r="O10" i="18" s="1"/>
  <c r="O237" i="18" a="1"/>
  <c r="O237" i="18" s="1"/>
  <c r="O37" i="18" a="1"/>
  <c r="O37" i="18" s="1"/>
  <c r="O41" i="18" a="1"/>
  <c r="O41" i="18" s="1"/>
  <c r="O149" i="18" a="1"/>
  <c r="O149" i="18" s="1"/>
  <c r="O39" i="18" a="1"/>
  <c r="O39" i="18" s="1"/>
  <c r="O85" i="18" a="1"/>
  <c r="O85" i="18" s="1"/>
  <c r="O126" i="18" a="1"/>
  <c r="O126" i="18" s="1"/>
  <c r="O27" i="18" a="1"/>
  <c r="O27" i="18" s="1"/>
  <c r="O216" i="18" a="1"/>
  <c r="O216" i="18" s="1"/>
  <c r="O14" i="18" a="1"/>
  <c r="O14" i="18" s="1"/>
  <c r="O66" i="18" a="1"/>
  <c r="O66" i="18" s="1"/>
  <c r="O243" i="18" a="1"/>
  <c r="O243" i="18" s="1"/>
  <c r="O180" i="18" a="1"/>
  <c r="O180" i="18" s="1"/>
  <c r="O210" i="18" a="1"/>
  <c r="O210" i="18" s="1"/>
  <c r="O194" i="18" a="1"/>
  <c r="O194" i="18" s="1"/>
  <c r="O148" i="18" a="1"/>
  <c r="O148" i="18" s="1"/>
  <c r="O18" i="18" a="1"/>
  <c r="O18" i="18" s="1"/>
  <c r="O38" i="18" a="1"/>
  <c r="O38" i="18" s="1"/>
  <c r="O50" i="18" a="1"/>
  <c r="O50" i="18" s="1"/>
  <c r="O45" i="18" a="1"/>
  <c r="O45" i="18" s="1"/>
  <c r="O153" i="18" a="1"/>
  <c r="O153" i="18" s="1"/>
  <c r="O75" i="18" a="1"/>
  <c r="O75" i="18" s="1"/>
  <c r="O89" i="18" a="1"/>
  <c r="O89" i="18" s="1"/>
  <c r="O132" i="18" a="1"/>
  <c r="O132" i="18" s="1"/>
  <c r="O40" i="18" a="1"/>
  <c r="O40" i="18" s="1"/>
  <c r="O239" i="18" a="1"/>
  <c r="O239" i="18" s="1"/>
  <c r="O48" i="18" a="1"/>
  <c r="O48" i="18" s="1"/>
  <c r="O82" i="18" a="1"/>
  <c r="O82" i="18" s="1"/>
  <c r="O15" i="18" a="1"/>
  <c r="O15" i="18" s="1"/>
  <c r="O182" i="18" a="1"/>
  <c r="O182" i="18" s="1"/>
  <c r="O229" i="18" a="1"/>
  <c r="O229" i="18" s="1"/>
  <c r="O207" i="18" a="1"/>
  <c r="O207" i="18" s="1"/>
  <c r="O152" i="18" a="1"/>
  <c r="O152" i="18" s="1"/>
  <c r="O31" i="18" a="1"/>
  <c r="O31" i="18" s="1"/>
  <c r="O69" i="18" a="1"/>
  <c r="O69" i="18" s="1"/>
  <c r="O77" i="18" a="1"/>
  <c r="O77" i="18" s="1"/>
  <c r="O54" i="18" a="1"/>
  <c r="O54" i="18" s="1"/>
  <c r="O157" i="18" a="1"/>
  <c r="O157" i="18" s="1"/>
  <c r="O80" i="18" a="1"/>
  <c r="O80" i="18" s="1"/>
  <c r="O114" i="18" a="1"/>
  <c r="O114" i="18" s="1"/>
  <c r="O150" i="18" a="1"/>
  <c r="O150" i="18" s="1"/>
  <c r="O47" i="18" a="1"/>
  <c r="O47" i="18" s="1"/>
  <c r="O242" i="18" a="1"/>
  <c r="O242" i="18" s="1"/>
  <c r="O61" i="18" a="1"/>
  <c r="O61" i="18" s="1"/>
  <c r="O95" i="18" a="1"/>
  <c r="O95" i="18" s="1"/>
  <c r="O35" i="18" a="1"/>
  <c r="O35" i="18" s="1"/>
  <c r="O185" i="18" a="1"/>
  <c r="O185" i="18" s="1"/>
  <c r="O240" i="18" a="1"/>
  <c r="O240" i="18" s="1"/>
  <c r="O214" i="18" a="1"/>
  <c r="O214" i="18" s="1"/>
  <c r="O156" i="18" a="1"/>
  <c r="O156" i="18" s="1"/>
  <c r="O44" i="18" a="1"/>
  <c r="O44" i="18" s="1"/>
  <c r="O84" i="18" a="1"/>
  <c r="O84" i="18" s="1"/>
  <c r="AL213" i="13"/>
  <c r="AL44" i="14"/>
  <c r="AL62" i="13"/>
  <c r="AH272" i="14"/>
  <c r="AL272" i="14" s="1"/>
  <c r="AL296" i="13"/>
  <c r="AL123" i="14"/>
  <c r="AL53" i="14"/>
  <c r="AL198" i="13"/>
  <c r="AL317" i="13"/>
  <c r="AH19" i="14"/>
  <c r="AL19" i="14" s="1"/>
  <c r="AL162" i="13"/>
  <c r="AL346" i="13"/>
  <c r="AL351" i="13"/>
  <c r="AL104" i="13"/>
  <c r="F100" i="18" a="1"/>
  <c r="F100" i="18" s="1"/>
  <c r="F230" i="18" a="1"/>
  <c r="F230" i="18" s="1"/>
  <c r="F93" i="18" a="1"/>
  <c r="F93" i="18" s="1"/>
  <c r="F170" i="18" a="1"/>
  <c r="F170" i="18" s="1"/>
  <c r="F131" i="18" a="1"/>
  <c r="F131" i="18" s="1"/>
  <c r="F146" i="18" a="1"/>
  <c r="F146" i="18" s="1"/>
  <c r="F235" i="18" a="1"/>
  <c r="F235" i="18" s="1"/>
  <c r="F195" i="18" a="1"/>
  <c r="F195" i="18" s="1"/>
  <c r="F126" i="18" a="1"/>
  <c r="F126" i="18" s="1"/>
  <c r="F115" i="18" a="1"/>
  <c r="F115" i="18" s="1"/>
  <c r="F53" i="18" a="1"/>
  <c r="F53" i="18" s="1"/>
  <c r="F15" i="18" a="1"/>
  <c r="F15" i="18" s="1"/>
  <c r="F55" i="18" a="1"/>
  <c r="F55" i="18" s="1"/>
  <c r="F190" i="18" a="1"/>
  <c r="F190" i="18" s="1"/>
  <c r="F82" i="18" a="1"/>
  <c r="F82" i="18" s="1"/>
  <c r="F84" i="18" a="1"/>
  <c r="F84" i="18" s="1"/>
  <c r="F74" i="18" a="1"/>
  <c r="F74" i="18" s="1"/>
  <c r="F194" i="18" a="1"/>
  <c r="F194" i="18" s="1"/>
  <c r="F212" i="18" a="1"/>
  <c r="F212" i="18" s="1"/>
  <c r="F243" i="18" a="1"/>
  <c r="F243" i="18" s="1"/>
  <c r="F151" i="18" a="1"/>
  <c r="F151" i="18" s="1"/>
  <c r="F110" i="18" a="1"/>
  <c r="F110" i="18" s="1"/>
  <c r="F128" i="18" a="1"/>
  <c r="F128" i="18" s="1"/>
  <c r="F217" i="18" a="1"/>
  <c r="F217" i="18" s="1"/>
  <c r="F5" i="18" a="1"/>
  <c r="F5" i="18" s="1"/>
  <c r="F161" i="18" a="1"/>
  <c r="F161" i="18" s="1"/>
  <c r="F127" i="18" a="1"/>
  <c r="F127" i="18" s="1"/>
  <c r="F65" i="18" a="1"/>
  <c r="F65" i="18" s="1"/>
  <c r="F27" i="18" a="1"/>
  <c r="F27" i="18" s="1"/>
  <c r="F18" i="18" a="1"/>
  <c r="F18" i="18" s="1"/>
  <c r="F215" i="18" a="1"/>
  <c r="F215" i="18" s="1"/>
  <c r="F96" i="18" a="1"/>
  <c r="F96" i="18" s="1"/>
  <c r="F10" i="18" a="1"/>
  <c r="F10" i="18" s="1"/>
  <c r="F87" i="18" a="1"/>
  <c r="F87" i="18" s="1"/>
  <c r="F180" i="18" a="1"/>
  <c r="F180" i="18" s="1"/>
  <c r="F192" i="18" a="1"/>
  <c r="F192" i="18" s="1"/>
  <c r="F228" i="18" a="1"/>
  <c r="F228" i="18" s="1"/>
  <c r="F132" i="18" a="1"/>
  <c r="F132" i="18" s="1"/>
  <c r="F240" i="18" a="1"/>
  <c r="F240" i="18" s="1"/>
  <c r="F108" i="18" a="1"/>
  <c r="F108" i="18" s="1"/>
  <c r="F236" i="18" a="1"/>
  <c r="F236" i="18" s="1"/>
  <c r="F200" i="18" a="1"/>
  <c r="F200" i="18" s="1"/>
  <c r="F158" i="18" a="1"/>
  <c r="F158" i="18" s="1"/>
  <c r="F175" i="18" a="1"/>
  <c r="F175" i="18" s="1"/>
  <c r="F138" i="18" a="1"/>
  <c r="F138" i="18" s="1"/>
  <c r="F77" i="18" a="1"/>
  <c r="F77" i="18" s="1"/>
  <c r="F40" i="18" a="1"/>
  <c r="F40" i="18" s="1"/>
  <c r="F30" i="18" a="1"/>
  <c r="F30" i="18" s="1"/>
  <c r="F227" i="18" a="1"/>
  <c r="F227" i="18" s="1"/>
  <c r="F121" i="18" a="1"/>
  <c r="F121" i="18" s="1"/>
  <c r="F23" i="18" a="1"/>
  <c r="F23" i="18" s="1"/>
  <c r="F101" i="18" a="1"/>
  <c r="F101" i="18" s="1"/>
  <c r="F157" i="18" a="1"/>
  <c r="F157" i="18" s="1"/>
  <c r="F173" i="18" a="1"/>
  <c r="F173" i="18" s="1"/>
  <c r="F206" i="18" a="1"/>
  <c r="F206" i="18" s="1"/>
  <c r="F111" i="18" a="1"/>
  <c r="F111" i="18" s="1"/>
  <c r="F224" i="18" a="1"/>
  <c r="F224" i="18" s="1"/>
  <c r="F73" i="18" a="1"/>
  <c r="F73" i="18" s="1"/>
  <c r="F218" i="18" a="1"/>
  <c r="F218" i="18" s="1"/>
  <c r="F6" i="18" a="1"/>
  <c r="F6" i="18" s="1"/>
  <c r="F142" i="18" a="1"/>
  <c r="F142" i="18" s="1"/>
  <c r="F185" i="18" a="1"/>
  <c r="F185" i="18" s="1"/>
  <c r="F150" i="18" a="1"/>
  <c r="F150" i="18" s="1"/>
  <c r="F90" i="18" a="1"/>
  <c r="F90" i="18" s="1"/>
  <c r="F54" i="18" a="1"/>
  <c r="F54" i="18" s="1"/>
  <c r="F155" i="18" a="1"/>
  <c r="F155" i="18" s="1"/>
  <c r="F189" i="18" a="1"/>
  <c r="F189" i="18" s="1"/>
  <c r="F86" i="18" a="1"/>
  <c r="F86" i="18" s="1"/>
  <c r="F184" i="18" a="1"/>
  <c r="F184" i="18" s="1"/>
  <c r="F238" i="18" a="1"/>
  <c r="F238" i="18" s="1"/>
  <c r="F201" i="18" a="1"/>
  <c r="F201" i="18" s="1"/>
  <c r="F159" i="18" a="1"/>
  <c r="F159" i="18" s="1"/>
  <c r="F123" i="18" a="1"/>
  <c r="F123" i="18" s="1"/>
  <c r="F197" i="18" a="1"/>
  <c r="F197" i="18" s="1"/>
  <c r="F162" i="18" a="1"/>
  <c r="F162" i="18" s="1"/>
  <c r="F104" i="18" a="1"/>
  <c r="F104" i="18" s="1"/>
  <c r="F135" i="18" a="1"/>
  <c r="F135" i="18" s="1"/>
  <c r="F171" i="18" a="1"/>
  <c r="F171" i="18" s="1"/>
  <c r="F168" i="18" a="1"/>
  <c r="F168" i="18" s="1"/>
  <c r="F219" i="18" a="1"/>
  <c r="F219" i="18" s="1"/>
  <c r="F182" i="18" a="1"/>
  <c r="F182" i="18" s="1"/>
  <c r="F144" i="18" a="1"/>
  <c r="F144" i="18" s="1"/>
  <c r="F12" i="18" a="1"/>
  <c r="F12" i="18" s="1"/>
  <c r="F209" i="18" a="1"/>
  <c r="F209" i="18" s="1"/>
  <c r="F176" i="18" a="1"/>
  <c r="F176" i="18" s="1"/>
  <c r="F95" i="18" a="1"/>
  <c r="F95" i="18" s="1"/>
  <c r="F152" i="18" a="1"/>
  <c r="F152" i="18" s="1"/>
  <c r="F147" i="18" a="1"/>
  <c r="F147" i="18" s="1"/>
  <c r="F202" i="18" a="1"/>
  <c r="F202" i="18" s="1"/>
  <c r="F164" i="18" a="1"/>
  <c r="F164" i="18" s="1"/>
  <c r="F124" i="18" a="1"/>
  <c r="F124" i="18" s="1"/>
  <c r="F25" i="18" a="1"/>
  <c r="F25" i="18" s="1"/>
  <c r="F222" i="18" a="1"/>
  <c r="F222" i="18" s="1"/>
  <c r="F186" i="18" a="1"/>
  <c r="F186" i="18" s="1"/>
  <c r="F3" i="18" a="1"/>
  <c r="F3" i="18" s="1"/>
  <c r="F28" i="18" a="1"/>
  <c r="F28" i="18" s="1"/>
  <c r="F80" i="18" a="1"/>
  <c r="F80" i="18" s="1"/>
  <c r="F44" i="18" a="1"/>
  <c r="F44" i="18" s="1"/>
  <c r="F46" i="18" a="1"/>
  <c r="F46" i="18" s="1"/>
  <c r="F85" i="18" a="1"/>
  <c r="F85" i="18" s="1"/>
  <c r="F149" i="18" a="1"/>
  <c r="F149" i="18" s="1"/>
  <c r="F229" i="18" a="1"/>
  <c r="F229" i="18" s="1"/>
  <c r="F133" i="18" a="1"/>
  <c r="F133" i="18" s="1"/>
  <c r="F129" i="18" a="1"/>
  <c r="F129" i="18" s="1"/>
  <c r="F183" i="18" a="1"/>
  <c r="F183" i="18" s="1"/>
  <c r="F145" i="18" a="1"/>
  <c r="F145" i="18" s="1"/>
  <c r="F105" i="18" a="1"/>
  <c r="F105" i="18" s="1"/>
  <c r="F37" i="18" a="1"/>
  <c r="F37" i="18" s="1"/>
  <c r="F13" i="18" a="1"/>
  <c r="F13" i="18" s="1"/>
  <c r="F198" i="18" a="1"/>
  <c r="F198" i="18" s="1"/>
  <c r="F139" i="18" a="1"/>
  <c r="F139" i="18" s="1"/>
  <c r="F207" i="18" a="1"/>
  <c r="F207" i="18" s="1"/>
  <c r="F112" i="18" a="1"/>
  <c r="F112" i="18" s="1"/>
  <c r="F109" i="18" a="1"/>
  <c r="F109" i="18" s="1"/>
  <c r="F165" i="18" a="1"/>
  <c r="F165" i="18" s="1"/>
  <c r="F106" i="18" a="1"/>
  <c r="F106" i="18" s="1"/>
  <c r="F51" i="18" a="1"/>
  <c r="F51" i="18" s="1"/>
  <c r="F38" i="18" a="1"/>
  <c r="F38" i="18" s="1"/>
  <c r="F210" i="18" a="1"/>
  <c r="F210" i="18" s="1"/>
  <c r="F163" i="18" a="1"/>
  <c r="F163" i="18" s="1"/>
  <c r="F67" i="18" a="1"/>
  <c r="F67" i="18" s="1"/>
  <c r="F119" i="18" a="1"/>
  <c r="F119" i="18" s="1"/>
  <c r="F213" i="18" a="1"/>
  <c r="F213" i="18" s="1"/>
  <c r="F191" i="18" a="1"/>
  <c r="F191" i="18" s="1"/>
  <c r="F91" i="18" a="1"/>
  <c r="F91" i="18" s="1"/>
  <c r="F241" i="18" a="1"/>
  <c r="F241" i="18" s="1"/>
  <c r="F78" i="18" a="1"/>
  <c r="F78" i="18" s="1"/>
  <c r="F4" i="18" a="1"/>
  <c r="F4" i="18" s="1"/>
  <c r="F61" i="18" a="1"/>
  <c r="F61" i="18" s="1"/>
  <c r="F63" i="18" a="1"/>
  <c r="F63" i="18" s="1"/>
  <c r="F52" i="18" a="1"/>
  <c r="F52" i="18" s="1"/>
  <c r="F178" i="18" a="1"/>
  <c r="F178" i="18" s="1"/>
  <c r="F172" i="18" a="1"/>
  <c r="F172" i="18" s="1"/>
  <c r="F242" i="18" a="1"/>
  <c r="F242" i="18" s="1"/>
  <c r="F225" i="18" a="1"/>
  <c r="F225" i="18" s="1"/>
  <c r="F239" i="18" a="1"/>
  <c r="F239" i="18" s="1"/>
  <c r="F107" i="18" a="1"/>
  <c r="F107" i="18" s="1"/>
  <c r="F75" i="18" a="1"/>
  <c r="F75" i="18" s="1"/>
  <c r="F64" i="18" a="1"/>
  <c r="F64" i="18" s="1"/>
  <c r="F136" i="18" a="1"/>
  <c r="F136" i="18" s="1"/>
  <c r="F153" i="18" a="1"/>
  <c r="F153" i="18" s="1"/>
  <c r="F226" i="18" a="1"/>
  <c r="F226" i="18" s="1"/>
  <c r="F204" i="18" a="1"/>
  <c r="F204" i="18" s="1"/>
  <c r="F220" i="18" a="1"/>
  <c r="F220" i="18" s="1"/>
  <c r="F68" i="18" a="1"/>
  <c r="F68" i="18" s="1"/>
  <c r="F88" i="18" a="1"/>
  <c r="F88" i="18" s="1"/>
  <c r="F76" i="18" a="1"/>
  <c r="F76" i="18" s="1"/>
  <c r="F14" i="18" a="1"/>
  <c r="F14" i="18" s="1"/>
  <c r="F118" i="18" a="1"/>
  <c r="F118" i="18" s="1"/>
  <c r="F134" i="18" a="1"/>
  <c r="F134" i="18" s="1"/>
  <c r="F205" i="18" a="1"/>
  <c r="F205" i="18" s="1"/>
  <c r="F169" i="18" a="1"/>
  <c r="F169" i="18" s="1"/>
  <c r="F203" i="18" a="1"/>
  <c r="F203" i="18" s="1"/>
  <c r="F234" i="18" a="1"/>
  <c r="F234" i="18" s="1"/>
  <c r="F102" i="18" a="1"/>
  <c r="F102" i="18" s="1"/>
  <c r="F89" i="18" a="1"/>
  <c r="F89" i="18" s="1"/>
  <c r="F26" i="18" a="1"/>
  <c r="F26" i="18" s="1"/>
  <c r="F211" i="18" a="1"/>
  <c r="F211" i="18" s="1"/>
  <c r="F97" i="18" a="1"/>
  <c r="F97" i="18" s="1"/>
  <c r="F117" i="18" a="1"/>
  <c r="F117" i="18" s="1"/>
  <c r="F188" i="18" a="1"/>
  <c r="F188" i="18" s="1"/>
  <c r="F148" i="18" a="1"/>
  <c r="F148" i="18" s="1"/>
  <c r="F166" i="18" a="1"/>
  <c r="F166" i="18" s="1"/>
  <c r="F216" i="18" a="1"/>
  <c r="F216" i="18" s="1"/>
  <c r="F114" i="18" a="1"/>
  <c r="F114" i="18" s="1"/>
  <c r="F103" i="18" a="1"/>
  <c r="F103" i="18" s="1"/>
  <c r="F39" i="18" a="1"/>
  <c r="F39" i="18" s="1"/>
  <c r="F223" i="18" a="1"/>
  <c r="F223" i="18" s="1"/>
  <c r="F42" i="18" a="1"/>
  <c r="F42" i="18" s="1"/>
  <c r="F181" i="18" a="1"/>
  <c r="F181" i="18" s="1"/>
  <c r="F70" i="18" a="1"/>
  <c r="F70" i="18" s="1"/>
  <c r="F71" i="18" a="1"/>
  <c r="F71" i="18" s="1"/>
  <c r="F62" i="18" a="1"/>
  <c r="F62" i="18" s="1"/>
  <c r="F244" i="18" a="1"/>
  <c r="F244" i="18" s="1"/>
  <c r="F116" i="18" a="1"/>
  <c r="F116" i="18" s="1"/>
  <c r="F94" i="18" a="1"/>
  <c r="F94" i="18" s="1"/>
  <c r="F9" i="18" a="1"/>
  <c r="F9" i="18" s="1"/>
  <c r="F35" i="18" a="1"/>
  <c r="F35" i="18" s="1"/>
  <c r="F122" i="18" a="1"/>
  <c r="F122" i="18" s="1"/>
  <c r="F214" i="18" a="1"/>
  <c r="F214" i="18" s="1"/>
  <c r="F177" i="18" a="1"/>
  <c r="F177" i="18" s="1"/>
  <c r="F130" i="18" a="1"/>
  <c r="F130" i="18" s="1"/>
  <c r="F21" i="18" a="1"/>
  <c r="F21" i="18" s="1"/>
  <c r="F49" i="18" a="1"/>
  <c r="F49" i="18" s="1"/>
  <c r="F99" i="18" a="1"/>
  <c r="F99" i="18" s="1"/>
  <c r="F193" i="18" a="1"/>
  <c r="F193" i="18" s="1"/>
  <c r="F187" i="18" a="1"/>
  <c r="F187" i="18" s="1"/>
  <c r="F143" i="18" a="1"/>
  <c r="F143" i="18" s="1"/>
  <c r="F33" i="18" a="1"/>
  <c r="F33" i="18" s="1"/>
  <c r="F36" i="18" a="1"/>
  <c r="F36" i="18" s="1"/>
  <c r="F179" i="18" a="1"/>
  <c r="F179" i="18" s="1"/>
  <c r="F199" i="18" a="1"/>
  <c r="F199" i="18" s="1"/>
  <c r="F154" i="18" a="1"/>
  <c r="F154" i="18" s="1"/>
  <c r="F58" i="18" a="1"/>
  <c r="F58" i="18" s="1"/>
  <c r="F50" i="18" a="1"/>
  <c r="F50" i="18" s="1"/>
  <c r="F66" i="18" a="1"/>
  <c r="F66" i="18" s="1"/>
  <c r="F167" i="18" a="1"/>
  <c r="F167" i="18" s="1"/>
  <c r="F83" i="18" a="1"/>
  <c r="F83" i="18" s="1"/>
  <c r="F113" i="18" a="1"/>
  <c r="F113" i="18" s="1"/>
  <c r="F16" i="18" a="1"/>
  <c r="F16" i="18" s="1"/>
  <c r="F237" i="18" a="1"/>
  <c r="F237" i="18" s="1"/>
  <c r="F22" i="18" a="1"/>
  <c r="F22" i="18" s="1"/>
  <c r="F125" i="18" a="1"/>
  <c r="F125" i="18" s="1"/>
  <c r="F41" i="18" a="1"/>
  <c r="F41" i="18" s="1"/>
  <c r="F19" i="18" a="1"/>
  <c r="F19" i="18" s="1"/>
  <c r="F34" i="18" a="1"/>
  <c r="F34" i="18" s="1"/>
  <c r="F137" i="18" a="1"/>
  <c r="F137" i="18" s="1"/>
  <c r="F98" i="18" a="1"/>
  <c r="F98" i="18" s="1"/>
  <c r="F79" i="18" a="1"/>
  <c r="F79" i="18" s="1"/>
  <c r="F31" i="18" a="1"/>
  <c r="F31" i="18" s="1"/>
  <c r="F47" i="18" a="1"/>
  <c r="F47" i="18" s="1"/>
  <c r="F160" i="18" a="1"/>
  <c r="F160" i="18" s="1"/>
  <c r="F92" i="18" a="1"/>
  <c r="F92" i="18" s="1"/>
  <c r="F81" i="18" a="1"/>
  <c r="F81" i="18" s="1"/>
  <c r="F59" i="18" a="1"/>
  <c r="F59" i="18" s="1"/>
  <c r="F174" i="18" a="1"/>
  <c r="F174" i="18" s="1"/>
  <c r="F17" i="18" a="1"/>
  <c r="F17" i="18" s="1"/>
  <c r="F8" i="18" a="1"/>
  <c r="F8" i="18" s="1"/>
  <c r="F48" i="18" a="1"/>
  <c r="F48" i="18" s="1"/>
  <c r="F196" i="18" a="1"/>
  <c r="F196" i="18" s="1"/>
  <c r="F29" i="18" a="1"/>
  <c r="F29" i="18" s="1"/>
  <c r="F20" i="18" a="1"/>
  <c r="F20" i="18" s="1"/>
  <c r="F60" i="18" a="1"/>
  <c r="F60" i="18" s="1"/>
  <c r="F208" i="18" a="1"/>
  <c r="F208" i="18" s="1"/>
  <c r="F43" i="18" a="1"/>
  <c r="F43" i="18" s="1"/>
  <c r="F32" i="18" a="1"/>
  <c r="F32" i="18" s="1"/>
  <c r="F72" i="18" a="1"/>
  <c r="F72" i="18" s="1"/>
  <c r="F221" i="18" a="1"/>
  <c r="F221" i="18" s="1"/>
  <c r="F233" i="18" a="1"/>
  <c r="F233" i="18" s="1"/>
  <c r="F56" i="18" a="1"/>
  <c r="F56" i="18" s="1"/>
  <c r="F45" i="18" a="1"/>
  <c r="F45" i="18" s="1"/>
  <c r="F11" i="18" a="1"/>
  <c r="F11" i="18" s="1"/>
  <c r="F232" i="18" a="1"/>
  <c r="F232" i="18" s="1"/>
  <c r="F7" i="18" a="1"/>
  <c r="F7" i="18" s="1"/>
  <c r="F69" i="18" a="1"/>
  <c r="F69" i="18" s="1"/>
  <c r="F57" i="18" a="1"/>
  <c r="F57" i="18" s="1"/>
  <c r="F24" i="18" a="1"/>
  <c r="F24" i="18" s="1"/>
  <c r="F141" i="18" a="1"/>
  <c r="F141" i="18" s="1"/>
  <c r="F231" i="18" a="1"/>
  <c r="F231" i="18" s="1"/>
  <c r="F156" i="18" a="1"/>
  <c r="F156" i="18" s="1"/>
  <c r="F140" i="18" a="1"/>
  <c r="F140" i="18" s="1"/>
  <c r="AH18" i="14"/>
  <c r="AL18" i="14" s="1"/>
  <c r="AH219" i="14"/>
  <c r="AL219" i="14" s="1"/>
  <c r="AL219" i="13"/>
  <c r="AL88" i="14"/>
  <c r="AL163" i="14"/>
  <c r="AL59" i="14"/>
  <c r="AL104" i="14"/>
  <c r="AL340" i="14"/>
  <c r="AL237" i="14"/>
  <c r="AF112" i="18" a="1"/>
  <c r="AF112" i="18" s="1"/>
  <c r="AF151" i="18" a="1"/>
  <c r="AF151" i="18" s="1"/>
  <c r="AF204" i="18" a="1"/>
  <c r="AF204" i="18" s="1"/>
  <c r="AF11" i="18" a="1"/>
  <c r="AF11" i="18" s="1"/>
  <c r="AF53" i="18" a="1"/>
  <c r="AF53" i="18" s="1"/>
  <c r="AF108" i="18" a="1"/>
  <c r="AF108" i="18" s="1"/>
  <c r="AF161" i="18" a="1"/>
  <c r="AF161" i="18" s="1"/>
  <c r="AF214" i="18" a="1"/>
  <c r="AF214" i="18" s="1"/>
  <c r="AF21" i="18" a="1"/>
  <c r="AF21" i="18" s="1"/>
  <c r="AF77" i="18" a="1"/>
  <c r="AF77" i="18" s="1"/>
  <c r="AF118" i="18" a="1"/>
  <c r="AF118" i="18" s="1"/>
  <c r="AF157" i="18" a="1"/>
  <c r="AF157" i="18" s="1"/>
  <c r="AF196" i="18" a="1"/>
  <c r="AF196" i="18" s="1"/>
  <c r="AF237" i="18" a="1"/>
  <c r="AF237" i="18" s="1"/>
  <c r="AF45" i="18" a="1"/>
  <c r="AF45" i="18" s="1"/>
  <c r="AF86" i="18" a="1"/>
  <c r="AF86" i="18" s="1"/>
  <c r="AF127" i="18" a="1"/>
  <c r="AF127" i="18" s="1"/>
  <c r="AF98" i="18" a="1"/>
  <c r="AF98" i="18" s="1"/>
  <c r="AF137" i="18" a="1"/>
  <c r="AF137" i="18" s="1"/>
  <c r="AF190" i="18" a="1"/>
  <c r="AF190" i="18" s="1"/>
  <c r="AF231" i="18" a="1"/>
  <c r="AF231" i="18" s="1"/>
  <c r="AF39" i="18" a="1"/>
  <c r="AF39" i="18" s="1"/>
  <c r="AF94" i="18" a="1"/>
  <c r="AF94" i="18" s="1"/>
  <c r="AF147" i="18" a="1"/>
  <c r="AF147" i="18" s="1"/>
  <c r="AF200" i="18" a="1"/>
  <c r="AF200" i="18" s="1"/>
  <c r="AF7" i="18" a="1"/>
  <c r="AF7" i="18" s="1"/>
  <c r="AF63" i="18" a="1"/>
  <c r="AF63" i="18" s="1"/>
  <c r="AF104" i="18" a="1"/>
  <c r="AF104" i="18" s="1"/>
  <c r="AF143" i="18" a="1"/>
  <c r="AF143" i="18" s="1"/>
  <c r="AF182" i="18" a="1"/>
  <c r="AF182" i="18" s="1"/>
  <c r="AF223" i="18" a="1"/>
  <c r="AF223" i="18" s="1"/>
  <c r="AF31" i="18" a="1"/>
  <c r="AF31" i="18" s="1"/>
  <c r="AF72" i="18" a="1"/>
  <c r="AF72" i="18" s="1"/>
  <c r="AF113" i="18" a="1"/>
  <c r="AF113" i="18" s="1"/>
  <c r="AF84" i="18" a="1"/>
  <c r="AF84" i="18" s="1"/>
  <c r="AF125" i="18" a="1"/>
  <c r="AF125" i="18" s="1"/>
  <c r="AF178" i="18" a="1"/>
  <c r="AF178" i="18" s="1"/>
  <c r="AF217" i="18" a="1"/>
  <c r="AF217" i="18" s="1"/>
  <c r="AF25" i="18" a="1"/>
  <c r="AF25" i="18" s="1"/>
  <c r="AF80" i="18" a="1"/>
  <c r="AF80" i="18" s="1"/>
  <c r="AF133" i="18" a="1"/>
  <c r="AF133" i="18" s="1"/>
  <c r="AF186" i="18" a="1"/>
  <c r="AF186" i="18" s="1"/>
  <c r="AF241" i="18" a="1"/>
  <c r="AF241" i="18" s="1"/>
  <c r="AF49" i="18" a="1"/>
  <c r="AF49" i="18" s="1"/>
  <c r="AF90" i="18" a="1"/>
  <c r="AF90" i="18" s="1"/>
  <c r="AF129" i="18" a="1"/>
  <c r="AF129" i="18" s="1"/>
  <c r="AF170" i="18" a="1"/>
  <c r="AF170" i="18" s="1"/>
  <c r="AF209" i="18" a="1"/>
  <c r="AF209" i="18" s="1"/>
  <c r="AF16" i="18" a="1"/>
  <c r="AF16" i="18" s="1"/>
  <c r="AF58" i="18" a="1"/>
  <c r="AF58" i="18" s="1"/>
  <c r="AF99" i="18" a="1"/>
  <c r="AF99" i="18" s="1"/>
  <c r="AF70" i="18" a="1"/>
  <c r="AF70" i="18" s="1"/>
  <c r="AF111" i="18" a="1"/>
  <c r="AF111" i="18" s="1"/>
  <c r="AF164" i="18" a="1"/>
  <c r="AF164" i="18" s="1"/>
  <c r="AF203" i="18" a="1"/>
  <c r="AF203" i="18" s="1"/>
  <c r="AF10" i="18" a="1"/>
  <c r="AF10" i="18" s="1"/>
  <c r="AF66" i="18" a="1"/>
  <c r="AF66" i="18" s="1"/>
  <c r="AF121" i="18" a="1"/>
  <c r="AF121" i="18" s="1"/>
  <c r="AF174" i="18" a="1"/>
  <c r="AF174" i="18" s="1"/>
  <c r="AF227" i="18" a="1"/>
  <c r="AF227" i="18" s="1"/>
  <c r="AF35" i="18" a="1"/>
  <c r="AF35" i="18" s="1"/>
  <c r="AF76" i="18" a="1"/>
  <c r="AF76" i="18" s="1"/>
  <c r="AF117" i="18" a="1"/>
  <c r="AF117" i="18" s="1"/>
  <c r="AF156" i="18" a="1"/>
  <c r="AF156" i="18" s="1"/>
  <c r="AF195" i="18" a="1"/>
  <c r="AF195" i="18" s="1"/>
  <c r="AF236" i="18" a="1"/>
  <c r="AF236" i="18" s="1"/>
  <c r="AF44" i="18" a="1"/>
  <c r="AF44" i="18" s="1"/>
  <c r="AF85" i="18" a="1"/>
  <c r="AF85" i="18" s="1"/>
  <c r="AF56" i="18" a="1"/>
  <c r="AF56" i="18" s="1"/>
  <c r="AF97" i="18" a="1"/>
  <c r="AF97" i="18" s="1"/>
  <c r="AF150" i="18" a="1"/>
  <c r="AF150" i="18" s="1"/>
  <c r="AF189" i="18" a="1"/>
  <c r="AF189" i="18" s="1"/>
  <c r="AF244" i="18" a="1"/>
  <c r="AF244" i="18" s="1"/>
  <c r="AF52" i="18" a="1"/>
  <c r="AF52" i="18" s="1"/>
  <c r="AF107" i="18" a="1"/>
  <c r="AF107" i="18" s="1"/>
  <c r="AF160" i="18" a="1"/>
  <c r="AF160" i="18" s="1"/>
  <c r="AF213" i="18" a="1"/>
  <c r="AF213" i="18" s="1"/>
  <c r="AF20" i="18" a="1"/>
  <c r="AF20" i="18" s="1"/>
  <c r="AF62" i="18" a="1"/>
  <c r="AF62" i="18" s="1"/>
  <c r="AF103" i="18" a="1"/>
  <c r="AF103" i="18" s="1"/>
  <c r="AF142" i="18" a="1"/>
  <c r="AF142" i="18" s="1"/>
  <c r="AF6" i="18" a="1"/>
  <c r="AF6" i="18" s="1"/>
  <c r="AF222" i="18" a="1"/>
  <c r="AF222" i="18" s="1"/>
  <c r="AF30" i="18" a="1"/>
  <c r="AF30" i="18" s="1"/>
  <c r="AF71" i="18" a="1"/>
  <c r="AF71" i="18" s="1"/>
  <c r="AF234" i="18" a="1"/>
  <c r="AF234" i="18" s="1"/>
  <c r="AF42" i="18" a="1"/>
  <c r="AF42" i="18" s="1"/>
  <c r="AF83" i="18" a="1"/>
  <c r="AF83" i="18" s="1"/>
  <c r="AF136" i="18" a="1"/>
  <c r="AF136" i="18" s="1"/>
  <c r="AF177" i="18" a="1"/>
  <c r="AF177" i="18" s="1"/>
  <c r="AF230" i="18" a="1"/>
  <c r="AF230" i="18" s="1"/>
  <c r="AF38" i="18" a="1"/>
  <c r="AF38" i="18" s="1"/>
  <c r="AF93" i="18" a="1"/>
  <c r="AF93" i="18" s="1"/>
  <c r="AF146" i="18" a="1"/>
  <c r="AF146" i="18" s="1"/>
  <c r="AF199" i="18" a="1"/>
  <c r="AF199" i="18" s="1"/>
  <c r="AF240" i="18" a="1"/>
  <c r="AF240" i="18" s="1"/>
  <c r="AF48" i="18" a="1"/>
  <c r="AF48" i="18" s="1"/>
  <c r="AF89" i="18" a="1"/>
  <c r="AF89" i="18" s="1"/>
  <c r="AF128" i="18" a="1"/>
  <c r="AF128" i="18" s="1"/>
  <c r="AF169" i="18" a="1"/>
  <c r="AF169" i="18" s="1"/>
  <c r="AF208" i="18" a="1"/>
  <c r="AF208" i="18" s="1"/>
  <c r="AF15" i="18" a="1"/>
  <c r="AF15" i="18" s="1"/>
  <c r="AF57" i="18" a="1"/>
  <c r="AF57" i="18" s="1"/>
  <c r="AF220" i="18" a="1"/>
  <c r="AF220" i="18" s="1"/>
  <c r="AF28" i="18" a="1"/>
  <c r="AF28" i="18" s="1"/>
  <c r="AF69" i="18" a="1"/>
  <c r="AF69" i="18" s="1"/>
  <c r="AF124" i="18" a="1"/>
  <c r="AF124" i="18" s="1"/>
  <c r="AF163" i="18" a="1"/>
  <c r="AF163" i="18" s="1"/>
  <c r="AF216" i="18" a="1"/>
  <c r="AF216" i="18" s="1"/>
  <c r="AF24" i="18" a="1"/>
  <c r="AF24" i="18" s="1"/>
  <c r="AF79" i="18" a="1"/>
  <c r="AF79" i="18" s="1"/>
  <c r="AF132" i="18" a="1"/>
  <c r="AF132" i="18" s="1"/>
  <c r="AF185" i="18" a="1"/>
  <c r="AF185" i="18" s="1"/>
  <c r="AF226" i="18" a="1"/>
  <c r="AF226" i="18" s="1"/>
  <c r="AF34" i="18" a="1"/>
  <c r="AF34" i="18" s="1"/>
  <c r="AF75" i="18" a="1"/>
  <c r="AF75" i="18" s="1"/>
  <c r="AF116" i="18" a="1"/>
  <c r="AF116" i="18" s="1"/>
  <c r="AF155" i="18" a="1"/>
  <c r="AF155" i="18" s="1"/>
  <c r="AF194" i="18" a="1"/>
  <c r="AF194" i="18" s="1"/>
  <c r="AF235" i="18" a="1"/>
  <c r="AF235" i="18" s="1"/>
  <c r="AF43" i="18" a="1"/>
  <c r="AF43" i="18" s="1"/>
  <c r="AF206" i="18" a="1"/>
  <c r="AF206" i="18" s="1"/>
  <c r="AF13" i="18" a="1"/>
  <c r="AF13" i="18" s="1"/>
  <c r="AF55" i="18" a="1"/>
  <c r="AF55" i="18" s="1"/>
  <c r="AF110" i="18" a="1"/>
  <c r="AF110" i="18" s="1"/>
  <c r="AF149" i="18" a="1"/>
  <c r="AF149" i="18" s="1"/>
  <c r="AF202" i="18" a="1"/>
  <c r="AF202" i="18" s="1"/>
  <c r="AF9" i="18" a="1"/>
  <c r="AF9" i="18" s="1"/>
  <c r="AF65" i="18" a="1"/>
  <c r="AF65" i="18" s="1"/>
  <c r="AF120" i="18" a="1"/>
  <c r="AF120" i="18" s="1"/>
  <c r="AF173" i="18" a="1"/>
  <c r="AF173" i="18" s="1"/>
  <c r="AF212" i="18" a="1"/>
  <c r="AF212" i="18" s="1"/>
  <c r="AF19" i="18" a="1"/>
  <c r="AF19" i="18" s="1"/>
  <c r="AF61" i="18" a="1"/>
  <c r="AF61" i="18" s="1"/>
  <c r="AF102" i="18" a="1"/>
  <c r="AF102" i="18" s="1"/>
  <c r="AF141" i="18" a="1"/>
  <c r="AF141" i="18" s="1"/>
  <c r="AF5" i="18" a="1"/>
  <c r="AF5" i="18" s="1"/>
  <c r="AF221" i="18" a="1"/>
  <c r="AF221" i="18" s="1"/>
  <c r="AF29" i="18" a="1"/>
  <c r="AF29" i="18" s="1"/>
  <c r="AF192" i="18" a="1"/>
  <c r="AF192" i="18" s="1"/>
  <c r="AF233" i="18" a="1"/>
  <c r="AF233" i="18" s="1"/>
  <c r="AF41" i="18" a="1"/>
  <c r="AF41" i="18" s="1"/>
  <c r="AF96" i="18" a="1"/>
  <c r="AF96" i="18" s="1"/>
  <c r="AF135" i="18" a="1"/>
  <c r="AF135" i="18" s="1"/>
  <c r="AF188" i="18" a="1"/>
  <c r="AF188" i="18" s="1"/>
  <c r="AF243" i="18" a="1"/>
  <c r="AF243" i="18" s="1"/>
  <c r="AF51" i="18" a="1"/>
  <c r="AF51" i="18" s="1"/>
  <c r="AF106" i="18" a="1"/>
  <c r="AF106" i="18" s="1"/>
  <c r="AF159" i="18" a="1"/>
  <c r="AF159" i="18" s="1"/>
  <c r="AF198" i="18" a="1"/>
  <c r="AF198" i="18" s="1"/>
  <c r="AF239" i="18" a="1"/>
  <c r="AF239" i="18" s="1"/>
  <c r="AF47" i="18" a="1"/>
  <c r="AF47" i="18" s="1"/>
  <c r="AF88" i="18" a="1"/>
  <c r="AF88" i="18" s="1"/>
  <c r="AF4" i="18" a="1"/>
  <c r="AF4" i="18" s="1"/>
  <c r="AF168" i="18" a="1"/>
  <c r="AF168" i="18" s="1"/>
  <c r="AF207" i="18" a="1"/>
  <c r="AF207" i="18" s="1"/>
  <c r="AF14" i="18" a="1"/>
  <c r="AF14" i="18" s="1"/>
  <c r="AF180" i="18" a="1"/>
  <c r="AF180" i="18" s="1"/>
  <c r="AF219" i="18" a="1"/>
  <c r="AF219" i="18" s="1"/>
  <c r="AF27" i="18" a="1"/>
  <c r="AF27" i="18" s="1"/>
  <c r="AF82" i="18" a="1"/>
  <c r="AF82" i="18" s="1"/>
  <c r="AF123" i="18" a="1"/>
  <c r="AF123" i="18" s="1"/>
  <c r="AF176" i="18" a="1"/>
  <c r="AF176" i="18" s="1"/>
  <c r="AF229" i="18" a="1"/>
  <c r="AF229" i="18" s="1"/>
  <c r="AF37" i="18" a="1"/>
  <c r="AF37" i="18" s="1"/>
  <c r="AF92" i="18" a="1"/>
  <c r="AF92" i="18" s="1"/>
  <c r="AF145" i="18" a="1"/>
  <c r="AF145" i="18" s="1"/>
  <c r="AF184" i="18" a="1"/>
  <c r="AF184" i="18" s="1"/>
  <c r="AF225" i="18" a="1"/>
  <c r="AF225" i="18" s="1"/>
  <c r="AF33" i="18" a="1"/>
  <c r="AF33" i="18" s="1"/>
  <c r="AF74" i="18" a="1"/>
  <c r="AF74" i="18" s="1"/>
  <c r="AF115" i="18" a="1"/>
  <c r="AF115" i="18" s="1"/>
  <c r="AF154" i="18" a="1"/>
  <c r="AF154" i="18" s="1"/>
  <c r="AF193" i="18" a="1"/>
  <c r="AF193" i="18" s="1"/>
  <c r="AF166" i="18" a="1"/>
  <c r="AF166" i="18" s="1"/>
  <c r="AF205" i="18" a="1"/>
  <c r="AF205" i="18" s="1"/>
  <c r="AF12" i="18" a="1"/>
  <c r="AF12" i="18" s="1"/>
  <c r="AF68" i="18" a="1"/>
  <c r="AF68" i="18" s="1"/>
  <c r="AF109" i="18" a="1"/>
  <c r="AF109" i="18" s="1"/>
  <c r="AF162" i="18" a="1"/>
  <c r="AF162" i="18" s="1"/>
  <c r="AF215" i="18" a="1"/>
  <c r="AF215" i="18" s="1"/>
  <c r="AF23" i="18" a="1"/>
  <c r="AF23" i="18" s="1"/>
  <c r="AF78" i="18" a="1"/>
  <c r="AF78" i="18" s="1"/>
  <c r="AF131" i="18" a="1"/>
  <c r="AF131" i="18" s="1"/>
  <c r="AF172" i="18" a="1"/>
  <c r="AF172" i="18" s="1"/>
  <c r="AF211" i="18" a="1"/>
  <c r="AF211" i="18" s="1"/>
  <c r="AF18" i="18" a="1"/>
  <c r="AF18" i="18" s="1"/>
  <c r="AF60" i="18" a="1"/>
  <c r="AF60" i="18" s="1"/>
  <c r="AF101" i="18" a="1"/>
  <c r="AF101" i="18" s="1"/>
  <c r="AF140" i="18" a="1"/>
  <c r="AF140" i="18" s="1"/>
  <c r="AF181" i="18" a="1"/>
  <c r="AF181" i="18" s="1"/>
  <c r="AF152" i="18" a="1"/>
  <c r="AF152" i="18" s="1"/>
  <c r="AF191" i="18" a="1"/>
  <c r="AF191" i="18" s="1"/>
  <c r="AF22" i="18" a="1"/>
  <c r="AF22" i="18" s="1"/>
  <c r="AF54" i="18" a="1"/>
  <c r="AF54" i="18" s="1"/>
  <c r="AF95" i="18" a="1"/>
  <c r="AF95" i="18" s="1"/>
  <c r="AF148" i="18" a="1"/>
  <c r="AF148" i="18" s="1"/>
  <c r="AF201" i="18" a="1"/>
  <c r="AF201" i="18" s="1"/>
  <c r="AF8" i="18" a="1"/>
  <c r="AF8" i="18" s="1"/>
  <c r="AF64" i="18" a="1"/>
  <c r="AF64" i="18" s="1"/>
  <c r="AF119" i="18" a="1"/>
  <c r="AF119" i="18" s="1"/>
  <c r="AF158" i="18" a="1"/>
  <c r="AF158" i="18" s="1"/>
  <c r="AF197" i="18" a="1"/>
  <c r="AF197" i="18" s="1"/>
  <c r="AF238" i="18" a="1"/>
  <c r="AF238" i="18" s="1"/>
  <c r="AF46" i="18" a="1"/>
  <c r="AF46" i="18" s="1"/>
  <c r="AF87" i="18" a="1"/>
  <c r="AF87" i="18" s="1"/>
  <c r="AF3" i="18" a="1"/>
  <c r="AF3" i="18" s="1"/>
  <c r="AF167" i="18" a="1"/>
  <c r="AF167" i="18" s="1"/>
  <c r="AF138" i="18" a="1"/>
  <c r="AF138" i="18" s="1"/>
  <c r="AF179" i="18" a="1"/>
  <c r="AF179" i="18" s="1"/>
  <c r="AF232" i="18" a="1"/>
  <c r="AF232" i="18" s="1"/>
  <c r="AF40" i="18" a="1"/>
  <c r="AF40" i="18" s="1"/>
  <c r="AF81" i="18" a="1"/>
  <c r="AF81" i="18" s="1"/>
  <c r="AF134" i="18" a="1"/>
  <c r="AF134" i="18" s="1"/>
  <c r="AF187" i="18" a="1"/>
  <c r="AF187" i="18" s="1"/>
  <c r="AF242" i="18" a="1"/>
  <c r="AF242" i="18" s="1"/>
  <c r="AF50" i="18" a="1"/>
  <c r="AF50" i="18" s="1"/>
  <c r="AF105" i="18" a="1"/>
  <c r="AF105" i="18" s="1"/>
  <c r="AF144" i="18" a="1"/>
  <c r="AF144" i="18" s="1"/>
  <c r="AF183" i="18" a="1"/>
  <c r="AF183" i="18" s="1"/>
  <c r="AF224" i="18" a="1"/>
  <c r="AF224" i="18" s="1"/>
  <c r="AF32" i="18" a="1"/>
  <c r="AF32" i="18" s="1"/>
  <c r="AF73" i="18" a="1"/>
  <c r="AF73" i="18" s="1"/>
  <c r="AF114" i="18" a="1"/>
  <c r="AF114" i="18" s="1"/>
  <c r="AF153" i="18" a="1"/>
  <c r="AF153" i="18" s="1"/>
  <c r="AF126" i="18" a="1"/>
  <c r="AF126" i="18" s="1"/>
  <c r="AF165" i="18" a="1"/>
  <c r="AF165" i="18" s="1"/>
  <c r="AF218" i="18" a="1"/>
  <c r="AF218" i="18" s="1"/>
  <c r="AF26" i="18" a="1"/>
  <c r="AF26" i="18" s="1"/>
  <c r="AF67" i="18" a="1"/>
  <c r="AF67" i="18" s="1"/>
  <c r="AF122" i="18" a="1"/>
  <c r="AF122" i="18" s="1"/>
  <c r="AF175" i="18" a="1"/>
  <c r="AF175" i="18" s="1"/>
  <c r="AF228" i="18" a="1"/>
  <c r="AF228" i="18" s="1"/>
  <c r="AF36" i="18" a="1"/>
  <c r="AF36" i="18" s="1"/>
  <c r="AF91" i="18" a="1"/>
  <c r="AF91" i="18" s="1"/>
  <c r="AF130" i="18" a="1"/>
  <c r="AF130" i="18" s="1"/>
  <c r="AF171" i="18" a="1"/>
  <c r="AF171" i="18" s="1"/>
  <c r="AF210" i="18" a="1"/>
  <c r="AF210" i="18" s="1"/>
  <c r="AF17" i="18" a="1"/>
  <c r="AF17" i="18" s="1"/>
  <c r="AF59" i="18" a="1"/>
  <c r="AF59" i="18" s="1"/>
  <c r="AF100" i="18" a="1"/>
  <c r="AF100" i="18" s="1"/>
  <c r="AF139" i="18" a="1"/>
  <c r="AF139" i="18" s="1"/>
  <c r="AH173" i="14"/>
  <c r="AL173" i="14" s="1"/>
  <c r="AL173" i="13"/>
  <c r="AH307" i="14"/>
  <c r="AL307" i="14" s="1"/>
  <c r="AL307" i="13"/>
  <c r="AL317" i="14"/>
  <c r="AH20" i="14"/>
  <c r="AL20" i="14" s="1"/>
  <c r="AL20" i="13"/>
  <c r="AL353" i="14"/>
  <c r="AL292" i="14"/>
  <c r="AL371" i="14"/>
  <c r="AL339" i="14"/>
  <c r="AL302" i="14"/>
  <c r="AL280" i="14"/>
  <c r="AL360" i="14"/>
  <c r="AL83" i="14"/>
  <c r="AL342" i="13"/>
  <c r="AL28" i="13"/>
  <c r="AL94" i="13"/>
  <c r="AL85" i="13"/>
  <c r="AL165" i="13"/>
  <c r="AL26" i="13"/>
  <c r="I211" i="18" a="1"/>
  <c r="I211" i="18" s="1"/>
  <c r="I19" i="18" a="1"/>
  <c r="I19" i="18" s="1"/>
  <c r="I60" i="18" a="1"/>
  <c r="I60" i="18" s="1"/>
  <c r="I101" i="18" a="1"/>
  <c r="I101" i="18" s="1"/>
  <c r="I140" i="18" a="1"/>
  <c r="I140" i="18" s="1"/>
  <c r="I181" i="18" a="1"/>
  <c r="I181" i="18" s="1"/>
  <c r="I220" i="18" a="1"/>
  <c r="I220" i="18" s="1"/>
  <c r="I28" i="18" a="1"/>
  <c r="I28" i="18" s="1"/>
  <c r="I69" i="18" a="1"/>
  <c r="I69" i="18" s="1"/>
  <c r="I110" i="18" a="1"/>
  <c r="I110" i="18" s="1"/>
  <c r="I149" i="18" a="1"/>
  <c r="I149" i="18" s="1"/>
  <c r="I202" i="18" a="1"/>
  <c r="I202" i="18" s="1"/>
  <c r="I10" i="18" a="1"/>
  <c r="I10" i="18" s="1"/>
  <c r="I65" i="18" a="1"/>
  <c r="I65" i="18" s="1"/>
  <c r="I120" i="18" a="1"/>
  <c r="I120" i="18" s="1"/>
  <c r="I173" i="18" a="1"/>
  <c r="I173" i="18" s="1"/>
  <c r="I226" i="18" a="1"/>
  <c r="I226" i="18" s="1"/>
  <c r="I34" i="18" a="1"/>
  <c r="I34" i="18" s="1"/>
  <c r="I197" i="18" a="1"/>
  <c r="I197" i="18" s="1"/>
  <c r="I238" i="18" a="1"/>
  <c r="I238" i="18" s="1"/>
  <c r="I46" i="18" a="1"/>
  <c r="I46" i="18" s="1"/>
  <c r="I87" i="18" a="1"/>
  <c r="I87" i="18" s="1"/>
  <c r="I3" i="18" a="1"/>
  <c r="I3" i="18" s="1"/>
  <c r="I167" i="18" a="1"/>
  <c r="I167" i="18" s="1"/>
  <c r="I206" i="18" a="1"/>
  <c r="I206" i="18" s="1"/>
  <c r="I14" i="18" a="1"/>
  <c r="I14" i="18" s="1"/>
  <c r="I55" i="18" a="1"/>
  <c r="I55" i="18" s="1"/>
  <c r="I96" i="18" a="1"/>
  <c r="I96" i="18" s="1"/>
  <c r="I135" i="18" a="1"/>
  <c r="I135" i="18" s="1"/>
  <c r="I188" i="18" a="1"/>
  <c r="I188" i="18" s="1"/>
  <c r="I243" i="18" a="1"/>
  <c r="I243" i="18" s="1"/>
  <c r="I51" i="18" a="1"/>
  <c r="I51" i="18" s="1"/>
  <c r="I106" i="18" a="1"/>
  <c r="I106" i="18" s="1"/>
  <c r="I159" i="18" a="1"/>
  <c r="I159" i="18" s="1"/>
  <c r="I212" i="18" a="1"/>
  <c r="I212" i="18" s="1"/>
  <c r="I20" i="18" a="1"/>
  <c r="I20" i="18" s="1"/>
  <c r="I183" i="18" a="1"/>
  <c r="I183" i="18" s="1"/>
  <c r="I224" i="18" a="1"/>
  <c r="I224" i="18" s="1"/>
  <c r="I32" i="18" a="1"/>
  <c r="I32" i="18" s="1"/>
  <c r="I73" i="18" a="1"/>
  <c r="I73" i="18" s="1"/>
  <c r="I114" i="18" a="1"/>
  <c r="I114" i="18" s="1"/>
  <c r="I153" i="18" a="1"/>
  <c r="I153" i="18" s="1"/>
  <c r="I192" i="18" a="1"/>
  <c r="I192" i="18" s="1"/>
  <c r="I233" i="18" a="1"/>
  <c r="I233" i="18" s="1"/>
  <c r="I41" i="18" a="1"/>
  <c r="I41" i="18" s="1"/>
  <c r="I82" i="18" a="1"/>
  <c r="I82" i="18" s="1"/>
  <c r="I123" i="18" a="1"/>
  <c r="I123" i="18" s="1"/>
  <c r="I176" i="18" a="1"/>
  <c r="I176" i="18" s="1"/>
  <c r="I229" i="18" a="1"/>
  <c r="I229" i="18" s="1"/>
  <c r="I37" i="18" a="1"/>
  <c r="I37" i="18" s="1"/>
  <c r="I92" i="18" a="1"/>
  <c r="I92" i="18" s="1"/>
  <c r="I145" i="18" a="1"/>
  <c r="I145" i="18" s="1"/>
  <c r="I198" i="18" a="1"/>
  <c r="I198" i="18" s="1"/>
  <c r="I171" i="18" a="1"/>
  <c r="I171" i="18" s="1"/>
  <c r="I210" i="18" a="1"/>
  <c r="I210" i="18" s="1"/>
  <c r="I18" i="18" a="1"/>
  <c r="I18" i="18" s="1"/>
  <c r="I59" i="18" a="1"/>
  <c r="I59" i="18" s="1"/>
  <c r="I100" i="18" a="1"/>
  <c r="I100" i="18" s="1"/>
  <c r="I139" i="18" a="1"/>
  <c r="I139" i="18" s="1"/>
  <c r="I180" i="18" a="1"/>
  <c r="I180" i="18" s="1"/>
  <c r="I219" i="18" a="1"/>
  <c r="I219" i="18" s="1"/>
  <c r="I27" i="18" a="1"/>
  <c r="I27" i="18" s="1"/>
  <c r="I68" i="18" a="1"/>
  <c r="I68" i="18" s="1"/>
  <c r="I109" i="18" a="1"/>
  <c r="I109" i="18" s="1"/>
  <c r="I162" i="18" a="1"/>
  <c r="I162" i="18" s="1"/>
  <c r="I215" i="18" a="1"/>
  <c r="I215" i="18" s="1"/>
  <c r="I23" i="18" a="1"/>
  <c r="I23" i="18" s="1"/>
  <c r="I78" i="18" a="1"/>
  <c r="I78" i="18" s="1"/>
  <c r="I131" i="18" a="1"/>
  <c r="I131" i="18" s="1"/>
  <c r="I184" i="18" a="1"/>
  <c r="I184" i="18" s="1"/>
  <c r="I157" i="18" a="1"/>
  <c r="I157" i="18" s="1"/>
  <c r="I196" i="18" a="1"/>
  <c r="I196" i="18" s="1"/>
  <c r="I237" i="18" a="1"/>
  <c r="I237" i="18" s="1"/>
  <c r="I45" i="18" a="1"/>
  <c r="I45" i="18" s="1"/>
  <c r="I86" i="18" a="1"/>
  <c r="I86" i="18" s="1"/>
  <c r="I127" i="18" a="1"/>
  <c r="I127" i="18" s="1"/>
  <c r="I166" i="18" a="1"/>
  <c r="I166" i="18" s="1"/>
  <c r="I205" i="18" a="1"/>
  <c r="I205" i="18" s="1"/>
  <c r="I13" i="18" a="1"/>
  <c r="I13" i="18" s="1"/>
  <c r="I54" i="18" a="1"/>
  <c r="I54" i="18" s="1"/>
  <c r="I95" i="18" a="1"/>
  <c r="I95" i="18" s="1"/>
  <c r="I148" i="18" a="1"/>
  <c r="I148" i="18" s="1"/>
  <c r="I201" i="18" a="1"/>
  <c r="I201" i="18" s="1"/>
  <c r="I9" i="18" a="1"/>
  <c r="I9" i="18" s="1"/>
  <c r="I64" i="18" a="1"/>
  <c r="I64" i="18" s="1"/>
  <c r="I119" i="18" a="1"/>
  <c r="I119" i="18" s="1"/>
  <c r="I172" i="18" a="1"/>
  <c r="I172" i="18" s="1"/>
  <c r="I143" i="18" a="1"/>
  <c r="I143" i="18" s="1"/>
  <c r="I182" i="18" a="1"/>
  <c r="I182" i="18" s="1"/>
  <c r="I223" i="18" a="1"/>
  <c r="I223" i="18" s="1"/>
  <c r="I31" i="18" a="1"/>
  <c r="I31" i="18" s="1"/>
  <c r="I72" i="18" a="1"/>
  <c r="I72" i="18" s="1"/>
  <c r="I113" i="18" a="1"/>
  <c r="I113" i="18" s="1"/>
  <c r="I152" i="18" a="1"/>
  <c r="I152" i="18" s="1"/>
  <c r="I191" i="18" a="1"/>
  <c r="I191" i="18" s="1"/>
  <c r="I232" i="18" a="1"/>
  <c r="I232" i="18" s="1"/>
  <c r="I40" i="18" a="1"/>
  <c r="I40" i="18" s="1"/>
  <c r="I81" i="18" a="1"/>
  <c r="I81" i="18" s="1"/>
  <c r="I134" i="18" a="1"/>
  <c r="I134" i="18" s="1"/>
  <c r="I187" i="18" a="1"/>
  <c r="I187" i="18" s="1"/>
  <c r="I242" i="18" a="1"/>
  <c r="I242" i="18" s="1"/>
  <c r="I50" i="18" a="1"/>
  <c r="I50" i="18" s="1"/>
  <c r="I105" i="18" a="1"/>
  <c r="I105" i="18" s="1"/>
  <c r="I158" i="18" a="1"/>
  <c r="I158" i="18" s="1"/>
  <c r="I129" i="18" a="1"/>
  <c r="I129" i="18" s="1"/>
  <c r="I170" i="18" a="1"/>
  <c r="I170" i="18" s="1"/>
  <c r="I209" i="18" a="1"/>
  <c r="I209" i="18" s="1"/>
  <c r="I17" i="18" a="1"/>
  <c r="I17" i="18" s="1"/>
  <c r="I58" i="18" a="1"/>
  <c r="I58" i="18" s="1"/>
  <c r="I99" i="18" a="1"/>
  <c r="I99" i="18" s="1"/>
  <c r="I138" i="18" a="1"/>
  <c r="I138" i="18" s="1"/>
  <c r="I179" i="18" a="1"/>
  <c r="I179" i="18" s="1"/>
  <c r="I218" i="18" a="1"/>
  <c r="I218" i="18" s="1"/>
  <c r="I26" i="18" a="1"/>
  <c r="I26" i="18" s="1"/>
  <c r="I67" i="18" a="1"/>
  <c r="I67" i="18" s="1"/>
  <c r="I122" i="18" a="1"/>
  <c r="I122" i="18" s="1"/>
  <c r="I175" i="18" a="1"/>
  <c r="I175" i="18" s="1"/>
  <c r="I228" i="18" a="1"/>
  <c r="I228" i="18" s="1"/>
  <c r="I36" i="18" a="1"/>
  <c r="I36" i="18" s="1"/>
  <c r="I91" i="18" a="1"/>
  <c r="I91" i="18" s="1"/>
  <c r="I144" i="18" a="1"/>
  <c r="I144" i="18" s="1"/>
  <c r="I117" i="18" a="1"/>
  <c r="I117" i="18" s="1"/>
  <c r="I156" i="18" a="1"/>
  <c r="I156" i="18" s="1"/>
  <c r="I195" i="18" a="1"/>
  <c r="I195" i="18" s="1"/>
  <c r="I236" i="18" a="1"/>
  <c r="I236" i="18" s="1"/>
  <c r="I44" i="18" a="1"/>
  <c r="I44" i="18" s="1"/>
  <c r="I85" i="18" a="1"/>
  <c r="I85" i="18" s="1"/>
  <c r="I126" i="18" a="1"/>
  <c r="I126" i="18" s="1"/>
  <c r="I165" i="18" a="1"/>
  <c r="I165" i="18" s="1"/>
  <c r="I204" i="18" a="1"/>
  <c r="I204" i="18" s="1"/>
  <c r="I12" i="18" a="1"/>
  <c r="I12" i="18" s="1"/>
  <c r="I53" i="18" a="1"/>
  <c r="I53" i="18" s="1"/>
  <c r="I108" i="18" a="1"/>
  <c r="I108" i="18" s="1"/>
  <c r="I161" i="18" a="1"/>
  <c r="I161" i="18" s="1"/>
  <c r="I214" i="18" a="1"/>
  <c r="I214" i="18" s="1"/>
  <c r="I22" i="18" a="1"/>
  <c r="I22" i="18" s="1"/>
  <c r="I77" i="18" a="1"/>
  <c r="I77" i="18" s="1"/>
  <c r="I130" i="18" a="1"/>
  <c r="I130" i="18" s="1"/>
  <c r="I103" i="18" a="1"/>
  <c r="I103" i="18" s="1"/>
  <c r="I142" i="18" a="1"/>
  <c r="I142" i="18" s="1"/>
  <c r="I6" i="18" a="1"/>
  <c r="I6" i="18" s="1"/>
  <c r="I222" i="18" a="1"/>
  <c r="I222" i="18" s="1"/>
  <c r="I30" i="18" a="1"/>
  <c r="I30" i="18" s="1"/>
  <c r="I71" i="18" a="1"/>
  <c r="I71" i="18" s="1"/>
  <c r="I112" i="18" a="1"/>
  <c r="I112" i="18" s="1"/>
  <c r="I151" i="18" a="1"/>
  <c r="I151" i="18" s="1"/>
  <c r="I190" i="18" a="1"/>
  <c r="I190" i="18" s="1"/>
  <c r="I231" i="18" a="1"/>
  <c r="I231" i="18" s="1"/>
  <c r="I39" i="18" a="1"/>
  <c r="I39" i="18" s="1"/>
  <c r="I94" i="18" a="1"/>
  <c r="I94" i="18" s="1"/>
  <c r="I147" i="18" a="1"/>
  <c r="I147" i="18" s="1"/>
  <c r="I200" i="18" a="1"/>
  <c r="I200" i="18" s="1"/>
  <c r="I8" i="18" a="1"/>
  <c r="I8" i="18" s="1"/>
  <c r="I63" i="18" a="1"/>
  <c r="I63" i="18" s="1"/>
  <c r="I118" i="18" a="1"/>
  <c r="I118" i="18" s="1"/>
  <c r="I89" i="18" a="1"/>
  <c r="I89" i="18" s="1"/>
  <c r="I128" i="18" a="1"/>
  <c r="I128" i="18" s="1"/>
  <c r="I169" i="18" a="1"/>
  <c r="I169" i="18" s="1"/>
  <c r="I208" i="18" a="1"/>
  <c r="I208" i="18" s="1"/>
  <c r="I16" i="18" a="1"/>
  <c r="I16" i="18" s="1"/>
  <c r="I57" i="18" a="1"/>
  <c r="I57" i="18" s="1"/>
  <c r="I98" i="18" a="1"/>
  <c r="I98" i="18" s="1"/>
  <c r="I137" i="18" a="1"/>
  <c r="I137" i="18" s="1"/>
  <c r="I178" i="18" a="1"/>
  <c r="I178" i="18" s="1"/>
  <c r="I217" i="18" a="1"/>
  <c r="I217" i="18" s="1"/>
  <c r="I25" i="18" a="1"/>
  <c r="I25" i="18" s="1"/>
  <c r="I80" i="18" a="1"/>
  <c r="I80" i="18" s="1"/>
  <c r="I133" i="18" a="1"/>
  <c r="I133" i="18" s="1"/>
  <c r="I186" i="18" a="1"/>
  <c r="I186" i="18" s="1"/>
  <c r="I241" i="18" a="1"/>
  <c r="I241" i="18" s="1"/>
  <c r="I49" i="18" a="1"/>
  <c r="I49" i="18" s="1"/>
  <c r="I104" i="18" a="1"/>
  <c r="I104" i="18" s="1"/>
  <c r="I75" i="18" a="1"/>
  <c r="I75" i="18" s="1"/>
  <c r="I116" i="18" a="1"/>
  <c r="I116" i="18" s="1"/>
  <c r="I155" i="18" a="1"/>
  <c r="I155" i="18" s="1"/>
  <c r="I194" i="18" a="1"/>
  <c r="I194" i="18" s="1"/>
  <c r="I235" i="18" a="1"/>
  <c r="I235" i="18" s="1"/>
  <c r="I43" i="18" a="1"/>
  <c r="I43" i="18" s="1"/>
  <c r="I84" i="18" a="1"/>
  <c r="I84" i="18" s="1"/>
  <c r="I125" i="18" a="1"/>
  <c r="I125" i="18" s="1"/>
  <c r="I164" i="18" a="1"/>
  <c r="I164" i="18" s="1"/>
  <c r="I203" i="18" a="1"/>
  <c r="I203" i="18" s="1"/>
  <c r="I11" i="18" a="1"/>
  <c r="I11" i="18" s="1"/>
  <c r="I66" i="18" a="1"/>
  <c r="I66" i="18" s="1"/>
  <c r="I121" i="18" a="1"/>
  <c r="I121" i="18" s="1"/>
  <c r="I174" i="18" a="1"/>
  <c r="I174" i="18" s="1"/>
  <c r="I227" i="18" a="1"/>
  <c r="I227" i="18" s="1"/>
  <c r="I35" i="18" a="1"/>
  <c r="I35" i="18" s="1"/>
  <c r="I90" i="18" a="1"/>
  <c r="I90" i="18" s="1"/>
  <c r="I61" i="18" a="1"/>
  <c r="I61" i="18" s="1"/>
  <c r="I102" i="18" a="1"/>
  <c r="I102" i="18" s="1"/>
  <c r="I141" i="18" a="1"/>
  <c r="I141" i="18" s="1"/>
  <c r="I5" i="18" a="1"/>
  <c r="I5" i="18" s="1"/>
  <c r="I221" i="18" a="1"/>
  <c r="I221" i="18" s="1"/>
  <c r="I29" i="18" a="1"/>
  <c r="I29" i="18" s="1"/>
  <c r="I70" i="18" a="1"/>
  <c r="I70" i="18" s="1"/>
  <c r="I111" i="18" a="1"/>
  <c r="I111" i="18" s="1"/>
  <c r="I150" i="18" a="1"/>
  <c r="I150" i="18" s="1"/>
  <c r="I189" i="18" a="1"/>
  <c r="I189" i="18" s="1"/>
  <c r="I244" i="18" a="1"/>
  <c r="I244" i="18" s="1"/>
  <c r="I52" i="18" a="1"/>
  <c r="I52" i="18" s="1"/>
  <c r="I107" i="18" a="1"/>
  <c r="I107" i="18" s="1"/>
  <c r="I160" i="18" a="1"/>
  <c r="I160" i="18" s="1"/>
  <c r="I213" i="18" a="1"/>
  <c r="I213" i="18" s="1"/>
  <c r="I21" i="18" a="1"/>
  <c r="I21" i="18" s="1"/>
  <c r="I76" i="18" a="1"/>
  <c r="I76" i="18" s="1"/>
  <c r="I239" i="18" a="1"/>
  <c r="I239" i="18" s="1"/>
  <c r="I47" i="18" a="1"/>
  <c r="I47" i="18" s="1"/>
  <c r="I88" i="18" a="1"/>
  <c r="I88" i="18" s="1"/>
  <c r="I4" i="18" a="1"/>
  <c r="I4" i="18" s="1"/>
  <c r="I168" i="18" a="1"/>
  <c r="I168" i="18" s="1"/>
  <c r="I207" i="18" a="1"/>
  <c r="I207" i="18" s="1"/>
  <c r="I15" i="18" a="1"/>
  <c r="I15" i="18" s="1"/>
  <c r="I56" i="18" a="1"/>
  <c r="I56" i="18" s="1"/>
  <c r="I97" i="18" a="1"/>
  <c r="I97" i="18" s="1"/>
  <c r="I136" i="18" a="1"/>
  <c r="I136" i="18" s="1"/>
  <c r="I177" i="18" a="1"/>
  <c r="I177" i="18" s="1"/>
  <c r="I230" i="18" a="1"/>
  <c r="I230" i="18" s="1"/>
  <c r="I38" i="18" a="1"/>
  <c r="I38" i="18" s="1"/>
  <c r="I93" i="18" a="1"/>
  <c r="I93" i="18" s="1"/>
  <c r="I146" i="18" a="1"/>
  <c r="I146" i="18" s="1"/>
  <c r="I199" i="18" a="1"/>
  <c r="I199" i="18" s="1"/>
  <c r="I7" i="18" a="1"/>
  <c r="I7" i="18" s="1"/>
  <c r="I62" i="18" a="1"/>
  <c r="I62" i="18" s="1"/>
  <c r="I225" i="18" a="1"/>
  <c r="I225" i="18" s="1"/>
  <c r="I33" i="18" a="1"/>
  <c r="I33" i="18" s="1"/>
  <c r="I74" i="18" a="1"/>
  <c r="I74" i="18" s="1"/>
  <c r="I115" i="18" a="1"/>
  <c r="I115" i="18" s="1"/>
  <c r="I154" i="18" a="1"/>
  <c r="I154" i="18" s="1"/>
  <c r="I193" i="18" a="1"/>
  <c r="I193" i="18" s="1"/>
  <c r="I234" i="18" a="1"/>
  <c r="I234" i="18" s="1"/>
  <c r="I42" i="18" a="1"/>
  <c r="I42" i="18" s="1"/>
  <c r="I83" i="18" a="1"/>
  <c r="I83" i="18" s="1"/>
  <c r="I124" i="18" a="1"/>
  <c r="I124" i="18" s="1"/>
  <c r="I163" i="18" a="1"/>
  <c r="I163" i="18" s="1"/>
  <c r="I216" i="18" a="1"/>
  <c r="I216" i="18" s="1"/>
  <c r="I24" i="18" a="1"/>
  <c r="I24" i="18" s="1"/>
  <c r="I79" i="18" a="1"/>
  <c r="I79" i="18" s="1"/>
  <c r="I132" i="18" a="1"/>
  <c r="I132" i="18" s="1"/>
  <c r="I185" i="18" a="1"/>
  <c r="I185" i="18" s="1"/>
  <c r="I240" i="18" a="1"/>
  <c r="I240" i="18" s="1"/>
  <c r="I48" i="18" a="1"/>
  <c r="I48" i="18" s="1"/>
  <c r="AL26" i="14"/>
  <c r="AL119" i="14"/>
  <c r="AL78" i="14"/>
  <c r="R308" i="14"/>
  <c r="J234" i="18" a="1"/>
  <c r="J234" i="18" s="1"/>
  <c r="J220" i="18" a="1"/>
  <c r="J220" i="18" s="1"/>
  <c r="J206" i="18" a="1"/>
  <c r="J206" i="18" s="1"/>
  <c r="J192" i="18" a="1"/>
  <c r="J192" i="18" s="1"/>
  <c r="J233" i="18" a="1"/>
  <c r="J233" i="18" s="1"/>
  <c r="J232" i="18" a="1"/>
  <c r="J232" i="18" s="1"/>
  <c r="J242" i="18" a="1"/>
  <c r="J242" i="18" s="1"/>
  <c r="J228" i="18" a="1"/>
  <c r="J228" i="18" s="1"/>
  <c r="J214" i="18" a="1"/>
  <c r="J214" i="18" s="1"/>
  <c r="J200" i="18" a="1"/>
  <c r="J200" i="18" s="1"/>
  <c r="J235" i="18" a="1"/>
  <c r="J235" i="18" s="1"/>
  <c r="J221" i="18" a="1"/>
  <c r="J221" i="18" s="1"/>
  <c r="J207" i="18" a="1"/>
  <c r="J207" i="18" s="1"/>
  <c r="J229" i="18" a="1"/>
  <c r="J229" i="18" s="1"/>
  <c r="J211" i="18" a="1"/>
  <c r="J211" i="18" s="1"/>
  <c r="J194" i="18" a="1"/>
  <c r="J194" i="18" s="1"/>
  <c r="J181" i="18" a="1"/>
  <c r="J181" i="18" s="1"/>
  <c r="J167" i="18" a="1"/>
  <c r="J167" i="18" s="1"/>
  <c r="J153" i="18" a="1"/>
  <c r="J153" i="18" s="1"/>
  <c r="J139" i="18" a="1"/>
  <c r="J139" i="18" s="1"/>
  <c r="J127" i="18" a="1"/>
  <c r="J127" i="18" s="1"/>
  <c r="J113" i="18" a="1"/>
  <c r="J113" i="18" s="1"/>
  <c r="J99" i="18" a="1"/>
  <c r="J99" i="18" s="1"/>
  <c r="J85" i="18" a="1"/>
  <c r="J85" i="18" s="1"/>
  <c r="J71" i="18" a="1"/>
  <c r="J71" i="18" s="1"/>
  <c r="J57" i="18" a="1"/>
  <c r="J57" i="18" s="1"/>
  <c r="J43" i="18" a="1"/>
  <c r="J43" i="18" s="1"/>
  <c r="J29" i="18" a="1"/>
  <c r="J29" i="18" s="1"/>
  <c r="J15" i="18" a="1"/>
  <c r="J15" i="18" s="1"/>
  <c r="J227" i="18" a="1"/>
  <c r="J227" i="18" s="1"/>
  <c r="J210" i="18" a="1"/>
  <c r="J210" i="18" s="1"/>
  <c r="J193" i="18" a="1"/>
  <c r="J193" i="18" s="1"/>
  <c r="J180" i="18" a="1"/>
  <c r="J180" i="18" s="1"/>
  <c r="J166" i="18" a="1"/>
  <c r="J166" i="18" s="1"/>
  <c r="J152" i="18" a="1"/>
  <c r="J152" i="18" s="1"/>
  <c r="J138" i="18" a="1"/>
  <c r="J138" i="18" s="1"/>
  <c r="J126" i="18" a="1"/>
  <c r="J126" i="18" s="1"/>
  <c r="J112" i="18" a="1"/>
  <c r="J112" i="18" s="1"/>
  <c r="J98" i="18" a="1"/>
  <c r="J98" i="18" s="1"/>
  <c r="J84" i="18" a="1"/>
  <c r="J84" i="18" s="1"/>
  <c r="J70" i="18" a="1"/>
  <c r="J70" i="18" s="1"/>
  <c r="J56" i="18" a="1"/>
  <c r="J56" i="18" s="1"/>
  <c r="J42" i="18" a="1"/>
  <c r="J42" i="18" s="1"/>
  <c r="J28" i="18" a="1"/>
  <c r="J28" i="18" s="1"/>
  <c r="J14" i="18" a="1"/>
  <c r="J14" i="18" s="1"/>
  <c r="J226" i="18" a="1"/>
  <c r="J226" i="18" s="1"/>
  <c r="J209" i="18" a="1"/>
  <c r="J209" i="18" s="1"/>
  <c r="J191" i="18" a="1"/>
  <c r="J191" i="18" s="1"/>
  <c r="J179" i="18" a="1"/>
  <c r="J179" i="18" s="1"/>
  <c r="J165" i="18" a="1"/>
  <c r="J165" i="18" s="1"/>
  <c r="J151" i="18" a="1"/>
  <c r="J151" i="18" s="1"/>
  <c r="J137" i="18" a="1"/>
  <c r="J137" i="18" s="1"/>
  <c r="J125" i="18" a="1"/>
  <c r="J125" i="18" s="1"/>
  <c r="J111" i="18" a="1"/>
  <c r="J111" i="18" s="1"/>
  <c r="J97" i="18" a="1"/>
  <c r="J97" i="18" s="1"/>
  <c r="J83" i="18" a="1"/>
  <c r="J83" i="18" s="1"/>
  <c r="J69" i="18" a="1"/>
  <c r="J69" i="18" s="1"/>
  <c r="J55" i="18" a="1"/>
  <c r="J55" i="18" s="1"/>
  <c r="J41" i="18" a="1"/>
  <c r="J41" i="18" s="1"/>
  <c r="J27" i="18" a="1"/>
  <c r="J27" i="18" s="1"/>
  <c r="J13" i="18" a="1"/>
  <c r="J13" i="18" s="1"/>
  <c r="J225" i="18" a="1"/>
  <c r="J225" i="18" s="1"/>
  <c r="J208" i="18" a="1"/>
  <c r="J208" i="18" s="1"/>
  <c r="J190" i="18" a="1"/>
  <c r="J190" i="18" s="1"/>
  <c r="J178" i="18" a="1"/>
  <c r="J178" i="18" s="1"/>
  <c r="J164" i="18" a="1"/>
  <c r="J164" i="18" s="1"/>
  <c r="J150" i="18" a="1"/>
  <c r="J150" i="18" s="1"/>
  <c r="J136" i="18" a="1"/>
  <c r="J136" i="18" s="1"/>
  <c r="J124" i="18" a="1"/>
  <c r="J124" i="18" s="1"/>
  <c r="J110" i="18" a="1"/>
  <c r="J110" i="18" s="1"/>
  <c r="J96" i="18" a="1"/>
  <c r="J96" i="18" s="1"/>
  <c r="J82" i="18" a="1"/>
  <c r="J82" i="18" s="1"/>
  <c r="J68" i="18" a="1"/>
  <c r="J68" i="18" s="1"/>
  <c r="J54" i="18" a="1"/>
  <c r="J54" i="18" s="1"/>
  <c r="J40" i="18" a="1"/>
  <c r="J40" i="18" s="1"/>
  <c r="J26" i="18" a="1"/>
  <c r="J26" i="18" s="1"/>
  <c r="J12" i="18" a="1"/>
  <c r="J12" i="18" s="1"/>
  <c r="J244" i="18" a="1"/>
  <c r="J244" i="18" s="1"/>
  <c r="J224" i="18" a="1"/>
  <c r="J224" i="18" s="1"/>
  <c r="J205" i="18" a="1"/>
  <c r="J205" i="18" s="1"/>
  <c r="J189" i="18" a="1"/>
  <c r="J189" i="18" s="1"/>
  <c r="J177" i="18" a="1"/>
  <c r="J177" i="18" s="1"/>
  <c r="J163" i="18" a="1"/>
  <c r="J163" i="18" s="1"/>
  <c r="J149" i="18" a="1"/>
  <c r="J149" i="18" s="1"/>
  <c r="J135" i="18" a="1"/>
  <c r="J135" i="18" s="1"/>
  <c r="J123" i="18" a="1"/>
  <c r="J123" i="18" s="1"/>
  <c r="J109" i="18" a="1"/>
  <c r="J109" i="18" s="1"/>
  <c r="J95" i="18" a="1"/>
  <c r="J95" i="18" s="1"/>
  <c r="J81" i="18" a="1"/>
  <c r="J81" i="18" s="1"/>
  <c r="J67" i="18" a="1"/>
  <c r="J67" i="18" s="1"/>
  <c r="J53" i="18" a="1"/>
  <c r="J53" i="18" s="1"/>
  <c r="J39" i="18" a="1"/>
  <c r="J39" i="18" s="1"/>
  <c r="J25" i="18" a="1"/>
  <c r="J25" i="18" s="1"/>
  <c r="J11" i="18" a="1"/>
  <c r="J11" i="18" s="1"/>
  <c r="J243" i="18" a="1"/>
  <c r="J243" i="18" s="1"/>
  <c r="J223" i="18" a="1"/>
  <c r="J223" i="18" s="1"/>
  <c r="J204" i="18" a="1"/>
  <c r="J204" i="18" s="1"/>
  <c r="J188" i="18" a="1"/>
  <c r="J188" i="18" s="1"/>
  <c r="J176" i="18" a="1"/>
  <c r="J176" i="18" s="1"/>
  <c r="J162" i="18" a="1"/>
  <c r="J162" i="18" s="1"/>
  <c r="J148" i="18" a="1"/>
  <c r="J148" i="18" s="1"/>
  <c r="J134" i="18" a="1"/>
  <c r="J134" i="18" s="1"/>
  <c r="J122" i="18" a="1"/>
  <c r="J122" i="18" s="1"/>
  <c r="J108" i="18" a="1"/>
  <c r="J108" i="18" s="1"/>
  <c r="J94" i="18" a="1"/>
  <c r="J94" i="18" s="1"/>
  <c r="J80" i="18" a="1"/>
  <c r="J80" i="18" s="1"/>
  <c r="J66" i="18" a="1"/>
  <c r="J66" i="18" s="1"/>
  <c r="J52" i="18" a="1"/>
  <c r="J52" i="18" s="1"/>
  <c r="J38" i="18" a="1"/>
  <c r="J38" i="18" s="1"/>
  <c r="J24" i="18" a="1"/>
  <c r="J24" i="18" s="1"/>
  <c r="J10" i="18" a="1"/>
  <c r="J10" i="18" s="1"/>
  <c r="J241" i="18" a="1"/>
  <c r="J241" i="18" s="1"/>
  <c r="J222" i="18" a="1"/>
  <c r="J222" i="18" s="1"/>
  <c r="J203" i="18" a="1"/>
  <c r="J203" i="18" s="1"/>
  <c r="J187" i="18" a="1"/>
  <c r="J187" i="18" s="1"/>
  <c r="J175" i="18" a="1"/>
  <c r="J175" i="18" s="1"/>
  <c r="J161" i="18" a="1"/>
  <c r="J161" i="18" s="1"/>
  <c r="J147" i="18" a="1"/>
  <c r="J147" i="18" s="1"/>
  <c r="J133" i="18" a="1"/>
  <c r="J133" i="18" s="1"/>
  <c r="J121" i="18" a="1"/>
  <c r="J121" i="18" s="1"/>
  <c r="J107" i="18" a="1"/>
  <c r="J107" i="18" s="1"/>
  <c r="J93" i="18" a="1"/>
  <c r="J93" i="18" s="1"/>
  <c r="J79" i="18" a="1"/>
  <c r="J79" i="18" s="1"/>
  <c r="J65" i="18" a="1"/>
  <c r="J65" i="18" s="1"/>
  <c r="J51" i="18" a="1"/>
  <c r="J51" i="18" s="1"/>
  <c r="J37" i="18" a="1"/>
  <c r="J37" i="18" s="1"/>
  <c r="J23" i="18" a="1"/>
  <c r="J23" i="18" s="1"/>
  <c r="J9" i="18" a="1"/>
  <c r="J9" i="18" s="1"/>
  <c r="J240" i="18" a="1"/>
  <c r="J240" i="18" s="1"/>
  <c r="J219" i="18" a="1"/>
  <c r="J219" i="18" s="1"/>
  <c r="J202" i="18" a="1"/>
  <c r="J202" i="18" s="1"/>
  <c r="J186" i="18" a="1"/>
  <c r="J186" i="18" s="1"/>
  <c r="J174" i="18" a="1"/>
  <c r="J174" i="18" s="1"/>
  <c r="J160" i="18" a="1"/>
  <c r="J160" i="18" s="1"/>
  <c r="J146" i="18" a="1"/>
  <c r="J146" i="18" s="1"/>
  <c r="J132" i="18" a="1"/>
  <c r="J132" i="18" s="1"/>
  <c r="J120" i="18" a="1"/>
  <c r="J120" i="18" s="1"/>
  <c r="J106" i="18" a="1"/>
  <c r="J106" i="18" s="1"/>
  <c r="J92" i="18" a="1"/>
  <c r="J92" i="18" s="1"/>
  <c r="J78" i="18" a="1"/>
  <c r="J78" i="18" s="1"/>
  <c r="J64" i="18" a="1"/>
  <c r="J64" i="18" s="1"/>
  <c r="J50" i="18" a="1"/>
  <c r="J50" i="18" s="1"/>
  <c r="J36" i="18" a="1"/>
  <c r="J36" i="18" s="1"/>
  <c r="J22" i="18" a="1"/>
  <c r="J22" i="18" s="1"/>
  <c r="J8" i="18" a="1"/>
  <c r="J8" i="18" s="1"/>
  <c r="J239" i="18" a="1"/>
  <c r="J239" i="18" s="1"/>
  <c r="J218" i="18" a="1"/>
  <c r="J218" i="18" s="1"/>
  <c r="J201" i="18" a="1"/>
  <c r="J201" i="18" s="1"/>
  <c r="J185" i="18" a="1"/>
  <c r="J185" i="18" s="1"/>
  <c r="J173" i="18" a="1"/>
  <c r="J173" i="18" s="1"/>
  <c r="J159" i="18" a="1"/>
  <c r="J159" i="18" s="1"/>
  <c r="J145" i="18" a="1"/>
  <c r="J145" i="18" s="1"/>
  <c r="J131" i="18" a="1"/>
  <c r="J131" i="18" s="1"/>
  <c r="J119" i="18" a="1"/>
  <c r="J119" i="18" s="1"/>
  <c r="J105" i="18" a="1"/>
  <c r="J105" i="18" s="1"/>
  <c r="J91" i="18" a="1"/>
  <c r="J91" i="18" s="1"/>
  <c r="J77" i="18" a="1"/>
  <c r="J77" i="18" s="1"/>
  <c r="J63" i="18" a="1"/>
  <c r="J63" i="18" s="1"/>
  <c r="J49" i="18" a="1"/>
  <c r="J49" i="18" s="1"/>
  <c r="J35" i="18" a="1"/>
  <c r="J35" i="18" s="1"/>
  <c r="J21" i="18" a="1"/>
  <c r="J21" i="18" s="1"/>
  <c r="J7" i="18" a="1"/>
  <c r="J7" i="18" s="1"/>
  <c r="J238" i="18" a="1"/>
  <c r="J238" i="18" s="1"/>
  <c r="J217" i="18" a="1"/>
  <c r="J217" i="18" s="1"/>
  <c r="J199" i="18" a="1"/>
  <c r="J199" i="18" s="1"/>
  <c r="J184" i="18" a="1"/>
  <c r="J184" i="18" s="1"/>
  <c r="J172" i="18" a="1"/>
  <c r="J172" i="18" s="1"/>
  <c r="J158" i="18" a="1"/>
  <c r="J158" i="18" s="1"/>
  <c r="J144" i="18" a="1"/>
  <c r="J144" i="18" s="1"/>
  <c r="J130" i="18" a="1"/>
  <c r="J130" i="18" s="1"/>
  <c r="J118" i="18" a="1"/>
  <c r="J118" i="18" s="1"/>
  <c r="J104" i="18" a="1"/>
  <c r="J104" i="18" s="1"/>
  <c r="J90" i="18" a="1"/>
  <c r="J90" i="18" s="1"/>
  <c r="J76" i="18" a="1"/>
  <c r="J76" i="18" s="1"/>
  <c r="J62" i="18" a="1"/>
  <c r="J62" i="18" s="1"/>
  <c r="J48" i="18" a="1"/>
  <c r="J48" i="18" s="1"/>
  <c r="J34" i="18" a="1"/>
  <c r="J34" i="18" s="1"/>
  <c r="J20" i="18" a="1"/>
  <c r="J20" i="18" s="1"/>
  <c r="J237" i="18" a="1"/>
  <c r="J237" i="18" s="1"/>
  <c r="J216" i="18" a="1"/>
  <c r="J216" i="18" s="1"/>
  <c r="J198" i="18" a="1"/>
  <c r="J198" i="18" s="1"/>
  <c r="J183" i="18" a="1"/>
  <c r="J183" i="18" s="1"/>
  <c r="J171" i="18" a="1"/>
  <c r="J171" i="18" s="1"/>
  <c r="J157" i="18" a="1"/>
  <c r="J157" i="18" s="1"/>
  <c r="J143" i="18" a="1"/>
  <c r="J143" i="18" s="1"/>
  <c r="J129" i="18" a="1"/>
  <c r="J129" i="18" s="1"/>
  <c r="J117" i="18" a="1"/>
  <c r="J117" i="18" s="1"/>
  <c r="J103" i="18" a="1"/>
  <c r="J103" i="18" s="1"/>
  <c r="J89" i="18" a="1"/>
  <c r="J89" i="18" s="1"/>
  <c r="J75" i="18" a="1"/>
  <c r="J75" i="18" s="1"/>
  <c r="J61" i="18" a="1"/>
  <c r="J61" i="18" s="1"/>
  <c r="J47" i="18" a="1"/>
  <c r="J47" i="18" s="1"/>
  <c r="J33" i="18" a="1"/>
  <c r="J33" i="18" s="1"/>
  <c r="J19" i="18" a="1"/>
  <c r="J19" i="18" s="1"/>
  <c r="J236" i="18" a="1"/>
  <c r="J236" i="18" s="1"/>
  <c r="J215" i="18" a="1"/>
  <c r="J215" i="18" s="1"/>
  <c r="J197" i="18" a="1"/>
  <c r="J197" i="18" s="1"/>
  <c r="J182" i="18" a="1"/>
  <c r="J182" i="18" s="1"/>
  <c r="J170" i="18" a="1"/>
  <c r="J170" i="18" s="1"/>
  <c r="J156" i="18" a="1"/>
  <c r="J156" i="18" s="1"/>
  <c r="J142" i="18" a="1"/>
  <c r="J142" i="18" s="1"/>
  <c r="J128" i="18" a="1"/>
  <c r="J128" i="18" s="1"/>
  <c r="J116" i="18" a="1"/>
  <c r="J116" i="18" s="1"/>
  <c r="J102" i="18" a="1"/>
  <c r="J102" i="18" s="1"/>
  <c r="J88" i="18" a="1"/>
  <c r="J88" i="18" s="1"/>
  <c r="J74" i="18" a="1"/>
  <c r="J74" i="18" s="1"/>
  <c r="J60" i="18" a="1"/>
  <c r="J60" i="18" s="1"/>
  <c r="J46" i="18" a="1"/>
  <c r="J46" i="18" s="1"/>
  <c r="J32" i="18" a="1"/>
  <c r="J32" i="18" s="1"/>
  <c r="J18" i="18" a="1"/>
  <c r="J18" i="18" s="1"/>
  <c r="J231" i="18" a="1"/>
  <c r="J231" i="18" s="1"/>
  <c r="J213" i="18" a="1"/>
  <c r="J213" i="18" s="1"/>
  <c r="J196" i="18" a="1"/>
  <c r="J196" i="18" s="1"/>
  <c r="J6" i="18" a="1"/>
  <c r="J6" i="18" s="1"/>
  <c r="J169" i="18" a="1"/>
  <c r="J169" i="18" s="1"/>
  <c r="J155" i="18" a="1"/>
  <c r="J155" i="18" s="1"/>
  <c r="J141" i="18" a="1"/>
  <c r="J141" i="18" s="1"/>
  <c r="J4" i="18" a="1"/>
  <c r="J4" i="18" s="1"/>
  <c r="J115" i="18" a="1"/>
  <c r="J115" i="18" s="1"/>
  <c r="J101" i="18" a="1"/>
  <c r="J101" i="18" s="1"/>
  <c r="J87" i="18" a="1"/>
  <c r="J87" i="18" s="1"/>
  <c r="J73" i="18" a="1"/>
  <c r="J73" i="18" s="1"/>
  <c r="J59" i="18" a="1"/>
  <c r="J59" i="18" s="1"/>
  <c r="J45" i="18" a="1"/>
  <c r="J45" i="18" s="1"/>
  <c r="J31" i="18" a="1"/>
  <c r="J31" i="18" s="1"/>
  <c r="J17" i="18" a="1"/>
  <c r="J17" i="18" s="1"/>
  <c r="J230" i="18" a="1"/>
  <c r="J230" i="18" s="1"/>
  <c r="J212" i="18" a="1"/>
  <c r="J212" i="18" s="1"/>
  <c r="J195" i="18" a="1"/>
  <c r="J195" i="18" s="1"/>
  <c r="J5" i="18" a="1"/>
  <c r="J5" i="18" s="1"/>
  <c r="J168" i="18" a="1"/>
  <c r="J168" i="18" s="1"/>
  <c r="J154" i="18" a="1"/>
  <c r="J154" i="18" s="1"/>
  <c r="J140" i="18" a="1"/>
  <c r="J140" i="18" s="1"/>
  <c r="J3" i="18" a="1"/>
  <c r="J3" i="18" s="1"/>
  <c r="J114" i="18" a="1"/>
  <c r="J114" i="18" s="1"/>
  <c r="J100" i="18" a="1"/>
  <c r="J100" i="18" s="1"/>
  <c r="J86" i="18" a="1"/>
  <c r="J86" i="18" s="1"/>
  <c r="J72" i="18" a="1"/>
  <c r="J72" i="18" s="1"/>
  <c r="J58" i="18" a="1"/>
  <c r="J58" i="18" s="1"/>
  <c r="J44" i="18" a="1"/>
  <c r="J44" i="18" s="1"/>
  <c r="J30" i="18" a="1"/>
  <c r="J30" i="18" s="1"/>
  <c r="J16" i="18" a="1"/>
  <c r="J16" i="18" s="1"/>
  <c r="E7" i="18" a="1"/>
  <c r="E7" i="18" s="1"/>
  <c r="E21" i="18" a="1"/>
  <c r="E21" i="18" s="1"/>
  <c r="E33" i="18" a="1"/>
  <c r="E33" i="18" s="1"/>
  <c r="E46" i="18" a="1"/>
  <c r="E46" i="18" s="1"/>
  <c r="E59" i="18" a="1"/>
  <c r="E59" i="18" s="1"/>
  <c r="E72" i="18" a="1"/>
  <c r="E72" i="18" s="1"/>
  <c r="E84" i="18" a="1"/>
  <c r="E84" i="18" s="1"/>
  <c r="E22" i="18" a="1"/>
  <c r="E22" i="18" s="1"/>
  <c r="E34" i="18" a="1"/>
  <c r="E34" i="18" s="1"/>
  <c r="E10" i="18" a="1"/>
  <c r="E10" i="18" s="1"/>
  <c r="E23" i="18" a="1"/>
  <c r="E23" i="18" s="1"/>
  <c r="E35" i="18" a="1"/>
  <c r="E35" i="18" s="1"/>
  <c r="E14" i="18" a="1"/>
  <c r="E14" i="18" s="1"/>
  <c r="E39" i="18" a="1"/>
  <c r="E39" i="18" s="1"/>
  <c r="E51" i="18" a="1"/>
  <c r="E51" i="18" s="1"/>
  <c r="E64" i="18" a="1"/>
  <c r="E64" i="18" s="1"/>
  <c r="E20" i="18" a="1"/>
  <c r="E20" i="18" s="1"/>
  <c r="E32" i="18" a="1"/>
  <c r="E32" i="18" s="1"/>
  <c r="E45" i="18" a="1"/>
  <c r="E45" i="18" s="1"/>
  <c r="E58" i="18" a="1"/>
  <c r="E58" i="18" s="1"/>
  <c r="E71" i="18" a="1"/>
  <c r="E71" i="18" s="1"/>
  <c r="E15" i="18" a="1"/>
  <c r="E15" i="18" s="1"/>
  <c r="E31" i="18" a="1"/>
  <c r="E31" i="18" s="1"/>
  <c r="E67" i="18" a="1"/>
  <c r="E67" i="18" s="1"/>
  <c r="E81" i="18" a="1"/>
  <c r="E81" i="18" s="1"/>
  <c r="E107" i="18" a="1"/>
  <c r="E107" i="18" s="1"/>
  <c r="E121" i="18" a="1"/>
  <c r="E121" i="18" s="1"/>
  <c r="E133" i="18" a="1"/>
  <c r="E133" i="18" s="1"/>
  <c r="E147" i="18" a="1"/>
  <c r="E147" i="18" s="1"/>
  <c r="E170" i="18" a="1"/>
  <c r="E170" i="18" s="1"/>
  <c r="E5" i="18" a="1"/>
  <c r="E5" i="18" s="1"/>
  <c r="E192" i="18" a="1"/>
  <c r="E192" i="18" s="1"/>
  <c r="E203" i="18" a="1"/>
  <c r="E203" i="18" s="1"/>
  <c r="E216" i="18" a="1"/>
  <c r="E216" i="18" s="1"/>
  <c r="E230" i="18" a="1"/>
  <c r="E230" i="18" s="1"/>
  <c r="E244" i="18" a="1"/>
  <c r="E244" i="18" s="1"/>
  <c r="E233" i="18" a="1"/>
  <c r="E233" i="18" s="1"/>
  <c r="E210" i="18" a="1"/>
  <c r="E210" i="18" s="1"/>
  <c r="E227" i="18" a="1"/>
  <c r="E227" i="18" s="1"/>
  <c r="E16" i="18" a="1"/>
  <c r="E16" i="18" s="1"/>
  <c r="E36" i="18" a="1"/>
  <c r="E36" i="18" s="1"/>
  <c r="E52" i="18" a="1"/>
  <c r="E52" i="18" s="1"/>
  <c r="E68" i="18" a="1"/>
  <c r="E68" i="18" s="1"/>
  <c r="E82" i="18" a="1"/>
  <c r="E82" i="18" s="1"/>
  <c r="E95" i="18" a="1"/>
  <c r="E95" i="18" s="1"/>
  <c r="E108" i="18" a="1"/>
  <c r="E108" i="18" s="1"/>
  <c r="E122" i="18" a="1"/>
  <c r="E122" i="18" s="1"/>
  <c r="E134" i="18" a="1"/>
  <c r="E134" i="18" s="1"/>
  <c r="E148" i="18" a="1"/>
  <c r="E148" i="18" s="1"/>
  <c r="E160" i="18" a="1"/>
  <c r="E160" i="18" s="1"/>
  <c r="E171" i="18" a="1"/>
  <c r="E171" i="18" s="1"/>
  <c r="E6" i="18" a="1"/>
  <c r="E6" i="18" s="1"/>
  <c r="E193" i="18" a="1"/>
  <c r="E193" i="18" s="1"/>
  <c r="E217" i="18" a="1"/>
  <c r="E217" i="18" s="1"/>
  <c r="E231" i="18" a="1"/>
  <c r="E231" i="18" s="1"/>
  <c r="E9" i="18" a="1"/>
  <c r="E9" i="18" s="1"/>
  <c r="E206" i="18" a="1"/>
  <c r="E206" i="18" s="1"/>
  <c r="E224" i="18" a="1"/>
  <c r="E224" i="18" s="1"/>
  <c r="E242" i="18" a="1"/>
  <c r="E242" i="18" s="1"/>
  <c r="E37" i="18" a="1"/>
  <c r="E37" i="18" s="1"/>
  <c r="E53" i="18" a="1"/>
  <c r="E53" i="18" s="1"/>
  <c r="E69" i="18" a="1"/>
  <c r="E69" i="18" s="1"/>
  <c r="E83" i="18" a="1"/>
  <c r="E83" i="18" s="1"/>
  <c r="E109" i="18" a="1"/>
  <c r="E109" i="18" s="1"/>
  <c r="E123" i="18" a="1"/>
  <c r="E123" i="18" s="1"/>
  <c r="E135" i="18" a="1"/>
  <c r="E135" i="18" s="1"/>
  <c r="E149" i="18" a="1"/>
  <c r="E149" i="18" s="1"/>
  <c r="E161" i="18" a="1"/>
  <c r="E161" i="18" s="1"/>
  <c r="E172" i="18" a="1"/>
  <c r="E172" i="18" s="1"/>
  <c r="E182" i="18" a="1"/>
  <c r="E182" i="18" s="1"/>
  <c r="E204" i="18" a="1"/>
  <c r="E204" i="18" s="1"/>
  <c r="E218" i="18" a="1"/>
  <c r="E218" i="18" s="1"/>
  <c r="E232" i="18" a="1"/>
  <c r="E232" i="18" s="1"/>
  <c r="E194" i="18" a="1"/>
  <c r="E194" i="18" s="1"/>
  <c r="E205" i="18" a="1"/>
  <c r="E205" i="18" s="1"/>
  <c r="E234" i="18" a="1"/>
  <c r="E234" i="18" s="1"/>
  <c r="E238" i="18" a="1"/>
  <c r="E238" i="18" s="1"/>
  <c r="E17" i="18" a="1"/>
  <c r="E17" i="18" s="1"/>
  <c r="E38" i="18" a="1"/>
  <c r="E38" i="18" s="1"/>
  <c r="E54" i="18" a="1"/>
  <c r="E54" i="18" s="1"/>
  <c r="E70" i="18" a="1"/>
  <c r="E70" i="18" s="1"/>
  <c r="E85" i="18" a="1"/>
  <c r="E85" i="18" s="1"/>
  <c r="E96" i="18" a="1"/>
  <c r="E96" i="18" s="1"/>
  <c r="E110" i="18" a="1"/>
  <c r="E110" i="18" s="1"/>
  <c r="E124" i="18" a="1"/>
  <c r="E124" i="18" s="1"/>
  <c r="E136" i="18" a="1"/>
  <c r="E136" i="18" s="1"/>
  <c r="E150" i="18" a="1"/>
  <c r="E150" i="18" s="1"/>
  <c r="E183" i="18" a="1"/>
  <c r="E183" i="18" s="1"/>
  <c r="E219" i="18" a="1"/>
  <c r="E219" i="18" s="1"/>
  <c r="E235" i="18" a="1"/>
  <c r="E235" i="18" s="1"/>
  <c r="E241" i="18" a="1"/>
  <c r="E241" i="18" s="1"/>
  <c r="E18" i="18" a="1"/>
  <c r="E18" i="18" s="1"/>
  <c r="E55" i="18" a="1"/>
  <c r="E55" i="18" s="1"/>
  <c r="E73" i="18" a="1"/>
  <c r="E73" i="18" s="1"/>
  <c r="E86" i="18" a="1"/>
  <c r="E86" i="18" s="1"/>
  <c r="E97" i="18" a="1"/>
  <c r="E97" i="18" s="1"/>
  <c r="E111" i="18" a="1"/>
  <c r="E111" i="18" s="1"/>
  <c r="E125" i="18" a="1"/>
  <c r="E125" i="18" s="1"/>
  <c r="E137" i="18" a="1"/>
  <c r="E137" i="18" s="1"/>
  <c r="E151" i="18" a="1"/>
  <c r="E151" i="18" s="1"/>
  <c r="E162" i="18" a="1"/>
  <c r="E162" i="18" s="1"/>
  <c r="E173" i="18" a="1"/>
  <c r="E173" i="18" s="1"/>
  <c r="E184" i="18" a="1"/>
  <c r="E184" i="18" s="1"/>
  <c r="E220" i="18" a="1"/>
  <c r="E220" i="18" s="1"/>
  <c r="E199" i="18" a="1"/>
  <c r="E199" i="18" s="1"/>
  <c r="E19" i="18" a="1"/>
  <c r="E19" i="18" s="1"/>
  <c r="E40" i="18" a="1"/>
  <c r="E40" i="18" s="1"/>
  <c r="E56" i="18" a="1"/>
  <c r="E56" i="18" s="1"/>
  <c r="E74" i="18" a="1"/>
  <c r="E74" i="18" s="1"/>
  <c r="E87" i="18" a="1"/>
  <c r="E87" i="18" s="1"/>
  <c r="E98" i="18" a="1"/>
  <c r="E98" i="18" s="1"/>
  <c r="E112" i="18" a="1"/>
  <c r="E112" i="18" s="1"/>
  <c r="E126" i="18" a="1"/>
  <c r="E126" i="18" s="1"/>
  <c r="E138" i="18" a="1"/>
  <c r="E138" i="18" s="1"/>
  <c r="E152" i="18" a="1"/>
  <c r="E152" i="18" s="1"/>
  <c r="E196" i="18" a="1"/>
  <c r="E196" i="18" s="1"/>
  <c r="E207" i="18" a="1"/>
  <c r="E207" i="18" s="1"/>
  <c r="E221" i="18" a="1"/>
  <c r="E221" i="18" s="1"/>
  <c r="E211" i="18" a="1"/>
  <c r="E211" i="18" s="1"/>
  <c r="E24" i="18" a="1"/>
  <c r="E24" i="18" s="1"/>
  <c r="E41" i="18" a="1"/>
  <c r="E41" i="18" s="1"/>
  <c r="E57" i="18" a="1"/>
  <c r="E57" i="18" s="1"/>
  <c r="E75" i="18" a="1"/>
  <c r="E75" i="18" s="1"/>
  <c r="E88" i="18" a="1"/>
  <c r="E88" i="18" s="1"/>
  <c r="E99" i="18" a="1"/>
  <c r="E99" i="18" s="1"/>
  <c r="E113" i="18" a="1"/>
  <c r="E113" i="18" s="1"/>
  <c r="E127" i="18" a="1"/>
  <c r="E127" i="18" s="1"/>
  <c r="E139" i="18" a="1"/>
  <c r="E139" i="18" s="1"/>
  <c r="E153" i="18" a="1"/>
  <c r="E153" i="18" s="1"/>
  <c r="E163" i="18" a="1"/>
  <c r="E163" i="18" s="1"/>
  <c r="E174" i="18" a="1"/>
  <c r="E174" i="18" s="1"/>
  <c r="E185" i="18" a="1"/>
  <c r="E185" i="18" s="1"/>
  <c r="E208" i="18" a="1"/>
  <c r="E208" i="18" s="1"/>
  <c r="E222" i="18" a="1"/>
  <c r="E222" i="18" s="1"/>
  <c r="E236" i="18" a="1"/>
  <c r="E236" i="18" s="1"/>
  <c r="E209" i="18" a="1"/>
  <c r="E209" i="18" s="1"/>
  <c r="E225" i="18" a="1"/>
  <c r="E225" i="18" s="1"/>
  <c r="E25" i="18" a="1"/>
  <c r="E25" i="18" s="1"/>
  <c r="E42" i="18" a="1"/>
  <c r="E42" i="18" s="1"/>
  <c r="E60" i="18" a="1"/>
  <c r="E60" i="18" s="1"/>
  <c r="E76" i="18" a="1"/>
  <c r="E76" i="18" s="1"/>
  <c r="E89" i="18" a="1"/>
  <c r="E89" i="18" s="1"/>
  <c r="E100" i="18" a="1"/>
  <c r="E100" i="18" s="1"/>
  <c r="E114" i="18" a="1"/>
  <c r="E114" i="18" s="1"/>
  <c r="E3" i="18" a="1"/>
  <c r="E3" i="18" s="1"/>
  <c r="E140" i="18" a="1"/>
  <c r="E140" i="18" s="1"/>
  <c r="E154" i="18" a="1"/>
  <c r="E154" i="18" s="1"/>
  <c r="E175" i="18" a="1"/>
  <c r="E175" i="18" s="1"/>
  <c r="E197" i="18" a="1"/>
  <c r="E197" i="18" s="1"/>
  <c r="E223" i="18" a="1"/>
  <c r="E223" i="18" s="1"/>
  <c r="E240" i="18" a="1"/>
  <c r="E240" i="18" s="1"/>
  <c r="E26" i="18" a="1"/>
  <c r="E26" i="18" s="1"/>
  <c r="E43" i="18" a="1"/>
  <c r="E43" i="18" s="1"/>
  <c r="E61" i="18" a="1"/>
  <c r="E61" i="18" s="1"/>
  <c r="E77" i="18" a="1"/>
  <c r="E77" i="18" s="1"/>
  <c r="E90" i="18" a="1"/>
  <c r="E90" i="18" s="1"/>
  <c r="E101" i="18" a="1"/>
  <c r="E101" i="18" s="1"/>
  <c r="E115" i="18" a="1"/>
  <c r="E115" i="18" s="1"/>
  <c r="E4" i="18" a="1"/>
  <c r="E4" i="18" s="1"/>
  <c r="E141" i="18" a="1"/>
  <c r="E141" i="18" s="1"/>
  <c r="E155" i="18" a="1"/>
  <c r="E155" i="18" s="1"/>
  <c r="E164" i="18" a="1"/>
  <c r="E164" i="18" s="1"/>
  <c r="E176" i="18" a="1"/>
  <c r="E176" i="18" s="1"/>
  <c r="E186" i="18" a="1"/>
  <c r="E186" i="18" s="1"/>
  <c r="E198" i="18" a="1"/>
  <c r="E198" i="18" s="1"/>
  <c r="E226" i="18" a="1"/>
  <c r="E226" i="18" s="1"/>
  <c r="E27" i="18" a="1"/>
  <c r="E27" i="18" s="1"/>
  <c r="E44" i="18" a="1"/>
  <c r="E44" i="18" s="1"/>
  <c r="E78" i="18" a="1"/>
  <c r="E78" i="18" s="1"/>
  <c r="E91" i="18" a="1"/>
  <c r="E91" i="18" s="1"/>
  <c r="E102" i="18" a="1"/>
  <c r="E102" i="18" s="1"/>
  <c r="E116" i="18" a="1"/>
  <c r="E116" i="18" s="1"/>
  <c r="E128" i="18" a="1"/>
  <c r="E128" i="18" s="1"/>
  <c r="E142" i="18" a="1"/>
  <c r="E142" i="18" s="1"/>
  <c r="E156" i="18" a="1"/>
  <c r="E156" i="18" s="1"/>
  <c r="E165" i="18" a="1"/>
  <c r="E165" i="18" s="1"/>
  <c r="E177" i="18" a="1"/>
  <c r="E177" i="18" s="1"/>
  <c r="E187" i="18" a="1"/>
  <c r="E187" i="18" s="1"/>
  <c r="E239" i="18" a="1"/>
  <c r="E239" i="18" s="1"/>
  <c r="E28" i="18" a="1"/>
  <c r="E28" i="18" s="1"/>
  <c r="E47" i="18" a="1"/>
  <c r="E47" i="18" s="1"/>
  <c r="E62" i="18" a="1"/>
  <c r="E62" i="18" s="1"/>
  <c r="E92" i="18" a="1"/>
  <c r="E92" i="18" s="1"/>
  <c r="E103" i="18" a="1"/>
  <c r="E103" i="18" s="1"/>
  <c r="E117" i="18" a="1"/>
  <c r="E117" i="18" s="1"/>
  <c r="E129" i="18" a="1"/>
  <c r="E129" i="18" s="1"/>
  <c r="E143" i="18" a="1"/>
  <c r="E143" i="18" s="1"/>
  <c r="E157" i="18" a="1"/>
  <c r="E157" i="18" s="1"/>
  <c r="E166" i="18" a="1"/>
  <c r="E166" i="18" s="1"/>
  <c r="E178" i="18" a="1"/>
  <c r="E178" i="18" s="1"/>
  <c r="E188" i="18" a="1"/>
  <c r="E188" i="18" s="1"/>
  <c r="E212" i="18" a="1"/>
  <c r="E212" i="18" s="1"/>
  <c r="E11" i="18" a="1"/>
  <c r="E11" i="18" s="1"/>
  <c r="E48" i="18" a="1"/>
  <c r="E48" i="18" s="1"/>
  <c r="E63" i="18" a="1"/>
  <c r="E63" i="18" s="1"/>
  <c r="E79" i="18" a="1"/>
  <c r="E79" i="18" s="1"/>
  <c r="E93" i="18" a="1"/>
  <c r="E93" i="18" s="1"/>
  <c r="E104" i="18" a="1"/>
  <c r="E104" i="18" s="1"/>
  <c r="E118" i="18" a="1"/>
  <c r="E118" i="18" s="1"/>
  <c r="E130" i="18" a="1"/>
  <c r="E130" i="18" s="1"/>
  <c r="E144" i="18" a="1"/>
  <c r="E144" i="18" s="1"/>
  <c r="E158" i="18" a="1"/>
  <c r="E158" i="18" s="1"/>
  <c r="E167" i="18" a="1"/>
  <c r="E167" i="18" s="1"/>
  <c r="E179" i="18" a="1"/>
  <c r="E179" i="18" s="1"/>
  <c r="E189" i="18" a="1"/>
  <c r="E189" i="18" s="1"/>
  <c r="E200" i="18" a="1"/>
  <c r="E200" i="18" s="1"/>
  <c r="E12" i="18" a="1"/>
  <c r="E12" i="18" s="1"/>
  <c r="E29" i="18" a="1"/>
  <c r="E29" i="18" s="1"/>
  <c r="E49" i="18" a="1"/>
  <c r="E49" i="18" s="1"/>
  <c r="E65" i="18" a="1"/>
  <c r="E65" i="18" s="1"/>
  <c r="E105" i="18" a="1"/>
  <c r="E105" i="18" s="1"/>
  <c r="E119" i="18" a="1"/>
  <c r="E119" i="18" s="1"/>
  <c r="E131" i="18" a="1"/>
  <c r="E131" i="18" s="1"/>
  <c r="E145" i="18" a="1"/>
  <c r="E145" i="18" s="1"/>
  <c r="E168" i="18" a="1"/>
  <c r="E168" i="18" s="1"/>
  <c r="E180" i="18" a="1"/>
  <c r="E180" i="18" s="1"/>
  <c r="E190" i="18" a="1"/>
  <c r="E190" i="18" s="1"/>
  <c r="E201" i="18" a="1"/>
  <c r="E201" i="18" s="1"/>
  <c r="E214" i="18" a="1"/>
  <c r="E214" i="18" s="1"/>
  <c r="E228" i="18" a="1"/>
  <c r="E228" i="18" s="1"/>
  <c r="E13" i="18" a="1"/>
  <c r="E13" i="18" s="1"/>
  <c r="E30" i="18" a="1"/>
  <c r="E30" i="18" s="1"/>
  <c r="E50" i="18" a="1"/>
  <c r="E50" i="18" s="1"/>
  <c r="E66" i="18" a="1"/>
  <c r="E66" i="18" s="1"/>
  <c r="E80" i="18" a="1"/>
  <c r="E80" i="18" s="1"/>
  <c r="E94" i="18" a="1"/>
  <c r="E94" i="18" s="1"/>
  <c r="E106" i="18" a="1"/>
  <c r="E106" i="18" s="1"/>
  <c r="E120" i="18" a="1"/>
  <c r="E120" i="18" s="1"/>
  <c r="E132" i="18" a="1"/>
  <c r="E132" i="18" s="1"/>
  <c r="E146" i="18" a="1"/>
  <c r="E146" i="18" s="1"/>
  <c r="E159" i="18" a="1"/>
  <c r="E159" i="18" s="1"/>
  <c r="E169" i="18" a="1"/>
  <c r="E169" i="18" s="1"/>
  <c r="E181" i="18" a="1"/>
  <c r="E181" i="18" s="1"/>
  <c r="E191" i="18" a="1"/>
  <c r="E191" i="18" s="1"/>
  <c r="E202" i="18" a="1"/>
  <c r="E202" i="18" s="1"/>
  <c r="E215" i="18" a="1"/>
  <c r="E215" i="18" s="1"/>
  <c r="E229" i="18" a="1"/>
  <c r="E229" i="18" s="1"/>
  <c r="E243" i="18" a="1"/>
  <c r="E243" i="18" s="1"/>
  <c r="E195" i="18" a="1"/>
  <c r="E195" i="18" s="1"/>
  <c r="E237" i="18" a="1"/>
  <c r="E237" i="18" s="1"/>
  <c r="E213" i="18" a="1"/>
  <c r="E213" i="18" s="1"/>
  <c r="AL375" i="14"/>
  <c r="AL217" i="14"/>
  <c r="AL66" i="14"/>
  <c r="AL40" i="14"/>
  <c r="AL236" i="14"/>
  <c r="AL97" i="14"/>
  <c r="AL224" i="14"/>
  <c r="AL235" i="14"/>
  <c r="AL143" i="14"/>
  <c r="AL109" i="14"/>
  <c r="AL116" i="14"/>
  <c r="AL169" i="14"/>
  <c r="AL100" i="14"/>
  <c r="AL168" i="14"/>
  <c r="AL115" i="14"/>
  <c r="AL343" i="14"/>
  <c r="AL363" i="14"/>
  <c r="AL187" i="14"/>
  <c r="AL253" i="14"/>
  <c r="AL345" i="14"/>
  <c r="AL50" i="14"/>
  <c r="AL159" i="14"/>
  <c r="AL238" i="14"/>
  <c r="AL183" i="14"/>
  <c r="AL308" i="14"/>
  <c r="AL23" i="14"/>
  <c r="AL248" i="14"/>
  <c r="AL259" i="14"/>
  <c r="AL25" i="14"/>
  <c r="AL22" i="14"/>
  <c r="AL98" i="14"/>
  <c r="R33" i="14"/>
  <c r="AL89" i="14"/>
  <c r="AL24" i="14"/>
  <c r="AL312" i="14"/>
  <c r="AL364" i="14"/>
  <c r="AL278" i="14"/>
  <c r="AL170" i="14"/>
  <c r="AL3" i="14"/>
  <c r="AL251" i="14"/>
  <c r="AL155" i="14"/>
  <c r="AL106" i="14"/>
  <c r="AL356" i="14"/>
  <c r="AL146" i="14"/>
  <c r="AL72" i="14"/>
  <c r="AL111" i="14"/>
  <c r="AL79" i="14"/>
  <c r="AL114" i="14"/>
  <c r="AL256" i="14"/>
  <c r="AL67" i="14"/>
  <c r="AL326" i="14"/>
  <c r="AL76" i="14"/>
  <c r="AL245" i="14"/>
  <c r="AL266" i="14"/>
  <c r="AL370" i="14"/>
  <c r="AL105" i="14"/>
  <c r="AL33" i="14"/>
  <c r="AL181" i="14"/>
  <c r="AL128" i="14"/>
  <c r="E8" i="18" a="1"/>
  <c r="E8" i="18" s="1"/>
  <c r="AL215" i="14"/>
  <c r="AL263" i="14"/>
  <c r="AL154" i="14"/>
  <c r="AL265" i="14"/>
  <c r="AL320" i="14"/>
  <c r="AL347" i="14"/>
  <c r="R127" i="14"/>
  <c r="AL211" i="14"/>
  <c r="AL232" i="14"/>
  <c r="AL120" i="14"/>
  <c r="AL293" i="14"/>
  <c r="AL158" i="14"/>
  <c r="R74" i="14"/>
  <c r="AL373" i="14"/>
  <c r="AL136" i="14"/>
  <c r="AL367" i="14"/>
  <c r="AL264" i="14"/>
  <c r="H91" i="11"/>
  <c r="H68" i="11"/>
  <c r="Z67" i="11"/>
  <c r="H92" i="11"/>
  <c r="Y87" i="11"/>
  <c r="P88" i="11"/>
  <c r="Q61" i="11"/>
  <c r="H78" i="11"/>
  <c r="I75" i="11"/>
  <c r="P91" i="11"/>
  <c r="Z68" i="11"/>
  <c r="P63" i="11"/>
  <c r="O91" i="11"/>
  <c r="P92" i="11"/>
  <c r="I72" i="11"/>
  <c r="Q70" i="11"/>
  <c r="G66" i="11"/>
  <c r="I74" i="11"/>
  <c r="Q69" i="11"/>
  <c r="Y96" i="11"/>
  <c r="G68" i="11"/>
  <c r="I78" i="11"/>
  <c r="I77" i="11"/>
  <c r="Q92" i="11"/>
  <c r="Z75" i="11"/>
  <c r="H60" i="11"/>
  <c r="H58" i="11"/>
  <c r="X69" i="11"/>
  <c r="X70" i="11"/>
  <c r="Z73" i="11"/>
  <c r="O70" i="11"/>
  <c r="O79" i="11"/>
  <c r="I79" i="11"/>
  <c r="Y81" i="11"/>
  <c r="Q91" i="11"/>
  <c r="O69" i="11"/>
  <c r="O95" i="11"/>
  <c r="AL181" i="13"/>
  <c r="R83" i="13"/>
  <c r="AL90" i="13"/>
  <c r="AL44" i="13"/>
  <c r="AD150" i="13"/>
  <c r="AD150" i="14" s="1"/>
  <c r="AD151" i="13"/>
  <c r="AD151" i="14" s="1"/>
  <c r="AD235" i="13"/>
  <c r="AD235" i="14" s="1"/>
  <c r="AF235" i="14" s="1"/>
  <c r="AD300" i="13"/>
  <c r="AD300" i="14" s="1"/>
  <c r="AD225" i="13"/>
  <c r="AD225" i="14" s="1"/>
  <c r="AD73" i="13"/>
  <c r="AD73" i="14" s="1"/>
  <c r="AF73" i="14" s="1"/>
  <c r="AD264" i="13"/>
  <c r="AD264" i="14" s="1"/>
  <c r="AF264" i="14" s="1"/>
  <c r="AD185" i="13"/>
  <c r="AD185" i="14" s="1" a="1"/>
  <c r="AD185" i="14" s="1"/>
  <c r="AD19" i="13"/>
  <c r="AD19" i="14" s="1" a="1"/>
  <c r="AD19" i="14" s="1"/>
  <c r="AD219" i="13"/>
  <c r="AD219" i="14" s="1"/>
  <c r="AD340" i="13"/>
  <c r="AD340" i="14" s="1"/>
  <c r="AF340" i="14" s="1"/>
  <c r="R250" i="13"/>
  <c r="R95" i="14"/>
  <c r="AL102" i="13"/>
  <c r="AL91" i="13"/>
  <c r="AH335" i="14"/>
  <c r="AL335" i="14" s="1"/>
  <c r="AG150" i="14"/>
  <c r="AL150" i="14" s="1"/>
  <c r="AL305" i="13"/>
  <c r="AG45" i="14"/>
  <c r="AL45" i="14" s="1"/>
  <c r="AL146" i="13"/>
  <c r="AI275" i="14"/>
  <c r="AL275" i="14" s="1"/>
  <c r="AL327" i="14"/>
  <c r="AI47" i="14"/>
  <c r="AL47" i="14" s="1"/>
  <c r="AG165" i="14"/>
  <c r="AL165" i="14" s="1"/>
  <c r="AL328" i="13"/>
  <c r="AH351" i="14"/>
  <c r="AL351" i="14" s="1"/>
  <c r="AH372" i="14"/>
  <c r="AL372" i="14" s="1"/>
  <c r="AL70" i="14"/>
  <c r="AL338" i="14"/>
  <c r="AL333" i="13"/>
  <c r="AL186" i="13"/>
  <c r="AG342" i="14"/>
  <c r="AL342" i="14" s="1"/>
  <c r="AL244" i="14"/>
  <c r="AL360" i="13"/>
  <c r="AL82" i="13"/>
  <c r="AL132" i="13"/>
  <c r="AG249" i="14"/>
  <c r="AL249" i="14" s="1"/>
  <c r="AL249" i="13"/>
  <c r="AD49" i="13"/>
  <c r="AD49" i="14" s="1"/>
  <c r="AI285" i="14"/>
  <c r="AD215" i="13"/>
  <c r="AD215" i="14" s="1"/>
  <c r="AD217" i="13"/>
  <c r="AD217" i="14" s="1"/>
  <c r="AD51" i="13"/>
  <c r="AD51" i="14" s="1"/>
  <c r="AD32" i="13"/>
  <c r="AD32" i="14" s="1"/>
  <c r="AF32" i="14" s="1"/>
  <c r="AD169" i="13"/>
  <c r="AD169" i="14" s="1"/>
  <c r="AF169" i="14" s="1"/>
  <c r="AD38" i="13"/>
  <c r="AD38" i="14" s="1" a="1"/>
  <c r="AD38" i="14" s="1"/>
  <c r="AD77" i="13"/>
  <c r="AD77" i="14" s="1"/>
  <c r="AD41" i="13"/>
  <c r="AD41" i="14" s="1"/>
  <c r="AD105" i="13"/>
  <c r="AD105" i="14" s="1"/>
  <c r="AD329" i="13"/>
  <c r="AD206" i="13"/>
  <c r="AD202" i="14" s="1" a="1"/>
  <c r="AD202" i="14" s="1"/>
  <c r="AD207" i="13"/>
  <c r="AD204" i="14" s="1" a="1"/>
  <c r="AD204" i="14" s="1"/>
  <c r="Q59" i="13"/>
  <c r="AD170" i="13"/>
  <c r="AD170" i="14" s="1"/>
  <c r="AF170" i="14" s="1"/>
  <c r="R371" i="14"/>
  <c r="R237" i="14"/>
  <c r="AL212" i="14"/>
  <c r="AL366" i="13"/>
  <c r="AL327" i="13"/>
  <c r="AL155" i="13"/>
  <c r="AL168" i="13"/>
  <c r="AI48" i="14"/>
  <c r="AL48" i="14" s="1"/>
  <c r="AL300" i="14"/>
  <c r="AH350" i="14"/>
  <c r="AL350" i="14" s="1"/>
  <c r="AL338" i="13"/>
  <c r="AL333" i="14"/>
  <c r="AL272" i="13"/>
  <c r="AL244" i="13"/>
  <c r="AL321" i="13"/>
  <c r="AL120" i="13"/>
  <c r="AI141" i="14"/>
  <c r="AD249" i="13"/>
  <c r="AD249" i="14" s="1"/>
  <c r="AL254" i="14"/>
  <c r="AL363" i="13"/>
  <c r="AL374" i="13"/>
  <c r="AD58" i="13"/>
  <c r="AD58" i="14" s="1"/>
  <c r="R250" i="14"/>
  <c r="AL248" i="13"/>
  <c r="AL70" i="13"/>
  <c r="AG277" i="14"/>
  <c r="AL277" i="14" s="1"/>
  <c r="AL197" i="13"/>
  <c r="U154" i="13"/>
  <c r="U154" i="14" s="1"/>
  <c r="W154" i="14" s="1"/>
  <c r="AD83" i="13"/>
  <c r="AD83" i="14" s="1"/>
  <c r="AD171" i="13"/>
  <c r="AD171" i="14" s="1"/>
  <c r="AD283" i="13"/>
  <c r="AD283" i="14" s="1"/>
  <c r="AD375" i="13"/>
  <c r="AD375" i="14" s="1"/>
  <c r="AF375" i="14" s="1"/>
  <c r="AD72" i="13"/>
  <c r="AD72" i="14" s="1"/>
  <c r="AF72" i="14" s="1"/>
  <c r="AD15" i="13"/>
  <c r="AD11" i="14" s="1" a="1"/>
  <c r="AD11" i="14" s="1"/>
  <c r="AD50" i="13"/>
  <c r="AD50" i="14" s="1"/>
  <c r="AD186" i="13"/>
  <c r="AD186" i="14" s="1"/>
  <c r="AF186" i="14" s="1"/>
  <c r="AD307" i="13"/>
  <c r="AD307" i="14" s="1"/>
  <c r="AF307" i="14" s="1"/>
  <c r="AD17" i="13"/>
  <c r="AD336" i="13"/>
  <c r="AD336" i="14" s="1" a="1"/>
  <c r="AD336" i="14" s="1"/>
  <c r="AD233" i="13"/>
  <c r="AD233" i="14" s="1"/>
  <c r="AD210" i="13"/>
  <c r="AD210" i="14" s="1" a="1"/>
  <c r="AD210" i="14" s="1"/>
  <c r="R41" i="13"/>
  <c r="Q311" i="13"/>
  <c r="Q366" i="13"/>
  <c r="AL212" i="13"/>
  <c r="AL3" i="13"/>
  <c r="AG85" i="14"/>
  <c r="AL85" i="14" s="1"/>
  <c r="AL284" i="14"/>
  <c r="AL245" i="13"/>
  <c r="AL224" i="13"/>
  <c r="AL157" i="13"/>
  <c r="AL359" i="14"/>
  <c r="AL300" i="13"/>
  <c r="AL225" i="14"/>
  <c r="AG279" i="14"/>
  <c r="AL279" i="14" s="1"/>
  <c r="AL266" i="13"/>
  <c r="AL203" i="13"/>
  <c r="AL159" i="13"/>
  <c r="AL356" i="13"/>
  <c r="AL301" i="13"/>
  <c r="T39" i="1"/>
  <c r="V3" i="3" a="1"/>
  <c r="V3" i="3" s="1"/>
  <c r="W3" i="3" s="1"/>
  <c r="S39" i="1" s="1"/>
  <c r="W39" i="1" s="1"/>
  <c r="AL16" i="13"/>
  <c r="AL331" i="13"/>
  <c r="AD155" i="13"/>
  <c r="AD155" i="14" s="1"/>
  <c r="AF155" i="14" s="1"/>
  <c r="AH90" i="14"/>
  <c r="AL90" i="14" s="1"/>
  <c r="AL160" i="13"/>
  <c r="AD248" i="13"/>
  <c r="AD248" i="14" s="1"/>
  <c r="AD259" i="13"/>
  <c r="AD259" i="14" s="1"/>
  <c r="AD368" i="13"/>
  <c r="AD367" i="14" s="1"/>
  <c r="AD370" i="13"/>
  <c r="AD369" i="14" s="1"/>
  <c r="AD139" i="13"/>
  <c r="AD139" i="14" s="1"/>
  <c r="AF139" i="14" s="1"/>
  <c r="AD288" i="13"/>
  <c r="AD288" i="14" s="1" a="1"/>
  <c r="AD288" i="14" s="1"/>
  <c r="AD18" i="13"/>
  <c r="AD17" i="14" s="1" a="1"/>
  <c r="AD17" i="14" s="1"/>
  <c r="AD59" i="13"/>
  <c r="AD59" i="14" s="1"/>
  <c r="AD369" i="13"/>
  <c r="AD368" i="14" s="1"/>
  <c r="AD192" i="13"/>
  <c r="AD192" i="14" s="1" a="1"/>
  <c r="AD192" i="14" s="1"/>
  <c r="AD133" i="13"/>
  <c r="AD133" i="14" s="1" a="1"/>
  <c r="AD133" i="14" s="1"/>
  <c r="AD9" i="13"/>
  <c r="AD9" i="14" s="1" a="1"/>
  <c r="AD9" i="14" s="1"/>
  <c r="AD351" i="13"/>
  <c r="AD351" i="14" s="1" a="1"/>
  <c r="AD351" i="14" s="1"/>
  <c r="AD240" i="13"/>
  <c r="AD240" i="14" s="1"/>
  <c r="Q83" i="13"/>
  <c r="AH322" i="14"/>
  <c r="AL196" i="14"/>
  <c r="AL284" i="13"/>
  <c r="AL332" i="14"/>
  <c r="AL79" i="13"/>
  <c r="AG94" i="14"/>
  <c r="AL94" i="14" s="1"/>
  <c r="AL359" i="13"/>
  <c r="AG209" i="14"/>
  <c r="AL209" i="14" s="1"/>
  <c r="AG195" i="14"/>
  <c r="AL195" i="14" s="1"/>
  <c r="AL225" i="13"/>
  <c r="AL242" i="14"/>
  <c r="AL139" i="14"/>
  <c r="AL83" i="13"/>
  <c r="AG262" i="14"/>
  <c r="AL262" i="14" s="1"/>
  <c r="AL315" i="13"/>
  <c r="AL72" i="13"/>
  <c r="AL112" i="13"/>
  <c r="AL160" i="14"/>
  <c r="AD61" i="13"/>
  <c r="AD61" i="14" s="1"/>
  <c r="R173" i="14"/>
  <c r="AL98" i="13"/>
  <c r="Q105" i="13"/>
  <c r="AL186" i="14"/>
  <c r="AD130" i="13"/>
  <c r="AD130" i="14" s="1"/>
  <c r="AD43" i="13"/>
  <c r="AD43" i="14" s="1"/>
  <c r="AD352" i="13"/>
  <c r="AD352" i="14" s="1"/>
  <c r="AD224" i="13"/>
  <c r="AD224" i="14" s="1"/>
  <c r="AD34" i="13"/>
  <c r="AD34" i="14" s="1"/>
  <c r="AD338" i="13"/>
  <c r="AD338" i="14" s="1"/>
  <c r="AF338" i="14" s="1"/>
  <c r="AD137" i="13"/>
  <c r="AD137" i="14" s="1"/>
  <c r="AF137" i="14" s="1"/>
  <c r="AD172" i="13"/>
  <c r="AD172" i="14" s="1"/>
  <c r="AD231" i="13"/>
  <c r="AD231" i="14" s="1"/>
  <c r="AD208" i="13"/>
  <c r="AD206" i="14" s="1" a="1"/>
  <c r="AD206" i="14" s="1"/>
  <c r="AD276" i="13"/>
  <c r="AD276" i="14" s="1" a="1"/>
  <c r="AD276" i="14" s="1"/>
  <c r="AD367" i="13"/>
  <c r="AD371" i="14" s="1"/>
  <c r="AF371" i="14" s="1"/>
  <c r="R72" i="14"/>
  <c r="Q51" i="13"/>
  <c r="AL166" i="14"/>
  <c r="AL196" i="13"/>
  <c r="AL332" i="13"/>
  <c r="AI162" i="14"/>
  <c r="AL162" i="14" s="1"/>
  <c r="AL308" i="13"/>
  <c r="AL295" i="13"/>
  <c r="AI261" i="14"/>
  <c r="AL242" i="13"/>
  <c r="AL139" i="13"/>
  <c r="AL337" i="13"/>
  <c r="AH13" i="14"/>
  <c r="AG58" i="14"/>
  <c r="AL58" i="14" s="1"/>
  <c r="AL251" i="13"/>
  <c r="AL140" i="13"/>
  <c r="AL110" i="14"/>
  <c r="AL84" i="14"/>
  <c r="AG261" i="14"/>
  <c r="AL326" i="13"/>
  <c r="AG247" i="14"/>
  <c r="AL247" i="14" s="1"/>
  <c r="AL37" i="13"/>
  <c r="AL170" i="13"/>
  <c r="AL278" i="13"/>
  <c r="AL357" i="13"/>
  <c r="AP29" i="1"/>
  <c r="AG138" i="14"/>
  <c r="AL138" i="14" s="1"/>
  <c r="AL138" i="13"/>
  <c r="AG142" i="14"/>
  <c r="AL142" i="14" s="1"/>
  <c r="AL142" i="13"/>
  <c r="AD42" i="13"/>
  <c r="AD42" i="14" s="1"/>
  <c r="AL164" i="14"/>
  <c r="AL354" i="14"/>
  <c r="AP23" i="1"/>
  <c r="AD242" i="13"/>
  <c r="AD242" i="14" s="1"/>
  <c r="AL164" i="13"/>
  <c r="AL254" i="13"/>
  <c r="AL328" i="14"/>
  <c r="AL354" i="13"/>
  <c r="W249" i="13"/>
  <c r="AD281" i="13"/>
  <c r="AD281" i="14" s="1"/>
  <c r="AD228" i="13"/>
  <c r="AD228" i="14" s="1"/>
  <c r="AD141" i="13"/>
  <c r="AD141" i="14" s="1" a="1"/>
  <c r="AD141" i="14" s="1"/>
  <c r="AD273" i="13"/>
  <c r="AD270" i="14" s="1" a="1"/>
  <c r="AD270" i="14" s="1"/>
  <c r="AD274" i="13"/>
  <c r="AD272" i="14" s="1" a="1"/>
  <c r="AD272" i="14" s="1"/>
  <c r="AD109" i="13"/>
  <c r="AD109" i="14" s="1"/>
  <c r="AF109" i="14" s="1"/>
  <c r="AD204" i="13"/>
  <c r="AD198" i="14" s="1" a="1"/>
  <c r="AD198" i="14" s="1"/>
  <c r="R51" i="14"/>
  <c r="R72" i="13"/>
  <c r="Q65" i="13"/>
  <c r="R78" i="14"/>
  <c r="R311" i="14"/>
  <c r="AL191" i="13"/>
  <c r="AL166" i="13"/>
  <c r="AI192" i="14"/>
  <c r="AL192" i="14" s="1"/>
  <c r="AL362" i="14"/>
  <c r="AI198" i="14"/>
  <c r="AL99" i="13"/>
  <c r="AL174" i="13"/>
  <c r="AG331" i="14"/>
  <c r="AL331" i="14" s="1"/>
  <c r="Z336" i="14"/>
  <c r="AL118" i="14"/>
  <c r="AL25" i="13"/>
  <c r="AG291" i="14"/>
  <c r="AL259" i="13"/>
  <c r="AH12" i="14"/>
  <c r="AL12" i="14" s="1"/>
  <c r="AL110" i="13"/>
  <c r="AL84" i="13"/>
  <c r="AL262" i="13"/>
  <c r="AP22" i="1"/>
  <c r="AL88" i="13"/>
  <c r="AD232" i="13"/>
  <c r="AD232" i="14" s="1"/>
  <c r="AD227" i="13"/>
  <c r="AD227" i="14" s="1"/>
  <c r="AG189" i="14"/>
  <c r="AL189" i="14" s="1"/>
  <c r="AL231" i="14"/>
  <c r="Q41" i="13"/>
  <c r="AD166" i="13"/>
  <c r="AD166" i="14" s="1"/>
  <c r="AD292" i="13"/>
  <c r="AD292" i="14" s="1"/>
  <c r="AF292" i="14" s="1"/>
  <c r="AD366" i="13"/>
  <c r="AD366" i="14" s="1"/>
  <c r="AF366" i="14" s="1"/>
  <c r="AD251" i="13"/>
  <c r="AD251" i="14" s="1"/>
  <c r="AF251" i="14" s="1"/>
  <c r="AD76" i="13"/>
  <c r="AD76" i="14" s="1"/>
  <c r="AD331" i="13"/>
  <c r="AD331" i="14" s="1" a="1"/>
  <c r="AD331" i="14" s="1"/>
  <c r="AD156" i="13"/>
  <c r="AD156" i="14" s="1"/>
  <c r="AF156" i="14" s="1"/>
  <c r="AD258" i="13"/>
  <c r="AD258" i="14" s="1" a="1"/>
  <c r="AD258" i="14" s="1"/>
  <c r="AD177" i="13"/>
  <c r="AD177" i="14" s="1"/>
  <c r="AD69" i="13"/>
  <c r="AD81" i="13"/>
  <c r="AD81" i="14" s="1" a="1"/>
  <c r="AD81" i="14" s="1"/>
  <c r="Q250" i="13"/>
  <c r="R51" i="13"/>
  <c r="R311" i="13"/>
  <c r="AG152" i="14"/>
  <c r="AL152" i="14" s="1"/>
  <c r="AH37" i="14"/>
  <c r="AL68" i="13"/>
  <c r="AL362" i="13"/>
  <c r="AG267" i="14"/>
  <c r="AL267" i="14" s="1"/>
  <c r="AL167" i="14"/>
  <c r="AG32" i="14"/>
  <c r="AL32" i="14" s="1"/>
  <c r="AL49" i="13"/>
  <c r="AG330" i="14"/>
  <c r="AL330" i="14" s="1"/>
  <c r="AL105" i="13"/>
  <c r="AG220" i="14"/>
  <c r="AL220" i="14" s="1"/>
  <c r="AL118" i="13"/>
  <c r="AI149" i="14"/>
  <c r="AL149" i="14" s="1"/>
  <c r="AG234" i="14"/>
  <c r="AL234" i="14" s="1"/>
  <c r="AG290" i="14"/>
  <c r="AL290" i="14" s="1"/>
  <c r="AL369" i="14"/>
  <c r="AH80" i="14"/>
  <c r="AG27" i="14"/>
  <c r="AL27" i="14" s="1"/>
  <c r="AH214" i="14"/>
  <c r="AL214" i="14" s="1"/>
  <c r="AL23" i="13"/>
  <c r="AL151" i="13"/>
  <c r="AH5" i="14"/>
  <c r="AL5" i="14" s="1"/>
  <c r="AG61" i="14"/>
  <c r="AL61" i="14" s="1"/>
  <c r="AL95" i="14"/>
  <c r="AL218" i="14"/>
  <c r="AL344" i="13"/>
  <c r="AG39" i="14"/>
  <c r="AL39" i="14" s="1"/>
  <c r="AL116" i="13"/>
  <c r="AL113" i="13"/>
  <c r="AL276" i="13"/>
  <c r="AL148" i="13"/>
  <c r="AL63" i="13"/>
  <c r="AG130" i="14"/>
  <c r="AL130" i="14" s="1"/>
  <c r="AL130" i="13"/>
  <c r="AP28" i="1"/>
  <c r="AD174" i="13"/>
  <c r="AD174" i="14" s="1"/>
  <c r="AD218" i="13"/>
  <c r="AD218" i="14" s="1"/>
  <c r="AC279" i="13"/>
  <c r="AC279" i="14" s="1"/>
  <c r="AD222" i="13"/>
  <c r="AD222" i="14" s="1"/>
  <c r="AD280" i="13"/>
  <c r="AD280" i="14" s="1"/>
  <c r="AD230" i="13"/>
  <c r="AD230" i="14" s="1"/>
  <c r="AD173" i="13"/>
  <c r="AD173" i="14" s="1"/>
  <c r="AD341" i="13"/>
  <c r="AD341" i="14" s="1"/>
  <c r="AF341" i="14" s="1"/>
  <c r="AD87" i="13"/>
  <c r="AD87" i="14" s="1" a="1"/>
  <c r="AD87" i="14" s="1"/>
  <c r="AD213" i="13"/>
  <c r="AD213" i="14" s="1"/>
  <c r="Q75" i="13"/>
  <c r="AD5" i="13"/>
  <c r="AD5" i="14" s="1" a="1"/>
  <c r="AD5" i="14" s="1"/>
  <c r="AD325" i="13"/>
  <c r="AD325" i="14" s="1" a="1"/>
  <c r="AD325" i="14" s="1"/>
  <c r="AD306" i="13"/>
  <c r="AD306" i="14" s="1" a="1"/>
  <c r="AD306" i="14" s="1"/>
  <c r="AD358" i="13"/>
  <c r="AD358" i="14" s="1" a="1"/>
  <c r="AD358" i="14" s="1"/>
  <c r="AD29" i="13"/>
  <c r="AD29" i="14" s="1" a="1"/>
  <c r="AD29" i="14" s="1"/>
  <c r="AD301" i="13"/>
  <c r="AD301" i="14" s="1"/>
  <c r="AF301" i="14" s="1"/>
  <c r="AD48" i="13"/>
  <c r="AD48" i="14" s="1" a="1"/>
  <c r="AD48" i="14" s="1"/>
  <c r="R163" i="14"/>
  <c r="AL180" i="14"/>
  <c r="AL167" i="13"/>
  <c r="AG14" i="14"/>
  <c r="AL14" i="14" s="1"/>
  <c r="AL370" i="13"/>
  <c r="AL111" i="13"/>
  <c r="AH4" i="14"/>
  <c r="AL4" i="14" s="1"/>
  <c r="AL95" i="13"/>
  <c r="AL218" i="13"/>
  <c r="AL344" i="14"/>
  <c r="O208" i="14"/>
  <c r="R208" i="14" s="1"/>
  <c r="AL42" i="14"/>
  <c r="AL238" i="13"/>
  <c r="AP26" i="1"/>
  <c r="AL335" i="13"/>
  <c r="AD279" i="13"/>
  <c r="AD279" i="14" s="1"/>
  <c r="AD154" i="13"/>
  <c r="AD154" i="14" s="1"/>
  <c r="AD176" i="13"/>
  <c r="AD176" i="14" s="1"/>
  <c r="AD284" i="13"/>
  <c r="AD284" i="14" s="1"/>
  <c r="AF284" i="14" s="1"/>
  <c r="AD342" i="13"/>
  <c r="AD342" i="14" s="1"/>
  <c r="AF342" i="14" s="1"/>
  <c r="AD103" i="13"/>
  <c r="AD103" i="14" s="1"/>
  <c r="AD183" i="13"/>
  <c r="AD183" i="14" s="1"/>
  <c r="AF183" i="14" s="1"/>
  <c r="Q163" i="13"/>
  <c r="R227" i="14"/>
  <c r="R163" i="13"/>
  <c r="Q72" i="13"/>
  <c r="AL180" i="13"/>
  <c r="AG80" i="14"/>
  <c r="AG227" i="14"/>
  <c r="AL227" i="14" s="1"/>
  <c r="AL343" i="13"/>
  <c r="AL183" i="13"/>
  <c r="AL76" i="13"/>
  <c r="AG15" i="14"/>
  <c r="AL15" i="14" s="1"/>
  <c r="O69" i="14"/>
  <c r="R69" i="14" s="1"/>
  <c r="AL371" i="13"/>
  <c r="AL221" i="14"/>
  <c r="AI133" i="14"/>
  <c r="AG281" i="14"/>
  <c r="AL281" i="14" s="1"/>
  <c r="AL178" i="14"/>
  <c r="AL127" i="14"/>
  <c r="AL42" i="13"/>
  <c r="AL147" i="13"/>
  <c r="AL280" i="13"/>
  <c r="AP25" i="1"/>
  <c r="AD275" i="13"/>
  <c r="AD274" i="14" s="1" a="1"/>
  <c r="AD274" i="14" s="1"/>
  <c r="Q247" i="13"/>
  <c r="Q4" i="13"/>
  <c r="AD187" i="13"/>
  <c r="AD187" i="14" s="1"/>
  <c r="AD316" i="13"/>
  <c r="AD316" i="14" s="1"/>
  <c r="AF316" i="14" s="1"/>
  <c r="AD234" i="13"/>
  <c r="AD234" i="14" s="1"/>
  <c r="AD136" i="13"/>
  <c r="AD136" i="14" s="1"/>
  <c r="AF136" i="14" s="1"/>
  <c r="AD33" i="13"/>
  <c r="AD33" i="14" s="1"/>
  <c r="AD161" i="13"/>
  <c r="AD161" i="14" s="1"/>
  <c r="AD315" i="13"/>
  <c r="AD315" i="14" s="1"/>
  <c r="AD214" i="13"/>
  <c r="AD214" i="14" s="1"/>
  <c r="AD16" i="13"/>
  <c r="AD13" i="14" s="1" a="1"/>
  <c r="AD13" i="14" s="1"/>
  <c r="AD205" i="13"/>
  <c r="AD200" i="14" s="1" a="1"/>
  <c r="AD200" i="14" s="1"/>
  <c r="AD152" i="13"/>
  <c r="AD152" i="14" s="1"/>
  <c r="AD291" i="13"/>
  <c r="AD291" i="14" s="1" a="1"/>
  <c r="AD291" i="14" s="1"/>
  <c r="R213" i="14"/>
  <c r="AH286" i="14"/>
  <c r="AL286" i="14" s="1"/>
  <c r="AL80" i="13"/>
  <c r="AL109" i="13"/>
  <c r="AL41" i="14"/>
  <c r="AL143" i="13"/>
  <c r="AL368" i="13"/>
  <c r="AL188" i="13"/>
  <c r="AL221" i="13"/>
  <c r="AL329" i="14"/>
  <c r="AL352" i="14"/>
  <c r="AL178" i="13"/>
  <c r="AL127" i="13"/>
  <c r="AL128" i="13"/>
  <c r="AL187" i="13"/>
  <c r="AL153" i="13"/>
  <c r="AL286" i="13"/>
  <c r="AP21" i="1"/>
  <c r="R353" i="13"/>
  <c r="R25" i="13"/>
  <c r="R334" i="13"/>
  <c r="Q304" i="13"/>
  <c r="Q280" i="13"/>
  <c r="R354" i="13"/>
  <c r="Q165" i="13"/>
  <c r="R343" i="13"/>
  <c r="Q25" i="13"/>
  <c r="Q128" i="13"/>
  <c r="Q169" i="13"/>
  <c r="Q262" i="13"/>
  <c r="R304" i="13"/>
  <c r="R165" i="13"/>
  <c r="AL287" i="14"/>
  <c r="O92" i="11"/>
  <c r="AL271" i="14"/>
  <c r="AL205" i="14"/>
  <c r="AL184" i="14"/>
  <c r="R66" i="14"/>
  <c r="X63" i="11"/>
  <c r="Y100" i="11"/>
  <c r="I61" i="11"/>
  <c r="X90" i="11"/>
  <c r="AB239" i="14"/>
  <c r="AL310" i="14"/>
  <c r="X89" i="11"/>
  <c r="AL29" i="14"/>
  <c r="AL11" i="14"/>
  <c r="Y82" i="11"/>
  <c r="AL38" i="14"/>
  <c r="Y59" i="11"/>
  <c r="I63" i="11"/>
  <c r="Y58" i="11"/>
  <c r="Y65" i="11"/>
  <c r="R294" i="14"/>
  <c r="R138" i="14"/>
  <c r="AL193" i="14"/>
  <c r="AL298" i="14"/>
  <c r="AL357" i="14"/>
  <c r="R361" i="14"/>
  <c r="AL81" i="14"/>
  <c r="R154" i="14"/>
  <c r="R296" i="14"/>
  <c r="AL64" i="14"/>
  <c r="AL132" i="14"/>
  <c r="AL202" i="14"/>
  <c r="AL69" i="14"/>
  <c r="AL321" i="14"/>
  <c r="AL257" i="14"/>
  <c r="AL210" i="14"/>
  <c r="AL274" i="14"/>
  <c r="AL346" i="14"/>
  <c r="R328" i="14"/>
  <c r="AL258" i="14"/>
  <c r="AL68" i="14"/>
  <c r="AL194" i="14"/>
  <c r="AL299" i="14"/>
  <c r="AL349" i="14"/>
  <c r="AL125" i="14"/>
  <c r="AL16" i="14"/>
  <c r="AL314" i="14"/>
  <c r="AL93" i="14"/>
  <c r="AL336" i="14"/>
  <c r="AL358" i="14"/>
  <c r="Q62" i="11"/>
  <c r="AL92" i="14"/>
  <c r="AB158" i="14"/>
  <c r="H66" i="11"/>
  <c r="Q86" i="11"/>
  <c r="AL201" i="14"/>
  <c r="AL305" i="14"/>
  <c r="AL273" i="14"/>
  <c r="R248" i="14"/>
  <c r="R32" i="14"/>
  <c r="R160" i="14"/>
  <c r="O65" i="11"/>
  <c r="O64" i="11"/>
  <c r="R304" i="14"/>
  <c r="R353" i="14"/>
  <c r="R260" i="14"/>
  <c r="R234" i="14"/>
  <c r="R241" i="14"/>
  <c r="R106" i="14"/>
  <c r="R375" i="14"/>
  <c r="R225" i="14"/>
  <c r="Y77" i="11"/>
  <c r="Y76" i="11"/>
  <c r="R363" i="14"/>
  <c r="R46" i="14"/>
  <c r="R256" i="14"/>
  <c r="R177" i="14"/>
  <c r="R343" i="14"/>
  <c r="R166" i="14"/>
  <c r="R236" i="14"/>
  <c r="AL190" i="14"/>
  <c r="AL8" i="14"/>
  <c r="AL324" i="14"/>
  <c r="AL185" i="14"/>
  <c r="AL203" i="14"/>
  <c r="AL140" i="14"/>
  <c r="AL197" i="14"/>
  <c r="H87" i="11"/>
  <c r="H86" i="11"/>
  <c r="R101" i="14"/>
  <c r="R372" i="14"/>
  <c r="AL10" i="14"/>
  <c r="AL63" i="14"/>
  <c r="AL126" i="14"/>
  <c r="AL91" i="14"/>
  <c r="AL206" i="14"/>
  <c r="AL309" i="14"/>
  <c r="AL204" i="14"/>
  <c r="AL148" i="14"/>
  <c r="O76" i="11"/>
  <c r="O78" i="11"/>
  <c r="Z86" i="11"/>
  <c r="Z85" i="11"/>
  <c r="P82" i="11"/>
  <c r="P81" i="11"/>
  <c r="I68" i="11"/>
  <c r="I67" i="11"/>
  <c r="I66" i="11"/>
  <c r="R165" i="14"/>
  <c r="H79" i="11"/>
  <c r="H77" i="11"/>
  <c r="R200" i="14"/>
  <c r="R158" i="14"/>
  <c r="R352" i="14"/>
  <c r="G81" i="11"/>
  <c r="G80" i="11"/>
  <c r="H65" i="11"/>
  <c r="H64" i="11"/>
  <c r="O3" i="3"/>
  <c r="S37" i="1"/>
  <c r="W37" i="1" s="1"/>
  <c r="K801" i="5"/>
  <c r="AT262" i="13"/>
  <c r="AT261" i="13"/>
  <c r="K416" i="5"/>
  <c r="AT161" i="13"/>
  <c r="AW161" i="14" s="1"/>
  <c r="K430" i="5"/>
  <c r="AT279" i="13"/>
  <c r="AW279" i="14" s="1"/>
  <c r="AT280" i="13"/>
  <c r="AW280" i="14" s="1"/>
  <c r="K141" i="5"/>
  <c r="AT30" i="13"/>
  <c r="AW30" i="14" s="1"/>
  <c r="K825" i="5"/>
  <c r="AT299" i="13"/>
  <c r="AT298" i="13"/>
  <c r="K344" i="5"/>
  <c r="AT344" i="13"/>
  <c r="AW344" i="14" s="1"/>
  <c r="K259" i="5"/>
  <c r="AT239" i="13"/>
  <c r="AW239" i="14" s="1"/>
  <c r="AT238" i="13"/>
  <c r="AW238" i="14" s="1"/>
  <c r="U98" i="13"/>
  <c r="W98" i="13" s="1"/>
  <c r="Q124" i="13"/>
  <c r="Z330" i="14"/>
  <c r="Z331" i="14"/>
  <c r="O313" i="14"/>
  <c r="R313" i="14" s="1"/>
  <c r="O314" i="14"/>
  <c r="R314" i="14" s="1"/>
  <c r="O205" i="14"/>
  <c r="R205" i="14" s="1"/>
  <c r="O206" i="14"/>
  <c r="R206" i="14" s="1"/>
  <c r="Z201" i="14"/>
  <c r="Z202" i="14"/>
  <c r="Z257" i="14"/>
  <c r="Z258" i="14"/>
  <c r="Z305" i="14"/>
  <c r="Z306" i="14"/>
  <c r="Z271" i="14"/>
  <c r="Z272" i="14"/>
  <c r="Z189" i="14"/>
  <c r="Z190" i="14"/>
  <c r="Z132" i="14"/>
  <c r="Z133" i="14"/>
  <c r="R21" i="14"/>
  <c r="R322" i="14"/>
  <c r="R112" i="14"/>
  <c r="R333" i="14"/>
  <c r="R62" i="14"/>
  <c r="R216" i="14"/>
  <c r="R266" i="14"/>
  <c r="R289" i="14"/>
  <c r="R243" i="14"/>
  <c r="R354" i="14"/>
  <c r="R118" i="14"/>
  <c r="Q157" i="13"/>
  <c r="R228" i="13"/>
  <c r="Q106" i="13"/>
  <c r="R212" i="14"/>
  <c r="R108" i="14"/>
  <c r="R75" i="14"/>
  <c r="R73" i="14"/>
  <c r="Q142" i="13"/>
  <c r="Q371" i="13"/>
  <c r="Q257" i="13"/>
  <c r="R156" i="14"/>
  <c r="T3" i="3"/>
  <c r="S38" i="1"/>
  <c r="W38" i="1" s="1"/>
  <c r="K740" i="5"/>
  <c r="AT52" i="13"/>
  <c r="AW52" i="14" s="1"/>
  <c r="K754" i="5"/>
  <c r="AT109" i="13"/>
  <c r="AW109" i="14" s="1"/>
  <c r="K612" i="5"/>
  <c r="AT8" i="13"/>
  <c r="AT9" i="13"/>
  <c r="Z18" i="14"/>
  <c r="Z19" i="14"/>
  <c r="O286" i="14"/>
  <c r="R286" i="14" s="1"/>
  <c r="O285" i="14"/>
  <c r="R285" i="14" s="1"/>
  <c r="O324" i="14"/>
  <c r="R324" i="14" s="1"/>
  <c r="O325" i="14"/>
  <c r="R325" i="14" s="1"/>
  <c r="O201" i="14"/>
  <c r="R201" i="14" s="1"/>
  <c r="O202" i="14"/>
  <c r="R202" i="14" s="1"/>
  <c r="Z273" i="14"/>
  <c r="Z274" i="14"/>
  <c r="Z193" i="14"/>
  <c r="Z194" i="14"/>
  <c r="O28" i="14"/>
  <c r="R28" i="14" s="1"/>
  <c r="O29" i="14"/>
  <c r="R29" i="14" s="1"/>
  <c r="Q259" i="13"/>
  <c r="Q228" i="13"/>
  <c r="Q42" i="13"/>
  <c r="Q108" i="13"/>
  <c r="R117" i="14"/>
  <c r="R332" i="14"/>
  <c r="R341" i="14"/>
  <c r="R108" i="13"/>
  <c r="R282" i="14"/>
  <c r="R244" i="14"/>
  <c r="R258" i="13"/>
  <c r="O197" i="14"/>
  <c r="R197" i="14" s="1"/>
  <c r="O198" i="14"/>
  <c r="R198" i="14" s="1"/>
  <c r="O8" i="14"/>
  <c r="R8" i="14" s="1"/>
  <c r="O9" i="14"/>
  <c r="R9" i="14" s="1"/>
  <c r="Z9" i="14"/>
  <c r="Z8" i="14"/>
  <c r="Z276" i="14"/>
  <c r="Z275" i="14"/>
  <c r="Z197" i="14"/>
  <c r="Z198" i="14"/>
  <c r="Z38" i="14"/>
  <c r="Z37" i="14"/>
  <c r="R142" i="14"/>
  <c r="R23" i="14"/>
  <c r="R3" i="13"/>
  <c r="Q98" i="13"/>
  <c r="R332" i="13"/>
  <c r="R120" i="14"/>
  <c r="R195" i="14"/>
  <c r="R282" i="13"/>
  <c r="R84" i="14"/>
  <c r="R244" i="13"/>
  <c r="R323" i="14"/>
  <c r="R57" i="14"/>
  <c r="K716" i="5"/>
  <c r="AT315" i="13"/>
  <c r="AW315" i="14" s="1"/>
  <c r="Z313" i="14"/>
  <c r="Z314" i="14"/>
  <c r="K204" i="5"/>
  <c r="AT98" i="13"/>
  <c r="AW98" i="14" s="1"/>
  <c r="K469" i="5"/>
  <c r="AT168" i="13"/>
  <c r="AW168" i="14" s="1"/>
  <c r="AT169" i="13"/>
  <c r="AW169" i="14" s="1"/>
  <c r="AT170" i="13"/>
  <c r="AW170" i="14" s="1"/>
  <c r="K847" i="5"/>
  <c r="AT324" i="13"/>
  <c r="AT325" i="13"/>
  <c r="W286" i="13"/>
  <c r="U286" i="14" a="1"/>
  <c r="U286" i="14" s="1"/>
  <c r="W286" i="14" s="1"/>
  <c r="K838" i="5"/>
  <c r="AT314" i="13"/>
  <c r="AT313" i="13"/>
  <c r="K167" i="5"/>
  <c r="AT53" i="13"/>
  <c r="AW53" i="14" s="1"/>
  <c r="K710" i="5"/>
  <c r="AT240" i="13"/>
  <c r="AW240" i="14" s="1"/>
  <c r="Q197" i="13"/>
  <c r="U92" i="13"/>
  <c r="Z10" i="14"/>
  <c r="Z11" i="14"/>
  <c r="O189" i="14"/>
  <c r="R189" i="14" s="1"/>
  <c r="O190" i="14"/>
  <c r="R190" i="14" s="1"/>
  <c r="O37" i="14"/>
  <c r="R37" i="14" s="1"/>
  <c r="O38" i="14"/>
  <c r="R38" i="14" s="1"/>
  <c r="O193" i="14"/>
  <c r="R193" i="14" s="1"/>
  <c r="O194" i="14"/>
  <c r="R194" i="14" s="1"/>
  <c r="Z309" i="14"/>
  <c r="Z310" i="14"/>
  <c r="Z199" i="14"/>
  <c r="Z200" i="14"/>
  <c r="O148" i="14"/>
  <c r="R148" i="14" s="1"/>
  <c r="O149" i="14"/>
  <c r="R149" i="14" s="1"/>
  <c r="R36" i="14"/>
  <c r="Q281" i="14"/>
  <c r="R54" i="14"/>
  <c r="R142" i="13"/>
  <c r="R161" i="14"/>
  <c r="R188" i="14"/>
  <c r="Q211" i="13"/>
  <c r="Q331" i="13"/>
  <c r="R245" i="14"/>
  <c r="R231" i="14"/>
  <c r="R254" i="14"/>
  <c r="R373" i="14"/>
  <c r="R265" i="14"/>
  <c r="Q339" i="13"/>
  <c r="R187" i="14"/>
  <c r="R364" i="14"/>
  <c r="R145" i="14"/>
  <c r="R136" i="14"/>
  <c r="R159" i="14"/>
  <c r="R42" i="14"/>
  <c r="Q43" i="14"/>
  <c r="Q244" i="13"/>
  <c r="R233" i="14"/>
  <c r="R366" i="14"/>
  <c r="R43" i="14"/>
  <c r="Q49" i="13"/>
  <c r="R217" i="14"/>
  <c r="R253" i="14"/>
  <c r="R57" i="13"/>
  <c r="O90" i="14"/>
  <c r="R90" i="14" s="1"/>
  <c r="O91" i="14"/>
  <c r="R91" i="14" s="1"/>
  <c r="K268" i="5"/>
  <c r="AT244" i="13"/>
  <c r="AW244" i="14" s="1"/>
  <c r="AT245" i="13"/>
  <c r="AW245" i="14" s="1"/>
  <c r="AT243" i="13"/>
  <c r="AW243" i="14" s="1"/>
  <c r="K210" i="5"/>
  <c r="AT101" i="13"/>
  <c r="AW100" i="14" s="1"/>
  <c r="K831" i="5"/>
  <c r="AT306" i="13"/>
  <c r="AT305" i="13"/>
  <c r="K149" i="5"/>
  <c r="AT40" i="13"/>
  <c r="AW40" i="14" s="1"/>
  <c r="K727" i="5"/>
  <c r="AT22" i="13"/>
  <c r="AW22" i="14" s="1"/>
  <c r="K475" i="5"/>
  <c r="AT173" i="13"/>
  <c r="AW173" i="14" s="1"/>
  <c r="AT174" i="13"/>
  <c r="AW174" i="14" s="1"/>
  <c r="K163" i="5"/>
  <c r="AT46" i="13"/>
  <c r="AW46" i="14" s="1"/>
  <c r="K353" i="5"/>
  <c r="AT359" i="13"/>
  <c r="AW359" i="14" s="1"/>
  <c r="AT360" i="13"/>
  <c r="AW360" i="14" s="1"/>
  <c r="AT361" i="13"/>
  <c r="AW361" i="14" s="1"/>
  <c r="K731" i="5"/>
  <c r="AT29" i="13"/>
  <c r="AT28" i="13"/>
  <c r="K255" i="5"/>
  <c r="AT236" i="13"/>
  <c r="AW236" i="14" s="1"/>
  <c r="AT237" i="13"/>
  <c r="AW237" i="14" s="1"/>
  <c r="K863" i="5"/>
  <c r="AT351" i="13"/>
  <c r="AT350" i="13"/>
  <c r="AT349" i="13"/>
  <c r="AT348" i="13"/>
  <c r="W38" i="13"/>
  <c r="U38" i="14" a="1"/>
  <c r="U38" i="14" s="1"/>
  <c r="W38" i="14" s="1"/>
  <c r="W126" i="13"/>
  <c r="U126" i="14" a="1"/>
  <c r="U126" i="14" s="1"/>
  <c r="W126" i="14" s="1"/>
  <c r="Z93" i="14"/>
  <c r="Z92" i="14"/>
  <c r="Z205" i="14"/>
  <c r="Z206" i="14"/>
  <c r="O298" i="14"/>
  <c r="Q298" i="14" s="1"/>
  <c r="O299" i="14"/>
  <c r="R299" i="14" s="1"/>
  <c r="O92" i="14"/>
  <c r="R92" i="14" s="1"/>
  <c r="O93" i="14"/>
  <c r="R93" i="14" s="1"/>
  <c r="O47" i="14"/>
  <c r="R47" i="14" s="1"/>
  <c r="O48" i="14"/>
  <c r="R48" i="14" s="1"/>
  <c r="O305" i="14"/>
  <c r="R305" i="14" s="1"/>
  <c r="O306" i="14"/>
  <c r="R306" i="14" s="1"/>
  <c r="Z285" i="14"/>
  <c r="Z286" i="14"/>
  <c r="Z290" i="14"/>
  <c r="Z291" i="14"/>
  <c r="R130" i="14"/>
  <c r="R107" i="14"/>
  <c r="Q303" i="13"/>
  <c r="R6" i="14"/>
  <c r="Q281" i="13"/>
  <c r="R109" i="14"/>
  <c r="R97" i="14"/>
  <c r="R303" i="14"/>
  <c r="R329" i="14"/>
  <c r="R153" i="14"/>
  <c r="R89" i="14"/>
  <c r="R252" i="14"/>
  <c r="R157" i="14"/>
  <c r="R159" i="13"/>
  <c r="R42" i="13"/>
  <c r="R76" i="14"/>
  <c r="Q43" i="13"/>
  <c r="R233" i="13"/>
  <c r="R366" i="13"/>
  <c r="R168" i="14"/>
  <c r="R43" i="13"/>
  <c r="R176" i="14"/>
  <c r="R174" i="13"/>
  <c r="W87" i="13"/>
  <c r="U87" i="14" a="1"/>
  <c r="U87" i="14" s="1"/>
  <c r="W87" i="14" s="1"/>
  <c r="Z12" i="14"/>
  <c r="Z13" i="14"/>
  <c r="K854" i="5"/>
  <c r="AT335" i="13"/>
  <c r="AT336" i="13"/>
  <c r="K189" i="5"/>
  <c r="AT70" i="13"/>
  <c r="AW70" i="14" s="1"/>
  <c r="AT71" i="13"/>
  <c r="AW71" i="14" s="1"/>
  <c r="U262" i="14" a="1"/>
  <c r="U262" i="14" s="1"/>
  <c r="K402" i="5"/>
  <c r="AT338" i="13"/>
  <c r="AW338" i="14" s="1"/>
  <c r="K372" i="5"/>
  <c r="AT7" i="13"/>
  <c r="AW7" i="14" s="1"/>
  <c r="K423" i="5"/>
  <c r="AT213" i="13"/>
  <c r="AW213" i="14" s="1"/>
  <c r="AT214" i="13"/>
  <c r="AW214" i="14" s="1"/>
  <c r="K224" i="5"/>
  <c r="AT119" i="13"/>
  <c r="AW119" i="14" s="1"/>
  <c r="K811" i="5"/>
  <c r="AT284" i="13"/>
  <c r="AW284" i="14" s="1"/>
  <c r="AT281" i="13"/>
  <c r="AW281" i="14" s="1"/>
  <c r="AT282" i="13"/>
  <c r="AW282" i="14" s="1"/>
  <c r="AT283" i="13"/>
  <c r="AW283" i="14" s="1"/>
  <c r="K820" i="5"/>
  <c r="AT291" i="13"/>
  <c r="AT290" i="13"/>
  <c r="K677" i="5"/>
  <c r="AT75" i="13"/>
  <c r="AW75" i="14" s="1"/>
  <c r="AT76" i="13"/>
  <c r="AW76" i="14" s="1"/>
  <c r="U93" i="13"/>
  <c r="Q140" i="13"/>
  <c r="Z81" i="14"/>
  <c r="Z80" i="14"/>
  <c r="Z63" i="14"/>
  <c r="Z64" i="14"/>
  <c r="Z346" i="14"/>
  <c r="Z345" i="14"/>
  <c r="Z207" i="14"/>
  <c r="Z208" i="14"/>
  <c r="R218" i="14"/>
  <c r="Q332" i="13"/>
  <c r="R155" i="14"/>
  <c r="R251" i="14"/>
  <c r="R97" i="13"/>
  <c r="R303" i="13"/>
  <c r="R153" i="13"/>
  <c r="R89" i="13"/>
  <c r="R61" i="14"/>
  <c r="R240" i="14"/>
  <c r="R124" i="14"/>
  <c r="R157" i="13"/>
  <c r="R105" i="14"/>
  <c r="Q353" i="13"/>
  <c r="R222" i="14"/>
  <c r="R178" i="14"/>
  <c r="R176" i="13"/>
  <c r="R106" i="13"/>
  <c r="J3" i="3"/>
  <c r="S36" i="1"/>
  <c r="W36" i="1" s="1"/>
  <c r="K719" i="5"/>
  <c r="AT5" i="13"/>
  <c r="AT4" i="13"/>
  <c r="K158" i="5"/>
  <c r="AT45" i="13"/>
  <c r="AW45" i="14" s="1"/>
  <c r="K786" i="5"/>
  <c r="AT194" i="13"/>
  <c r="AT193" i="13"/>
  <c r="K385" i="5"/>
  <c r="AT183" i="13"/>
  <c r="AW183" i="14" s="1"/>
  <c r="K734" i="5"/>
  <c r="AT32" i="13"/>
  <c r="AW32" i="14" s="1"/>
  <c r="K128" i="5"/>
  <c r="AT6" i="13"/>
  <c r="AW6" i="14" s="1"/>
  <c r="K236" i="5"/>
  <c r="AT160" i="13"/>
  <c r="AW160" i="14" s="1"/>
  <c r="K196" i="5"/>
  <c r="AT94" i="13"/>
  <c r="AW94" i="14" s="1"/>
  <c r="K324" i="5"/>
  <c r="AT327" i="13"/>
  <c r="AW327" i="14" s="1"/>
  <c r="K445" i="5"/>
  <c r="AT61" i="13"/>
  <c r="AW61" i="14" s="1"/>
  <c r="O273" i="14"/>
  <c r="R273" i="14" s="1"/>
  <c r="O274" i="14"/>
  <c r="R274" i="14" s="1"/>
  <c r="O132" i="14"/>
  <c r="R132" i="14" s="1"/>
  <c r="O133" i="14"/>
  <c r="R133" i="14" s="1"/>
  <c r="O63" i="14"/>
  <c r="Q63" i="14" s="1"/>
  <c r="O64" i="14"/>
  <c r="R64" i="14" s="1"/>
  <c r="O5" i="14"/>
  <c r="R5" i="14" s="1"/>
  <c r="O4" i="14"/>
  <c r="R4" i="14" s="1"/>
  <c r="Z16" i="14"/>
  <c r="Z17" i="14"/>
  <c r="Z209" i="14"/>
  <c r="Z210" i="14"/>
  <c r="R218" i="13"/>
  <c r="R251" i="13"/>
  <c r="R103" i="14"/>
  <c r="R255" i="14"/>
  <c r="R131" i="13"/>
  <c r="Q63" i="13"/>
  <c r="R215" i="14"/>
  <c r="Q326" i="13"/>
  <c r="R63" i="13"/>
  <c r="R281" i="14"/>
  <c r="R312" i="14"/>
  <c r="R143" i="14"/>
  <c r="R337" i="14"/>
  <c r="R20" i="14"/>
  <c r="R82" i="14"/>
  <c r="Q334" i="13"/>
  <c r="Q89" i="13"/>
  <c r="R59" i="14"/>
  <c r="K214" i="5"/>
  <c r="AT102" i="13"/>
  <c r="AW102" i="14" s="1"/>
  <c r="K357" i="5"/>
  <c r="AT362" i="13"/>
  <c r="AW362" i="14" s="1"/>
  <c r="W288" i="13"/>
  <c r="U288" i="14" a="1"/>
  <c r="U288" i="14" s="1"/>
  <c r="W288" i="14" s="1"/>
  <c r="O269" i="14"/>
  <c r="R269" i="14" s="1"/>
  <c r="O270" i="14"/>
  <c r="R270" i="14" s="1"/>
  <c r="O287" i="14"/>
  <c r="R287" i="14" s="1"/>
  <c r="O288" i="14"/>
  <c r="R288" i="14" s="1"/>
  <c r="O140" i="14"/>
  <c r="R140" i="14" s="1"/>
  <c r="O141" i="14"/>
  <c r="R141" i="14" s="1"/>
  <c r="O14" i="14"/>
  <c r="R14" i="14" s="1"/>
  <c r="O15" i="14"/>
  <c r="R15" i="14" s="1"/>
  <c r="Z320" i="14"/>
  <c r="Z321" i="14"/>
  <c r="Z287" i="14"/>
  <c r="Z288" i="14"/>
  <c r="Z90" i="14"/>
  <c r="Z91" i="14"/>
  <c r="Z191" i="14"/>
  <c r="Z192" i="14"/>
  <c r="R30" i="14"/>
  <c r="R365" i="14"/>
  <c r="R280" i="14"/>
  <c r="R70" i="14"/>
  <c r="R35" i="14"/>
  <c r="R183" i="14"/>
  <c r="R77" i="14"/>
  <c r="R307" i="14"/>
  <c r="R171" i="14"/>
  <c r="R283" i="14"/>
  <c r="R356" i="14"/>
  <c r="R281" i="13"/>
  <c r="R34" i="14"/>
  <c r="Q314" i="13"/>
  <c r="Q282" i="13"/>
  <c r="R302" i="14"/>
  <c r="R211" i="14"/>
  <c r="R316" i="14"/>
  <c r="Q232" i="13"/>
  <c r="R359" i="14"/>
  <c r="R44" i="14"/>
  <c r="R164" i="14"/>
  <c r="K441" i="5"/>
  <c r="AT34" i="13"/>
  <c r="AW34" i="14" s="1"/>
  <c r="K737" i="5"/>
  <c r="AT48" i="13"/>
  <c r="AT47" i="13"/>
  <c r="K867" i="5"/>
  <c r="AT358" i="13"/>
  <c r="AT357" i="13"/>
  <c r="K251" i="5"/>
  <c r="AT223" i="13"/>
  <c r="AW223" i="14" s="1"/>
  <c r="K747" i="5"/>
  <c r="AT80" i="13"/>
  <c r="AT81" i="13"/>
  <c r="K673" i="5"/>
  <c r="AT49" i="13"/>
  <c r="AW49" i="14" s="1"/>
  <c r="AT50" i="13"/>
  <c r="AW50" i="14" s="1"/>
  <c r="AT51" i="13"/>
  <c r="AW51" i="14" s="1"/>
  <c r="K229" i="5"/>
  <c r="AT134" i="13"/>
  <c r="AW134" i="14" s="1"/>
  <c r="K200" i="5"/>
  <c r="AT97" i="13"/>
  <c r="AW97" i="14" s="1"/>
  <c r="AT96" i="13"/>
  <c r="AW96" i="14" s="1"/>
  <c r="K507" i="5"/>
  <c r="AT352" i="13"/>
  <c r="AW352" i="14" s="1"/>
  <c r="K153" i="5"/>
  <c r="AT44" i="13"/>
  <c r="AW44" i="14" s="1"/>
  <c r="K328" i="5"/>
  <c r="AT332" i="13"/>
  <c r="AW332" i="14" s="1"/>
  <c r="K697" i="5"/>
  <c r="AT219" i="13"/>
  <c r="AW219" i="14" s="1"/>
  <c r="K766" i="5"/>
  <c r="AT148" i="13"/>
  <c r="AT149" i="13"/>
  <c r="K377" i="5"/>
  <c r="AT127" i="13"/>
  <c r="AW127" i="14" s="1"/>
  <c r="K241" i="5"/>
  <c r="AT163" i="13"/>
  <c r="AW163" i="14" s="1"/>
  <c r="O357" i="14"/>
  <c r="R357" i="14" s="1"/>
  <c r="O358" i="14"/>
  <c r="R358" i="14" s="1"/>
  <c r="O10" i="14"/>
  <c r="R10" i="14" s="1"/>
  <c r="O11" i="14"/>
  <c r="R11" i="14" s="1"/>
  <c r="Z4" i="14"/>
  <c r="Z5" i="14"/>
  <c r="Z324" i="14"/>
  <c r="Z325" i="14"/>
  <c r="R30" i="13"/>
  <c r="R280" i="13"/>
  <c r="R98" i="14"/>
  <c r="R70" i="13"/>
  <c r="R181" i="14"/>
  <c r="R370" i="14"/>
  <c r="Q343" i="13"/>
  <c r="R49" i="14"/>
  <c r="R121" i="14"/>
  <c r="R230" i="14"/>
  <c r="Q159" i="13"/>
  <c r="R339" i="14"/>
  <c r="R128" i="14"/>
  <c r="R211" i="13"/>
  <c r="Q44" i="13"/>
  <c r="R151" i="14"/>
  <c r="R146" i="14"/>
  <c r="R44" i="13"/>
  <c r="K145" i="5"/>
  <c r="AT31" i="13"/>
  <c r="AW31" i="14" s="1"/>
  <c r="O336" i="14"/>
  <c r="R336" i="14" s="1"/>
  <c r="O335" i="14"/>
  <c r="R335" i="14" s="1"/>
  <c r="K361" i="5"/>
  <c r="AT364" i="13"/>
  <c r="AW364" i="14" s="1"/>
  <c r="K283" i="5"/>
  <c r="AT265" i="13"/>
  <c r="AW265" i="14" s="1"/>
  <c r="AT266" i="13"/>
  <c r="AW266" i="14" s="1"/>
  <c r="K790" i="5"/>
  <c r="AT197" i="13"/>
  <c r="AT206" i="13"/>
  <c r="AT199" i="13"/>
  <c r="AT208" i="13"/>
  <c r="AT200" i="13"/>
  <c r="AT201" i="13"/>
  <c r="AT202" i="13"/>
  <c r="AT203" i="13"/>
  <c r="AT198" i="13"/>
  <c r="AT205" i="13"/>
  <c r="AT204" i="13"/>
  <c r="AT207" i="13"/>
  <c r="AT209" i="13"/>
  <c r="AT210" i="13"/>
  <c r="K701" i="5"/>
  <c r="AT235" i="13"/>
  <c r="AW235" i="14" s="1"/>
  <c r="AT224" i="13"/>
  <c r="AW224" i="14" s="1"/>
  <c r="AT225" i="13"/>
  <c r="AW225" i="14" s="1"/>
  <c r="AT226" i="13"/>
  <c r="AW226" i="14" s="1"/>
  <c r="AT232" i="13"/>
  <c r="AW232" i="14" s="1"/>
  <c r="AT233" i="13"/>
  <c r="AW233" i="14" s="1"/>
  <c r="AT234" i="13"/>
  <c r="AW234" i="14" s="1"/>
  <c r="AT231" i="13"/>
  <c r="AW231" i="14" s="1"/>
  <c r="AT227" i="13"/>
  <c r="AW227" i="14" s="1"/>
  <c r="AT228" i="13"/>
  <c r="AW228" i="14" s="1"/>
  <c r="AT229" i="13"/>
  <c r="AW229" i="14" s="1"/>
  <c r="AT230" i="13"/>
  <c r="AW230" i="14" s="1"/>
  <c r="K776" i="5"/>
  <c r="AT185" i="13"/>
  <c r="AT184" i="13"/>
  <c r="W141" i="13"/>
  <c r="U141" i="14" a="1"/>
  <c r="U141" i="14" s="1"/>
  <c r="W141" i="14" s="1"/>
  <c r="O16" i="14"/>
  <c r="R16" i="14" s="1"/>
  <c r="O17" i="14"/>
  <c r="R17" i="14" s="1"/>
  <c r="O12" i="14"/>
  <c r="R12" i="14" s="1"/>
  <c r="O13" i="14"/>
  <c r="R13" i="14" s="1"/>
  <c r="Z348" i="14"/>
  <c r="Z349" i="14"/>
  <c r="O275" i="14"/>
  <c r="R275" i="14" s="1"/>
  <c r="O276" i="14"/>
  <c r="R276" i="14" s="1"/>
  <c r="O191" i="14"/>
  <c r="O192" i="14"/>
  <c r="R192" i="14" s="1"/>
  <c r="Z28" i="14"/>
  <c r="Z29" i="14"/>
  <c r="R7" i="14"/>
  <c r="R98" i="13"/>
  <c r="R102" i="14"/>
  <c r="R224" i="14"/>
  <c r="R371" i="13"/>
  <c r="R49" i="13"/>
  <c r="R220" i="14"/>
  <c r="R196" i="14"/>
  <c r="R58" i="14"/>
  <c r="R315" i="14"/>
  <c r="R169" i="13"/>
  <c r="R22" i="14"/>
  <c r="R317" i="14"/>
  <c r="Q298" i="13"/>
  <c r="R45" i="14"/>
  <c r="R339" i="13"/>
  <c r="R340" i="14"/>
  <c r="R128" i="13"/>
  <c r="Q131" i="13"/>
  <c r="R278" i="14"/>
  <c r="R79" i="14"/>
  <c r="Q3" i="13"/>
  <c r="R263" i="14"/>
  <c r="R264" i="14"/>
  <c r="Q30" i="13"/>
  <c r="Q153" i="13"/>
  <c r="R94" i="14"/>
  <c r="O209" i="14"/>
  <c r="R209" i="14" s="1"/>
  <c r="O210" i="14"/>
  <c r="R210" i="14" s="1"/>
  <c r="K681" i="5"/>
  <c r="AT113" i="13"/>
  <c r="AW113" i="14" s="1"/>
  <c r="K336" i="5"/>
  <c r="AT334" i="13"/>
  <c r="AW334" i="14" s="1"/>
  <c r="K835" i="5"/>
  <c r="AT310" i="13"/>
  <c r="AT309" i="13"/>
  <c r="K426" i="5"/>
  <c r="AT248" i="13"/>
  <c r="AW248" i="14" s="1"/>
  <c r="K176" i="5"/>
  <c r="AT65" i="13"/>
  <c r="AW65" i="14" s="1"/>
  <c r="K184" i="5"/>
  <c r="AT67" i="13"/>
  <c r="AW67" i="14" s="1"/>
  <c r="K804" i="5"/>
  <c r="AT264" i="13"/>
  <c r="AW264" i="14" s="1"/>
  <c r="K851" i="5"/>
  <c r="AT329" i="13"/>
  <c r="AW329" i="14" s="1"/>
  <c r="AT331" i="13"/>
  <c r="AT330" i="13"/>
  <c r="K744" i="5"/>
  <c r="AT73" i="13"/>
  <c r="AW73" i="14" s="1"/>
  <c r="AT72" i="13"/>
  <c r="AW72" i="14" s="1"/>
  <c r="K459" i="5"/>
  <c r="AT154" i="13"/>
  <c r="AW154" i="14" s="1"/>
  <c r="K471" i="5"/>
  <c r="AT172" i="13"/>
  <c r="AW172" i="14" s="1"/>
  <c r="K500" i="5"/>
  <c r="AT300" i="13"/>
  <c r="AW300" i="14" s="1"/>
  <c r="K332" i="5"/>
  <c r="AT333" i="13"/>
  <c r="AW333" i="14" s="1"/>
  <c r="AB297" i="14"/>
  <c r="W133" i="13"/>
  <c r="U133" i="14" a="1"/>
  <c r="U133" i="14" s="1"/>
  <c r="W133" i="14" s="1"/>
  <c r="O18" i="14"/>
  <c r="R18" i="14" s="1"/>
  <c r="O19" i="14"/>
  <c r="R19" i="14" s="1"/>
  <c r="O271" i="14"/>
  <c r="R271" i="14" s="1"/>
  <c r="O272" i="14"/>
  <c r="R272" i="14" s="1"/>
  <c r="Z125" i="14"/>
  <c r="Z126" i="14"/>
  <c r="Z140" i="14"/>
  <c r="Z141" i="14"/>
  <c r="Z148" i="14"/>
  <c r="Z149" i="14"/>
  <c r="Z204" i="14"/>
  <c r="Z203" i="14"/>
  <c r="Z350" i="14"/>
  <c r="Z351" i="14"/>
  <c r="R55" i="14"/>
  <c r="R100" i="14"/>
  <c r="R170" i="14"/>
  <c r="R179" i="14"/>
  <c r="Q238" i="13"/>
  <c r="R150" i="14"/>
  <c r="R96" i="14"/>
  <c r="R301" i="14"/>
  <c r="R279" i="14"/>
  <c r="R278" i="13"/>
  <c r="R111" i="14"/>
  <c r="R355" i="14"/>
  <c r="R110" i="14"/>
  <c r="R327" i="14"/>
  <c r="R94" i="13"/>
  <c r="K275" i="5"/>
  <c r="AT255" i="13"/>
  <c r="AW255" i="14" s="1"/>
  <c r="K287" i="5"/>
  <c r="AT268" i="13"/>
  <c r="AW268" i="14" s="1"/>
  <c r="K843" i="5"/>
  <c r="AT321" i="13"/>
  <c r="AT320" i="13"/>
  <c r="K406" i="5"/>
  <c r="AT375" i="13"/>
  <c r="AW375" i="14" s="1"/>
  <c r="K808" i="5"/>
  <c r="AT272" i="13"/>
  <c r="AT275" i="13"/>
  <c r="AT276" i="13"/>
  <c r="AT269" i="13"/>
  <c r="AT270" i="13"/>
  <c r="AT274" i="13"/>
  <c r="AT271" i="13"/>
  <c r="AT273" i="13"/>
  <c r="K393" i="5"/>
  <c r="AT295" i="13"/>
  <c r="AW295" i="14" s="1"/>
  <c r="K263" i="5"/>
  <c r="AT241" i="13"/>
  <c r="AW241" i="14" s="1"/>
  <c r="K348" i="5"/>
  <c r="AT354" i="13"/>
  <c r="AW354" i="14" s="1"/>
  <c r="K857" i="5"/>
  <c r="AT341" i="13"/>
  <c r="AW341" i="14" s="1"/>
  <c r="AT342" i="13"/>
  <c r="AW342" i="14" s="1"/>
  <c r="AT340" i="13"/>
  <c r="AW340" i="14" s="1"/>
  <c r="W258" i="13"/>
  <c r="U258" i="14" a="1"/>
  <c r="U258" i="14" s="1"/>
  <c r="W258" i="14" s="1"/>
  <c r="Q9" i="13"/>
  <c r="O318" i="14"/>
  <c r="Q318" i="14" s="1"/>
  <c r="O319" i="14"/>
  <c r="Q319" i="14" s="1"/>
  <c r="O290" i="14"/>
  <c r="R290" i="14" s="1"/>
  <c r="O291" i="14"/>
  <c r="R291" i="14" s="1"/>
  <c r="O349" i="14"/>
  <c r="R349" i="14" s="1"/>
  <c r="O348" i="14"/>
  <c r="R348" i="14" s="1"/>
  <c r="O257" i="14"/>
  <c r="Q257" i="14" s="1"/>
  <c r="O258" i="14"/>
  <c r="R258" i="14" s="1"/>
  <c r="O350" i="14"/>
  <c r="R350" i="14" s="1"/>
  <c r="O351" i="14"/>
  <c r="R351" i="14" s="1"/>
  <c r="O261" i="14"/>
  <c r="R261" i="14" s="1"/>
  <c r="O262" i="14"/>
  <c r="R262" i="14" s="1"/>
  <c r="O126" i="14"/>
  <c r="R126" i="14" s="1"/>
  <c r="O125" i="14"/>
  <c r="R125" i="14" s="1"/>
  <c r="Z318" i="14"/>
  <c r="Z319" i="14"/>
  <c r="Z86" i="14"/>
  <c r="Z87" i="14"/>
  <c r="Z357" i="14"/>
  <c r="Z358" i="14"/>
  <c r="Z299" i="14"/>
  <c r="Z298" i="14"/>
  <c r="R55" i="13"/>
  <c r="Q354" i="13"/>
  <c r="Q279" i="13"/>
  <c r="Q232" i="14"/>
  <c r="R186" i="14"/>
  <c r="R31" i="14"/>
  <c r="Q55" i="13"/>
  <c r="Q71" i="13"/>
  <c r="R162" i="14"/>
  <c r="R259" i="14"/>
  <c r="Q176" i="13"/>
  <c r="R326" i="14"/>
  <c r="R279" i="13"/>
  <c r="R219" i="14"/>
  <c r="R347" i="14"/>
  <c r="R135" i="14"/>
  <c r="R39" i="14"/>
  <c r="Q97" i="13"/>
  <c r="Q94" i="13"/>
  <c r="R99" i="14"/>
  <c r="R277" i="14"/>
  <c r="K411" i="5"/>
  <c r="AT58" i="13"/>
  <c r="AW58" i="14" s="1"/>
  <c r="K173" i="5"/>
  <c r="AT57" i="13"/>
  <c r="AW57" i="14" s="1"/>
  <c r="K368" i="5"/>
  <c r="AT192" i="13"/>
  <c r="AT191" i="13"/>
  <c r="K456" i="5"/>
  <c r="AT150" i="13"/>
  <c r="AW150" i="14" s="1"/>
  <c r="AT152" i="13"/>
  <c r="AW152" i="14" s="1"/>
  <c r="K694" i="5"/>
  <c r="AT177" i="13"/>
  <c r="AW177" i="14" s="1"/>
  <c r="AT175" i="13"/>
  <c r="AW175" i="14" s="1"/>
  <c r="AT176" i="13"/>
  <c r="AW176" i="14" s="1"/>
  <c r="K320" i="5"/>
  <c r="AT322" i="13"/>
  <c r="AW322" i="14" s="1"/>
  <c r="AT323" i="13"/>
  <c r="AW323" i="14" s="1"/>
  <c r="K724" i="5"/>
  <c r="AT10" i="13"/>
  <c r="AT17" i="13"/>
  <c r="AT12" i="13"/>
  <c r="AT18" i="13"/>
  <c r="AT19" i="13"/>
  <c r="AT11" i="13"/>
  <c r="AT13" i="13"/>
  <c r="AT16" i="13"/>
  <c r="AT14" i="13"/>
  <c r="AT15" i="13"/>
  <c r="O345" i="14"/>
  <c r="R345" i="14" s="1"/>
  <c r="O346" i="14"/>
  <c r="R346" i="14" s="1"/>
  <c r="O80" i="14"/>
  <c r="R80" i="14" s="1"/>
  <c r="O81" i="14"/>
  <c r="R81" i="14" s="1"/>
  <c r="Z15" i="14"/>
  <c r="Z14" i="14"/>
  <c r="Z68" i="14"/>
  <c r="Z69" i="14"/>
  <c r="Z261" i="14"/>
  <c r="Z262" i="14"/>
  <c r="R300" i="14"/>
  <c r="R129" i="14"/>
  <c r="R232" i="13"/>
  <c r="R139" i="14"/>
  <c r="R338" i="14"/>
  <c r="Q233" i="13"/>
  <c r="R284" i="14"/>
  <c r="R122" i="14"/>
  <c r="R242" i="14"/>
  <c r="R85" i="14"/>
  <c r="R342" i="14"/>
  <c r="R259" i="13"/>
  <c r="R113" i="14"/>
  <c r="R214" i="14"/>
  <c r="R326" i="13"/>
  <c r="R60" i="14"/>
  <c r="R292" i="14"/>
  <c r="R71" i="14"/>
  <c r="Q251" i="13"/>
  <c r="R182" i="14"/>
  <c r="Q174" i="13"/>
  <c r="R246" i="14"/>
  <c r="Q318" i="13"/>
  <c r="R229" i="14"/>
  <c r="R344" i="14"/>
  <c r="Z270" i="14"/>
  <c r="Z269" i="14"/>
  <c r="Z184" i="14"/>
  <c r="Z185" i="14"/>
  <c r="R172" i="14"/>
  <c r="R56" i="14"/>
  <c r="R249" i="14"/>
  <c r="Q60" i="13"/>
  <c r="R152" i="14"/>
  <c r="Q57" i="13"/>
  <c r="Q70" i="13"/>
  <c r="R368" i="14"/>
  <c r="Q278" i="13"/>
  <c r="R175" i="14"/>
  <c r="R104" i="14"/>
  <c r="Q218" i="13"/>
  <c r="R228" i="14"/>
  <c r="R167" i="14"/>
  <c r="R238" i="13"/>
  <c r="R60" i="13"/>
  <c r="R71" i="13"/>
  <c r="R247" i="14"/>
  <c r="R53" i="14"/>
  <c r="R137" i="14"/>
  <c r="R88" i="14"/>
  <c r="R144" i="14"/>
  <c r="N6" i="1" a="1"/>
  <c r="N6" i="1" s="1"/>
  <c r="Q71" i="14"/>
  <c r="AM10" i="1" a="1"/>
  <c r="AM10" i="1" s="1"/>
  <c r="D10" i="1" a="1"/>
  <c r="D10" i="1" s="1"/>
  <c r="F9" i="1" a="1"/>
  <c r="F9" i="1" s="1"/>
  <c r="D11" i="1" a="1"/>
  <c r="D11" i="1" s="1"/>
  <c r="F11" i="1" a="1"/>
  <c r="F11" i="1" s="1"/>
  <c r="Q326" i="14"/>
  <c r="F8" i="1" a="1"/>
  <c r="F8" i="1" s="1"/>
  <c r="O9" i="1" a="1"/>
  <c r="O9" i="1" s="1"/>
  <c r="O29" i="1" s="1"/>
  <c r="H12" i="1" a="1"/>
  <c r="H12" i="1" s="1"/>
  <c r="G9" i="1" a="1"/>
  <c r="G9" i="1" s="1"/>
  <c r="N5" i="1" a="1"/>
  <c r="N5" i="1" s="1"/>
  <c r="N23" i="1" s="1"/>
  <c r="Q259" i="14"/>
  <c r="Q42" i="14"/>
  <c r="H9" i="1" a="1"/>
  <c r="H9" i="1" s="1"/>
  <c r="G12" i="1" a="1"/>
  <c r="G12" i="1" s="1"/>
  <c r="G26" i="1" s="1"/>
  <c r="N11" i="1" a="1"/>
  <c r="N11" i="1" s="1"/>
  <c r="H5" i="1" a="1"/>
  <c r="H5" i="1" s="1"/>
  <c r="O13" i="1" a="1"/>
  <c r="O13" i="1" s="1"/>
  <c r="D13" i="1" a="1"/>
  <c r="D13" i="1" s="1"/>
  <c r="AE5" i="1" a="1"/>
  <c r="AE5" i="1" s="1"/>
  <c r="AE38" i="1" s="1"/>
  <c r="AH5" i="1" a="1"/>
  <c r="AH5" i="1" s="1"/>
  <c r="AH38" i="1" s="1"/>
  <c r="N8" i="1" a="1"/>
  <c r="N8" i="1" s="1"/>
  <c r="N27" i="1" s="1"/>
  <c r="G8" i="1" a="1"/>
  <c r="G8" i="1" s="1"/>
  <c r="F12" i="1" a="1"/>
  <c r="F12" i="1" s="1"/>
  <c r="AI6" i="1" a="1"/>
  <c r="AI6" i="1" s="1"/>
  <c r="AJ5" i="1" a="1"/>
  <c r="AJ5" i="1" s="1"/>
  <c r="AJ38" i="1" s="1"/>
  <c r="G7" i="1" a="1"/>
  <c r="G7" i="1" s="1"/>
  <c r="I10" i="1" a="1"/>
  <c r="I10" i="1" s="1"/>
  <c r="I11" i="1" a="1"/>
  <c r="I11" i="1" s="1"/>
  <c r="E13" i="1" a="1"/>
  <c r="E13" i="1" s="1"/>
  <c r="AE9" i="1" a="1"/>
  <c r="AE9" i="1" s="1"/>
  <c r="AE39" i="1" s="1"/>
  <c r="AE7" i="1" a="1"/>
  <c r="AE7" i="1" s="1"/>
  <c r="AE37" i="1" s="1"/>
  <c r="AH7" i="1" a="1"/>
  <c r="AH7" i="1" s="1"/>
  <c r="AH37" i="1" s="1"/>
  <c r="AJ7" i="1" a="1"/>
  <c r="AJ7" i="1" s="1"/>
  <c r="AJ37" i="1" s="1"/>
  <c r="H13" i="1" a="1"/>
  <c r="H13" i="1" s="1"/>
  <c r="I5" i="1" a="1"/>
  <c r="I5" i="1" s="1"/>
  <c r="I24" i="1" s="1"/>
  <c r="F6" i="1" a="1"/>
  <c r="F6" i="1" s="1"/>
  <c r="E12" i="1" a="1"/>
  <c r="E12" i="1" s="1"/>
  <c r="AI8" i="1" a="1"/>
  <c r="AI8" i="1" s="1"/>
  <c r="AI36" i="1" s="1"/>
  <c r="AK36" i="1"/>
  <c r="AM7" i="1" a="1"/>
  <c r="AM7" i="1" s="1"/>
  <c r="BK7" i="16" s="1"/>
  <c r="W25" i="13"/>
  <c r="H6" i="1" a="1"/>
  <c r="H6" i="1" s="1"/>
  <c r="G10" i="1" a="1"/>
  <c r="G10" i="1" s="1"/>
  <c r="O7" i="1" a="1"/>
  <c r="O7" i="1" s="1"/>
  <c r="O25" i="1" s="1"/>
  <c r="H8" i="1" a="1"/>
  <c r="H8" i="1" s="1"/>
  <c r="E7" i="1" a="1"/>
  <c r="E7" i="1" s="1"/>
  <c r="E25" i="1" s="1"/>
  <c r="G13" i="1" a="1"/>
  <c r="G13" i="1" s="1"/>
  <c r="AI12" i="1" a="1"/>
  <c r="AI12" i="1" s="1"/>
  <c r="AH11" i="1" a="1"/>
  <c r="AH11" i="1" s="1"/>
  <c r="AH9" i="1" a="1"/>
  <c r="AH9" i="1" s="1"/>
  <c r="AH39" i="1" s="1"/>
  <c r="AJ9" i="1" a="1"/>
  <c r="AJ9" i="1" s="1"/>
  <c r="AJ39" i="1" s="1"/>
  <c r="AM9" i="1" a="1"/>
  <c r="AM9" i="1" s="1"/>
  <c r="BM7" i="16" s="1"/>
  <c r="Q311" i="14"/>
  <c r="N9" i="1" a="1"/>
  <c r="N9" i="1" s="1"/>
  <c r="N29" i="1" s="1"/>
  <c r="G11" i="1" a="1"/>
  <c r="G11" i="1" s="1"/>
  <c r="I9" i="1" a="1"/>
  <c r="I9" i="1" s="1"/>
  <c r="I30" i="1" s="1"/>
  <c r="AM5" i="1" a="1"/>
  <c r="AM5" i="1" s="1"/>
  <c r="AI10" i="1" a="1"/>
  <c r="AI10" i="1" s="1"/>
  <c r="H7" i="1" a="1"/>
  <c r="H7" i="1" s="1"/>
  <c r="N12" i="1" a="1"/>
  <c r="N12" i="1" s="1"/>
  <c r="E9" i="1" a="1"/>
  <c r="E9" i="1" s="1"/>
  <c r="D12" i="1" a="1"/>
  <c r="D12" i="1" s="1"/>
  <c r="AJ11" i="1" a="1"/>
  <c r="AJ11" i="1" s="1"/>
  <c r="AM11" i="1" a="1"/>
  <c r="AM11" i="1" s="1"/>
  <c r="F13" i="1" a="1"/>
  <c r="F13" i="1" s="1"/>
  <c r="G5" i="1" a="1"/>
  <c r="G5" i="1" s="1"/>
  <c r="O8" i="1" a="1"/>
  <c r="O8" i="1" s="1"/>
  <c r="O28" i="1" s="1"/>
  <c r="D9" i="1" a="1"/>
  <c r="D9" i="1" s="1"/>
  <c r="AE12" i="1" a="1"/>
  <c r="AE12" i="1" s="1"/>
  <c r="O6" i="1" a="1"/>
  <c r="O6" i="1" s="1"/>
  <c r="AE10" i="1" a="1"/>
  <c r="AE10" i="1" s="1"/>
  <c r="AE6" i="1" a="1"/>
  <c r="AE6" i="1" s="1"/>
  <c r="AH6" i="1" a="1"/>
  <c r="AH6" i="1" s="1"/>
  <c r="AI5" i="1" a="1"/>
  <c r="AI5" i="1" s="1"/>
  <c r="AI38" i="1" s="1"/>
  <c r="R184" i="14"/>
  <c r="N10" i="1" a="1"/>
  <c r="N10" i="1" s="1"/>
  <c r="I13" i="1" a="1"/>
  <c r="I13" i="1" s="1"/>
  <c r="I8" i="1" a="1"/>
  <c r="I8" i="1" s="1"/>
  <c r="I28" i="1" s="1"/>
  <c r="G6" i="1" a="1"/>
  <c r="G6" i="1" s="1"/>
  <c r="AE11" i="1" a="1"/>
  <c r="AE11" i="1" s="1"/>
  <c r="AE8" i="1" a="1"/>
  <c r="AE8" i="1" s="1"/>
  <c r="AE36" i="1" s="1"/>
  <c r="AI7" i="1" a="1"/>
  <c r="AI7" i="1" s="1"/>
  <c r="AI37" i="1" s="1"/>
  <c r="AJ6" i="1" a="1"/>
  <c r="AJ6" i="1" s="1"/>
  <c r="N7" i="1" a="1"/>
  <c r="N7" i="1" s="1"/>
  <c r="N26" i="1" s="1"/>
  <c r="E11" i="1" a="1"/>
  <c r="E11" i="1" s="1"/>
  <c r="H11" i="1" a="1"/>
  <c r="H11" i="1" s="1"/>
  <c r="AH12" i="1" a="1"/>
  <c r="AH12" i="1" s="1"/>
  <c r="AH8" i="1" a="1"/>
  <c r="AH8" i="1" s="1"/>
  <c r="AH36" i="1" s="1"/>
  <c r="AJ8" i="1" a="1"/>
  <c r="AJ8" i="1" s="1"/>
  <c r="AJ36" i="1" s="1"/>
  <c r="AK37" i="1"/>
  <c r="AJ13" i="1" a="1"/>
  <c r="AJ13" i="1" s="1"/>
  <c r="Q233" i="14"/>
  <c r="I7" i="1" a="1"/>
  <c r="I7" i="1" s="1"/>
  <c r="I26" i="1" s="1"/>
  <c r="Q223" i="14"/>
  <c r="H10" i="1" a="1"/>
  <c r="H10" i="1" s="1"/>
  <c r="E10" i="1" a="1"/>
  <c r="E10" i="1" s="1"/>
  <c r="F5" i="1" a="1"/>
  <c r="F5" i="1" s="1"/>
  <c r="F22" i="1" s="1"/>
  <c r="F7" i="1" a="1"/>
  <c r="F7" i="1" s="1"/>
  <c r="F25" i="1" s="1"/>
  <c r="AK38" i="1"/>
  <c r="AI13" i="1" a="1"/>
  <c r="AI13" i="1" s="1"/>
  <c r="AH10" i="1" a="1"/>
  <c r="AH10" i="1" s="1"/>
  <c r="AI9" i="1" a="1"/>
  <c r="AI9" i="1" s="1"/>
  <c r="AI39" i="1" s="1"/>
  <c r="AK39" i="1"/>
  <c r="AM8" i="1" a="1"/>
  <c r="AM8" i="1" s="1"/>
  <c r="F10" i="1" a="1"/>
  <c r="F10" i="1" s="1"/>
  <c r="O11" i="1" a="1"/>
  <c r="O11" i="1" s="1"/>
  <c r="I12" i="1" a="1"/>
  <c r="I12" i="1" s="1"/>
  <c r="O5" i="1" a="1"/>
  <c r="O5" i="1" s="1"/>
  <c r="O23" i="1" s="1"/>
  <c r="O10" i="1" a="1"/>
  <c r="O10" i="1" s="1"/>
  <c r="E8" i="1" a="1"/>
  <c r="E8" i="1" s="1"/>
  <c r="E6" i="1" a="1"/>
  <c r="E6" i="1" s="1"/>
  <c r="AM6" i="1" a="1"/>
  <c r="AM6" i="1" s="1"/>
  <c r="BJ7" i="16" s="1"/>
  <c r="AE13" i="1" a="1"/>
  <c r="AE13" i="1" s="1"/>
  <c r="AI11" i="1" a="1"/>
  <c r="AI11" i="1" s="1"/>
  <c r="AJ10" i="1" a="1"/>
  <c r="AJ10" i="1" s="1"/>
  <c r="R321" i="14"/>
  <c r="I6" i="1" a="1"/>
  <c r="I6" i="1" s="1"/>
  <c r="I22" i="1" s="1"/>
  <c r="Q334" i="14"/>
  <c r="Q304" i="14"/>
  <c r="O12" i="1" a="1"/>
  <c r="O12" i="1" s="1"/>
  <c r="N13" i="1" a="1"/>
  <c r="N13" i="1" s="1"/>
  <c r="E5" i="1" a="1"/>
  <c r="E5" i="1" s="1"/>
  <c r="AH13" i="1" a="1"/>
  <c r="AH13" i="1" s="1"/>
  <c r="AJ12" i="1" a="1"/>
  <c r="AJ12" i="1" s="1"/>
  <c r="AM13" i="1" a="1"/>
  <c r="AM13" i="1" s="1"/>
  <c r="AM12" i="1" a="1"/>
  <c r="AM12" i="1" s="1"/>
  <c r="D8" i="1" a="1"/>
  <c r="D8" i="1" s="1"/>
  <c r="D7" i="1" a="1"/>
  <c r="D7" i="1" s="1"/>
  <c r="D6" i="1" a="1"/>
  <c r="D6" i="1" s="1"/>
  <c r="R309" i="14"/>
  <c r="AB27" i="14"/>
  <c r="AB173" i="14"/>
  <c r="W129" i="13"/>
  <c r="W221" i="13"/>
  <c r="Q89" i="14"/>
  <c r="Q282" i="14"/>
  <c r="AB258" i="13"/>
  <c r="Q41" i="14"/>
  <c r="Q339" i="14"/>
  <c r="Q123" i="14"/>
  <c r="Q40" i="14"/>
  <c r="W43" i="13"/>
  <c r="Q228" i="14"/>
  <c r="R330" i="14"/>
  <c r="R334" i="14"/>
  <c r="AB280" i="14"/>
  <c r="R41" i="14"/>
  <c r="R320" i="14"/>
  <c r="Q44" i="14"/>
  <c r="AB303" i="14"/>
  <c r="AB363" i="14"/>
  <c r="AF121" i="14"/>
  <c r="AB89" i="14"/>
  <c r="AB256" i="14"/>
  <c r="AB229" i="14"/>
  <c r="Q94" i="14"/>
  <c r="Q163" i="14"/>
  <c r="Q65" i="14"/>
  <c r="R204" i="14"/>
  <c r="Q279" i="14"/>
  <c r="AF25" i="14"/>
  <c r="AF44" i="14"/>
  <c r="AB267" i="14"/>
  <c r="AB241" i="14"/>
  <c r="AF253" i="14"/>
  <c r="AF39" i="14"/>
  <c r="AF115" i="14"/>
  <c r="AB122" i="14"/>
  <c r="Q366" i="14"/>
  <c r="AF359" i="14"/>
  <c r="Q343" i="14"/>
  <c r="Q131" i="14"/>
  <c r="R207" i="14"/>
  <c r="Q280" i="14"/>
  <c r="Q128" i="14"/>
  <c r="AB300" i="14"/>
  <c r="AB308" i="14"/>
  <c r="AB135" i="14"/>
  <c r="AB134" i="14"/>
  <c r="AB283" i="14"/>
  <c r="Q3" i="14"/>
  <c r="AF99" i="14"/>
  <c r="AB163" i="14"/>
  <c r="AB248" i="14"/>
  <c r="AF239" i="14"/>
  <c r="AF344" i="14"/>
  <c r="AF143" i="14"/>
  <c r="AF6" i="14"/>
  <c r="AF45" i="14"/>
  <c r="AF111" i="14"/>
  <c r="AB339" i="14"/>
  <c r="AB79" i="14"/>
  <c r="AB34" i="14"/>
  <c r="AB117" i="14"/>
  <c r="AF244" i="14"/>
  <c r="AF327" i="14"/>
  <c r="AB137" i="14"/>
  <c r="AB260" i="14"/>
  <c r="R9" i="13"/>
  <c r="R310" i="14"/>
  <c r="AB139" i="14"/>
  <c r="AB71" i="14"/>
  <c r="AB369" i="14"/>
  <c r="R93" i="13"/>
  <c r="R199" i="14"/>
  <c r="Q57" i="14"/>
  <c r="Q332" i="14"/>
  <c r="AB120" i="14"/>
  <c r="AB171" i="14"/>
  <c r="Q83" i="14"/>
  <c r="Q176" i="14"/>
  <c r="AB278" i="14"/>
  <c r="AB237" i="14"/>
  <c r="AF308" i="14"/>
  <c r="R232" i="14"/>
  <c r="Q250" i="14"/>
  <c r="AB95" i="14"/>
  <c r="Q70" i="14"/>
  <c r="Q159" i="14"/>
  <c r="AB161" i="14"/>
  <c r="R68" i="14"/>
  <c r="Q98" i="14"/>
  <c r="W90" i="14"/>
  <c r="AB61" i="14"/>
  <c r="AF303" i="14"/>
  <c r="AF3" i="14"/>
  <c r="AB151" i="14"/>
  <c r="Q72" i="14"/>
  <c r="Q25" i="14"/>
  <c r="R223" i="14"/>
  <c r="AB83" i="14"/>
  <c r="AF53" i="14"/>
  <c r="AF108" i="14"/>
  <c r="AB23" i="14"/>
  <c r="AB355" i="14"/>
  <c r="AB26" i="14"/>
  <c r="AB102" i="14"/>
  <c r="AF365" i="14"/>
  <c r="AB20" i="14"/>
  <c r="AB266" i="14"/>
  <c r="AB195" i="14"/>
  <c r="AB263" i="14"/>
  <c r="AB74" i="14"/>
  <c r="AB347" i="14"/>
  <c r="AF7" i="14"/>
  <c r="AB235" i="14"/>
  <c r="AF374" i="14"/>
  <c r="AB77" i="14"/>
  <c r="AF245" i="14"/>
  <c r="AB333" i="14"/>
  <c r="AB66" i="14"/>
  <c r="Q244" i="14"/>
  <c r="Q60" i="14"/>
  <c r="Q49" i="14"/>
  <c r="R203" i="14"/>
  <c r="AB21" i="14"/>
  <c r="AB367" i="14"/>
  <c r="AF46" i="14"/>
  <c r="AB72" i="14"/>
  <c r="AB366" i="14"/>
  <c r="AF337" i="14"/>
  <c r="AB364" i="14"/>
  <c r="AB353" i="14"/>
  <c r="AB215" i="14"/>
  <c r="AF22" i="14"/>
  <c r="AB128" i="14"/>
  <c r="AF127" i="14"/>
  <c r="AB58" i="14"/>
  <c r="AB118" i="14"/>
  <c r="AF326" i="14"/>
  <c r="AF168" i="14"/>
  <c r="AB116" i="14"/>
  <c r="Q153" i="14"/>
  <c r="AB101" i="14"/>
  <c r="AB344" i="14"/>
  <c r="AF23" i="14"/>
  <c r="AB35" i="14"/>
  <c r="AB217" i="14"/>
  <c r="AF266" i="14"/>
  <c r="AB51" i="14"/>
  <c r="AF158" i="14"/>
  <c r="AB162" i="14"/>
  <c r="Q211" i="14"/>
  <c r="AB228" i="14"/>
  <c r="AF311" i="14"/>
  <c r="Q106" i="14"/>
  <c r="Q251" i="14"/>
  <c r="Q370" i="14"/>
  <c r="AB36" i="14"/>
  <c r="AB211" i="14"/>
  <c r="AF123" i="14"/>
  <c r="AF297" i="14"/>
  <c r="AB254" i="14"/>
  <c r="AB292" i="14"/>
  <c r="AB231" i="14"/>
  <c r="AB340" i="14"/>
  <c r="AB240" i="14"/>
  <c r="Q354" i="14"/>
  <c r="Q108" i="14"/>
  <c r="Q218" i="14"/>
  <c r="AF71" i="14"/>
  <c r="AB342" i="14"/>
  <c r="AB296" i="14"/>
  <c r="AB370" i="14"/>
  <c r="AF317" i="14"/>
  <c r="AF100" i="14"/>
  <c r="AF57" i="14"/>
  <c r="AB108" i="14"/>
  <c r="AF354" i="14"/>
  <c r="AF62" i="14"/>
  <c r="AB49" i="14"/>
  <c r="AB157" i="14"/>
  <c r="AB22" i="14"/>
  <c r="AF195" i="14"/>
  <c r="AF216" i="14"/>
  <c r="AB24" i="14"/>
  <c r="AB226" i="14"/>
  <c r="AF104" i="14"/>
  <c r="AB252" i="14"/>
  <c r="AB293" i="14"/>
  <c r="AB326" i="14"/>
  <c r="AB65" i="14"/>
  <c r="AF147" i="14"/>
  <c r="AB130" i="14"/>
  <c r="AB67" i="14"/>
  <c r="AB188" i="14"/>
  <c r="AB265" i="14"/>
  <c r="AF322" i="14"/>
  <c r="AB251" i="14"/>
  <c r="AF153" i="14"/>
  <c r="AF67" i="14"/>
  <c r="AB295" i="14"/>
  <c r="AB60" i="14"/>
  <c r="AB55" i="14"/>
  <c r="AB82" i="14"/>
  <c r="AF188" i="14"/>
  <c r="AB316" i="14"/>
  <c r="AB246" i="14"/>
  <c r="AB181" i="14"/>
  <c r="AB234" i="14"/>
  <c r="AB136" i="14"/>
  <c r="AF21" i="14"/>
  <c r="AB147" i="14"/>
  <c r="AF131" i="14"/>
  <c r="AF94" i="14"/>
  <c r="AB97" i="14"/>
  <c r="AB360" i="14"/>
  <c r="AF98" i="14"/>
  <c r="AB372" i="14"/>
  <c r="AF145" i="14"/>
  <c r="AB341" i="14"/>
  <c r="AB236" i="14"/>
  <c r="AB213" i="14"/>
  <c r="Q165" i="14"/>
  <c r="R185" i="14"/>
  <c r="AF238" i="14"/>
  <c r="AB62" i="14"/>
  <c r="AF27" i="14"/>
  <c r="AB178" i="14"/>
  <c r="AF312" i="14"/>
  <c r="AB70" i="14"/>
  <c r="AF343" i="14"/>
  <c r="AF134" i="14"/>
  <c r="AB33" i="14"/>
  <c r="AB255" i="14"/>
  <c r="AB146" i="14"/>
  <c r="AB315" i="14"/>
  <c r="AB160" i="14"/>
  <c r="AF165" i="14"/>
  <c r="AB268" i="14"/>
  <c r="AB182" i="14"/>
  <c r="AB75" i="14"/>
  <c r="AB168" i="14"/>
  <c r="Q353" i="14"/>
  <c r="Q30" i="14"/>
  <c r="AF56" i="14"/>
  <c r="AB165" i="14"/>
  <c r="Q97" i="14"/>
  <c r="AB124" i="14"/>
  <c r="AB3" i="14"/>
  <c r="AB212" i="14"/>
  <c r="AF302" i="14"/>
  <c r="AB107" i="14"/>
  <c r="AF363" i="14"/>
  <c r="AB150" i="14"/>
  <c r="AF304" i="14"/>
  <c r="AB365" i="14"/>
  <c r="AB121" i="14"/>
  <c r="AF277" i="14"/>
  <c r="AF138" i="14"/>
  <c r="AF256" i="14"/>
  <c r="AB250" i="14"/>
  <c r="AB214" i="14"/>
  <c r="AB110" i="14"/>
  <c r="AB227" i="14"/>
  <c r="AB243" i="14"/>
  <c r="AB7" i="14"/>
  <c r="AB88" i="14"/>
  <c r="AB374" i="14"/>
  <c r="AB103" i="14"/>
  <c r="AB221" i="14"/>
  <c r="AB245" i="14"/>
  <c r="AB183" i="14"/>
  <c r="AB356" i="14"/>
  <c r="AB113" i="14"/>
  <c r="Q278" i="14"/>
  <c r="Q142" i="14"/>
  <c r="R86" i="14"/>
  <c r="AB152" i="14"/>
  <c r="AB174" i="14"/>
  <c r="AB277" i="14"/>
  <c r="AB247" i="14"/>
  <c r="Q51" i="14"/>
  <c r="Q303" i="14"/>
  <c r="AB282" i="14"/>
  <c r="Q157" i="14"/>
  <c r="AB94" i="14"/>
  <c r="AB179" i="14"/>
  <c r="AB196" i="14"/>
  <c r="AB127" i="14"/>
  <c r="AB311" i="14"/>
  <c r="AF294" i="14"/>
  <c r="AB31" i="14"/>
  <c r="AF356" i="14"/>
  <c r="AB73" i="14"/>
  <c r="AB264" i="14"/>
  <c r="AF181" i="14"/>
  <c r="AB99" i="14"/>
  <c r="AF40" i="14"/>
  <c r="AB43" i="14"/>
  <c r="AB352" i="14"/>
  <c r="AB144" i="14"/>
  <c r="AB111" i="14"/>
  <c r="AF263" i="14"/>
  <c r="AB322" i="14"/>
  <c r="AB244" i="14"/>
  <c r="AB327" i="14"/>
  <c r="AB338" i="14"/>
  <c r="AB85" i="14"/>
  <c r="AF66" i="14"/>
  <c r="AB219" i="14"/>
  <c r="AB131" i="14"/>
  <c r="AB104" i="14"/>
  <c r="AB166" i="14"/>
  <c r="AB279" i="14"/>
  <c r="AB106" i="14"/>
  <c r="AF196" i="14"/>
  <c r="AB220" i="14"/>
  <c r="AB46" i="14"/>
  <c r="AB289" i="14"/>
  <c r="AF334" i="14"/>
  <c r="AF236" i="14"/>
  <c r="AF339" i="14"/>
  <c r="AB98" i="14"/>
  <c r="Q55" i="14"/>
  <c r="AB57" i="14"/>
  <c r="AB354" i="14"/>
  <c r="AF278" i="14"/>
  <c r="AF159" i="14"/>
  <c r="AF164" i="14"/>
  <c r="AB180" i="14"/>
  <c r="AB153" i="14"/>
  <c r="AF106" i="14"/>
  <c r="AB44" i="14"/>
  <c r="AB332" i="14"/>
  <c r="AB56" i="14"/>
  <c r="AB230" i="14"/>
  <c r="AB328" i="14"/>
  <c r="AB334" i="14"/>
  <c r="AB76" i="14"/>
  <c r="AF117" i="14"/>
  <c r="AB156" i="14"/>
  <c r="AB359" i="14"/>
  <c r="AF85" i="14"/>
  <c r="AB39" i="14"/>
  <c r="AB177" i="14"/>
  <c r="AB115" i="14"/>
  <c r="AB368" i="14"/>
  <c r="AF112" i="14"/>
  <c r="AF289" i="14"/>
  <c r="AB109" i="14"/>
  <c r="P316" i="14"/>
  <c r="Q316" i="14" s="1"/>
  <c r="R316" i="13"/>
  <c r="Q316" i="13"/>
  <c r="R27" i="13"/>
  <c r="P27" i="14"/>
  <c r="Q27" i="14" s="1"/>
  <c r="Q27" i="13"/>
  <c r="P150" i="14"/>
  <c r="Q150" i="14" s="1"/>
  <c r="Q150" i="13"/>
  <c r="R150" i="13"/>
  <c r="W165" i="13"/>
  <c r="U165" i="14"/>
  <c r="W165" i="14" s="1"/>
  <c r="P375" i="14"/>
  <c r="Q375" i="14" s="1"/>
  <c r="Q375" i="13"/>
  <c r="R375" i="13"/>
  <c r="P35" i="14"/>
  <c r="Q35" i="14" s="1"/>
  <c r="Q35" i="13"/>
  <c r="R35" i="13"/>
  <c r="P362" i="14"/>
  <c r="Q362" i="14" s="1"/>
  <c r="Q362" i="13"/>
  <c r="AF107" i="14"/>
  <c r="P373" i="14"/>
  <c r="Q373" i="14" s="1"/>
  <c r="R373" i="13"/>
  <c r="Q373" i="13"/>
  <c r="AB6" i="13"/>
  <c r="X6" i="14"/>
  <c r="AB105" i="14"/>
  <c r="AB40" i="14"/>
  <c r="X9" i="14"/>
  <c r="X8" i="14"/>
  <c r="X193" i="14"/>
  <c r="X194" i="14"/>
  <c r="W120" i="13"/>
  <c r="U120" i="14"/>
  <c r="W120" i="14" s="1"/>
  <c r="P171" i="14"/>
  <c r="Q171" i="14" s="1"/>
  <c r="Q171" i="13"/>
  <c r="R171" i="13"/>
  <c r="AB329" i="13"/>
  <c r="Y329" i="14"/>
  <c r="AB329" i="14" s="1"/>
  <c r="AF157" i="14"/>
  <c r="P138" i="14"/>
  <c r="Q138" i="14" s="1"/>
  <c r="R138" i="13"/>
  <c r="Q138" i="13"/>
  <c r="P196" i="14"/>
  <c r="Q196" i="14" s="1"/>
  <c r="Q196" i="13"/>
  <c r="R196" i="13"/>
  <c r="P367" i="14"/>
  <c r="Q367" i="14" s="1"/>
  <c r="R368" i="13"/>
  <c r="Q368" i="13"/>
  <c r="AB84" i="14"/>
  <c r="AB32" i="14"/>
  <c r="P242" i="14"/>
  <c r="Q242" i="14" s="1"/>
  <c r="R242" i="13"/>
  <c r="Q242" i="13"/>
  <c r="AF160" i="14"/>
  <c r="P322" i="14"/>
  <c r="Q322" i="14" s="1"/>
  <c r="Q322" i="13"/>
  <c r="W250" i="13"/>
  <c r="U250" i="14"/>
  <c r="W250" i="14" s="1"/>
  <c r="Y125" i="14"/>
  <c r="Y126" i="14"/>
  <c r="P273" i="14"/>
  <c r="P274" i="14"/>
  <c r="R271" i="13"/>
  <c r="Q271" i="13"/>
  <c r="Y335" i="14"/>
  <c r="Y336" i="14"/>
  <c r="AC290" i="14"/>
  <c r="AF268" i="14"/>
  <c r="AF182" i="14"/>
  <c r="AD197" i="14"/>
  <c r="Q206" i="13"/>
  <c r="R206" i="13"/>
  <c r="AB294" i="14"/>
  <c r="R310" i="13"/>
  <c r="Q310" i="13"/>
  <c r="P31" i="14"/>
  <c r="Q31" i="14" s="1"/>
  <c r="Q31" i="13"/>
  <c r="R31" i="13"/>
  <c r="P300" i="14"/>
  <c r="Q300" i="14" s="1"/>
  <c r="R300" i="13"/>
  <c r="Q300" i="13"/>
  <c r="AB175" i="14"/>
  <c r="P225" i="14"/>
  <c r="Q225" i="14" s="1"/>
  <c r="Q225" i="13"/>
  <c r="R225" i="13"/>
  <c r="AD28" i="14"/>
  <c r="P264" i="14"/>
  <c r="Q264" i="14" s="1"/>
  <c r="R264" i="13"/>
  <c r="Q264" i="13"/>
  <c r="Y345" i="14"/>
  <c r="Y346" i="14"/>
  <c r="P92" i="14"/>
  <c r="P93" i="14"/>
  <c r="R91" i="13"/>
  <c r="Q91" i="13"/>
  <c r="X348" i="14"/>
  <c r="X349" i="14"/>
  <c r="Q346" i="13"/>
  <c r="R346" i="13"/>
  <c r="X190" i="14"/>
  <c r="X189" i="14"/>
  <c r="U140" i="14"/>
  <c r="W140" i="14" s="1"/>
  <c r="Y269" i="14"/>
  <c r="Y270" i="14"/>
  <c r="AD313" i="14"/>
  <c r="R321" i="13"/>
  <c r="Q321" i="13"/>
  <c r="P308" i="14"/>
  <c r="Q308" i="13"/>
  <c r="R308" i="13"/>
  <c r="P79" i="14"/>
  <c r="Q79" i="14" s="1"/>
  <c r="Q79" i="13"/>
  <c r="R79" i="13"/>
  <c r="X125" i="14"/>
  <c r="X126" i="14"/>
  <c r="Y274" i="14"/>
  <c r="Y273" i="14"/>
  <c r="X336" i="14"/>
  <c r="X335" i="14"/>
  <c r="P17" i="14"/>
  <c r="P16" i="14"/>
  <c r="R13" i="13"/>
  <c r="Q13" i="13"/>
  <c r="R15" i="13"/>
  <c r="Q15" i="13"/>
  <c r="P327" i="14"/>
  <c r="Q327" i="14" s="1"/>
  <c r="Q327" i="13"/>
  <c r="R327" i="13"/>
  <c r="P118" i="14"/>
  <c r="Q118" i="14" s="1"/>
  <c r="R118" i="13"/>
  <c r="Q118" i="13"/>
  <c r="P50" i="14"/>
  <c r="Q50" i="14" s="1"/>
  <c r="R50" i="13"/>
  <c r="Q50" i="13"/>
  <c r="P186" i="14"/>
  <c r="Q186" i="14" s="1"/>
  <c r="R186" i="13"/>
  <c r="Q186" i="13"/>
  <c r="P307" i="14"/>
  <c r="Q307" i="14" s="1"/>
  <c r="Q307" i="13"/>
  <c r="R307" i="13"/>
  <c r="Q17" i="13"/>
  <c r="R17" i="13"/>
  <c r="P122" i="14"/>
  <c r="Q122" i="14" s="1"/>
  <c r="Q122" i="13"/>
  <c r="R122" i="13"/>
  <c r="P162" i="14"/>
  <c r="Q162" i="14" s="1"/>
  <c r="R162" i="13"/>
  <c r="Q162" i="13"/>
  <c r="P170" i="14"/>
  <c r="Q170" i="14" s="1"/>
  <c r="R170" i="13"/>
  <c r="Q170" i="13"/>
  <c r="X346" i="14"/>
  <c r="X345" i="14"/>
  <c r="R185" i="13"/>
  <c r="Q185" i="13"/>
  <c r="Y92" i="14"/>
  <c r="Y93" i="14"/>
  <c r="X299" i="14"/>
  <c r="X298" i="14"/>
  <c r="AD189" i="14"/>
  <c r="P219" i="14"/>
  <c r="Q219" i="14" s="1"/>
  <c r="Q219" i="13"/>
  <c r="R219" i="13"/>
  <c r="Y140" i="14"/>
  <c r="Y141" i="14"/>
  <c r="U287" i="14"/>
  <c r="W287" i="14" s="1"/>
  <c r="P358" i="14"/>
  <c r="P357" i="14"/>
  <c r="R357" i="13"/>
  <c r="Q357" i="13"/>
  <c r="R169" i="14"/>
  <c r="Q169" i="14"/>
  <c r="Y9" i="14"/>
  <c r="Y8" i="14"/>
  <c r="AD8" i="14"/>
  <c r="P360" i="14"/>
  <c r="Q360" i="14" s="1"/>
  <c r="Q360" i="13"/>
  <c r="R360" i="13"/>
  <c r="AF353" i="14"/>
  <c r="Y193" i="14"/>
  <c r="Y194" i="14"/>
  <c r="P21" i="14"/>
  <c r="Q21" i="14" s="1"/>
  <c r="Q21" i="13"/>
  <c r="R21" i="13"/>
  <c r="P266" i="14"/>
  <c r="Q266" i="14" s="1"/>
  <c r="R266" i="13"/>
  <c r="Q266" i="13"/>
  <c r="P46" i="14"/>
  <c r="Q46" i="14" s="1"/>
  <c r="R46" i="13"/>
  <c r="Q46" i="13"/>
  <c r="AF237" i="14"/>
  <c r="P254" i="14"/>
  <c r="Q254" i="14" s="1"/>
  <c r="R254" i="13"/>
  <c r="Q254" i="13"/>
  <c r="AB232" i="14"/>
  <c r="W125" i="13"/>
  <c r="U125" i="14"/>
  <c r="W125" i="14" s="1"/>
  <c r="X274" i="14"/>
  <c r="X273" i="14"/>
  <c r="AD335" i="14"/>
  <c r="Q288" i="13"/>
  <c r="R288" i="13"/>
  <c r="Y16" i="14"/>
  <c r="Y17" i="14"/>
  <c r="P338" i="14"/>
  <c r="Q338" i="14" s="1"/>
  <c r="R338" i="13"/>
  <c r="Q338" i="13"/>
  <c r="P85" i="14"/>
  <c r="Q85" i="14" s="1"/>
  <c r="R85" i="13"/>
  <c r="Q85" i="13"/>
  <c r="AF88" i="14"/>
  <c r="Q126" i="13"/>
  <c r="R126" i="13"/>
  <c r="Q18" i="13"/>
  <c r="R18" i="13"/>
  <c r="R207" i="13"/>
  <c r="Q207" i="13"/>
  <c r="P77" i="14"/>
  <c r="Q77" i="14" s="1"/>
  <c r="Q77" i="13"/>
  <c r="R77" i="13"/>
  <c r="P260" i="14"/>
  <c r="Q260" i="14" s="1"/>
  <c r="Q260" i="13"/>
  <c r="R260" i="13"/>
  <c r="AF175" i="14"/>
  <c r="AB225" i="14"/>
  <c r="AD345" i="14"/>
  <c r="X92" i="14"/>
  <c r="X93" i="14"/>
  <c r="Y299" i="14"/>
  <c r="Y298" i="14"/>
  <c r="R209" i="13"/>
  <c r="Q209" i="13"/>
  <c r="AF116" i="14"/>
  <c r="X310" i="14"/>
  <c r="X309" i="14"/>
  <c r="AF52" i="14"/>
  <c r="X140" i="14"/>
  <c r="X141" i="14"/>
  <c r="P288" i="14"/>
  <c r="P287" i="14"/>
  <c r="R287" i="13"/>
  <c r="Q287" i="13"/>
  <c r="Y357" i="14"/>
  <c r="Y358" i="14"/>
  <c r="W136" i="13"/>
  <c r="U136" i="14"/>
  <c r="W136" i="14" s="1"/>
  <c r="AF212" i="14"/>
  <c r="AB259" i="14"/>
  <c r="W123" i="13"/>
  <c r="U123" i="14"/>
  <c r="W123" i="14" s="1"/>
  <c r="W224" i="13"/>
  <c r="U224" i="14"/>
  <c r="W224" i="14" s="1"/>
  <c r="W108" i="13"/>
  <c r="U108" i="14"/>
  <c r="W108" i="14" s="1"/>
  <c r="P9" i="14"/>
  <c r="P8" i="14"/>
  <c r="R8" i="13"/>
  <c r="Q8" i="13"/>
  <c r="AB41" i="14"/>
  <c r="AB362" i="14"/>
  <c r="AB142" i="14"/>
  <c r="AB373" i="14"/>
  <c r="P215" i="14"/>
  <c r="Q215" i="14" s="1"/>
  <c r="Q215" i="13"/>
  <c r="R215" i="13"/>
  <c r="P220" i="14"/>
  <c r="Q220" i="14" s="1"/>
  <c r="R220" i="13"/>
  <c r="Q220" i="13"/>
  <c r="AB143" i="14"/>
  <c r="P154" i="14"/>
  <c r="Q154" i="14" s="1"/>
  <c r="Q154" i="13"/>
  <c r="R154" i="13"/>
  <c r="AF26" i="14"/>
  <c r="AF102" i="14"/>
  <c r="AF120" i="14"/>
  <c r="Y63" i="14"/>
  <c r="Y64" i="14"/>
  <c r="X90" i="14"/>
  <c r="X91" i="14"/>
  <c r="AD193" i="14"/>
  <c r="R114" i="13"/>
  <c r="P114" i="14"/>
  <c r="Q114" i="14" s="1"/>
  <c r="Q114" i="13"/>
  <c r="AB45" i="14"/>
  <c r="P127" i="14"/>
  <c r="Q127" i="14" s="1"/>
  <c r="R127" i="13"/>
  <c r="Q127" i="13"/>
  <c r="AF223" i="14"/>
  <c r="AB169" i="14"/>
  <c r="AB242" i="14"/>
  <c r="AF79" i="14"/>
  <c r="P34" i="14"/>
  <c r="Q34" i="14" s="1"/>
  <c r="R34" i="13"/>
  <c r="Q34" i="13"/>
  <c r="AF347" i="14"/>
  <c r="X12" i="14"/>
  <c r="X13" i="14"/>
  <c r="AD125" i="14"/>
  <c r="AD273" i="14"/>
  <c r="P117" i="14"/>
  <c r="Q117" i="14" s="1"/>
  <c r="R117" i="13"/>
  <c r="Q117" i="13"/>
  <c r="X16" i="14"/>
  <c r="X17" i="14"/>
  <c r="AF118" i="14"/>
  <c r="AB50" i="14"/>
  <c r="P18" i="14"/>
  <c r="P19" i="14"/>
  <c r="Q14" i="13"/>
  <c r="R14" i="13"/>
  <c r="P137" i="14"/>
  <c r="Q137" i="14" s="1"/>
  <c r="R137" i="13"/>
  <c r="Q137" i="13"/>
  <c r="AB186" i="14"/>
  <c r="AB307" i="14"/>
  <c r="W285" i="13"/>
  <c r="U285" i="14"/>
  <c r="W285" i="14" s="1"/>
  <c r="P321" i="14"/>
  <c r="Q321" i="14" s="1"/>
  <c r="P320" i="14"/>
  <c r="Q320" i="14" s="1"/>
  <c r="R320" i="13"/>
  <c r="Q320" i="13"/>
  <c r="AB249" i="14"/>
  <c r="W260" i="13"/>
  <c r="U260" i="14"/>
  <c r="W260" i="14" s="1"/>
  <c r="AF333" i="14"/>
  <c r="P112" i="14"/>
  <c r="Q112" i="14" s="1"/>
  <c r="R112" i="13"/>
  <c r="Q112" i="13"/>
  <c r="P289" i="14"/>
  <c r="Q289" i="14" s="1"/>
  <c r="Q289" i="13"/>
  <c r="R289" i="13"/>
  <c r="AB170" i="14"/>
  <c r="R192" i="13"/>
  <c r="Q192" i="13"/>
  <c r="AD92" i="14"/>
  <c r="AD298" i="14"/>
  <c r="R19" i="13"/>
  <c r="Q19" i="13"/>
  <c r="P301" i="14"/>
  <c r="Q301" i="14" s="1"/>
  <c r="R301" i="13"/>
  <c r="Q301" i="13"/>
  <c r="R133" i="13"/>
  <c r="Q133" i="13"/>
  <c r="P310" i="14"/>
  <c r="Q310" i="14" s="1"/>
  <c r="P309" i="14"/>
  <c r="Q309" i="14" s="1"/>
  <c r="R309" i="13"/>
  <c r="Q309" i="13"/>
  <c r="P340" i="14"/>
  <c r="Q340" i="14" s="1"/>
  <c r="Q340" i="13"/>
  <c r="R340" i="13"/>
  <c r="AD140" i="14"/>
  <c r="Y288" i="14"/>
  <c r="Y287" i="14"/>
  <c r="AD357" i="14"/>
  <c r="AF135" i="14"/>
  <c r="R119" i="14"/>
  <c r="P195" i="14"/>
  <c r="Q195" i="14" s="1"/>
  <c r="R195" i="13"/>
  <c r="Q195" i="13"/>
  <c r="P99" i="14"/>
  <c r="Q99" i="14" s="1"/>
  <c r="Q99" i="13"/>
  <c r="R99" i="13"/>
  <c r="P256" i="14"/>
  <c r="Q256" i="14" s="1"/>
  <c r="Q256" i="13"/>
  <c r="R256" i="13"/>
  <c r="P194" i="14"/>
  <c r="P193" i="14"/>
  <c r="R193" i="13"/>
  <c r="Q193" i="13"/>
  <c r="P143" i="14"/>
  <c r="Q143" i="14" s="1"/>
  <c r="Q143" i="13"/>
  <c r="R143" i="13"/>
  <c r="W371" i="13"/>
  <c r="U370" i="14"/>
  <c r="W370" i="14" s="1"/>
  <c r="P76" i="14"/>
  <c r="Q76" i="14" s="1"/>
  <c r="R76" i="13"/>
  <c r="Q76" i="13"/>
  <c r="AB30" i="14"/>
  <c r="AF362" i="14"/>
  <c r="AF142" i="14"/>
  <c r="AF373" i="14"/>
  <c r="P22" i="14"/>
  <c r="Q22" i="14" s="1"/>
  <c r="R22" i="13"/>
  <c r="Q22" i="13"/>
  <c r="P217" i="14"/>
  <c r="Q217" i="14" s="1"/>
  <c r="R217" i="13"/>
  <c r="Q217" i="13"/>
  <c r="AB281" i="14"/>
  <c r="P67" i="14"/>
  <c r="Q67" i="14" s="1"/>
  <c r="Q67" i="13"/>
  <c r="R67" i="13"/>
  <c r="AB159" i="14"/>
  <c r="P110" i="14"/>
  <c r="Q110" i="14" s="1"/>
  <c r="Q110" i="13"/>
  <c r="R110" i="13"/>
  <c r="P188" i="14"/>
  <c r="Q188" i="14" s="1"/>
  <c r="R188" i="13"/>
  <c r="Q188" i="13"/>
  <c r="P265" i="14"/>
  <c r="Q265" i="14" s="1"/>
  <c r="Q265" i="13"/>
  <c r="R265" i="13"/>
  <c r="X64" i="14"/>
  <c r="X63" i="14"/>
  <c r="P144" i="14"/>
  <c r="Q144" i="14" s="1"/>
  <c r="Q144" i="13"/>
  <c r="R144" i="13"/>
  <c r="Y90" i="14"/>
  <c r="Y91" i="14"/>
  <c r="P283" i="14"/>
  <c r="Q283" i="14" s="1"/>
  <c r="R283" i="13"/>
  <c r="Q283" i="13"/>
  <c r="P297" i="14"/>
  <c r="Q297" i="14" s="1"/>
  <c r="Q297" i="13"/>
  <c r="R297" i="13"/>
  <c r="AF332" i="14"/>
  <c r="AB224" i="14"/>
  <c r="Y199" i="14"/>
  <c r="Y200" i="14"/>
  <c r="P167" i="14"/>
  <c r="Q167" i="14" s="1"/>
  <c r="R167" i="13"/>
  <c r="P13" i="14"/>
  <c r="P12" i="14"/>
  <c r="Q11" i="13"/>
  <c r="R11" i="13"/>
  <c r="P139" i="14"/>
  <c r="Q139" i="14" s="1"/>
  <c r="Q139" i="13"/>
  <c r="R139" i="13"/>
  <c r="P292" i="14"/>
  <c r="Q292" i="14" s="1"/>
  <c r="Q292" i="13"/>
  <c r="R292" i="13"/>
  <c r="R141" i="13"/>
  <c r="Q141" i="13"/>
  <c r="AD16" i="14"/>
  <c r="W338" i="13"/>
  <c r="U338" i="14"/>
  <c r="W338" i="14" s="1"/>
  <c r="W85" i="13"/>
  <c r="U85" i="14"/>
  <c r="W85" i="14" s="1"/>
  <c r="P145" i="14"/>
  <c r="Q145" i="14" s="1"/>
  <c r="Q145" i="13"/>
  <c r="R145" i="13"/>
  <c r="Y19" i="14"/>
  <c r="Y18" i="14"/>
  <c r="Q273" i="13"/>
  <c r="R273" i="13"/>
  <c r="R210" i="13"/>
  <c r="Q210" i="13"/>
  <c r="AD320" i="14"/>
  <c r="P59" i="14"/>
  <c r="Q59" i="14" s="1"/>
  <c r="R59" i="13"/>
  <c r="W115" i="13"/>
  <c r="U115" i="14"/>
  <c r="W115" i="14" s="1"/>
  <c r="AF31" i="14"/>
  <c r="AF162" i="14"/>
  <c r="P361" i="14"/>
  <c r="Q361" i="14" s="1"/>
  <c r="R361" i="13"/>
  <c r="Q361" i="13"/>
  <c r="P172" i="14"/>
  <c r="Q172" i="14" s="1"/>
  <c r="R172" i="13"/>
  <c r="Q172" i="13"/>
  <c r="AB112" i="14"/>
  <c r="P95" i="14"/>
  <c r="Q95" i="14" s="1"/>
  <c r="Q95" i="13"/>
  <c r="R95" i="13"/>
  <c r="P231" i="14"/>
  <c r="Q231" i="14" s="1"/>
  <c r="R231" i="13"/>
  <c r="Q231" i="13"/>
  <c r="Q336" i="13"/>
  <c r="R336" i="13"/>
  <c r="P203" i="14"/>
  <c r="Q203" i="14" s="1"/>
  <c r="P204" i="14"/>
  <c r="Q204" i="14" s="1"/>
  <c r="R200" i="13"/>
  <c r="Q200" i="13"/>
  <c r="Y331" i="14"/>
  <c r="Y330" i="14"/>
  <c r="P116" i="14"/>
  <c r="Q116" i="14" s="1"/>
  <c r="R116" i="13"/>
  <c r="Q116" i="13"/>
  <c r="Y309" i="14"/>
  <c r="Y310" i="14"/>
  <c r="P185" i="14"/>
  <c r="Q185" i="14" s="1"/>
  <c r="P184" i="14"/>
  <c r="Q184" i="14" s="1"/>
  <c r="Q184" i="13"/>
  <c r="R184" i="13"/>
  <c r="X288" i="14"/>
  <c r="X287" i="14"/>
  <c r="Q194" i="13"/>
  <c r="R194" i="13"/>
  <c r="P272" i="14"/>
  <c r="P271" i="14"/>
  <c r="R270" i="13"/>
  <c r="Q270" i="13"/>
  <c r="P295" i="14"/>
  <c r="Q295" i="14" s="1"/>
  <c r="Q295" i="13"/>
  <c r="R116" i="14"/>
  <c r="Q174" i="14"/>
  <c r="R174" i="14"/>
  <c r="W111" i="13"/>
  <c r="U111" i="14"/>
  <c r="W111" i="14" s="1"/>
  <c r="P81" i="14"/>
  <c r="P80" i="14"/>
  <c r="Q80" i="13"/>
  <c r="R80" i="13"/>
  <c r="P255" i="14"/>
  <c r="Q255" i="14" s="1"/>
  <c r="R255" i="13"/>
  <c r="Q255" i="13"/>
  <c r="P181" i="14"/>
  <c r="Q181" i="14" s="1"/>
  <c r="Q181" i="13"/>
  <c r="R181" i="13"/>
  <c r="W267" i="13"/>
  <c r="U267" i="14"/>
  <c r="W267" i="14" s="1"/>
  <c r="P352" i="14"/>
  <c r="Q352" i="14" s="1"/>
  <c r="R352" i="13"/>
  <c r="P45" i="14"/>
  <c r="Q45" i="14" s="1"/>
  <c r="R45" i="13"/>
  <c r="Q45" i="13"/>
  <c r="W177" i="13"/>
  <c r="U177" i="14"/>
  <c r="W177" i="14" s="1"/>
  <c r="W335" i="13"/>
  <c r="U335" i="14"/>
  <c r="W335" i="14" s="1"/>
  <c r="P248" i="14"/>
  <c r="Q248" i="14" s="1"/>
  <c r="Q248" i="13"/>
  <c r="R248" i="13"/>
  <c r="P82" i="14"/>
  <c r="Q82" i="14" s="1"/>
  <c r="R82" i="13"/>
  <c r="Q82" i="13"/>
  <c r="P239" i="14"/>
  <c r="Q239" i="14" s="1"/>
  <c r="Q239" i="13"/>
  <c r="W143" i="13"/>
  <c r="U143" i="14"/>
  <c r="W143" i="14" s="1"/>
  <c r="P315" i="14"/>
  <c r="Q315" i="14" s="1"/>
  <c r="Q315" i="13"/>
  <c r="R315" i="13"/>
  <c r="W251" i="13"/>
  <c r="U251" i="14"/>
  <c r="W251" i="14" s="1"/>
  <c r="P102" i="14"/>
  <c r="Q102" i="14" s="1"/>
  <c r="R102" i="13"/>
  <c r="Q102" i="13"/>
  <c r="P20" i="14"/>
  <c r="Q20" i="14" s="1"/>
  <c r="Q20" i="13"/>
  <c r="R20" i="13"/>
  <c r="P224" i="14"/>
  <c r="Q224" i="14" s="1"/>
  <c r="Q224" i="13"/>
  <c r="R224" i="13"/>
  <c r="P222" i="14"/>
  <c r="Q222" i="14" s="1"/>
  <c r="R222" i="13"/>
  <c r="Q222" i="13"/>
  <c r="AD63" i="14"/>
  <c r="AF35" i="14"/>
  <c r="AD90" i="14"/>
  <c r="AB216" i="14"/>
  <c r="W114" i="13"/>
  <c r="U114" i="14"/>
  <c r="W114" i="14" s="1"/>
  <c r="W27" i="13"/>
  <c r="U27" i="14"/>
  <c r="W27" i="14" s="1"/>
  <c r="P216" i="14"/>
  <c r="Q216" i="14" s="1"/>
  <c r="R216" i="13"/>
  <c r="Q216" i="13"/>
  <c r="R147" i="13"/>
  <c r="P147" i="14"/>
  <c r="Q147" i="14" s="1"/>
  <c r="Q147" i="13"/>
  <c r="AB223" i="14"/>
  <c r="AB375" i="13"/>
  <c r="X375" i="14"/>
  <c r="AB375" i="14" s="1"/>
  <c r="X199" i="14"/>
  <c r="X200" i="14"/>
  <c r="P241" i="14"/>
  <c r="Q241" i="14" s="1"/>
  <c r="Q241" i="13"/>
  <c r="R241" i="13"/>
  <c r="AF167" i="14"/>
  <c r="Y12" i="14"/>
  <c r="Y13" i="14"/>
  <c r="P156" i="14"/>
  <c r="Q156" i="14" s="1"/>
  <c r="R156" i="13"/>
  <c r="Q156" i="13"/>
  <c r="AB145" i="14"/>
  <c r="P39" i="14"/>
  <c r="Q39" i="14" s="1"/>
  <c r="R39" i="13"/>
  <c r="Q39" i="13"/>
  <c r="P177" i="14"/>
  <c r="Q177" i="14" s="1"/>
  <c r="Q177" i="13"/>
  <c r="R177" i="13"/>
  <c r="X18" i="14"/>
  <c r="X19" i="14"/>
  <c r="R69" i="13"/>
  <c r="Q69" i="13"/>
  <c r="X320" i="14"/>
  <c r="X321" i="14"/>
  <c r="AB59" i="14"/>
  <c r="R115" i="13"/>
  <c r="P115" i="14"/>
  <c r="Q115" i="14" s="1"/>
  <c r="Q115" i="13"/>
  <c r="P368" i="14"/>
  <c r="Q368" i="14" s="1"/>
  <c r="Q369" i="13"/>
  <c r="R369" i="13"/>
  <c r="P78" i="14"/>
  <c r="Q78" i="14" s="1"/>
  <c r="R78" i="13"/>
  <c r="Q78" i="13"/>
  <c r="AB361" i="14"/>
  <c r="AB172" i="14"/>
  <c r="W95" i="13"/>
  <c r="U95" i="14"/>
  <c r="W95" i="14" s="1"/>
  <c r="P109" i="14"/>
  <c r="Q109" i="14" s="1"/>
  <c r="Q109" i="13"/>
  <c r="R109" i="13"/>
  <c r="P149" i="14"/>
  <c r="P148" i="14"/>
  <c r="R148" i="13"/>
  <c r="Q148" i="13"/>
  <c r="Q208" i="13"/>
  <c r="R208" i="13"/>
  <c r="Y203" i="14"/>
  <c r="Y204" i="14"/>
  <c r="P330" i="14"/>
  <c r="Q330" i="14" s="1"/>
  <c r="P331" i="14"/>
  <c r="Q331" i="14" s="1"/>
  <c r="Q330" i="13"/>
  <c r="R330" i="13"/>
  <c r="W86" i="13"/>
  <c r="U86" i="14"/>
  <c r="W86" i="14" s="1"/>
  <c r="AD309" i="14"/>
  <c r="AB233" i="14"/>
  <c r="Y184" i="14"/>
  <c r="Y185" i="14"/>
  <c r="AD287" i="14"/>
  <c r="R351" i="13"/>
  <c r="Q351" i="13"/>
  <c r="Y271" i="14"/>
  <c r="Y272" i="14"/>
  <c r="P161" i="14"/>
  <c r="Q161" i="14" s="1"/>
  <c r="R161" i="13"/>
  <c r="Q161" i="13"/>
  <c r="P253" i="14"/>
  <c r="Q253" i="14" s="1"/>
  <c r="Q253" i="13"/>
  <c r="R253" i="13"/>
  <c r="P359" i="14"/>
  <c r="Q359" i="14" s="1"/>
  <c r="R359" i="13"/>
  <c r="Q359" i="13"/>
  <c r="AD18" i="14"/>
  <c r="X275" i="14"/>
  <c r="X276" i="14"/>
  <c r="P341" i="14"/>
  <c r="Q341" i="14" s="1"/>
  <c r="R341" i="13"/>
  <c r="Q341" i="13"/>
  <c r="Y320" i="14"/>
  <c r="Y321" i="14"/>
  <c r="AB78" i="14"/>
  <c r="P236" i="14"/>
  <c r="Q236" i="14" s="1"/>
  <c r="R236" i="13"/>
  <c r="Q236" i="13"/>
  <c r="P201" i="14"/>
  <c r="P202" i="14"/>
  <c r="Q199" i="13"/>
  <c r="R199" i="13"/>
  <c r="X148" i="14"/>
  <c r="X149" i="14"/>
  <c r="X204" i="14"/>
  <c r="X203" i="14"/>
  <c r="X330" i="14"/>
  <c r="X331" i="14"/>
  <c r="Q276" i="13"/>
  <c r="R276" i="13"/>
  <c r="AB86" i="13"/>
  <c r="Y87" i="14"/>
  <c r="Y86" i="14"/>
  <c r="Q204" i="13"/>
  <c r="R204" i="13"/>
  <c r="X185" i="14"/>
  <c r="X184" i="14"/>
  <c r="W367" i="13"/>
  <c r="U371" i="14"/>
  <c r="W371" i="14" s="1"/>
  <c r="X271" i="14"/>
  <c r="X272" i="14"/>
  <c r="P323" i="14"/>
  <c r="Q323" i="14" s="1"/>
  <c r="Q323" i="13"/>
  <c r="R323" i="13"/>
  <c r="R322" i="13"/>
  <c r="R295" i="14"/>
  <c r="Q352" i="13"/>
  <c r="R50" i="14"/>
  <c r="P134" i="14"/>
  <c r="Q134" i="14" s="1"/>
  <c r="Q134" i="13"/>
  <c r="R134" i="13"/>
  <c r="P187" i="14"/>
  <c r="Q187" i="14" s="1"/>
  <c r="Q187" i="13"/>
  <c r="AB119" i="13"/>
  <c r="Y119" i="14"/>
  <c r="AB119" i="14" s="1"/>
  <c r="W4" i="13"/>
  <c r="U4" i="14"/>
  <c r="W4" i="14" s="1"/>
  <c r="AF163" i="14"/>
  <c r="P312" i="14"/>
  <c r="Q312" i="14" s="1"/>
  <c r="R312" i="13"/>
  <c r="Q312" i="13"/>
  <c r="P344" i="14"/>
  <c r="Q344" i="14" s="1"/>
  <c r="R344" i="13"/>
  <c r="Q344" i="13"/>
  <c r="P151" i="14"/>
  <c r="Q151" i="14" s="1"/>
  <c r="R151" i="13"/>
  <c r="Q151" i="13"/>
  <c r="AB187" i="14"/>
  <c r="AB25" i="14"/>
  <c r="AD191" i="14"/>
  <c r="AB176" i="13"/>
  <c r="X176" i="14"/>
  <c r="AB176" i="14" s="1"/>
  <c r="P199" i="14"/>
  <c r="Q199" i="14" s="1"/>
  <c r="P200" i="14"/>
  <c r="Q200" i="14" s="1"/>
  <c r="R198" i="13"/>
  <c r="Q198" i="13"/>
  <c r="P369" i="14"/>
  <c r="Q369" i="14" s="1"/>
  <c r="R370" i="13"/>
  <c r="Q370" i="13"/>
  <c r="W131" i="13"/>
  <c r="U131" i="14"/>
  <c r="W131" i="14" s="1"/>
  <c r="X81" i="14"/>
  <c r="X80" i="14"/>
  <c r="AF241" i="14"/>
  <c r="AB167" i="14"/>
  <c r="P372" i="14"/>
  <c r="Q372" i="14" s="1"/>
  <c r="R372" i="13"/>
  <c r="Q372" i="13"/>
  <c r="Y48" i="14"/>
  <c r="Y47" i="14"/>
  <c r="AB253" i="13"/>
  <c r="X253" i="14"/>
  <c r="AB253" i="14" s="1"/>
  <c r="P276" i="14"/>
  <c r="P275" i="14"/>
  <c r="Q272" i="13"/>
  <c r="R272" i="13"/>
  <c r="Q274" i="13"/>
  <c r="R274" i="13"/>
  <c r="X201" i="14"/>
  <c r="X202" i="14"/>
  <c r="Y149" i="14"/>
  <c r="Y148" i="14"/>
  <c r="Q5" i="13"/>
  <c r="R5" i="13"/>
  <c r="X357" i="14"/>
  <c r="X358" i="14"/>
  <c r="AD203" i="14"/>
  <c r="AD330" i="14"/>
  <c r="X87" i="14"/>
  <c r="X86" i="14"/>
  <c r="AD184" i="14"/>
  <c r="AD271" i="14"/>
  <c r="R295" i="13"/>
  <c r="R187" i="13"/>
  <c r="P284" i="14"/>
  <c r="Q284" i="14" s="1"/>
  <c r="Q284" i="13"/>
  <c r="R284" i="13"/>
  <c r="Y318" i="14"/>
  <c r="Y319" i="14"/>
  <c r="Y275" i="14"/>
  <c r="Y276" i="14"/>
  <c r="R291" i="13"/>
  <c r="Q291" i="13"/>
  <c r="P342" i="14"/>
  <c r="Q342" i="14" s="1"/>
  <c r="R342" i="13"/>
  <c r="Q342" i="13"/>
  <c r="R221" i="13"/>
  <c r="P221" i="14"/>
  <c r="Q221" i="14" s="1"/>
  <c r="Q221" i="13"/>
  <c r="P296" i="14"/>
  <c r="Q296" i="14" s="1"/>
  <c r="R296" i="13"/>
  <c r="Q296" i="13"/>
  <c r="AF361" i="14"/>
  <c r="P124" i="14"/>
  <c r="Q124" i="14" s="1"/>
  <c r="R124" i="13"/>
  <c r="P10" i="14"/>
  <c r="P11" i="14"/>
  <c r="R10" i="13"/>
  <c r="Q10" i="13"/>
  <c r="Y201" i="14"/>
  <c r="Y202" i="14"/>
  <c r="AD148" i="14"/>
  <c r="R325" i="13"/>
  <c r="Q325" i="13"/>
  <c r="AD261" i="14"/>
  <c r="P351" i="14"/>
  <c r="P350" i="14"/>
  <c r="Q349" i="13"/>
  <c r="Q81" i="13"/>
  <c r="R81" i="13"/>
  <c r="AD86" i="14"/>
  <c r="R358" i="13"/>
  <c r="Q358" i="13"/>
  <c r="AB204" i="13"/>
  <c r="P15" i="14"/>
  <c r="P14" i="14"/>
  <c r="Q12" i="13"/>
  <c r="R12" i="13"/>
  <c r="W132" i="13"/>
  <c r="U132" i="14"/>
  <c r="W132" i="14" s="1"/>
  <c r="P206" i="14"/>
  <c r="P205" i="14"/>
  <c r="Q201" i="13"/>
  <c r="R201" i="13"/>
  <c r="R29" i="13"/>
  <c r="Q29" i="13"/>
  <c r="W301" i="13"/>
  <c r="U301" i="14"/>
  <c r="W301" i="14" s="1"/>
  <c r="P38" i="14"/>
  <c r="P37" i="14"/>
  <c r="R37" i="13"/>
  <c r="Q37" i="13"/>
  <c r="R48" i="13"/>
  <c r="Q48" i="13"/>
  <c r="R238" i="14"/>
  <c r="Q238" i="14"/>
  <c r="R349" i="13"/>
  <c r="AF114" i="14"/>
  <c r="P237" i="14"/>
  <c r="Q237" i="14" s="1"/>
  <c r="Q237" i="13"/>
  <c r="R237" i="13"/>
  <c r="W324" i="13"/>
  <c r="U324" i="14"/>
  <c r="W324" i="14" s="1"/>
  <c r="W72" i="13"/>
  <c r="U72" i="14"/>
  <c r="W72" i="14" s="1"/>
  <c r="W193" i="13"/>
  <c r="U193" i="14"/>
  <c r="W193" i="14" s="1"/>
  <c r="X191" i="14"/>
  <c r="X192" i="14"/>
  <c r="P130" i="14"/>
  <c r="Q130" i="14" s="1"/>
  <c r="R130" i="13"/>
  <c r="Q130" i="13"/>
  <c r="AB164" i="14"/>
  <c r="AB218" i="14"/>
  <c r="AB312" i="14"/>
  <c r="AF36" i="14"/>
  <c r="AF180" i="14"/>
  <c r="P317" i="14"/>
  <c r="Q317" i="14" s="1"/>
  <c r="R317" i="13"/>
  <c r="Q317" i="13"/>
  <c r="P247" i="14"/>
  <c r="Q247" i="14" s="1"/>
  <c r="R247" i="13"/>
  <c r="P5" i="14"/>
  <c r="P4" i="14"/>
  <c r="R4" i="13"/>
  <c r="AB100" i="14"/>
  <c r="AF211" i="14"/>
  <c r="AB155" i="13"/>
  <c r="X155" i="14"/>
  <c r="AB155" i="14" s="1"/>
  <c r="AB302" i="13"/>
  <c r="Y302" i="14"/>
  <c r="AB302" i="14" s="1"/>
  <c r="AB343" i="13"/>
  <c r="X343" i="14"/>
  <c r="AB343" i="14" s="1"/>
  <c r="P192" i="14"/>
  <c r="P191" i="14"/>
  <c r="Q191" i="13"/>
  <c r="R191" i="13"/>
  <c r="P121" i="14"/>
  <c r="Q121" i="14" s="1"/>
  <c r="R121" i="13"/>
  <c r="Q121" i="13"/>
  <c r="AB114" i="14"/>
  <c r="AB123" i="14"/>
  <c r="Y81" i="14"/>
  <c r="Y80" i="14"/>
  <c r="P158" i="14"/>
  <c r="Q158" i="14" s="1"/>
  <c r="R158" i="13"/>
  <c r="Q158" i="13"/>
  <c r="AB54" i="14"/>
  <c r="AD47" i="14"/>
  <c r="P374" i="14"/>
  <c r="Q374" i="14" s="1"/>
  <c r="Q374" i="13"/>
  <c r="R374" i="13"/>
  <c r="P305" i="14"/>
  <c r="P306" i="14"/>
  <c r="Q305" i="13"/>
  <c r="R305" i="13"/>
  <c r="P73" i="14"/>
  <c r="Q73" i="14" s="1"/>
  <c r="Q73" i="13"/>
  <c r="R73" i="13"/>
  <c r="P87" i="14"/>
  <c r="Q87" i="14" s="1"/>
  <c r="P86" i="14"/>
  <c r="Q86" i="14" s="1"/>
  <c r="Q86" i="13"/>
  <c r="R86" i="13"/>
  <c r="P252" i="14"/>
  <c r="Q252" i="14" s="1"/>
  <c r="Q252" i="13"/>
  <c r="R252" i="13"/>
  <c r="P229" i="14"/>
  <c r="Q229" i="14" s="1"/>
  <c r="R229" i="13"/>
  <c r="Q229" i="13"/>
  <c r="AB284" i="14"/>
  <c r="X318" i="14"/>
  <c r="X319" i="14"/>
  <c r="AD275" i="14"/>
  <c r="P286" i="14"/>
  <c r="P285" i="14"/>
  <c r="R285" i="13"/>
  <c r="Q285" i="13"/>
  <c r="P129" i="14"/>
  <c r="Q129" i="14" s="1"/>
  <c r="Q129" i="13"/>
  <c r="R129" i="13"/>
  <c r="P183" i="14"/>
  <c r="Q183" i="14" s="1"/>
  <c r="R183" i="13"/>
  <c r="Q183" i="13"/>
  <c r="AF95" i="14"/>
  <c r="AB10" i="13"/>
  <c r="Y10" i="14"/>
  <c r="Y11" i="14"/>
  <c r="AD201" i="14"/>
  <c r="P324" i="14"/>
  <c r="P325" i="14"/>
  <c r="Q324" i="13"/>
  <c r="R324" i="13"/>
  <c r="R275" i="13"/>
  <c r="Q275" i="13"/>
  <c r="X261" i="14"/>
  <c r="X262" i="14"/>
  <c r="X351" i="14"/>
  <c r="X350" i="14"/>
  <c r="R306" i="13"/>
  <c r="Q306" i="13"/>
  <c r="P208" i="14"/>
  <c r="P207" i="14"/>
  <c r="Q207" i="14" s="1"/>
  <c r="R202" i="13"/>
  <c r="Q202" i="13"/>
  <c r="X14" i="14"/>
  <c r="X15" i="14"/>
  <c r="P133" i="14"/>
  <c r="P132" i="14"/>
  <c r="Q132" i="13"/>
  <c r="R132" i="13"/>
  <c r="AB201" i="13"/>
  <c r="Y205" i="14"/>
  <c r="Y206" i="14"/>
  <c r="AB371" i="14"/>
  <c r="R286" i="13"/>
  <c r="Q286" i="13"/>
  <c r="AB301" i="14"/>
  <c r="W37" i="13"/>
  <c r="U37" i="14"/>
  <c r="W37" i="14" s="1"/>
  <c r="R235" i="14"/>
  <c r="R362" i="13"/>
  <c r="P136" i="14"/>
  <c r="Q136" i="14" s="1"/>
  <c r="R136" i="13"/>
  <c r="Q136" i="13"/>
  <c r="AD12" i="14"/>
  <c r="P62" i="14"/>
  <c r="Q62" i="14" s="1"/>
  <c r="R62" i="13"/>
  <c r="Q62" i="13"/>
  <c r="AB154" i="14"/>
  <c r="AC178" i="14"/>
  <c r="AF178" i="14" s="1"/>
  <c r="P104" i="14"/>
  <c r="Q104" i="14" s="1"/>
  <c r="Q104" i="13"/>
  <c r="R104" i="13"/>
  <c r="W68" i="13"/>
  <c r="U68" i="14"/>
  <c r="W68" i="14" s="1"/>
  <c r="P6" i="14"/>
  <c r="Q6" i="14" s="1"/>
  <c r="R6" i="13"/>
  <c r="Q6" i="13"/>
  <c r="P337" i="14"/>
  <c r="Q337" i="14" s="1"/>
  <c r="Q337" i="13"/>
  <c r="R337" i="13"/>
  <c r="P61" i="14"/>
  <c r="Q61" i="14" s="1"/>
  <c r="Q61" i="13"/>
  <c r="R61" i="13"/>
  <c r="P107" i="14"/>
  <c r="Q107" i="14" s="1"/>
  <c r="R107" i="13"/>
  <c r="Q107" i="13"/>
  <c r="AB317" i="14"/>
  <c r="P146" i="14"/>
  <c r="Q146" i="14" s="1"/>
  <c r="Q146" i="13"/>
  <c r="R146" i="13"/>
  <c r="AB42" i="13"/>
  <c r="Y42" i="14"/>
  <c r="AB304" i="13"/>
  <c r="Y304" i="14"/>
  <c r="AB304" i="14" s="1"/>
  <c r="W155" i="13"/>
  <c r="U155" i="14"/>
  <c r="W155" i="14" s="1"/>
  <c r="P328" i="14"/>
  <c r="Q328" i="14" s="1"/>
  <c r="Q328" i="13"/>
  <c r="R328" i="13"/>
  <c r="Y5" i="14"/>
  <c r="Y4" i="14"/>
  <c r="P173" i="14"/>
  <c r="Q173" i="14" s="1"/>
  <c r="R173" i="13"/>
  <c r="Q173" i="13"/>
  <c r="P178" i="14"/>
  <c r="Q178" i="14" s="1"/>
  <c r="R178" i="13"/>
  <c r="Q178" i="13"/>
  <c r="P160" i="14"/>
  <c r="Q160" i="14" s="1"/>
  <c r="Q160" i="13"/>
  <c r="R160" i="13"/>
  <c r="P214" i="14"/>
  <c r="Q214" i="14" s="1"/>
  <c r="Q214" i="13"/>
  <c r="R214" i="13"/>
  <c r="P226" i="14"/>
  <c r="Q226" i="14" s="1"/>
  <c r="R226" i="13"/>
  <c r="Q226" i="13"/>
  <c r="P69" i="14"/>
  <c r="P68" i="14"/>
  <c r="Q68" i="14" s="1"/>
  <c r="Q68" i="13"/>
  <c r="P210" i="14"/>
  <c r="P209" i="14"/>
  <c r="R203" i="13"/>
  <c r="Q203" i="13"/>
  <c r="Y305" i="14"/>
  <c r="Y306" i="14"/>
  <c r="Q87" i="13"/>
  <c r="R87" i="13"/>
  <c r="P290" i="14"/>
  <c r="P291" i="14"/>
  <c r="Q290" i="13"/>
  <c r="R290" i="13"/>
  <c r="Q92" i="13"/>
  <c r="R92" i="13"/>
  <c r="P268" i="14"/>
  <c r="Q268" i="14" s="1"/>
  <c r="Q268" i="13"/>
  <c r="R268" i="13"/>
  <c r="W252" i="13"/>
  <c r="U252" i="14"/>
  <c r="W252" i="14" s="1"/>
  <c r="P182" i="14"/>
  <c r="Q182" i="14" s="1"/>
  <c r="R182" i="13"/>
  <c r="Q182" i="13"/>
  <c r="AD318" i="14"/>
  <c r="P293" i="14"/>
  <c r="Q293" i="14" s="1"/>
  <c r="R293" i="13"/>
  <c r="Q293" i="13"/>
  <c r="R319" i="13"/>
  <c r="Q319" i="13"/>
  <c r="AD285" i="14"/>
  <c r="R149" i="13"/>
  <c r="Q149" i="13"/>
  <c r="P103" i="14"/>
  <c r="Q103" i="14" s="1"/>
  <c r="Q103" i="13"/>
  <c r="R103" i="13"/>
  <c r="P96" i="14"/>
  <c r="Q96" i="14" s="1"/>
  <c r="R96" i="13"/>
  <c r="Q96" i="13"/>
  <c r="P75" i="14"/>
  <c r="Q75" i="14" s="1"/>
  <c r="R75" i="13"/>
  <c r="AD10" i="14"/>
  <c r="P168" i="14"/>
  <c r="Q168" i="14" s="1"/>
  <c r="R168" i="13"/>
  <c r="Q168" i="13"/>
  <c r="U257" i="14"/>
  <c r="W257" i="14" s="1"/>
  <c r="Y325" i="14"/>
  <c r="Y324" i="14"/>
  <c r="Y261" i="14"/>
  <c r="Y262" i="14"/>
  <c r="AD350" i="14"/>
  <c r="Y208" i="14"/>
  <c r="Y207" i="14"/>
  <c r="P371" i="14"/>
  <c r="Q371" i="14" s="1"/>
  <c r="Q367" i="13"/>
  <c r="R367" i="13"/>
  <c r="Y14" i="14"/>
  <c r="Y15" i="14"/>
  <c r="Y132" i="14"/>
  <c r="Y133" i="14"/>
  <c r="AD205" i="14"/>
  <c r="X38" i="14"/>
  <c r="X37" i="14"/>
  <c r="R67" i="14"/>
  <c r="R68" i="13"/>
  <c r="W147" i="13"/>
  <c r="U147" i="14"/>
  <c r="W147" i="14" s="1"/>
  <c r="AD199" i="14"/>
  <c r="W8" i="13"/>
  <c r="U8" i="14"/>
  <c r="W8" i="14" s="1"/>
  <c r="P54" i="14"/>
  <c r="Q54" i="14" s="1"/>
  <c r="Q54" i="13"/>
  <c r="R54" i="13"/>
  <c r="X47" i="14"/>
  <c r="X48" i="14"/>
  <c r="P213" i="14"/>
  <c r="Q213" i="14" s="1"/>
  <c r="Q213" i="13"/>
  <c r="R213" i="13"/>
  <c r="P152" i="14"/>
  <c r="Q152" i="14" s="1"/>
  <c r="Q152" i="13"/>
  <c r="R152" i="13"/>
  <c r="P164" i="14"/>
  <c r="Q164" i="14" s="1"/>
  <c r="Q164" i="13"/>
  <c r="R164" i="13"/>
  <c r="P100" i="14"/>
  <c r="Q100" i="14" s="1"/>
  <c r="Q101" i="13"/>
  <c r="R101" i="13"/>
  <c r="AF65" i="14"/>
  <c r="AB238" i="14"/>
  <c r="P56" i="14"/>
  <c r="Q56" i="14" s="1"/>
  <c r="R56" i="13"/>
  <c r="Q56" i="13"/>
  <c r="P53" i="14"/>
  <c r="Q53" i="14" s="1"/>
  <c r="R53" i="13"/>
  <c r="Q53" i="13"/>
  <c r="AF82" i="14"/>
  <c r="P365" i="14"/>
  <c r="Q365" i="14" s="1"/>
  <c r="R365" i="13"/>
  <c r="Q365" i="13"/>
  <c r="X5" i="14"/>
  <c r="X4" i="14"/>
  <c r="P111" i="14"/>
  <c r="Q111" i="14" s="1"/>
  <c r="R111" i="13"/>
  <c r="Q111" i="13"/>
  <c r="P84" i="14"/>
  <c r="Q84" i="14" s="1"/>
  <c r="R84" i="13"/>
  <c r="Q84" i="13"/>
  <c r="P277" i="14"/>
  <c r="Q277" i="14" s="1"/>
  <c r="Q277" i="13"/>
  <c r="R277" i="13"/>
  <c r="W195" i="13"/>
  <c r="U195" i="14"/>
  <c r="W195" i="14" s="1"/>
  <c r="AB138" i="14"/>
  <c r="P90" i="14"/>
  <c r="P91" i="14"/>
  <c r="R90" i="13"/>
  <c r="Q90" i="13"/>
  <c r="AF267" i="14"/>
  <c r="P24" i="14"/>
  <c r="Q24" i="14" s="1"/>
  <c r="Q24" i="13"/>
  <c r="R24" i="13"/>
  <c r="AF54" i="14"/>
  <c r="AF372" i="14"/>
  <c r="AD68" i="14"/>
  <c r="Y209" i="14"/>
  <c r="Y210" i="14"/>
  <c r="X305" i="14"/>
  <c r="X306" i="14"/>
  <c r="P227" i="14"/>
  <c r="Q227" i="14" s="1"/>
  <c r="R227" i="13"/>
  <c r="Q227" i="13"/>
  <c r="Y290" i="14"/>
  <c r="Y291" i="14"/>
  <c r="P243" i="14"/>
  <c r="Q243" i="14" s="1"/>
  <c r="Q243" i="13"/>
  <c r="R243" i="13"/>
  <c r="P7" i="14"/>
  <c r="Q7" i="14" s="1"/>
  <c r="R7" i="13"/>
  <c r="Q7" i="13"/>
  <c r="P198" i="14"/>
  <c r="P197" i="14"/>
  <c r="R197" i="13"/>
  <c r="AB285" i="13"/>
  <c r="Y286" i="14"/>
  <c r="Y285" i="14"/>
  <c r="AB129" i="14"/>
  <c r="P245" i="14"/>
  <c r="Q245" i="14" s="1"/>
  <c r="Q245" i="13"/>
  <c r="R245" i="13"/>
  <c r="P356" i="14"/>
  <c r="Q356" i="14" s="1"/>
  <c r="Q356" i="13"/>
  <c r="R356" i="13"/>
  <c r="AF122" i="14"/>
  <c r="P29" i="14"/>
  <c r="P28" i="14"/>
  <c r="Q28" i="13"/>
  <c r="R28" i="13"/>
  <c r="X257" i="14"/>
  <c r="X258" i="14"/>
  <c r="X325" i="14"/>
  <c r="X324" i="14"/>
  <c r="AD348" i="14"/>
  <c r="Y350" i="14"/>
  <c r="Y351" i="14"/>
  <c r="X208" i="14"/>
  <c r="X207" i="14"/>
  <c r="P113" i="14"/>
  <c r="Q113" i="14" s="1"/>
  <c r="Q113" i="13"/>
  <c r="R113" i="13"/>
  <c r="AD14" i="14"/>
  <c r="X133" i="14"/>
  <c r="X132" i="14"/>
  <c r="P269" i="14"/>
  <c r="P270" i="14"/>
  <c r="R269" i="13"/>
  <c r="Q269" i="13"/>
  <c r="P313" i="14"/>
  <c r="P314" i="14"/>
  <c r="Q313" i="13"/>
  <c r="R313" i="13"/>
  <c r="Y38" i="14"/>
  <c r="Y37" i="14"/>
  <c r="Y191" i="14"/>
  <c r="Y192" i="14"/>
  <c r="P234" i="14"/>
  <c r="Q234" i="14" s="1"/>
  <c r="Q234" i="13"/>
  <c r="R234" i="13"/>
  <c r="P230" i="14"/>
  <c r="Q230" i="14" s="1"/>
  <c r="Q230" i="13"/>
  <c r="P36" i="14"/>
  <c r="Q36" i="14" s="1"/>
  <c r="R36" i="13"/>
  <c r="Q36" i="13"/>
  <c r="AB222" i="14"/>
  <c r="P355" i="14"/>
  <c r="Q355" i="14" s="1"/>
  <c r="R355" i="13"/>
  <c r="Q355" i="13"/>
  <c r="W56" i="13"/>
  <c r="U56" i="14"/>
  <c r="W56" i="14" s="1"/>
  <c r="AD80" i="14"/>
  <c r="R16" i="13"/>
  <c r="Q16" i="13"/>
  <c r="Q205" i="13"/>
  <c r="R205" i="13"/>
  <c r="P363" i="14"/>
  <c r="Q363" i="14" s="1"/>
  <c r="R363" i="13"/>
  <c r="Q363" i="13"/>
  <c r="P120" i="14"/>
  <c r="Q120" i="14" s="1"/>
  <c r="R120" i="13"/>
  <c r="Q120" i="13"/>
  <c r="AB337" i="14"/>
  <c r="P101" i="14"/>
  <c r="Q101" i="14" s="1"/>
  <c r="R100" i="13"/>
  <c r="Q100" i="13"/>
  <c r="P212" i="14"/>
  <c r="Q212" i="14" s="1"/>
  <c r="Q212" i="13"/>
  <c r="R212" i="13"/>
  <c r="P155" i="14"/>
  <c r="Q155" i="14" s="1"/>
  <c r="Q155" i="13"/>
  <c r="P246" i="14"/>
  <c r="Q246" i="14" s="1"/>
  <c r="R246" i="13"/>
  <c r="Q246" i="13"/>
  <c r="AF355" i="14"/>
  <c r="R26" i="13"/>
  <c r="P26" i="14"/>
  <c r="Q26" i="14" s="1"/>
  <c r="Q26" i="13"/>
  <c r="P364" i="14"/>
  <c r="Q364" i="14" s="1"/>
  <c r="R364" i="13"/>
  <c r="Q364" i="13"/>
  <c r="W151" i="13"/>
  <c r="U151" i="14"/>
  <c r="W151" i="14" s="1"/>
  <c r="AD4" i="14"/>
  <c r="P263" i="14"/>
  <c r="Q263" i="14" s="1"/>
  <c r="R263" i="13"/>
  <c r="Q263" i="13"/>
  <c r="P33" i="14"/>
  <c r="Q33" i="14" s="1"/>
  <c r="R33" i="13"/>
  <c r="Q33" i="13"/>
  <c r="AF20" i="14"/>
  <c r="W127" i="13"/>
  <c r="U127" i="14"/>
  <c r="W127" i="14" s="1"/>
  <c r="AF146" i="14"/>
  <c r="W32" i="13"/>
  <c r="U32" i="14"/>
  <c r="W32" i="14" s="1"/>
  <c r="P74" i="14"/>
  <c r="Q74" i="14" s="1"/>
  <c r="R74" i="13"/>
  <c r="Y68" i="14"/>
  <c r="Y69" i="14"/>
  <c r="X209" i="14"/>
  <c r="X210" i="14"/>
  <c r="AD305" i="14"/>
  <c r="X291" i="14"/>
  <c r="X290" i="14"/>
  <c r="P58" i="14"/>
  <c r="Q58" i="14" s="1"/>
  <c r="R58" i="13"/>
  <c r="Q58" i="13"/>
  <c r="P88" i="14"/>
  <c r="Q88" i="14" s="1"/>
  <c r="R88" i="13"/>
  <c r="Q88" i="13"/>
  <c r="Y198" i="14"/>
  <c r="Y197" i="14"/>
  <c r="P294" i="14"/>
  <c r="Q294" i="14" s="1"/>
  <c r="R294" i="13"/>
  <c r="Q294" i="13"/>
  <c r="AF221" i="14"/>
  <c r="AB96" i="14"/>
  <c r="AF296" i="14"/>
  <c r="W356" i="13"/>
  <c r="U356" i="14"/>
  <c r="W356" i="14" s="1"/>
  <c r="P175" i="14"/>
  <c r="Q175" i="14" s="1"/>
  <c r="Q175" i="13"/>
  <c r="R175" i="13"/>
  <c r="AF124" i="14"/>
  <c r="Y29" i="14"/>
  <c r="Y28" i="14"/>
  <c r="Y257" i="14"/>
  <c r="Y258" i="14"/>
  <c r="AD324" i="14"/>
  <c r="P261" i="14"/>
  <c r="P262" i="14"/>
  <c r="Q261" i="13"/>
  <c r="R261" i="13"/>
  <c r="P348" i="14"/>
  <c r="P349" i="14"/>
  <c r="R348" i="13"/>
  <c r="Q348" i="13"/>
  <c r="R64" i="13"/>
  <c r="Q64" i="13"/>
  <c r="Q190" i="13"/>
  <c r="R190" i="13"/>
  <c r="AD207" i="14"/>
  <c r="P190" i="14"/>
  <c r="P189" i="14"/>
  <c r="R189" i="13"/>
  <c r="Q189" i="13"/>
  <c r="AB52" i="14"/>
  <c r="AD132" i="14"/>
  <c r="AD269" i="14"/>
  <c r="Y313" i="14"/>
  <c r="Y314" i="14"/>
  <c r="AD37" i="14"/>
  <c r="R350" i="13"/>
  <c r="Q350" i="13"/>
  <c r="P180" i="14"/>
  <c r="Q180" i="14" s="1"/>
  <c r="Q180" i="13"/>
  <c r="R180" i="13"/>
  <c r="P32" i="14"/>
  <c r="Q32" i="14" s="1"/>
  <c r="Q32" i="13"/>
  <c r="R32" i="13"/>
  <c r="P166" i="14"/>
  <c r="Q166" i="14" s="1"/>
  <c r="R166" i="13"/>
  <c r="Q166" i="13"/>
  <c r="P119" i="14"/>
  <c r="Q119" i="14" s="1"/>
  <c r="Q119" i="13"/>
  <c r="R119" i="13"/>
  <c r="P302" i="14"/>
  <c r="Q302" i="14" s="1"/>
  <c r="R302" i="13"/>
  <c r="Q302" i="13"/>
  <c r="P179" i="14"/>
  <c r="Q179" i="14" s="1"/>
  <c r="R179" i="13"/>
  <c r="Q179" i="13"/>
  <c r="W100" i="13"/>
  <c r="U101" i="14"/>
  <c r="W101" i="14" s="1"/>
  <c r="P126" i="14"/>
  <c r="P125" i="14"/>
  <c r="Q125" i="13"/>
  <c r="P105" i="14"/>
  <c r="Q105" i="14" s="1"/>
  <c r="R105" i="13"/>
  <c r="AB53" i="13"/>
  <c r="Y53" i="14"/>
  <c r="AB53" i="14" s="1"/>
  <c r="AB323" i="13"/>
  <c r="Y323" i="14"/>
  <c r="AB323" i="14" s="1"/>
  <c r="P23" i="14"/>
  <c r="Q23" i="14" s="1"/>
  <c r="Q23" i="13"/>
  <c r="W26" i="13"/>
  <c r="U26" i="14"/>
  <c r="W26" i="14" s="1"/>
  <c r="P329" i="14"/>
  <c r="Q329" i="14" s="1"/>
  <c r="Q329" i="13"/>
  <c r="R329" i="13"/>
  <c r="P48" i="14"/>
  <c r="P47" i="14"/>
  <c r="R47" i="13"/>
  <c r="Q47" i="13"/>
  <c r="R267" i="13"/>
  <c r="P267" i="14"/>
  <c r="Q267" i="14" s="1"/>
  <c r="Q267" i="13"/>
  <c r="P347" i="14"/>
  <c r="Q347" i="14" s="1"/>
  <c r="R347" i="13"/>
  <c r="Q347" i="13"/>
  <c r="X68" i="14"/>
  <c r="X69" i="14"/>
  <c r="AD209" i="14"/>
  <c r="P336" i="14"/>
  <c r="P335" i="14"/>
  <c r="R335" i="13"/>
  <c r="Q335" i="13"/>
  <c r="R38" i="13"/>
  <c r="Q38" i="13"/>
  <c r="AD290" i="14"/>
  <c r="P235" i="14"/>
  <c r="Q235" i="14" s="1"/>
  <c r="Q235" i="13"/>
  <c r="R235" i="13"/>
  <c r="X197" i="14"/>
  <c r="X198" i="14"/>
  <c r="P249" i="14"/>
  <c r="Q249" i="14" s="1"/>
  <c r="R249" i="13"/>
  <c r="Q249" i="13"/>
  <c r="P333" i="14"/>
  <c r="Q333" i="14" s="1"/>
  <c r="R333" i="13"/>
  <c r="Q333" i="13"/>
  <c r="P66" i="14"/>
  <c r="Q66" i="14" s="1"/>
  <c r="R66" i="13"/>
  <c r="Q66" i="13"/>
  <c r="X29" i="14"/>
  <c r="X28" i="14"/>
  <c r="AD257" i="14"/>
  <c r="P346" i="14"/>
  <c r="P345" i="14"/>
  <c r="Q345" i="13"/>
  <c r="R345" i="13"/>
  <c r="Q299" i="13"/>
  <c r="R299" i="13"/>
  <c r="W91" i="13"/>
  <c r="U92" i="14"/>
  <c r="W92" i="14" s="1"/>
  <c r="Y348" i="14"/>
  <c r="Y349" i="14"/>
  <c r="Y190" i="14"/>
  <c r="Y189" i="14"/>
  <c r="P52" i="14"/>
  <c r="Q52" i="14" s="1"/>
  <c r="Q52" i="13"/>
  <c r="R52" i="13"/>
  <c r="P141" i="14"/>
  <c r="P140" i="14"/>
  <c r="R140" i="13"/>
  <c r="X270" i="14"/>
  <c r="X269" i="14"/>
  <c r="X313" i="14"/>
  <c r="X314" i="14"/>
  <c r="P240" i="14"/>
  <c r="Q240" i="14" s="1"/>
  <c r="Q240" i="13"/>
  <c r="R240" i="13"/>
  <c r="P135" i="14"/>
  <c r="Q135" i="14" s="1"/>
  <c r="Q135" i="13"/>
  <c r="R135" i="13"/>
  <c r="R87" i="14"/>
  <c r="D5" i="1" a="1"/>
  <c r="D5" i="1" s="1"/>
  <c r="R360" i="14"/>
  <c r="R180" i="14"/>
  <c r="AB240" i="13"/>
  <c r="AB270" i="13"/>
  <c r="AB239" i="13"/>
  <c r="AB259" i="13"/>
  <c r="AF181" i="13"/>
  <c r="AB27" i="13"/>
  <c r="AB290" i="13"/>
  <c r="AB301" i="13"/>
  <c r="AB344" i="13"/>
  <c r="U353" i="13"/>
  <c r="AB156" i="13"/>
  <c r="AB55" i="13"/>
  <c r="AB227" i="13"/>
  <c r="AB202" i="13"/>
  <c r="AB48" i="13"/>
  <c r="AB36" i="13"/>
  <c r="AB350" i="13"/>
  <c r="AB135" i="13"/>
  <c r="U110" i="13"/>
  <c r="AB49" i="13"/>
  <c r="AF211" i="13"/>
  <c r="AB358" i="13"/>
  <c r="AB332" i="13"/>
  <c r="U41" i="13"/>
  <c r="U179" i="13"/>
  <c r="AF303" i="13"/>
  <c r="AB161" i="13"/>
  <c r="AB123" i="13"/>
  <c r="AB297" i="13"/>
  <c r="AB13" i="13"/>
  <c r="AB338" i="13"/>
  <c r="U146" i="13"/>
  <c r="U316" i="13"/>
  <c r="U259" i="13"/>
  <c r="AF195" i="13"/>
  <c r="AB60" i="13"/>
  <c r="AB241" i="13"/>
  <c r="AB158" i="13"/>
  <c r="AB89" i="13"/>
  <c r="AB357" i="13"/>
  <c r="U67" i="13"/>
  <c r="AB143" i="13"/>
  <c r="AB133" i="13"/>
  <c r="AB57" i="13"/>
  <c r="AB45" i="13"/>
  <c r="AF223" i="13"/>
  <c r="AB203" i="13"/>
  <c r="U247" i="13"/>
  <c r="U284" i="13"/>
  <c r="AB172" i="13"/>
  <c r="AB365" i="13"/>
  <c r="AB335" i="13"/>
  <c r="AB38" i="13"/>
  <c r="AF290" i="13"/>
  <c r="U352" i="13"/>
  <c r="AB353" i="13"/>
  <c r="U164" i="13"/>
  <c r="AF322" i="13"/>
  <c r="U163" i="13"/>
  <c r="AB278" i="13"/>
  <c r="U105" i="13"/>
  <c r="AB211" i="13"/>
  <c r="AB159" i="13"/>
  <c r="AB43" i="13"/>
  <c r="AB79" i="13"/>
  <c r="U314" i="13"/>
  <c r="AF236" i="13"/>
  <c r="AB309" i="13"/>
  <c r="AB134" i="13"/>
  <c r="AB295" i="13"/>
  <c r="U6" i="13"/>
  <c r="U241" i="13"/>
  <c r="U58" i="13"/>
  <c r="U159" i="13"/>
  <c r="AF127" i="13"/>
  <c r="U40" i="13"/>
  <c r="U150" i="13"/>
  <c r="AB111" i="13"/>
  <c r="U75" i="13"/>
  <c r="U240" i="13"/>
  <c r="U337" i="13"/>
  <c r="AB40" i="13"/>
  <c r="AB150" i="13"/>
  <c r="U304" i="13"/>
  <c r="U82" i="13"/>
  <c r="AB265" i="13"/>
  <c r="U181" i="13"/>
  <c r="AB367" i="13"/>
  <c r="AF265" i="13"/>
  <c r="U234" i="13"/>
  <c r="AB147" i="13"/>
  <c r="U190" i="13"/>
  <c r="AB317" i="13"/>
  <c r="U161" i="13"/>
  <c r="AB72" i="13"/>
  <c r="U152" i="13"/>
  <c r="AB162" i="13"/>
  <c r="AB238" i="13"/>
  <c r="AB354" i="13"/>
  <c r="AB234" i="13"/>
  <c r="AB94" i="13"/>
  <c r="AB56" i="13"/>
  <c r="U313" i="13"/>
  <c r="U171" i="13"/>
  <c r="AB8" i="13"/>
  <c r="U268" i="13"/>
  <c r="AB112" i="13"/>
  <c r="AB116" i="13"/>
  <c r="U220" i="13"/>
  <c r="K318" i="5"/>
  <c r="U322" i="13"/>
  <c r="K743" i="5"/>
  <c r="U69" i="13"/>
  <c r="K115" i="5"/>
  <c r="U283" i="13"/>
  <c r="K365" i="5"/>
  <c r="U64" i="13"/>
  <c r="K591" i="5"/>
  <c r="U311" i="13"/>
  <c r="K395" i="5"/>
  <c r="U295" i="13"/>
  <c r="K86" i="5"/>
  <c r="U77" i="13"/>
  <c r="K775" i="5"/>
  <c r="U168" i="13"/>
  <c r="U170" i="13"/>
  <c r="U169" i="13"/>
  <c r="K532" i="5"/>
  <c r="U118" i="13"/>
  <c r="K809" i="5"/>
  <c r="U272" i="13"/>
  <c r="U271" i="13"/>
  <c r="U276" i="13"/>
  <c r="U275" i="13"/>
  <c r="U269" i="13"/>
  <c r="K626" i="5"/>
  <c r="U66" i="13"/>
  <c r="K821" i="5"/>
  <c r="U291" i="13"/>
  <c r="U290" i="13"/>
  <c r="K32" i="5"/>
  <c r="U121" i="13"/>
  <c r="U212" i="13"/>
  <c r="AC248" i="13"/>
  <c r="U119" i="13"/>
  <c r="AC150" i="13"/>
  <c r="U343" i="13"/>
  <c r="U23" i="13"/>
  <c r="U282" i="13"/>
  <c r="U44" i="13"/>
  <c r="U265" i="13"/>
  <c r="U63" i="13"/>
  <c r="AC151" i="13"/>
  <c r="U266" i="13"/>
  <c r="AC368" i="13"/>
  <c r="U334" i="13"/>
  <c r="U139" i="13"/>
  <c r="K606" i="5"/>
  <c r="U372" i="13"/>
  <c r="K143" i="5"/>
  <c r="U31" i="13"/>
  <c r="K732" i="5"/>
  <c r="U28" i="13"/>
  <c r="U29" i="13"/>
  <c r="K715" i="5"/>
  <c r="U315" i="13"/>
  <c r="K725" i="5"/>
  <c r="U14" i="13"/>
  <c r="U13" i="13"/>
  <c r="U17" i="13"/>
  <c r="U19" i="13"/>
  <c r="U10" i="13"/>
  <c r="U18" i="13"/>
  <c r="U12" i="13"/>
  <c r="K547" i="5"/>
  <c r="U145" i="13"/>
  <c r="U30" i="13"/>
  <c r="U365" i="13"/>
  <c r="AC224" i="13"/>
  <c r="AC224" i="14" s="1"/>
  <c r="K873" i="5"/>
  <c r="U116" i="13"/>
  <c r="K351" i="5"/>
  <c r="U361" i="13"/>
  <c r="U359" i="13"/>
  <c r="K826" i="5"/>
  <c r="U298" i="13"/>
  <c r="U299" i="13"/>
  <c r="K836" i="5"/>
  <c r="U309" i="13"/>
  <c r="U310" i="13"/>
  <c r="AB30" i="13"/>
  <c r="U302" i="13"/>
  <c r="U61" i="13"/>
  <c r="AF363" i="13"/>
  <c r="AB101" i="13"/>
  <c r="AB108" i="13"/>
  <c r="U11" i="13"/>
  <c r="AB63" i="13"/>
  <c r="AC90" i="13"/>
  <c r="U21" i="13"/>
  <c r="AB283" i="13"/>
  <c r="AC33" i="13"/>
  <c r="AB368" i="13"/>
  <c r="AB266" i="13"/>
  <c r="U158" i="13"/>
  <c r="U34" i="13"/>
  <c r="U347" i="13"/>
  <c r="U15" i="13"/>
  <c r="U326" i="13"/>
  <c r="AC218" i="13"/>
  <c r="K346" i="5"/>
  <c r="U354" i="13"/>
  <c r="K859" i="5"/>
  <c r="U340" i="13"/>
  <c r="U342" i="13"/>
  <c r="U341" i="13"/>
  <c r="K198" i="5"/>
  <c r="U96" i="13"/>
  <c r="K24" i="5"/>
  <c r="U83" i="13"/>
  <c r="K806" i="5"/>
  <c r="U264" i="13"/>
  <c r="K656" i="5"/>
  <c r="U254" i="13"/>
  <c r="AC166" i="13"/>
  <c r="AC193" i="13"/>
  <c r="U84" i="13"/>
  <c r="U242" i="13"/>
  <c r="U24" i="13"/>
  <c r="AC34" i="13"/>
  <c r="AC331" i="13"/>
  <c r="U366" i="13"/>
  <c r="AC309" i="13"/>
  <c r="AC233" i="13"/>
  <c r="AC233" i="14" s="1"/>
  <c r="AC173" i="13"/>
  <c r="AC173" i="14" s="1"/>
  <c r="AC84" i="13"/>
  <c r="AC215" i="13"/>
  <c r="AC215" i="14" s="1"/>
  <c r="AC77" i="13"/>
  <c r="AC300" i="13"/>
  <c r="AC58" i="13"/>
  <c r="AC219" i="13"/>
  <c r="AC225" i="13"/>
  <c r="AC59" i="13"/>
  <c r="AC213" i="13"/>
  <c r="AC50" i="13"/>
  <c r="AC240" i="13"/>
  <c r="AC249" i="13"/>
  <c r="AC229" i="13"/>
  <c r="AC113" i="13"/>
  <c r="AC75" i="13"/>
  <c r="AC75" i="14" s="1"/>
  <c r="AF75" i="14" s="1"/>
  <c r="AC103" i="13"/>
  <c r="AC103" i="14" s="1"/>
  <c r="AC227" i="13"/>
  <c r="AC55" i="13"/>
  <c r="AC105" i="13"/>
  <c r="AC172" i="13"/>
  <c r="AC369" i="13"/>
  <c r="AC231" i="13"/>
  <c r="AC129" i="13"/>
  <c r="AC280" i="13"/>
  <c r="K429" i="5"/>
  <c r="U280" i="13"/>
  <c r="K191" i="5"/>
  <c r="U78" i="13"/>
  <c r="K791" i="5"/>
  <c r="U202" i="13"/>
  <c r="U201" i="13"/>
  <c r="U208" i="13"/>
  <c r="U209" i="13"/>
  <c r="U200" i="13"/>
  <c r="U199" i="13"/>
  <c r="U207" i="13"/>
  <c r="U205" i="13"/>
  <c r="U204" i="13"/>
  <c r="U210" i="13"/>
  <c r="U180" i="13"/>
  <c r="U153" i="13"/>
  <c r="U3" i="13"/>
  <c r="U329" i="13"/>
  <c r="AF23" i="13"/>
  <c r="AB355" i="13"/>
  <c r="AC282" i="13"/>
  <c r="AC63" i="13"/>
  <c r="AC283" i="13"/>
  <c r="U76" i="13"/>
  <c r="AC128" i="13"/>
  <c r="AC242" i="13"/>
  <c r="AC242" i="14" s="1"/>
  <c r="AC47" i="13"/>
  <c r="U197" i="13"/>
  <c r="AC205" i="13"/>
  <c r="U39" i="13"/>
  <c r="K680" i="5"/>
  <c r="U113" i="13"/>
  <c r="K535" i="5"/>
  <c r="U122" i="13"/>
  <c r="K359" i="5"/>
  <c r="U364" i="13"/>
  <c r="K499" i="5"/>
  <c r="U300" i="13"/>
  <c r="K296" i="5"/>
  <c r="U296" i="13"/>
  <c r="K860" i="5"/>
  <c r="U345" i="13"/>
  <c r="U346" i="13"/>
  <c r="K868" i="5"/>
  <c r="U357" i="13"/>
  <c r="U358" i="13"/>
  <c r="AC41" i="13"/>
  <c r="AC61" i="13"/>
  <c r="U53" i="13"/>
  <c r="AC191" i="13"/>
  <c r="AC259" i="13"/>
  <c r="AC176" i="13"/>
  <c r="AC352" i="13"/>
  <c r="AC49" i="13"/>
  <c r="AC49" i="14" s="1"/>
  <c r="AC234" i="13"/>
  <c r="AC230" i="13"/>
  <c r="U328" i="13"/>
  <c r="U160" i="13"/>
  <c r="AC226" i="13"/>
  <c r="U117" i="13"/>
  <c r="U81" i="13"/>
  <c r="AC13" i="13"/>
  <c r="U104" i="13"/>
  <c r="U186" i="13"/>
  <c r="AC320" i="13"/>
  <c r="U270" i="13"/>
  <c r="K696" i="5"/>
  <c r="U219" i="13"/>
  <c r="K481" i="5"/>
  <c r="U176" i="13"/>
  <c r="K123" i="5"/>
  <c r="U363" i="13"/>
  <c r="K771" i="5"/>
  <c r="U156" i="13"/>
  <c r="K763" i="5"/>
  <c r="U135" i="13"/>
  <c r="U137" i="13"/>
  <c r="K569" i="5"/>
  <c r="U246" i="13"/>
  <c r="K387" i="5"/>
  <c r="U183" i="13"/>
  <c r="K767" i="5"/>
  <c r="U148" i="13"/>
  <c r="U149" i="13"/>
  <c r="K855" i="5"/>
  <c r="U336" i="13"/>
  <c r="K832" i="5"/>
  <c r="U306" i="13"/>
  <c r="U65" i="13"/>
  <c r="U278" i="13"/>
  <c r="U279" i="13"/>
  <c r="U20" i="13"/>
  <c r="U70" i="13"/>
  <c r="AB144" i="13"/>
  <c r="U35" i="13"/>
  <c r="U263" i="13"/>
  <c r="U80" i="13"/>
  <c r="AC232" i="13"/>
  <c r="AC152" i="13"/>
  <c r="AC152" i="14" s="1"/>
  <c r="U307" i="13"/>
  <c r="U206" i="13"/>
  <c r="K538" i="5"/>
  <c r="U124" i="13"/>
  <c r="K243" i="5"/>
  <c r="U188" i="13"/>
  <c r="K700" i="5"/>
  <c r="U230" i="13"/>
  <c r="U231" i="13"/>
  <c r="U233" i="13"/>
  <c r="U235" i="13"/>
  <c r="U225" i="13"/>
  <c r="U228" i="13"/>
  <c r="U226" i="13"/>
  <c r="U229" i="13"/>
  <c r="K253" i="5"/>
  <c r="U236" i="13"/>
  <c r="K672" i="5"/>
  <c r="U49" i="13"/>
  <c r="U50" i="13"/>
  <c r="K15" i="5"/>
  <c r="U59" i="13"/>
  <c r="K374" i="5"/>
  <c r="U7" i="13"/>
  <c r="K526" i="5"/>
  <c r="U107" i="13"/>
  <c r="K266" i="5"/>
  <c r="U245" i="13"/>
  <c r="U243" i="13"/>
  <c r="U244" i="13"/>
  <c r="K844" i="5"/>
  <c r="U320" i="13"/>
  <c r="U321" i="13"/>
  <c r="K369" i="5"/>
  <c r="U192" i="13"/>
  <c r="U191" i="13"/>
  <c r="U303" i="13"/>
  <c r="U51" i="13"/>
  <c r="AF40" i="13"/>
  <c r="AB279" i="13"/>
  <c r="U45" i="13"/>
  <c r="U128" i="13"/>
  <c r="AF121" i="13"/>
  <c r="AF45" i="13"/>
  <c r="U360" i="13"/>
  <c r="AC80" i="13"/>
  <c r="AC198" i="13"/>
  <c r="AF198" i="13" s="1"/>
  <c r="U54" i="13"/>
  <c r="U297" i="13"/>
  <c r="AC38" i="13"/>
  <c r="U274" i="13"/>
  <c r="U289" i="13"/>
  <c r="K270" i="5"/>
  <c r="U253" i="13"/>
  <c r="AC351" i="13"/>
  <c r="AC351" i="14" s="1" a="1"/>
  <c r="AC351" i="14" s="1"/>
  <c r="AC81" i="13"/>
  <c r="AC298" i="13"/>
  <c r="AC272" i="13"/>
  <c r="AC271" i="13"/>
  <c r="AC357" i="13"/>
  <c r="AC201" i="13"/>
  <c r="AC133" i="13"/>
  <c r="AC209" i="13"/>
  <c r="AC200" i="13"/>
  <c r="AC208" i="13"/>
  <c r="AC206" i="14" s="1" a="1"/>
  <c r="AC206" i="14" s="1"/>
  <c r="AC345" i="13"/>
  <c r="AC37" i="13"/>
  <c r="AC210" i="13"/>
  <c r="AC189" i="13"/>
  <c r="AC199" i="13"/>
  <c r="AC28" i="13"/>
  <c r="AC310" i="13"/>
  <c r="AC319" i="13"/>
  <c r="AC29" i="13"/>
  <c r="AC287" i="13"/>
  <c r="AC86" i="13"/>
  <c r="AC325" i="13"/>
  <c r="AC299" i="13"/>
  <c r="AC321" i="13"/>
  <c r="AC132" i="13"/>
  <c r="AC204" i="13"/>
  <c r="AC198" i="14" s="1" a="1"/>
  <c r="AC198" i="14" s="1"/>
  <c r="AC306" i="13"/>
  <c r="AC349" i="13"/>
  <c r="AC5" i="13"/>
  <c r="AC273" i="13"/>
  <c r="AC270" i="13"/>
  <c r="AC149" i="13"/>
  <c r="AC262" i="13"/>
  <c r="AC194" i="13"/>
  <c r="AC313" i="13"/>
  <c r="AC184" i="13"/>
  <c r="AC18" i="13"/>
  <c r="AC350" i="13"/>
  <c r="AC190" i="13"/>
  <c r="AC19" i="13"/>
  <c r="AC19" i="14" s="1" a="1"/>
  <c r="AC19" i="14" s="1"/>
  <c r="AC91" i="13"/>
  <c r="AC185" i="13"/>
  <c r="AC324" i="13"/>
  <c r="AC207" i="13"/>
  <c r="AC285" i="13"/>
  <c r="AF285" i="13" s="1"/>
  <c r="AC12" i="13"/>
  <c r="AC10" i="13"/>
  <c r="AC9" i="13"/>
  <c r="AC9" i="14" s="1" a="1"/>
  <c r="AC9" i="14" s="1"/>
  <c r="AC269" i="13"/>
  <c r="AC358" i="13"/>
  <c r="AC358" i="14" s="1" a="1"/>
  <c r="AC358" i="14" s="1"/>
  <c r="AC276" i="13"/>
  <c r="AC330" i="13"/>
  <c r="AC348" i="13"/>
  <c r="AC275" i="13"/>
  <c r="AC274" i="14" s="1" a="1"/>
  <c r="AC274" i="14" s="1"/>
  <c r="AC93" i="13"/>
  <c r="AC202" i="13"/>
  <c r="AC336" i="13"/>
  <c r="AC257" i="13"/>
  <c r="AC14" i="13"/>
  <c r="AC258" i="13"/>
  <c r="AC258" i="14" s="1" a="1"/>
  <c r="AC258" i="14" s="1"/>
  <c r="AC335" i="13"/>
  <c r="AC4" i="13"/>
  <c r="AC126" i="13"/>
  <c r="AC140" i="13"/>
  <c r="AC261" i="13"/>
  <c r="AC197" i="13"/>
  <c r="AC68" i="13"/>
  <c r="AC48" i="13"/>
  <c r="AC346" i="13"/>
  <c r="AC92" i="13"/>
  <c r="AC148" i="13"/>
  <c r="AF148" i="13" s="1"/>
  <c r="AC274" i="13"/>
  <c r="AC291" i="13"/>
  <c r="AC288" i="13"/>
  <c r="AC16" i="13"/>
  <c r="K879" i="5"/>
  <c r="U374" i="13"/>
  <c r="K756" i="5"/>
  <c r="U109" i="13"/>
  <c r="K118" i="5"/>
  <c r="U369" i="13"/>
  <c r="U370" i="13"/>
  <c r="AC371" i="13"/>
  <c r="U238" i="13"/>
  <c r="AF3" i="13"/>
  <c r="AC187" i="13"/>
  <c r="AC281" i="13"/>
  <c r="U323" i="13"/>
  <c r="U60" i="13"/>
  <c r="AC43" i="13"/>
  <c r="U89" i="13"/>
  <c r="U71" i="13"/>
  <c r="U255" i="13"/>
  <c r="AC51" i="13"/>
  <c r="U203" i="13"/>
  <c r="U305" i="13"/>
  <c r="U327" i="13"/>
  <c r="AC177" i="13"/>
  <c r="U172" i="13"/>
  <c r="K212" i="5"/>
  <c r="U102" i="13"/>
  <c r="K516" i="5"/>
  <c r="U36" i="13"/>
  <c r="K738" i="5"/>
  <c r="U48" i="13"/>
  <c r="U47" i="13"/>
  <c r="K864" i="5"/>
  <c r="U351" i="13"/>
  <c r="U349" i="13"/>
  <c r="U348" i="13"/>
  <c r="U350" i="13"/>
  <c r="K544" i="5"/>
  <c r="U144" i="13"/>
  <c r="K326" i="5"/>
  <c r="U332" i="13"/>
  <c r="U130" i="13"/>
  <c r="AC174" i="13"/>
  <c r="U198" i="13"/>
  <c r="U187" i="13"/>
  <c r="AB83" i="13"/>
  <c r="U42" i="13"/>
  <c r="AB67" i="13"/>
  <c r="U138" i="13"/>
  <c r="U62" i="13"/>
  <c r="AC171" i="13"/>
  <c r="AB121" i="13"/>
  <c r="AC154" i="13"/>
  <c r="AC154" i="14" s="1"/>
  <c r="AC315" i="13"/>
  <c r="U79" i="13"/>
  <c r="AF54" i="13"/>
  <c r="U239" i="13"/>
  <c r="AC217" i="13"/>
  <c r="AC370" i="13"/>
  <c r="K665" i="5"/>
  <c r="U317" i="13"/>
  <c r="K194" i="5"/>
  <c r="U94" i="13"/>
  <c r="K26" i="5"/>
  <c r="U99" i="13"/>
  <c r="K720" i="5"/>
  <c r="U5" i="13"/>
  <c r="K238" i="5"/>
  <c r="U162" i="13"/>
  <c r="U106" i="13"/>
  <c r="AB130" i="13"/>
  <c r="AF238" i="13"/>
  <c r="U312" i="13"/>
  <c r="U142" i="13"/>
  <c r="U211" i="13"/>
  <c r="AC8" i="13"/>
  <c r="U196" i="13"/>
  <c r="AC89" i="13"/>
  <c r="AC161" i="13"/>
  <c r="AC161" i="14" s="1"/>
  <c r="U339" i="13"/>
  <c r="U74" i="13"/>
  <c r="U227" i="13"/>
  <c r="AC206" i="13"/>
  <c r="AC314" i="13"/>
  <c r="K425" i="5"/>
  <c r="U248" i="13"/>
  <c r="K652" i="5"/>
  <c r="U216" i="13"/>
  <c r="K85" i="5"/>
  <c r="U55" i="13"/>
  <c r="K802" i="5"/>
  <c r="U261" i="13"/>
  <c r="K742" i="5"/>
  <c r="U52" i="13"/>
  <c r="K108" i="5"/>
  <c r="U222" i="13"/>
  <c r="K613" i="5"/>
  <c r="U9" i="13"/>
  <c r="K841" i="5"/>
  <c r="U319" i="13"/>
  <c r="U318" i="13"/>
  <c r="K355" i="5"/>
  <c r="U362" i="13"/>
  <c r="K823" i="5"/>
  <c r="U294" i="13"/>
  <c r="U292" i="13"/>
  <c r="U293" i="13"/>
  <c r="AC130" i="13"/>
  <c r="AC83" i="13"/>
  <c r="U237" i="13"/>
  <c r="U215" i="13"/>
  <c r="U22" i="13"/>
  <c r="U281" i="13"/>
  <c r="U33" i="13"/>
  <c r="U368" i="13"/>
  <c r="AC214" i="13"/>
  <c r="AC76" i="13"/>
  <c r="AC203" i="13"/>
  <c r="U333" i="13"/>
  <c r="K529" i="5"/>
  <c r="U112" i="13"/>
  <c r="K474" i="5"/>
  <c r="U174" i="13"/>
  <c r="U173" i="13"/>
  <c r="K92" i="5"/>
  <c r="U103" i="13"/>
  <c r="K777" i="5"/>
  <c r="U184" i="13"/>
  <c r="U185" i="13"/>
  <c r="K171" i="5"/>
  <c r="U57" i="13"/>
  <c r="K106" i="5"/>
  <c r="U217" i="13"/>
  <c r="K848" i="5"/>
  <c r="U325" i="13"/>
  <c r="K557" i="5"/>
  <c r="U175" i="13"/>
  <c r="K746" i="5"/>
  <c r="U73" i="13"/>
  <c r="K422" i="5"/>
  <c r="U213" i="13"/>
  <c r="U214" i="13"/>
  <c r="K787" i="5"/>
  <c r="U194" i="13"/>
  <c r="U232" i="13"/>
  <c r="U375" i="13"/>
  <c r="U218" i="13"/>
  <c r="U373" i="13"/>
  <c r="U157" i="13"/>
  <c r="U166" i="13"/>
  <c r="AC42" i="13"/>
  <c r="AB363" i="13"/>
  <c r="U344" i="13"/>
  <c r="U97" i="13"/>
  <c r="AC222" i="13"/>
  <c r="AC228" i="13"/>
  <c r="AB90" i="13"/>
  <c r="U134" i="13"/>
  <c r="U46" i="13"/>
  <c r="U223" i="13"/>
  <c r="AC74" i="13"/>
  <c r="AF267" i="13"/>
  <c r="U178" i="13"/>
  <c r="AC11" i="13"/>
  <c r="AC125" i="13"/>
  <c r="AC305" i="13"/>
  <c r="U16" i="13"/>
  <c r="AC141" i="13"/>
  <c r="AC318" i="13"/>
  <c r="U273" i="13"/>
  <c r="AC192" i="13"/>
  <c r="AC286" i="13"/>
  <c r="AB205" i="13"/>
  <c r="AF182" i="13"/>
  <c r="AF374" i="13"/>
  <c r="AB183" i="13"/>
  <c r="U167" i="13"/>
  <c r="AB222" i="13"/>
  <c r="AB364" i="13"/>
  <c r="AF35" i="13"/>
  <c r="AB98" i="13"/>
  <c r="AB254" i="13"/>
  <c r="U330" i="13"/>
  <c r="AB340" i="13"/>
  <c r="AF135" i="13"/>
  <c r="AB58" i="13"/>
  <c r="AB39" i="13"/>
  <c r="AB249" i="13"/>
  <c r="AF78" i="13"/>
  <c r="AB109" i="13"/>
  <c r="U189" i="13"/>
  <c r="AB52" i="13"/>
  <c r="AB189" i="13"/>
  <c r="AB15" i="13"/>
  <c r="U308" i="13"/>
  <c r="AB37" i="13"/>
  <c r="AB168" i="13"/>
  <c r="AB200" i="13"/>
  <c r="AB233" i="13"/>
  <c r="AB85" i="13"/>
  <c r="U182" i="13"/>
  <c r="AB274" i="13"/>
  <c r="AF96" i="13"/>
  <c r="AB296" i="13"/>
  <c r="AF356" i="13"/>
  <c r="AB148" i="13"/>
  <c r="U331" i="13"/>
  <c r="U355" i="13"/>
  <c r="AB171" i="13"/>
  <c r="AB374" i="13"/>
  <c r="AF31" i="13"/>
  <c r="AF312" i="13"/>
  <c r="AF337" i="13"/>
  <c r="AB267" i="13"/>
  <c r="AF24" i="13"/>
  <c r="AB373" i="13"/>
  <c r="AF143" i="13"/>
  <c r="AF53" i="13"/>
  <c r="AF100" i="13"/>
  <c r="AF22" i="13"/>
  <c r="AB128" i="13"/>
  <c r="AF110" i="13"/>
  <c r="AF30" i="13"/>
  <c r="AB163" i="13"/>
  <c r="AF36" i="13"/>
  <c r="AF220" i="13"/>
  <c r="AB84" i="13"/>
  <c r="AB131" i="13"/>
  <c r="AF94" i="13"/>
  <c r="AB195" i="13"/>
  <c r="AF56" i="13"/>
  <c r="AB230" i="13"/>
  <c r="AB245" i="13"/>
  <c r="AB73" i="13"/>
  <c r="AF168" i="13"/>
  <c r="AB280" i="13"/>
  <c r="AB322" i="13"/>
  <c r="AF57" i="13"/>
  <c r="AB244" i="13"/>
  <c r="AB7" i="13"/>
  <c r="AB137" i="13"/>
  <c r="AB293" i="13"/>
  <c r="AB69" i="13"/>
  <c r="AB25" i="13"/>
  <c r="AB139" i="13"/>
  <c r="AF263" i="13"/>
  <c r="AB305" i="13"/>
  <c r="AF117" i="13"/>
  <c r="AB100" i="13"/>
  <c r="AF142" i="13"/>
  <c r="AB3" i="13"/>
  <c r="AB281" i="13"/>
  <c r="AF108" i="13"/>
  <c r="AB102" i="13"/>
  <c r="AF144" i="13"/>
  <c r="AF147" i="13"/>
  <c r="AF277" i="13"/>
  <c r="AF255" i="13"/>
  <c r="AF123" i="13"/>
  <c r="AB328" i="13"/>
  <c r="AB242" i="13"/>
  <c r="AB256" i="13"/>
  <c r="AB34" i="13"/>
  <c r="AB110" i="13"/>
  <c r="AB47" i="13"/>
  <c r="AF268" i="13"/>
  <c r="AB152" i="13"/>
  <c r="AF85" i="13"/>
  <c r="AB229" i="13"/>
  <c r="AB206" i="13"/>
  <c r="AB209" i="13"/>
  <c r="AB346" i="13"/>
  <c r="AB97" i="13"/>
  <c r="AF146" i="13"/>
  <c r="AB169" i="13"/>
  <c r="AF160" i="13"/>
  <c r="AF256" i="13"/>
  <c r="AF347" i="13"/>
  <c r="AF175" i="13"/>
  <c r="AB192" i="13"/>
  <c r="AF27" i="13"/>
  <c r="AB220" i="13"/>
  <c r="AF20" i="13"/>
  <c r="AF167" i="13"/>
  <c r="AB16" i="13"/>
  <c r="AB320" i="13"/>
  <c r="AB64" i="13"/>
  <c r="AB140" i="13"/>
  <c r="AF355" i="13"/>
  <c r="AB191" i="13"/>
  <c r="AB65" i="13"/>
  <c r="AF278" i="13"/>
  <c r="AB362" i="13"/>
  <c r="AB107" i="13"/>
  <c r="AB303" i="13"/>
  <c r="AF153" i="13"/>
  <c r="AB217" i="13"/>
  <c r="AF65" i="13"/>
  <c r="AF362" i="13"/>
  <c r="AF107" i="13"/>
  <c r="AB360" i="13"/>
  <c r="AF111" i="13"/>
  <c r="AF327" i="13"/>
  <c r="AF104" i="13"/>
  <c r="AF326" i="13"/>
  <c r="AB273" i="13"/>
  <c r="AB103" i="13"/>
  <c r="AF112" i="13"/>
  <c r="AB185" i="13"/>
  <c r="AB330" i="13"/>
  <c r="AF64" i="13"/>
  <c r="AB286" i="13"/>
  <c r="AB235" i="13"/>
  <c r="AB318" i="13"/>
  <c r="AB272" i="13"/>
  <c r="AB18" i="13"/>
  <c r="AB59" i="13"/>
  <c r="AB221" i="13"/>
  <c r="AB12" i="13"/>
  <c r="AB269" i="13"/>
  <c r="AB9" i="13"/>
  <c r="AB51" i="13"/>
  <c r="AF250" i="13"/>
  <c r="AB372" i="13"/>
  <c r="AB76" i="13"/>
  <c r="AB125" i="13"/>
  <c r="AB292" i="13"/>
  <c r="AB331" i="13"/>
  <c r="AB88" i="13"/>
  <c r="AF260" i="13"/>
  <c r="AB122" i="13"/>
  <c r="AB299" i="13"/>
  <c r="AB325" i="13"/>
  <c r="AB306" i="13"/>
  <c r="AB184" i="13"/>
  <c r="AB313" i="13"/>
  <c r="AF70" i="13"/>
  <c r="AB35" i="13"/>
  <c r="AB216" i="13"/>
  <c r="AB46" i="13"/>
  <c r="AB339" i="13"/>
  <c r="AB224" i="13"/>
  <c r="AB32" i="13"/>
  <c r="AB138" i="13"/>
  <c r="AF328" i="13"/>
  <c r="AF334" i="13"/>
  <c r="AB268" i="13"/>
  <c r="AB291" i="13"/>
  <c r="AB28" i="13"/>
  <c r="AB219" i="13"/>
  <c r="AB294" i="13"/>
  <c r="AB87" i="13"/>
  <c r="AB207" i="13"/>
  <c r="AF95" i="13"/>
  <c r="AB19" i="13"/>
  <c r="AB132" i="13"/>
  <c r="AB29" i="13"/>
  <c r="AB212" i="13"/>
  <c r="AB105" i="13"/>
  <c r="AF212" i="13"/>
  <c r="AF302" i="13"/>
  <c r="AB180" i="13"/>
  <c r="AF373" i="13"/>
  <c r="AF339" i="13"/>
  <c r="AF44" i="13"/>
  <c r="AF188" i="13"/>
  <c r="AB352" i="13"/>
  <c r="AB99" i="13"/>
  <c r="AB218" i="13"/>
  <c r="AF119" i="13"/>
  <c r="AF344" i="13"/>
  <c r="AF79" i="13"/>
  <c r="AF237" i="13"/>
  <c r="AF254" i="13"/>
  <c r="AB141" i="13"/>
  <c r="AB366" i="13"/>
  <c r="AB310" i="13"/>
  <c r="AB106" i="13"/>
  <c r="AB284" i="13"/>
  <c r="AB308" i="13"/>
  <c r="AF46" i="13"/>
  <c r="AF138" i="13"/>
  <c r="AF158" i="13"/>
  <c r="AB11" i="13"/>
  <c r="AB223" i="13"/>
  <c r="AB127" i="13"/>
  <c r="AB178" i="13"/>
  <c r="AF98" i="13"/>
  <c r="AF165" i="13"/>
  <c r="AB22" i="13"/>
  <c r="AB164" i="13"/>
  <c r="AB82" i="13"/>
  <c r="AF26" i="13"/>
  <c r="AB4" i="13"/>
  <c r="AB136" i="13"/>
  <c r="AF21" i="13"/>
  <c r="AF134" i="13"/>
  <c r="AB120" i="13"/>
  <c r="AF131" i="13"/>
  <c r="AB198" i="13"/>
  <c r="AB115" i="13"/>
  <c r="AB96" i="13"/>
  <c r="AB356" i="13"/>
  <c r="AB345" i="13"/>
  <c r="AB370" i="13"/>
  <c r="AF114" i="13"/>
  <c r="AF97" i="13"/>
  <c r="AF332" i="13"/>
  <c r="AB146" i="13"/>
  <c r="AB74" i="13"/>
  <c r="AB237" i="13"/>
  <c r="AB250" i="13"/>
  <c r="AB167" i="13"/>
  <c r="AB68" i="13"/>
  <c r="AB271" i="13"/>
  <c r="AF244" i="13"/>
  <c r="AB50" i="13"/>
  <c r="AB77" i="13"/>
  <c r="AF221" i="13"/>
  <c r="AB361" i="13"/>
  <c r="AB41" i="13"/>
  <c r="AB371" i="13"/>
  <c r="AF163" i="13"/>
  <c r="AB61" i="13"/>
  <c r="AF180" i="13"/>
  <c r="AF25" i="13"/>
  <c r="AF323" i="13"/>
  <c r="AB70" i="13"/>
  <c r="AF353" i="13"/>
  <c r="AF365" i="13"/>
  <c r="AF164" i="13"/>
  <c r="AB174" i="13"/>
  <c r="AB153" i="13"/>
  <c r="AB166" i="13"/>
  <c r="AF67" i="13"/>
  <c r="AF239" i="13"/>
  <c r="AB193" i="13"/>
  <c r="AF106" i="13"/>
  <c r="AB26" i="13"/>
  <c r="AF354" i="13"/>
  <c r="AB316" i="13"/>
  <c r="AB114" i="13"/>
  <c r="AF297" i="13"/>
  <c r="AB232" i="13"/>
  <c r="AB288" i="13"/>
  <c r="AB327" i="13"/>
  <c r="AB104" i="13"/>
  <c r="AF145" i="13"/>
  <c r="AB186" i="13"/>
  <c r="AF293" i="13"/>
  <c r="AB326" i="13"/>
  <c r="AF294" i="13"/>
  <c r="AB236" i="13"/>
  <c r="AF122" i="13"/>
  <c r="AB95" i="13"/>
  <c r="AB199" i="13"/>
  <c r="AB208" i="13"/>
  <c r="AB91" i="13"/>
  <c r="AB190" i="13"/>
  <c r="AB113" i="13"/>
  <c r="AF361" i="13"/>
  <c r="AB124" i="13"/>
  <c r="AF253" i="13"/>
  <c r="AB118" i="13"/>
  <c r="AB252" i="13"/>
  <c r="AB307" i="13"/>
  <c r="AB319" i="13"/>
  <c r="AB93" i="13"/>
  <c r="AB129" i="13"/>
  <c r="AF115" i="13"/>
  <c r="AB31" i="13"/>
  <c r="AB231" i="13"/>
  <c r="AB92" i="13"/>
  <c r="AB336" i="13"/>
  <c r="AB348" i="13"/>
  <c r="AB349" i="13"/>
  <c r="AF308" i="13"/>
  <c r="AB71" i="13"/>
  <c r="AB20" i="13"/>
  <c r="AB255" i="13"/>
  <c r="AB315" i="13"/>
  <c r="AB80" i="13"/>
  <c r="AF372" i="13"/>
  <c r="AB359" i="13"/>
  <c r="AB182" i="13"/>
  <c r="AB177" i="13"/>
  <c r="AB175" i="13"/>
  <c r="AF124" i="13"/>
  <c r="AB75" i="13"/>
  <c r="AB257" i="13"/>
  <c r="AB321" i="13"/>
  <c r="AB154" i="13"/>
  <c r="AB263" i="13"/>
  <c r="AF241" i="13"/>
  <c r="AB214" i="13"/>
  <c r="AB165" i="13"/>
  <c r="AB179" i="13"/>
  <c r="AB312" i="13"/>
  <c r="AF317" i="13"/>
  <c r="AF101" i="13"/>
  <c r="AF82" i="13"/>
  <c r="AF6" i="13"/>
  <c r="AB151" i="13"/>
  <c r="AB246" i="13"/>
  <c r="AB337" i="13"/>
  <c r="AF179" i="13"/>
  <c r="AB251" i="13"/>
  <c r="AB248" i="13"/>
  <c r="AB142" i="13"/>
  <c r="AB187" i="13"/>
  <c r="AF364" i="13"/>
  <c r="AB62" i="13"/>
  <c r="AB228" i="13"/>
  <c r="AB157" i="13"/>
  <c r="AB33" i="13"/>
  <c r="AB277" i="13"/>
  <c r="AF360" i="13"/>
  <c r="AB24" i="13"/>
  <c r="AB334" i="13"/>
  <c r="AB247" i="13"/>
  <c r="AB243" i="13"/>
  <c r="AF252" i="13"/>
  <c r="AB17" i="13"/>
  <c r="AB149" i="13"/>
  <c r="AB298" i="13"/>
  <c r="AB194" i="13"/>
  <c r="AF246" i="13"/>
  <c r="AB181" i="13"/>
  <c r="AB196" i="13"/>
  <c r="AB160" i="13"/>
  <c r="AF304" i="13"/>
  <c r="AB23" i="13"/>
  <c r="AB282" i="13"/>
  <c r="AB44" i="13"/>
  <c r="AB188" i="13"/>
  <c r="AF62" i="13"/>
  <c r="AB21" i="13"/>
  <c r="AB215" i="13"/>
  <c r="AF71" i="13"/>
  <c r="AF266" i="13"/>
  <c r="AB54" i="13"/>
  <c r="AB347" i="13"/>
  <c r="AB226" i="13"/>
  <c r="AB117" i="13"/>
  <c r="AB262" i="13"/>
  <c r="AF243" i="13"/>
  <c r="AF359" i="13"/>
  <c r="AF88" i="13"/>
  <c r="AB197" i="13"/>
  <c r="AB369" i="13"/>
  <c r="AF245" i="13"/>
  <c r="AB66" i="13"/>
  <c r="AB275" i="13"/>
  <c r="AB81" i="13"/>
  <c r="AB287" i="13"/>
  <c r="AB173" i="13"/>
  <c r="AB311" i="13"/>
  <c r="AB14" i="13"/>
  <c r="AB341" i="13"/>
  <c r="AB78" i="13"/>
  <c r="AF162" i="13"/>
  <c r="AB333" i="13"/>
  <c r="AB213" i="13"/>
  <c r="AF66" i="13"/>
  <c r="AB170" i="13"/>
  <c r="AB276" i="13"/>
  <c r="AB145" i="13"/>
  <c r="AB342" i="13"/>
  <c r="AF333" i="13"/>
  <c r="AB289" i="13"/>
  <c r="AB324" i="13"/>
  <c r="AB261" i="13"/>
  <c r="AF116" i="13"/>
  <c r="AB210" i="13"/>
  <c r="AB351" i="13"/>
  <c r="AF311" i="13"/>
  <c r="AB314" i="13"/>
  <c r="AB260" i="13"/>
  <c r="AB300" i="13"/>
  <c r="AF289" i="13"/>
  <c r="AB225" i="13"/>
  <c r="AB264" i="13"/>
  <c r="AB5" i="13"/>
  <c r="AB126" i="13"/>
  <c r="I70" i="11"/>
  <c r="I71" i="11"/>
  <c r="I69" i="11"/>
  <c r="Q65" i="11"/>
  <c r="Q64" i="11"/>
  <c r="P65" i="11"/>
  <c r="P64" i="11"/>
  <c r="P68" i="11"/>
  <c r="P66" i="11"/>
  <c r="P67" i="11"/>
  <c r="I93" i="11"/>
  <c r="I91" i="11"/>
  <c r="I92" i="11"/>
  <c r="X99" i="11"/>
  <c r="X100" i="11"/>
  <c r="Q99" i="11"/>
  <c r="Q100" i="11"/>
  <c r="Q82" i="11"/>
  <c r="Q80" i="11"/>
  <c r="Q81" i="11"/>
  <c r="Z77" i="11"/>
  <c r="Z78" i="11"/>
  <c r="Z76" i="11"/>
  <c r="Z79" i="11"/>
  <c r="G99" i="11"/>
  <c r="G100" i="11"/>
  <c r="G78" i="11"/>
  <c r="G76" i="11"/>
  <c r="G79" i="11"/>
  <c r="G77" i="11"/>
  <c r="O73" i="11"/>
  <c r="O74" i="11"/>
  <c r="O75" i="11"/>
  <c r="O72" i="11"/>
  <c r="X77" i="11"/>
  <c r="X78" i="11"/>
  <c r="X76" i="11"/>
  <c r="X79" i="11"/>
  <c r="X91" i="11"/>
  <c r="X92" i="11"/>
  <c r="X93" i="11"/>
  <c r="X96" i="11"/>
  <c r="X95" i="11"/>
  <c r="H73" i="11"/>
  <c r="H74" i="11"/>
  <c r="H72" i="11"/>
  <c r="H75" i="11"/>
  <c r="Z64" i="11"/>
  <c r="Z65" i="11"/>
  <c r="I65" i="11"/>
  <c r="I64" i="11"/>
  <c r="Q68" i="11"/>
  <c r="Q66" i="11"/>
  <c r="Q67" i="11"/>
  <c r="O62" i="11"/>
  <c r="O63" i="11"/>
  <c r="O61" i="11"/>
  <c r="Z88" i="11"/>
  <c r="Z89" i="11"/>
  <c r="Z90" i="11"/>
  <c r="Y88" i="11"/>
  <c r="Y89" i="11"/>
  <c r="Y90" i="11"/>
  <c r="X60" i="11"/>
  <c r="X58" i="11"/>
  <c r="X59" i="11"/>
  <c r="G64" i="11"/>
  <c r="G65" i="11"/>
  <c r="Y91" i="11"/>
  <c r="Y92" i="11"/>
  <c r="Y93" i="11"/>
  <c r="Q96" i="11"/>
  <c r="Q95" i="11"/>
  <c r="P95" i="11"/>
  <c r="P96" i="11"/>
  <c r="P71" i="11"/>
  <c r="P69" i="11"/>
  <c r="P70" i="11"/>
  <c r="Y66" i="11"/>
  <c r="Y67" i="11"/>
  <c r="Y68" i="11"/>
  <c r="H90" i="11"/>
  <c r="H88" i="11"/>
  <c r="H89" i="11"/>
  <c r="G92" i="11"/>
  <c r="G93" i="11"/>
  <c r="G91" i="11"/>
  <c r="O87" i="11"/>
  <c r="O85" i="11"/>
  <c r="O86" i="11"/>
  <c r="I87" i="11"/>
  <c r="I85" i="11"/>
  <c r="I86" i="11"/>
  <c r="P60" i="11"/>
  <c r="P58" i="11"/>
  <c r="P59" i="11"/>
  <c r="I90" i="11"/>
  <c r="I88" i="11"/>
  <c r="I89" i="11"/>
  <c r="P76" i="11"/>
  <c r="P79" i="11"/>
  <c r="P77" i="11"/>
  <c r="P78" i="11"/>
  <c r="P85" i="11"/>
  <c r="P86" i="11"/>
  <c r="P87" i="11"/>
  <c r="O99" i="11"/>
  <c r="O100" i="11"/>
  <c r="Z69" i="11"/>
  <c r="Z70" i="11"/>
  <c r="Z71" i="11"/>
  <c r="I82" i="11"/>
  <c r="I80" i="11"/>
  <c r="I81" i="11"/>
  <c r="H81" i="11"/>
  <c r="H82" i="11"/>
  <c r="H80" i="11"/>
  <c r="H99" i="11"/>
  <c r="H100" i="11"/>
  <c r="O68" i="11"/>
  <c r="O66" i="11"/>
  <c r="O67" i="11"/>
  <c r="Z95" i="11"/>
  <c r="Z96" i="11"/>
  <c r="O82" i="11"/>
  <c r="O80" i="11"/>
  <c r="O81" i="11"/>
  <c r="X74" i="11"/>
  <c r="X72" i="11"/>
  <c r="X75" i="11"/>
  <c r="X73" i="11"/>
  <c r="Q74" i="11"/>
  <c r="Q72" i="11"/>
  <c r="Q75" i="11"/>
  <c r="Q73" i="11"/>
  <c r="I96" i="11"/>
  <c r="I95" i="11"/>
  <c r="Q79" i="11"/>
  <c r="Q77" i="11"/>
  <c r="Q78" i="11"/>
  <c r="Q76" i="11"/>
  <c r="Y63" i="11"/>
  <c r="Y61" i="11"/>
  <c r="Y62" i="11"/>
  <c r="X64" i="11"/>
  <c r="X65" i="11"/>
  <c r="G62" i="11"/>
  <c r="G63" i="11"/>
  <c r="G61" i="11"/>
  <c r="Z60" i="11"/>
  <c r="Z58" i="11"/>
  <c r="Z59" i="11"/>
  <c r="Q88" i="11"/>
  <c r="Q89" i="11"/>
  <c r="Q90" i="11"/>
  <c r="Z91" i="11"/>
  <c r="Z93" i="11"/>
  <c r="Z92" i="11"/>
  <c r="Z63" i="11"/>
  <c r="Z61" i="11"/>
  <c r="Z62" i="11"/>
  <c r="X85" i="11"/>
  <c r="X86" i="11"/>
  <c r="X87" i="11"/>
  <c r="Y74" i="11"/>
  <c r="Y72" i="11"/>
  <c r="Y75" i="11"/>
  <c r="Y73" i="11"/>
  <c r="H70" i="11"/>
  <c r="H71" i="11"/>
  <c r="H69" i="11"/>
  <c r="G70" i="11"/>
  <c r="G71" i="11"/>
  <c r="G69" i="11"/>
  <c r="G95" i="11"/>
  <c r="G96" i="11"/>
  <c r="G73" i="11"/>
  <c r="G74" i="11"/>
  <c r="G72" i="11"/>
  <c r="G75" i="11"/>
  <c r="I59" i="11"/>
  <c r="I60" i="11"/>
  <c r="I58" i="11"/>
  <c r="H62" i="11"/>
  <c r="H63" i="11"/>
  <c r="H61" i="11"/>
  <c r="G87" i="11"/>
  <c r="G85" i="11"/>
  <c r="G86" i="11"/>
  <c r="O90" i="11"/>
  <c r="O88" i="11"/>
  <c r="O89" i="11"/>
  <c r="O59" i="11"/>
  <c r="O60" i="11"/>
  <c r="O58" i="11"/>
  <c r="AN48" i="10" a="1"/>
  <c r="AN48" i="10" s="1"/>
  <c r="AO7" i="10"/>
  <c r="AI6" i="8"/>
  <c r="AI45" i="8" s="1" a="1"/>
  <c r="AI45" i="8" s="1"/>
  <c r="AH45" i="8" a="1"/>
  <c r="AH45" i="8" s="1"/>
  <c r="G5" i="3" a="1"/>
  <c r="G5" i="3" s="1"/>
  <c r="V5" i="3" a="1"/>
  <c r="V5" i="3" s="1"/>
  <c r="Q5" i="3" a="1"/>
  <c r="Q5" i="3" s="1"/>
  <c r="L5" i="3" a="1"/>
  <c r="L5" i="3" s="1"/>
  <c r="W88" i="13" l="1"/>
  <c r="U88" i="14"/>
  <c r="W88" i="14" s="1"/>
  <c r="AT88" i="14" s="1"/>
  <c r="AW141" i="14"/>
  <c r="AW140" i="14"/>
  <c r="AW287" i="14"/>
  <c r="AW288" i="14"/>
  <c r="W256" i="13"/>
  <c r="U256" i="14"/>
  <c r="W256" i="14" s="1"/>
  <c r="AT256" i="14" s="1"/>
  <c r="AW286" i="14"/>
  <c r="AW285" i="14"/>
  <c r="AW132" i="14"/>
  <c r="AW133" i="14"/>
  <c r="AL141" i="14"/>
  <c r="AT301" i="14"/>
  <c r="AL37" i="14"/>
  <c r="AL291" i="14"/>
  <c r="AL198" i="14"/>
  <c r="AT120" i="14"/>
  <c r="AL13" i="14"/>
  <c r="AF216" i="13"/>
  <c r="AF118" i="13"/>
  <c r="AF178" i="13"/>
  <c r="AF7" i="13"/>
  <c r="AF99" i="13"/>
  <c r="AF157" i="13"/>
  <c r="AF120" i="13"/>
  <c r="AF329" i="13"/>
  <c r="AF39" i="13"/>
  <c r="AF60" i="13"/>
  <c r="AF295" i="13"/>
  <c r="AF247" i="13"/>
  <c r="AF296" i="13"/>
  <c r="AF343" i="13"/>
  <c r="AF52" i="13"/>
  <c r="AF159" i="13"/>
  <c r="AF196" i="13"/>
  <c r="AF102" i="13"/>
  <c r="AF47" i="13"/>
  <c r="AT32" i="14"/>
  <c r="AL285" i="14"/>
  <c r="AT85" i="14"/>
  <c r="AT252" i="14"/>
  <c r="AT101" i="14"/>
  <c r="AT115" i="14"/>
  <c r="AT114" i="14"/>
  <c r="AT26" i="14"/>
  <c r="AT356" i="14"/>
  <c r="AT136" i="14"/>
  <c r="AT251" i="14"/>
  <c r="AT267" i="14"/>
  <c r="AT277" i="14"/>
  <c r="AT371" i="14"/>
  <c r="AT260" i="14"/>
  <c r="AT108" i="14"/>
  <c r="AT155" i="14"/>
  <c r="AT338" i="14"/>
  <c r="AT123" i="14"/>
  <c r="AT165" i="14"/>
  <c r="AT195" i="14"/>
  <c r="AT250" i="14"/>
  <c r="AT143" i="14"/>
  <c r="AT25" i="14"/>
  <c r="AT111" i="14"/>
  <c r="AT56" i="14"/>
  <c r="AT127" i="14"/>
  <c r="AT72" i="14"/>
  <c r="AT131" i="14"/>
  <c r="AT147" i="14"/>
  <c r="AT95" i="14"/>
  <c r="AT221" i="14"/>
  <c r="AT27" i="14"/>
  <c r="AF109" i="13"/>
  <c r="Y3" i="3"/>
  <c r="G4" i="3" a="1"/>
  <c r="G4" i="3" s="1"/>
  <c r="L4" i="3" a="1"/>
  <c r="L4" i="3" s="1"/>
  <c r="Q4" i="3" a="1"/>
  <c r="Q4" i="3" s="1"/>
  <c r="V4" i="3" a="1"/>
  <c r="V4" i="3" s="1"/>
  <c r="L6" i="3" s="1" a="1"/>
  <c r="L6" i="3" s="1"/>
  <c r="AF341" i="13"/>
  <c r="U55" i="16" a="1"/>
  <c r="U55" i="16" s="1"/>
  <c r="U56" i="16" s="1"/>
  <c r="U57" i="16" s="1"/>
  <c r="U58" i="16" s="1"/>
  <c r="U59" i="16" s="1"/>
  <c r="U60" i="16" s="1"/>
  <c r="U61" i="16" s="1"/>
  <c r="U62" i="16" s="1"/>
  <c r="U63" i="16" s="1"/>
  <c r="AF292" i="13"/>
  <c r="AF137" i="13"/>
  <c r="T55" i="16" a="1"/>
  <c r="T55" i="16" s="1"/>
  <c r="AF73" i="13"/>
  <c r="AF264" i="13"/>
  <c r="BL7" i="16"/>
  <c r="BO7" i="16"/>
  <c r="BI7" i="16"/>
  <c r="BN7" i="16"/>
  <c r="T10" i="1" a="1"/>
  <c r="T10" i="1" s="1"/>
  <c r="Q286" i="14"/>
  <c r="Q37" i="14"/>
  <c r="AF251" i="13"/>
  <c r="Q270" i="14"/>
  <c r="Q133" i="14"/>
  <c r="AF136" i="13"/>
  <c r="AF338" i="13"/>
  <c r="W154" i="13"/>
  <c r="AF170" i="13"/>
  <c r="AF342" i="13"/>
  <c r="Q348" i="14"/>
  <c r="U98" i="14"/>
  <c r="W98" i="14" s="1"/>
  <c r="AT98" i="14" s="1"/>
  <c r="AF366" i="13"/>
  <c r="AF87" i="13"/>
  <c r="Q269" i="14"/>
  <c r="Q209" i="14"/>
  <c r="AF92" i="13"/>
  <c r="AC91" i="14" a="1"/>
  <c r="AC91" i="14" s="1"/>
  <c r="AF185" i="13"/>
  <c r="AC185" i="14" a="1"/>
  <c r="AC185" i="14" s="1"/>
  <c r="AF336" i="13"/>
  <c r="AC336" i="14" a="1"/>
  <c r="AC336" i="14" s="1"/>
  <c r="AF5" i="13"/>
  <c r="AC5" i="14" a="1"/>
  <c r="AC5" i="14" s="1"/>
  <c r="AF81" i="13"/>
  <c r="AC81" i="14" a="1"/>
  <c r="AC81" i="14" s="1"/>
  <c r="AF316" i="13"/>
  <c r="AF350" i="13"/>
  <c r="AC349" i="14" a="1"/>
  <c r="AC349" i="14" s="1"/>
  <c r="AF321" i="13"/>
  <c r="AC321" i="14" a="1"/>
  <c r="AC321" i="14" s="1"/>
  <c r="AF48" i="13"/>
  <c r="AC48" i="14" a="1"/>
  <c r="AC48" i="14" s="1"/>
  <c r="AF186" i="13"/>
  <c r="AF276" i="13"/>
  <c r="AC276" i="14" a="1"/>
  <c r="AC276" i="14" s="1"/>
  <c r="AF18" i="13"/>
  <c r="AC17" i="14" a="1"/>
  <c r="AC17" i="14" s="1"/>
  <c r="AF299" i="13"/>
  <c r="AC299" i="14" a="1"/>
  <c r="AC299" i="14" s="1"/>
  <c r="AF299" i="14" s="1"/>
  <c r="AF38" i="13"/>
  <c r="AC38" i="14" a="1"/>
  <c r="AC38" i="14" s="1"/>
  <c r="E26" i="1"/>
  <c r="AF17" i="13"/>
  <c r="AD15" i="14" a="1"/>
  <c r="AD15" i="14" s="1"/>
  <c r="AF205" i="13"/>
  <c r="AC200" i="14" a="1"/>
  <c r="AC200" i="14" s="1"/>
  <c r="AF346" i="13"/>
  <c r="AC346" i="14" a="1"/>
  <c r="AC346" i="14" s="1"/>
  <c r="AF93" i="13"/>
  <c r="AC93" i="14" a="1"/>
  <c r="AC93" i="14" s="1"/>
  <c r="AF306" i="13"/>
  <c r="AC306" i="14" a="1"/>
  <c r="AC306" i="14" s="1"/>
  <c r="AF210" i="13"/>
  <c r="AC210" i="14" a="1"/>
  <c r="AC210" i="14" s="1"/>
  <c r="AF286" i="13"/>
  <c r="AC286" i="14" a="1"/>
  <c r="AC286" i="14" s="1"/>
  <c r="AF139" i="13"/>
  <c r="AF331" i="13"/>
  <c r="AC331" i="14" a="1"/>
  <c r="AC331" i="14" s="1"/>
  <c r="AF325" i="13"/>
  <c r="AC325" i="14" a="1"/>
  <c r="AC325" i="14" s="1"/>
  <c r="AF209" i="13"/>
  <c r="AC208" i="14" a="1"/>
  <c r="AC208" i="14" s="1"/>
  <c r="AF208" i="14" s="1"/>
  <c r="AF190" i="13"/>
  <c r="AC190" i="14" a="1"/>
  <c r="AC190" i="14" s="1"/>
  <c r="AF190" i="14" s="1"/>
  <c r="AF16" i="13"/>
  <c r="AC13" i="14" a="1"/>
  <c r="AC13" i="14" s="1"/>
  <c r="AF13" i="14" s="1"/>
  <c r="AF262" i="13"/>
  <c r="AC262" i="14" a="1"/>
  <c r="AC262" i="14" s="1"/>
  <c r="AF29" i="13"/>
  <c r="AC29" i="14" a="1"/>
  <c r="AC29" i="14" s="1"/>
  <c r="AF15" i="13"/>
  <c r="AF141" i="13"/>
  <c r="AC141" i="14" a="1"/>
  <c r="AC141" i="14" s="1"/>
  <c r="AF141" i="14" s="1"/>
  <c r="AF314" i="13"/>
  <c r="AC314" i="14" a="1"/>
  <c r="AC314" i="14" s="1"/>
  <c r="AF314" i="14" s="1"/>
  <c r="AF288" i="13"/>
  <c r="AC288" i="14" a="1"/>
  <c r="AC288" i="14" s="1"/>
  <c r="AF149" i="13"/>
  <c r="AC149" i="14" a="1"/>
  <c r="AC149" i="14" s="1"/>
  <c r="AF319" i="13"/>
  <c r="AC319" i="14" a="1"/>
  <c r="AC319" i="14" s="1"/>
  <c r="Q81" i="14"/>
  <c r="AF194" i="13"/>
  <c r="AC194" i="14" a="1"/>
  <c r="AC194" i="14" s="1"/>
  <c r="AF194" i="14" s="1"/>
  <c r="AF69" i="13"/>
  <c r="AD69" i="14" a="1"/>
  <c r="AD69" i="14" s="1"/>
  <c r="Z26" i="18" s="1" a="1"/>
  <c r="Z26" i="18" s="1"/>
  <c r="AF284" i="13"/>
  <c r="AF192" i="13"/>
  <c r="AC192" i="14" a="1"/>
  <c r="AC192" i="14" s="1"/>
  <c r="AF192" i="14" s="1"/>
  <c r="AF126" i="13"/>
  <c r="AC126" i="14" a="1"/>
  <c r="AC126" i="14" s="1"/>
  <c r="AF126" i="14" s="1"/>
  <c r="AF133" i="13"/>
  <c r="AC133" i="14" a="1"/>
  <c r="AC133" i="14" s="1"/>
  <c r="AF133" i="14" s="1"/>
  <c r="AF301" i="13"/>
  <c r="AF206" i="13"/>
  <c r="AC202" i="14" a="1"/>
  <c r="AC202" i="14" s="1"/>
  <c r="AF291" i="13"/>
  <c r="AC291" i="14" a="1"/>
  <c r="AC291" i="14" s="1"/>
  <c r="AF291" i="14" s="1"/>
  <c r="AF310" i="13"/>
  <c r="AC310" i="14" a="1"/>
  <c r="AC310" i="14" s="1"/>
  <c r="AF310" i="14" s="1"/>
  <c r="Q335" i="14"/>
  <c r="AF340" i="13"/>
  <c r="AF274" i="13"/>
  <c r="AC272" i="14" a="1"/>
  <c r="AC272" i="14" s="1"/>
  <c r="AF272" i="14" s="1"/>
  <c r="AF207" i="13"/>
  <c r="AC204" i="14" a="1"/>
  <c r="AC204" i="14" s="1"/>
  <c r="AF204" i="14" s="1"/>
  <c r="AF273" i="13"/>
  <c r="AC270" i="14" a="1"/>
  <c r="AC270" i="14" s="1"/>
  <c r="AF270" i="14" s="1"/>
  <c r="AD329" i="14"/>
  <c r="AF329" i="14" s="1"/>
  <c r="Q38" i="14"/>
  <c r="AF279" i="14"/>
  <c r="O26" i="1"/>
  <c r="Q194" i="14"/>
  <c r="Q287" i="14"/>
  <c r="AF103" i="14"/>
  <c r="AF215" i="14"/>
  <c r="Q272" i="14"/>
  <c r="AF367" i="13"/>
  <c r="AF169" i="13"/>
  <c r="Q325" i="14"/>
  <c r="AF307" i="13"/>
  <c r="AF72" i="13"/>
  <c r="AF9" i="13"/>
  <c r="Q4" i="14"/>
  <c r="I21" i="1"/>
  <c r="Q11" i="14"/>
  <c r="Q358" i="14"/>
  <c r="Q273" i="14"/>
  <c r="I23" i="1"/>
  <c r="AF279" i="13"/>
  <c r="AF235" i="13"/>
  <c r="AF358" i="13"/>
  <c r="AF156" i="13"/>
  <c r="AF375" i="13"/>
  <c r="AF258" i="13"/>
  <c r="Q19" i="14"/>
  <c r="Q9" i="14"/>
  <c r="I29" i="1"/>
  <c r="AF351" i="13"/>
  <c r="AF152" i="14"/>
  <c r="R298" i="14"/>
  <c r="AF32" i="13"/>
  <c r="AF275" i="13"/>
  <c r="AF19" i="13"/>
  <c r="AF204" i="13"/>
  <c r="Q29" i="14"/>
  <c r="Q290" i="14"/>
  <c r="Q15" i="14"/>
  <c r="Q345" i="14"/>
  <c r="AF155" i="13"/>
  <c r="AF208" i="13"/>
  <c r="AF242" i="14"/>
  <c r="AF183" i="13"/>
  <c r="Q306" i="14"/>
  <c r="Q346" i="14"/>
  <c r="Q141" i="14"/>
  <c r="R257" i="14"/>
  <c r="Q288" i="14"/>
  <c r="Q93" i="14"/>
  <c r="R318" i="14"/>
  <c r="Q202" i="14"/>
  <c r="Q12" i="14"/>
  <c r="R63" i="14"/>
  <c r="N22" i="1"/>
  <c r="AB11" i="14"/>
  <c r="N24" i="1"/>
  <c r="AD11" i="1" a="1"/>
  <c r="AD11" i="1" s="1"/>
  <c r="AD12" i="1" a="1"/>
  <c r="AD12" i="1" s="1"/>
  <c r="AD77" i="18" a="1"/>
  <c r="AD77" i="18" s="1"/>
  <c r="Q189" i="14"/>
  <c r="AB285" i="14"/>
  <c r="Q80" i="14"/>
  <c r="Q13" i="14"/>
  <c r="Q210" i="14"/>
  <c r="Q92" i="14"/>
  <c r="U6" i="1" a="1"/>
  <c r="U6" i="1" s="1"/>
  <c r="U7" i="1" a="1"/>
  <c r="U7" i="1" s="1"/>
  <c r="U11" i="1" a="1"/>
  <c r="U11" i="1" s="1"/>
  <c r="J5" i="1" a="1"/>
  <c r="J5" i="1" s="1"/>
  <c r="J24" i="1" s="1"/>
  <c r="Q69" i="14"/>
  <c r="Q191" i="14"/>
  <c r="Q350" i="14"/>
  <c r="N28" i="1"/>
  <c r="Q91" i="14"/>
  <c r="AB10" i="14"/>
  <c r="Q351" i="14"/>
  <c r="Q299" i="14"/>
  <c r="O30" i="1"/>
  <c r="AB13" i="1" a="1"/>
  <c r="AB13" i="1" s="1"/>
  <c r="Q47" i="14"/>
  <c r="Q291" i="14"/>
  <c r="AB5" i="1" a="1"/>
  <c r="AB5" i="1" s="1"/>
  <c r="AB38" i="1" s="1"/>
  <c r="Q18" i="14"/>
  <c r="Q349" i="14"/>
  <c r="Q305" i="14"/>
  <c r="AB205" i="14"/>
  <c r="Q125" i="14"/>
  <c r="Q149" i="14"/>
  <c r="AB10" i="1" a="1"/>
  <c r="AB10" i="1" s="1"/>
  <c r="Q314" i="14"/>
  <c r="Q357" i="14"/>
  <c r="Q64" i="14"/>
  <c r="R319" i="14"/>
  <c r="AB6" i="1" a="1"/>
  <c r="AB6" i="1" s="1"/>
  <c r="AC6" i="1" a="1"/>
  <c r="AC6" i="1" s="1"/>
  <c r="U9" i="1" a="1"/>
  <c r="U9" i="1" s="1"/>
  <c r="Q126" i="14"/>
  <c r="Q276" i="14"/>
  <c r="AB12" i="1" a="1"/>
  <c r="AB12" i="1" s="1"/>
  <c r="O27" i="1"/>
  <c r="Q313" i="14"/>
  <c r="Q132" i="14"/>
  <c r="Q8" i="14"/>
  <c r="Q274" i="14"/>
  <c r="AD9" i="1" a="1"/>
  <c r="AD9" i="1" s="1"/>
  <c r="AD39" i="1" s="1"/>
  <c r="AD10" i="1" a="1"/>
  <c r="AD10" i="1" s="1"/>
  <c r="AC8" i="1" a="1"/>
  <c r="AC8" i="1" s="1"/>
  <c r="AC36" i="1" s="1"/>
  <c r="AC11" i="1" a="1"/>
  <c r="AC11" i="1" s="1"/>
  <c r="J12" i="1" a="1"/>
  <c r="J12" i="1" s="1"/>
  <c r="AF154" i="14"/>
  <c r="AT154" i="14" s="1"/>
  <c r="AF173" i="14"/>
  <c r="AF224" i="14"/>
  <c r="AT224" i="14" s="1"/>
  <c r="G25" i="1"/>
  <c r="N25" i="1"/>
  <c r="AC13" i="1" a="1"/>
  <c r="AC13" i="1" s="1"/>
  <c r="AE32" i="18" a="1"/>
  <c r="AE32" i="18" s="1"/>
  <c r="AF49" i="14"/>
  <c r="AB206" i="14"/>
  <c r="Q192" i="14"/>
  <c r="J6" i="1" a="1"/>
  <c r="J6" i="1" s="1"/>
  <c r="AF233" i="14"/>
  <c r="Q324" i="14"/>
  <c r="Q205" i="14"/>
  <c r="Q201" i="14"/>
  <c r="AF161" i="14"/>
  <c r="Q5" i="14"/>
  <c r="Q16" i="14"/>
  <c r="Q190" i="14"/>
  <c r="Q261" i="14"/>
  <c r="AB286" i="14"/>
  <c r="Q208" i="14"/>
  <c r="Q285" i="14"/>
  <c r="Q10" i="14"/>
  <c r="Q271" i="14"/>
  <c r="Q193" i="14"/>
  <c r="Q17" i="14"/>
  <c r="N21" i="1"/>
  <c r="J10" i="1" a="1"/>
  <c r="J10" i="1" s="1"/>
  <c r="AD8" i="1" a="1"/>
  <c r="AD8" i="1" s="1"/>
  <c r="AD36" i="1" s="1"/>
  <c r="Z220" i="18" a="1"/>
  <c r="Z220" i="18" s="1"/>
  <c r="Z113" i="18" a="1"/>
  <c r="Z113" i="18" s="1"/>
  <c r="Z68" i="18" a="1"/>
  <c r="Z68" i="18" s="1"/>
  <c r="Z83" i="18" a="1"/>
  <c r="Z83" i="18" s="1"/>
  <c r="Z25" i="18" a="1"/>
  <c r="Z25" i="18" s="1"/>
  <c r="Z88" i="18" a="1"/>
  <c r="Z88" i="18" s="1"/>
  <c r="Z6" i="18" a="1"/>
  <c r="Z6" i="18" s="1"/>
  <c r="Z241" i="18" a="1"/>
  <c r="Z241" i="18" s="1"/>
  <c r="Z175" i="18" a="1"/>
  <c r="Z175" i="18" s="1"/>
  <c r="Z87" i="18" a="1"/>
  <c r="Z87" i="18" s="1"/>
  <c r="Z39" i="18" a="1"/>
  <c r="Z39" i="18" s="1"/>
  <c r="Z52" i="18" a="1"/>
  <c r="Z52" i="18" s="1"/>
  <c r="Z171" i="18" a="1"/>
  <c r="Z171" i="18" s="1"/>
  <c r="Z85" i="18" a="1"/>
  <c r="Z85" i="18" s="1"/>
  <c r="Z244" i="18" a="1"/>
  <c r="Z244" i="18" s="1"/>
  <c r="Z227" i="18" a="1"/>
  <c r="Z227" i="18" s="1"/>
  <c r="Z7" i="18" a="1"/>
  <c r="Z7" i="18" s="1"/>
  <c r="Z74" i="18" a="1"/>
  <c r="Z74" i="18" s="1"/>
  <c r="Z131" i="18" a="1"/>
  <c r="Z131" i="18" s="1"/>
  <c r="Z9" i="18" a="1"/>
  <c r="Z9" i="18" s="1"/>
  <c r="Z36" i="18" a="1"/>
  <c r="Z36" i="18" s="1"/>
  <c r="Z16" i="18" a="1"/>
  <c r="Z16" i="18" s="1"/>
  <c r="Z27" i="18" a="1"/>
  <c r="Z27" i="18" s="1"/>
  <c r="Z72" i="18" a="1"/>
  <c r="Z72" i="18" s="1"/>
  <c r="Z180" i="18" a="1"/>
  <c r="Z180" i="18" s="1"/>
  <c r="Z240" i="18" a="1"/>
  <c r="Z240" i="18" s="1"/>
  <c r="Z137" i="18" a="1"/>
  <c r="Z137" i="18" s="1"/>
  <c r="Z182" i="18" a="1"/>
  <c r="Z182" i="18" s="1"/>
  <c r="Z138" i="18" a="1"/>
  <c r="Z138" i="18" s="1"/>
  <c r="Z109" i="18" a="1"/>
  <c r="Z109" i="18" s="1"/>
  <c r="Z185" i="18" a="1"/>
  <c r="Z185" i="18" s="1"/>
  <c r="Z21" i="18" a="1"/>
  <c r="Z21" i="18" s="1"/>
  <c r="Z160" i="18" a="1"/>
  <c r="Z160" i="18" s="1"/>
  <c r="Z149" i="18" a="1"/>
  <c r="Z149" i="18" s="1"/>
  <c r="Z143" i="18" a="1"/>
  <c r="Z143" i="18" s="1"/>
  <c r="Z13" i="18" a="1"/>
  <c r="Z13" i="18" s="1"/>
  <c r="Z99" i="18" a="1"/>
  <c r="Z99" i="18" s="1"/>
  <c r="Z231" i="18" a="1"/>
  <c r="Z231" i="18" s="1"/>
  <c r="Z168" i="18" a="1"/>
  <c r="Z168" i="18" s="1"/>
  <c r="Z188" i="18" a="1"/>
  <c r="Z188" i="18" s="1"/>
  <c r="Z150" i="18" a="1"/>
  <c r="Z150" i="18" s="1"/>
  <c r="Z234" i="18" a="1"/>
  <c r="Z234" i="18" s="1"/>
  <c r="Z93" i="18" a="1"/>
  <c r="Z93" i="18" s="1"/>
  <c r="Z91" i="18" a="1"/>
  <c r="Z91" i="18" s="1"/>
  <c r="Z129" i="18" a="1"/>
  <c r="Z129" i="18" s="1"/>
  <c r="Z121" i="18" a="1"/>
  <c r="Z121" i="18" s="1"/>
  <c r="Z120" i="18" a="1"/>
  <c r="Z120" i="18" s="1"/>
  <c r="Z117" i="18" a="1"/>
  <c r="Z117" i="18" s="1"/>
  <c r="Z86" i="18" a="1"/>
  <c r="Z86" i="18" s="1"/>
  <c r="Z218" i="18" a="1"/>
  <c r="Z218" i="18" s="1"/>
  <c r="Z155" i="18" a="1"/>
  <c r="Z155" i="18" s="1"/>
  <c r="Z178" i="18" a="1"/>
  <c r="Z178" i="18" s="1"/>
  <c r="Z213" i="18" a="1"/>
  <c r="Z213" i="18" s="1"/>
  <c r="Z139" i="18" a="1"/>
  <c r="Z139" i="18" s="1"/>
  <c r="Z236" i="18" a="1"/>
  <c r="Z236" i="18" s="1"/>
  <c r="Z221" i="18" a="1"/>
  <c r="Z221" i="18" s="1"/>
  <c r="Z75" i="18" a="1"/>
  <c r="Z75" i="18" s="1"/>
  <c r="Z69" i="18" a="1"/>
  <c r="Z69" i="18" s="1"/>
  <c r="Z107" i="18" a="1"/>
  <c r="Z107" i="18" s="1"/>
  <c r="Z82" i="18" a="1"/>
  <c r="Z82" i="18" s="1"/>
  <c r="Z101" i="18" a="1"/>
  <c r="Z101" i="18" s="1"/>
  <c r="Z95" i="18" a="1"/>
  <c r="Z95" i="18" s="1"/>
  <c r="Z73" i="18" a="1"/>
  <c r="Z73" i="18" s="1"/>
  <c r="Z204" i="18" a="1"/>
  <c r="Z204" i="18" s="1"/>
  <c r="Z229" i="18" a="1"/>
  <c r="Z229" i="18" s="1"/>
  <c r="Z200" i="18" a="1"/>
  <c r="Z200" i="18" s="1"/>
  <c r="Z3" i="18" a="1"/>
  <c r="Z3" i="18" s="1"/>
  <c r="Z223" i="18" a="1"/>
  <c r="Z223" i="18" s="1"/>
  <c r="Z207" i="18" a="1"/>
  <c r="Z207" i="18" s="1"/>
  <c r="Z57" i="18" a="1"/>
  <c r="Z57" i="18" s="1"/>
  <c r="Z55" i="18" a="1"/>
  <c r="Z55" i="18" s="1"/>
  <c r="Z89" i="18" a="1"/>
  <c r="Z89" i="18" s="1"/>
  <c r="Z104" i="18" a="1"/>
  <c r="Z104" i="18" s="1"/>
  <c r="Z64" i="18" a="1"/>
  <c r="Z64" i="18" s="1"/>
  <c r="Z79" i="18" a="1"/>
  <c r="Z79" i="18" s="1"/>
  <c r="Z77" i="18" a="1"/>
  <c r="Z77" i="18" s="1"/>
  <c r="Z50" i="18" a="1"/>
  <c r="Z50" i="18" s="1"/>
  <c r="Z192" i="18" a="1"/>
  <c r="Z192" i="18" s="1"/>
  <c r="Z216" i="18" a="1"/>
  <c r="Z216" i="18" s="1"/>
  <c r="Z152" i="18" a="1"/>
  <c r="Z152" i="18" s="1"/>
  <c r="Z187" i="18" a="1"/>
  <c r="Z187" i="18" s="1"/>
  <c r="Z238" i="18" a="1"/>
  <c r="Z238" i="18" s="1"/>
  <c r="Z209" i="18" a="1"/>
  <c r="Z209" i="18" s="1"/>
  <c r="Z195" i="18" a="1"/>
  <c r="Z195" i="18" s="1"/>
  <c r="Z42" i="18" a="1"/>
  <c r="Z42" i="18" s="1"/>
  <c r="Z40" i="18" a="1"/>
  <c r="Z40" i="18" s="1"/>
  <c r="Z67" i="18" a="1"/>
  <c r="Z67" i="18" s="1"/>
  <c r="Z66" i="18" a="1"/>
  <c r="Z66" i="18" s="1"/>
  <c r="Z49" i="18" a="1"/>
  <c r="Z49" i="18" s="1"/>
  <c r="Z62" i="18" a="1"/>
  <c r="Z62" i="18" s="1"/>
  <c r="Z58" i="18" a="1"/>
  <c r="Z58" i="18" s="1"/>
  <c r="AE46" i="18" a="1"/>
  <c r="AE46" i="18" s="1"/>
  <c r="AE238" i="18" a="1"/>
  <c r="AE238" i="18" s="1"/>
  <c r="AE197" i="18" a="1"/>
  <c r="AE197" i="18" s="1"/>
  <c r="AE158" i="18" a="1"/>
  <c r="AE158" i="18" s="1"/>
  <c r="AE105" i="18" a="1"/>
  <c r="AE105" i="18" s="1"/>
  <c r="AE50" i="18" a="1"/>
  <c r="AE50" i="18" s="1"/>
  <c r="AE242" i="18" a="1"/>
  <c r="AE242" i="18" s="1"/>
  <c r="AE187" i="18" a="1"/>
  <c r="AE187" i="18" s="1"/>
  <c r="AE134" i="18" a="1"/>
  <c r="AE134" i="18" s="1"/>
  <c r="AE81" i="18" a="1"/>
  <c r="AE81" i="18" s="1"/>
  <c r="AE40" i="18" a="1"/>
  <c r="AE40" i="18" s="1"/>
  <c r="AE232" i="18" a="1"/>
  <c r="AE232" i="18" s="1"/>
  <c r="AE191" i="18" a="1"/>
  <c r="AE191" i="18" s="1"/>
  <c r="AE152" i="18" a="1"/>
  <c r="AE152" i="18" s="1"/>
  <c r="AE113" i="18" a="1"/>
  <c r="AE113" i="18" s="1"/>
  <c r="AE72" i="18" a="1"/>
  <c r="AE72" i="18" s="1"/>
  <c r="AE31" i="18" a="1"/>
  <c r="AE31" i="18" s="1"/>
  <c r="AE223" i="18" a="1"/>
  <c r="AE223" i="18" s="1"/>
  <c r="AC21" i="18" a="1"/>
  <c r="AC21" i="18" s="1"/>
  <c r="AC54" i="18" a="1"/>
  <c r="AC54" i="18" s="1"/>
  <c r="AC137" i="18" a="1"/>
  <c r="AC137" i="18" s="1"/>
  <c r="AC184" i="18" a="1"/>
  <c r="AC184" i="18" s="1"/>
  <c r="AC186" i="18" a="1"/>
  <c r="AC186" i="18" s="1"/>
  <c r="AC29" i="18" a="1"/>
  <c r="AC29" i="18" s="1"/>
  <c r="AC47" i="18" a="1"/>
  <c r="AC47" i="18" s="1"/>
  <c r="AC119" i="18" a="1"/>
  <c r="AC119" i="18" s="1"/>
  <c r="AC144" i="18" a="1"/>
  <c r="AC144" i="18" s="1"/>
  <c r="AC214" i="18" a="1"/>
  <c r="AC214" i="18" s="1"/>
  <c r="AC66" i="18" a="1"/>
  <c r="AC66" i="18" s="1"/>
  <c r="AC141" i="18" a="1"/>
  <c r="AC141" i="18" s="1"/>
  <c r="AC238" i="18" a="1"/>
  <c r="AC238" i="18" s="1"/>
  <c r="AC244" i="18" a="1"/>
  <c r="AC244" i="18" s="1"/>
  <c r="AC129" i="18" a="1"/>
  <c r="AC129" i="18" s="1"/>
  <c r="AC160" i="18" a="1"/>
  <c r="AC160" i="18" s="1"/>
  <c r="AC82" i="18" a="1"/>
  <c r="AC82" i="18" s="1"/>
  <c r="AD120" i="18" a="1"/>
  <c r="AD120" i="18" s="1"/>
  <c r="AD65" i="18" a="1"/>
  <c r="AD65" i="18" s="1"/>
  <c r="AD10" i="18" a="1"/>
  <c r="AD10" i="18" s="1"/>
  <c r="AD202" i="18" a="1"/>
  <c r="AD202" i="18" s="1"/>
  <c r="AD149" i="18" a="1"/>
  <c r="AD149" i="18" s="1"/>
  <c r="AD110" i="18" a="1"/>
  <c r="AD110" i="18" s="1"/>
  <c r="AD69" i="18" a="1"/>
  <c r="AD69" i="18" s="1"/>
  <c r="AD28" i="18" a="1"/>
  <c r="AD28" i="18" s="1"/>
  <c r="AD220" i="18" a="1"/>
  <c r="AD220" i="18" s="1"/>
  <c r="AD181" i="18" a="1"/>
  <c r="AD181" i="18" s="1"/>
  <c r="AD140" i="18" a="1"/>
  <c r="AD140" i="18" s="1"/>
  <c r="AD101" i="18" a="1"/>
  <c r="AD101" i="18" s="1"/>
  <c r="AD102" i="18" a="1"/>
  <c r="AD102" i="18" s="1"/>
  <c r="AD171" i="18" a="1"/>
  <c r="AD171" i="18" s="1"/>
  <c r="AD212" i="18" a="1"/>
  <c r="AD212" i="18" s="1"/>
  <c r="AE60" i="18" a="1"/>
  <c r="AE60" i="18" s="1"/>
  <c r="AE19" i="18" a="1"/>
  <c r="AE19" i="18" s="1"/>
  <c r="AE211" i="18" a="1"/>
  <c r="AE211" i="18" s="1"/>
  <c r="AE172" i="18" a="1"/>
  <c r="AE172" i="18" s="1"/>
  <c r="AE119" i="18" a="1"/>
  <c r="AE119" i="18" s="1"/>
  <c r="AE64" i="18" a="1"/>
  <c r="AE64" i="18" s="1"/>
  <c r="AE9" i="18" a="1"/>
  <c r="AE9" i="18" s="1"/>
  <c r="AE201" i="18" a="1"/>
  <c r="AE201" i="18" s="1"/>
  <c r="AE148" i="18" a="1"/>
  <c r="AE148" i="18" s="1"/>
  <c r="AE95" i="18" a="1"/>
  <c r="AE95" i="18" s="1"/>
  <c r="AE54" i="18" a="1"/>
  <c r="AE54" i="18" s="1"/>
  <c r="AE13" i="18" a="1"/>
  <c r="AE13" i="18" s="1"/>
  <c r="AE205" i="18" a="1"/>
  <c r="AE205" i="18" s="1"/>
  <c r="AE166" i="18" a="1"/>
  <c r="AE166" i="18" s="1"/>
  <c r="AE127" i="18" a="1"/>
  <c r="AE127" i="18" s="1"/>
  <c r="AE86" i="18" a="1"/>
  <c r="AE86" i="18" s="1"/>
  <c r="AE45" i="18" a="1"/>
  <c r="AE45" i="18" s="1"/>
  <c r="AE237" i="18" a="1"/>
  <c r="AE237" i="18" s="1"/>
  <c r="AC40" i="18" a="1"/>
  <c r="AC40" i="18" s="1"/>
  <c r="AC70" i="18" a="1"/>
  <c r="AC70" i="18" s="1"/>
  <c r="AC153" i="18" a="1"/>
  <c r="AC153" i="18" s="1"/>
  <c r="AC204" i="18" a="1"/>
  <c r="AC204" i="18" s="1"/>
  <c r="AC205" i="18" a="1"/>
  <c r="AC205" i="18" s="1"/>
  <c r="AC45" i="18" a="1"/>
  <c r="AC45" i="18" s="1"/>
  <c r="AC95" i="18" a="1"/>
  <c r="AC95" i="18" s="1"/>
  <c r="AC4" i="18" a="1"/>
  <c r="AC4" i="18" s="1"/>
  <c r="AC163" i="18" a="1"/>
  <c r="AC163" i="18" s="1"/>
  <c r="AC17" i="18" a="1"/>
  <c r="AC17" i="18" s="1"/>
  <c r="AC90" i="18" a="1"/>
  <c r="AC90" i="18" s="1"/>
  <c r="AC152" i="18" a="1"/>
  <c r="AC152" i="18" s="1"/>
  <c r="AC211" i="18" a="1"/>
  <c r="AC211" i="18" s="1"/>
  <c r="AC157" i="18" a="1"/>
  <c r="AC157" i="18" s="1"/>
  <c r="AC159" i="18" a="1"/>
  <c r="AC159" i="18" s="1"/>
  <c r="AC169" i="18" a="1"/>
  <c r="AC169" i="18" s="1"/>
  <c r="AC131" i="18" a="1"/>
  <c r="AC131" i="18" s="1"/>
  <c r="AD132" i="18" a="1"/>
  <c r="AD132" i="18" s="1"/>
  <c r="AD79" i="18" a="1"/>
  <c r="AD79" i="18" s="1"/>
  <c r="AD24" i="18" a="1"/>
  <c r="AD24" i="18" s="1"/>
  <c r="AD216" i="18" a="1"/>
  <c r="AD216" i="18" s="1"/>
  <c r="AD163" i="18" a="1"/>
  <c r="AD163" i="18" s="1"/>
  <c r="AD124" i="18" a="1"/>
  <c r="AD124" i="18" s="1"/>
  <c r="AD83" i="18" a="1"/>
  <c r="AD83" i="18" s="1"/>
  <c r="AD42" i="18" a="1"/>
  <c r="AD42" i="18" s="1"/>
  <c r="AD234" i="18" a="1"/>
  <c r="AD234" i="18" s="1"/>
  <c r="AD193" i="18" a="1"/>
  <c r="AD193" i="18" s="1"/>
  <c r="AD154" i="18" a="1"/>
  <c r="AD154" i="18" s="1"/>
  <c r="AD4" i="18" a="1"/>
  <c r="AD4" i="18" s="1"/>
  <c r="AD116" i="18" a="1"/>
  <c r="AD116" i="18" s="1"/>
  <c r="AD183" i="18" a="1"/>
  <c r="AD183" i="18" s="1"/>
  <c r="AD226" i="18" a="1"/>
  <c r="AD226" i="18" s="1"/>
  <c r="AE74" i="18" a="1"/>
  <c r="AE74" i="18" s="1"/>
  <c r="AE33" i="18" a="1"/>
  <c r="AE33" i="18" s="1"/>
  <c r="AE225" i="18" a="1"/>
  <c r="AE225" i="18" s="1"/>
  <c r="AE184" i="18" a="1"/>
  <c r="AE184" i="18" s="1"/>
  <c r="AE131" i="18" a="1"/>
  <c r="AE131" i="18" s="1"/>
  <c r="AE78" i="18" a="1"/>
  <c r="AE78" i="18" s="1"/>
  <c r="AE23" i="18" a="1"/>
  <c r="AE23" i="18" s="1"/>
  <c r="AE215" i="18" a="1"/>
  <c r="AE215" i="18" s="1"/>
  <c r="AE162" i="18" a="1"/>
  <c r="AE162" i="18" s="1"/>
  <c r="AE109" i="18" a="1"/>
  <c r="AE109" i="18" s="1"/>
  <c r="AE68" i="18" a="1"/>
  <c r="AE68" i="18" s="1"/>
  <c r="AE27" i="18" a="1"/>
  <c r="AE27" i="18" s="1"/>
  <c r="AE219" i="18" a="1"/>
  <c r="AE219" i="18" s="1"/>
  <c r="AE180" i="18" a="1"/>
  <c r="AE180" i="18" s="1"/>
  <c r="AE139" i="18" a="1"/>
  <c r="AE139" i="18" s="1"/>
  <c r="AE100" i="18" a="1"/>
  <c r="AE100" i="18" s="1"/>
  <c r="AE59" i="18" a="1"/>
  <c r="AE59" i="18" s="1"/>
  <c r="AC20" i="18" a="1"/>
  <c r="AC20" i="18" s="1"/>
  <c r="AC53" i="18" a="1"/>
  <c r="AC53" i="18" s="1"/>
  <c r="AC113" i="18" a="1"/>
  <c r="AC113" i="18" s="1"/>
  <c r="AC168" i="18" a="1"/>
  <c r="AC168" i="18" s="1"/>
  <c r="AC232" i="18" a="1"/>
  <c r="AC232" i="18" s="1"/>
  <c r="AC233" i="18" a="1"/>
  <c r="AC233" i="18" s="1"/>
  <c r="AC59" i="18" a="1"/>
  <c r="AC59" i="18" s="1"/>
  <c r="AC3" i="18" a="1"/>
  <c r="AC3" i="18" s="1"/>
  <c r="AC143" i="18" a="1"/>
  <c r="AC143" i="18" s="1"/>
  <c r="AC178" i="18" a="1"/>
  <c r="AC178" i="18" s="1"/>
  <c r="AC35" i="18" a="1"/>
  <c r="AC35" i="18" s="1"/>
  <c r="AC121" i="18" a="1"/>
  <c r="AC121" i="18" s="1"/>
  <c r="AC162" i="18" a="1"/>
  <c r="AC162" i="18" s="1"/>
  <c r="AC241" i="18" a="1"/>
  <c r="AC241" i="18" s="1"/>
  <c r="AC185" i="18" a="1"/>
  <c r="AC185" i="18" s="1"/>
  <c r="AC187" i="18" a="1"/>
  <c r="AC187" i="18" s="1"/>
  <c r="AC180" i="18" a="1"/>
  <c r="AC180" i="18" s="1"/>
  <c r="AC161" i="18" a="1"/>
  <c r="AC161" i="18" s="1"/>
  <c r="AD146" i="18" a="1"/>
  <c r="AD146" i="18" s="1"/>
  <c r="AD93" i="18" a="1"/>
  <c r="AD93" i="18" s="1"/>
  <c r="AD38" i="18" a="1"/>
  <c r="AD38" i="18" s="1"/>
  <c r="AD230" i="18" a="1"/>
  <c r="AD230" i="18" s="1"/>
  <c r="AD177" i="18" a="1"/>
  <c r="AD177" i="18" s="1"/>
  <c r="AD136" i="18" a="1"/>
  <c r="AD136" i="18" s="1"/>
  <c r="AD97" i="18" a="1"/>
  <c r="AD97" i="18" s="1"/>
  <c r="AD56" i="18" a="1"/>
  <c r="AD56" i="18" s="1"/>
  <c r="AD15" i="18" a="1"/>
  <c r="AD15" i="18" s="1"/>
  <c r="AD207" i="18" a="1"/>
  <c r="AD207" i="18" s="1"/>
  <c r="AD168" i="18" a="1"/>
  <c r="AD168" i="18" s="1"/>
  <c r="AD141" i="18" a="1"/>
  <c r="AD141" i="18" s="1"/>
  <c r="AD128" i="18" a="1"/>
  <c r="AD128" i="18" s="1"/>
  <c r="AD197" i="18" a="1"/>
  <c r="AD197" i="18" s="1"/>
  <c r="AD49" i="18" a="1"/>
  <c r="AD49" i="18" s="1"/>
  <c r="Q262" i="14"/>
  <c r="Q206" i="14"/>
  <c r="J9" i="1" a="1"/>
  <c r="J9" i="1" s="1"/>
  <c r="J29" i="1" s="1"/>
  <c r="J11" i="1" a="1"/>
  <c r="J11" i="1" s="1"/>
  <c r="AD5" i="1" a="1"/>
  <c r="AD5" i="1" s="1"/>
  <c r="AD38" i="1" s="1"/>
  <c r="AE88" i="18" a="1"/>
  <c r="AE88" i="18" s="1"/>
  <c r="AE47" i="18" a="1"/>
  <c r="AE47" i="18" s="1"/>
  <c r="AE239" i="18" a="1"/>
  <c r="AE239" i="18" s="1"/>
  <c r="AE198" i="18" a="1"/>
  <c r="AE198" i="18" s="1"/>
  <c r="AE145" i="18" a="1"/>
  <c r="AE145" i="18" s="1"/>
  <c r="AE92" i="18" a="1"/>
  <c r="AE92" i="18" s="1"/>
  <c r="AE37" i="18" a="1"/>
  <c r="AE37" i="18" s="1"/>
  <c r="AE229" i="18" a="1"/>
  <c r="AE229" i="18" s="1"/>
  <c r="AE176" i="18" a="1"/>
  <c r="AE176" i="18" s="1"/>
  <c r="AE123" i="18" a="1"/>
  <c r="AE123" i="18" s="1"/>
  <c r="AE82" i="18" a="1"/>
  <c r="AE82" i="18" s="1"/>
  <c r="AE41" i="18" a="1"/>
  <c r="AE41" i="18" s="1"/>
  <c r="AE233" i="18" a="1"/>
  <c r="AE233" i="18" s="1"/>
  <c r="AE192" i="18" a="1"/>
  <c r="AE192" i="18" s="1"/>
  <c r="AE153" i="18" a="1"/>
  <c r="AE153" i="18" s="1"/>
  <c r="AE114" i="18" a="1"/>
  <c r="AE114" i="18" s="1"/>
  <c r="AE73" i="18" a="1"/>
  <c r="AE73" i="18" s="1"/>
  <c r="AC38" i="18" a="1"/>
  <c r="AC38" i="18" s="1"/>
  <c r="AC68" i="18" a="1"/>
  <c r="AC68" i="18" s="1"/>
  <c r="AC123" i="18" a="1"/>
  <c r="AC123" i="18" s="1"/>
  <c r="AC182" i="18" a="1"/>
  <c r="AC182" i="18" s="1"/>
  <c r="AC8" i="18" a="1"/>
  <c r="AC8" i="18" s="1"/>
  <c r="AC10" i="18" a="1"/>
  <c r="AC10" i="18" s="1"/>
  <c r="AC76" i="18" a="1"/>
  <c r="AC76" i="18" s="1"/>
  <c r="AC142" i="18" a="1"/>
  <c r="AC142" i="18" s="1"/>
  <c r="AC158" i="18" a="1"/>
  <c r="AC158" i="18" s="1"/>
  <c r="AC212" i="18" a="1"/>
  <c r="AC212" i="18" s="1"/>
  <c r="AC51" i="18" a="1"/>
  <c r="AC51" i="18" s="1"/>
  <c r="AC134" i="18" a="1"/>
  <c r="AC134" i="18" s="1"/>
  <c r="AC170" i="18" a="1"/>
  <c r="AC170" i="18" s="1"/>
  <c r="AC19" i="18" a="1"/>
  <c r="AC19" i="18" s="1"/>
  <c r="AC215" i="18" a="1"/>
  <c r="AC215" i="18" s="1"/>
  <c r="AC217" i="18" a="1"/>
  <c r="AC217" i="18" s="1"/>
  <c r="AC188" i="18" a="1"/>
  <c r="AC188" i="18" s="1"/>
  <c r="AC189" i="18" a="1"/>
  <c r="AC189" i="18" s="1"/>
  <c r="AD160" i="18" a="1"/>
  <c r="AD160" i="18" s="1"/>
  <c r="AD107" i="18" a="1"/>
  <c r="AD107" i="18" s="1"/>
  <c r="AD52" i="18" a="1"/>
  <c r="AD52" i="18" s="1"/>
  <c r="AD244" i="18" a="1"/>
  <c r="AD244" i="18" s="1"/>
  <c r="AD189" i="18" a="1"/>
  <c r="AD189" i="18" s="1"/>
  <c r="AD150" i="18" a="1"/>
  <c r="AD150" i="18" s="1"/>
  <c r="AD111" i="18" a="1"/>
  <c r="AD111" i="18" s="1"/>
  <c r="AD70" i="18" a="1"/>
  <c r="AD70" i="18" s="1"/>
  <c r="AD29" i="18" a="1"/>
  <c r="AD29" i="18" s="1"/>
  <c r="AD221" i="18" a="1"/>
  <c r="AD221" i="18" s="1"/>
  <c r="AD5" i="18" a="1"/>
  <c r="AD5" i="18" s="1"/>
  <c r="AD155" i="18" a="1"/>
  <c r="AD155" i="18" s="1"/>
  <c r="AD182" i="18" a="1"/>
  <c r="AD182" i="18" s="1"/>
  <c r="AD211" i="18" a="1"/>
  <c r="AD211" i="18" s="1"/>
  <c r="AD63" i="18" a="1"/>
  <c r="AD63" i="18" s="1"/>
  <c r="AE102" i="18" a="1"/>
  <c r="AE102" i="18" s="1"/>
  <c r="AE61" i="18" a="1"/>
  <c r="AE61" i="18" s="1"/>
  <c r="AE20" i="18" a="1"/>
  <c r="AE20" i="18" s="1"/>
  <c r="AE212" i="18" a="1"/>
  <c r="AE212" i="18" s="1"/>
  <c r="AE159" i="18" a="1"/>
  <c r="AE159" i="18" s="1"/>
  <c r="AE106" i="18" a="1"/>
  <c r="AE106" i="18" s="1"/>
  <c r="AE51" i="18" a="1"/>
  <c r="AE51" i="18" s="1"/>
  <c r="AE243" i="18" a="1"/>
  <c r="AE243" i="18" s="1"/>
  <c r="AE188" i="18" a="1"/>
  <c r="AE188" i="18" s="1"/>
  <c r="AE135" i="18" a="1"/>
  <c r="AE135" i="18" s="1"/>
  <c r="AE96" i="18" a="1"/>
  <c r="AE96" i="18" s="1"/>
  <c r="AE55" i="18" a="1"/>
  <c r="AE55" i="18" s="1"/>
  <c r="AE14" i="18" a="1"/>
  <c r="AE14" i="18" s="1"/>
  <c r="AE206" i="18" a="1"/>
  <c r="AE206" i="18" s="1"/>
  <c r="AE167" i="18" a="1"/>
  <c r="AE167" i="18" s="1"/>
  <c r="AE3" i="18" a="1"/>
  <c r="AE3" i="18" s="1"/>
  <c r="AE87" i="18" a="1"/>
  <c r="AE87" i="18" s="1"/>
  <c r="AC52" i="18" a="1"/>
  <c r="AC52" i="18" s="1"/>
  <c r="AC91" i="18" a="1"/>
  <c r="AC91" i="18" s="1"/>
  <c r="AC167" i="18" a="1"/>
  <c r="AC167" i="18" s="1"/>
  <c r="AC203" i="18" a="1"/>
  <c r="AC203" i="18" s="1"/>
  <c r="AC27" i="18" a="1"/>
  <c r="AC27" i="18" s="1"/>
  <c r="AC28" i="18" a="1"/>
  <c r="AC28" i="18" s="1"/>
  <c r="AC85" i="18" a="1"/>
  <c r="AC85" i="18" s="1"/>
  <c r="AC156" i="18" a="1"/>
  <c r="AC156" i="18" s="1"/>
  <c r="AC176" i="18" a="1"/>
  <c r="AC176" i="18" s="1"/>
  <c r="AC16" i="18" a="1"/>
  <c r="AC16" i="18" s="1"/>
  <c r="AC65" i="18" a="1"/>
  <c r="AC65" i="18" s="1"/>
  <c r="AC148" i="18" a="1"/>
  <c r="AC148" i="18" s="1"/>
  <c r="AC181" i="18" a="1"/>
  <c r="AC181" i="18" s="1"/>
  <c r="AC33" i="18" a="1"/>
  <c r="AC33" i="18" s="1"/>
  <c r="AC216" i="18" a="1"/>
  <c r="AC216" i="18" s="1"/>
  <c r="AC225" i="18" a="1"/>
  <c r="AC225" i="18" s="1"/>
  <c r="AC196" i="18" a="1"/>
  <c r="AC196" i="18" s="1"/>
  <c r="AC197" i="18" a="1"/>
  <c r="AC197" i="18" s="1"/>
  <c r="AD174" i="18" a="1"/>
  <c r="AD174" i="18" s="1"/>
  <c r="AD121" i="18" a="1"/>
  <c r="AD121" i="18" s="1"/>
  <c r="AD66" i="18" a="1"/>
  <c r="AD66" i="18" s="1"/>
  <c r="AD11" i="18" a="1"/>
  <c r="AD11" i="18" s="1"/>
  <c r="AD203" i="18" a="1"/>
  <c r="AD203" i="18" s="1"/>
  <c r="AD164" i="18" a="1"/>
  <c r="AD164" i="18" s="1"/>
  <c r="AD125" i="18" a="1"/>
  <c r="AD125" i="18" s="1"/>
  <c r="AD84" i="18" a="1"/>
  <c r="AD84" i="18" s="1"/>
  <c r="AD43" i="18" a="1"/>
  <c r="AD43" i="18" s="1"/>
  <c r="AD235" i="18" a="1"/>
  <c r="AD235" i="18" s="1"/>
  <c r="AD194" i="18" a="1"/>
  <c r="AD194" i="18" s="1"/>
  <c r="AD169" i="18" a="1"/>
  <c r="AD169" i="18" s="1"/>
  <c r="AD196" i="18" a="1"/>
  <c r="AD196" i="18" s="1"/>
  <c r="AD239" i="18" a="1"/>
  <c r="AD239" i="18" s="1"/>
  <c r="AL322" i="14"/>
  <c r="AD213" i="18" a="1"/>
  <c r="AD213" i="18" s="1"/>
  <c r="AD21" i="18" a="1"/>
  <c r="AD21" i="18" s="1"/>
  <c r="AD76" i="18" a="1"/>
  <c r="AD76" i="18" s="1"/>
  <c r="AD117" i="18" a="1"/>
  <c r="AD117" i="18" s="1"/>
  <c r="AD156" i="18" a="1"/>
  <c r="AD156" i="18" s="1"/>
  <c r="AD199" i="18" a="1"/>
  <c r="AD199" i="18" s="1"/>
  <c r="AD7" i="18" a="1"/>
  <c r="AD7" i="18" s="1"/>
  <c r="AD62" i="18" a="1"/>
  <c r="AD62" i="18" s="1"/>
  <c r="AD103" i="18" a="1"/>
  <c r="AD103" i="18" s="1"/>
  <c r="AD142" i="18" a="1"/>
  <c r="AD142" i="18" s="1"/>
  <c r="AD6" i="18" a="1"/>
  <c r="AD6" i="18" s="1"/>
  <c r="AD185" i="18" a="1"/>
  <c r="AD185" i="18" s="1"/>
  <c r="AD240" i="18" a="1"/>
  <c r="AD240" i="18" s="1"/>
  <c r="AD48" i="18" a="1"/>
  <c r="AD48" i="18" s="1"/>
  <c r="AD89" i="18" a="1"/>
  <c r="AD89" i="18" s="1"/>
  <c r="AD131" i="18" a="1"/>
  <c r="AD131" i="18" s="1"/>
  <c r="AD184" i="18" a="1"/>
  <c r="AD184" i="18" s="1"/>
  <c r="AD225" i="18" a="1"/>
  <c r="AD225" i="18" s="1"/>
  <c r="AD33" i="18" a="1"/>
  <c r="AD33" i="18" s="1"/>
  <c r="AD74" i="18" a="1"/>
  <c r="AD74" i="18" s="1"/>
  <c r="AD115" i="18" a="1"/>
  <c r="AD115" i="18" s="1"/>
  <c r="AD227" i="18" a="1"/>
  <c r="AD227" i="18" s="1"/>
  <c r="AD35" i="18" a="1"/>
  <c r="AD35" i="18" s="1"/>
  <c r="AD90" i="18" a="1"/>
  <c r="AD90" i="18" s="1"/>
  <c r="AD129" i="18" a="1"/>
  <c r="AD129" i="18" s="1"/>
  <c r="AD170" i="18" a="1"/>
  <c r="AD170" i="18" s="1"/>
  <c r="AE116" i="18" a="1"/>
  <c r="AE116" i="18" s="1"/>
  <c r="AE75" i="18" a="1"/>
  <c r="AE75" i="18" s="1"/>
  <c r="AE34" i="18" a="1"/>
  <c r="AE34" i="18" s="1"/>
  <c r="AE226" i="18" a="1"/>
  <c r="AE226" i="18" s="1"/>
  <c r="AE173" i="18" a="1"/>
  <c r="AE173" i="18" s="1"/>
  <c r="AE120" i="18" a="1"/>
  <c r="AE120" i="18" s="1"/>
  <c r="AE65" i="18" a="1"/>
  <c r="AE65" i="18" s="1"/>
  <c r="AE10" i="18" a="1"/>
  <c r="AE10" i="18" s="1"/>
  <c r="AE202" i="18" a="1"/>
  <c r="AE202" i="18" s="1"/>
  <c r="AE149" i="18" a="1"/>
  <c r="AE149" i="18" s="1"/>
  <c r="AE110" i="18" a="1"/>
  <c r="AE110" i="18" s="1"/>
  <c r="AE69" i="18" a="1"/>
  <c r="AE69" i="18" s="1"/>
  <c r="AE28" i="18" a="1"/>
  <c r="AE28" i="18" s="1"/>
  <c r="AE220" i="18" a="1"/>
  <c r="AE220" i="18" s="1"/>
  <c r="AE181" i="18" a="1"/>
  <c r="AE181" i="18" s="1"/>
  <c r="AE140" i="18" a="1"/>
  <c r="AE140" i="18" s="1"/>
  <c r="AE101" i="18" a="1"/>
  <c r="AE101" i="18" s="1"/>
  <c r="AC67" i="18" a="1"/>
  <c r="AC67" i="18" s="1"/>
  <c r="AC101" i="18" a="1"/>
  <c r="AC101" i="18" s="1"/>
  <c r="AC202" i="18" a="1"/>
  <c r="AC202" i="18" s="1"/>
  <c r="AC231" i="18" a="1"/>
  <c r="AC231" i="18" s="1"/>
  <c r="AC43" i="18" a="1"/>
  <c r="AC43" i="18" s="1"/>
  <c r="AC44" i="18" a="1"/>
  <c r="AC44" i="18" s="1"/>
  <c r="AC106" i="18" a="1"/>
  <c r="AC106" i="18" s="1"/>
  <c r="AC175" i="18" a="1"/>
  <c r="AC175" i="18" s="1"/>
  <c r="AC192" i="18" a="1"/>
  <c r="AC192" i="18" s="1"/>
  <c r="AC34" i="18" a="1"/>
  <c r="AC34" i="18" s="1"/>
  <c r="AC88" i="18" a="1"/>
  <c r="AC88" i="18" s="1"/>
  <c r="AC165" i="18" a="1"/>
  <c r="AC165" i="18" s="1"/>
  <c r="AC190" i="18" a="1"/>
  <c r="AC190" i="18" s="1"/>
  <c r="AC46" i="18" a="1"/>
  <c r="AC46" i="18" s="1"/>
  <c r="AC224" i="18" a="1"/>
  <c r="AC224" i="18" s="1"/>
  <c r="AC89" i="18" a="1"/>
  <c r="AC89" i="18" s="1"/>
  <c r="AC207" i="18" a="1"/>
  <c r="AC207" i="18" s="1"/>
  <c r="AC227" i="18" a="1"/>
  <c r="AC227" i="18" s="1"/>
  <c r="AD186" i="18" a="1"/>
  <c r="AD186" i="18" s="1"/>
  <c r="AD133" i="18" a="1"/>
  <c r="AD133" i="18" s="1"/>
  <c r="AD80" i="18" a="1"/>
  <c r="AD80" i="18" s="1"/>
  <c r="AD25" i="18" a="1"/>
  <c r="AD25" i="18" s="1"/>
  <c r="AD217" i="18" a="1"/>
  <c r="AD217" i="18" s="1"/>
  <c r="AD178" i="18" a="1"/>
  <c r="AD178" i="18" s="1"/>
  <c r="AD137" i="18" a="1"/>
  <c r="AD137" i="18" s="1"/>
  <c r="AD98" i="18" a="1"/>
  <c r="AD98" i="18" s="1"/>
  <c r="AD57" i="18" a="1"/>
  <c r="AD57" i="18" s="1"/>
  <c r="AD16" i="18" a="1"/>
  <c r="AD16" i="18" s="1"/>
  <c r="AD208" i="18" a="1"/>
  <c r="AD208" i="18" s="1"/>
  <c r="AD195" i="18" a="1"/>
  <c r="AD195" i="18" s="1"/>
  <c r="AD210" i="18" a="1"/>
  <c r="AD210" i="18" s="1"/>
  <c r="AD20" i="18" a="1"/>
  <c r="AD20" i="18" s="1"/>
  <c r="AD91" i="18" a="1"/>
  <c r="AD91" i="18" s="1"/>
  <c r="N30" i="1"/>
  <c r="AE128" i="18" a="1"/>
  <c r="AE128" i="18" s="1"/>
  <c r="AE89" i="18" a="1"/>
  <c r="AE89" i="18" s="1"/>
  <c r="AE48" i="18" a="1"/>
  <c r="AE48" i="18" s="1"/>
  <c r="AE240" i="18" a="1"/>
  <c r="AE240" i="18" s="1"/>
  <c r="AE185" i="18" a="1"/>
  <c r="AE185" i="18" s="1"/>
  <c r="AE132" i="18" a="1"/>
  <c r="AE132" i="18" s="1"/>
  <c r="AE79" i="18" a="1"/>
  <c r="AE79" i="18" s="1"/>
  <c r="AE24" i="18" a="1"/>
  <c r="AE24" i="18" s="1"/>
  <c r="AE216" i="18" a="1"/>
  <c r="AE216" i="18" s="1"/>
  <c r="AE163" i="18" a="1"/>
  <c r="AE163" i="18" s="1"/>
  <c r="AE124" i="18" a="1"/>
  <c r="AE124" i="18" s="1"/>
  <c r="AE83" i="18" a="1"/>
  <c r="AE83" i="18" s="1"/>
  <c r="AE42" i="18" a="1"/>
  <c r="AE42" i="18" s="1"/>
  <c r="AE234" i="18" a="1"/>
  <c r="AE234" i="18" s="1"/>
  <c r="AE193" i="18" a="1"/>
  <c r="AE193" i="18" s="1"/>
  <c r="AE154" i="18" a="1"/>
  <c r="AE154" i="18" s="1"/>
  <c r="AE115" i="18" a="1"/>
  <c r="AE115" i="18" s="1"/>
  <c r="AC80" i="18" a="1"/>
  <c r="AC80" i="18" s="1"/>
  <c r="AC136" i="18" a="1"/>
  <c r="AC136" i="18" s="1"/>
  <c r="AC223" i="18" a="1"/>
  <c r="AC223" i="18" s="1"/>
  <c r="AC7" i="18" a="1"/>
  <c r="AC7" i="18" s="1"/>
  <c r="AC58" i="18" a="1"/>
  <c r="AC58" i="18" s="1"/>
  <c r="AC75" i="18" a="1"/>
  <c r="AC75" i="18" s="1"/>
  <c r="AC116" i="18" a="1"/>
  <c r="AC116" i="18" s="1"/>
  <c r="AC240" i="18" a="1"/>
  <c r="AC240" i="18" s="1"/>
  <c r="AC210" i="18" a="1"/>
  <c r="AC210" i="18" s="1"/>
  <c r="AC64" i="18" a="1"/>
  <c r="AC64" i="18" s="1"/>
  <c r="AC99" i="18" a="1"/>
  <c r="AC99" i="18" s="1"/>
  <c r="AC5" i="18" a="1"/>
  <c r="AC5" i="18" s="1"/>
  <c r="AC198" i="18" a="1"/>
  <c r="AC198" i="18" s="1"/>
  <c r="AC57" i="18" a="1"/>
  <c r="AC57" i="18" s="1"/>
  <c r="AC235" i="18" a="1"/>
  <c r="AC235" i="18" s="1"/>
  <c r="AC96" i="18" a="1"/>
  <c r="AC96" i="18" s="1"/>
  <c r="AC218" i="18" a="1"/>
  <c r="AC218" i="18" s="1"/>
  <c r="AD8" i="18" a="1"/>
  <c r="AD8" i="18" s="1"/>
  <c r="AD200" i="18" a="1"/>
  <c r="AD200" i="18" s="1"/>
  <c r="AD147" i="18" a="1"/>
  <c r="AD147" i="18" s="1"/>
  <c r="AD94" i="18" a="1"/>
  <c r="AD94" i="18" s="1"/>
  <c r="AD39" i="18" a="1"/>
  <c r="AD39" i="18" s="1"/>
  <c r="AD231" i="18" a="1"/>
  <c r="AD231" i="18" s="1"/>
  <c r="AD190" i="18" a="1"/>
  <c r="AD190" i="18" s="1"/>
  <c r="AD151" i="18" a="1"/>
  <c r="AD151" i="18" s="1"/>
  <c r="AD112" i="18" a="1"/>
  <c r="AD112" i="18" s="1"/>
  <c r="AD71" i="18" a="1"/>
  <c r="AD71" i="18" s="1"/>
  <c r="AD30" i="18" a="1"/>
  <c r="AD30" i="18" s="1"/>
  <c r="AD222" i="18" a="1"/>
  <c r="AD222" i="18" s="1"/>
  <c r="AD209" i="18" a="1"/>
  <c r="AD209" i="18" s="1"/>
  <c r="AD224" i="18" a="1"/>
  <c r="AD224" i="18" s="1"/>
  <c r="AD34" i="18" a="1"/>
  <c r="AD34" i="18" s="1"/>
  <c r="AD105" i="18" a="1"/>
  <c r="AD105" i="18" s="1"/>
  <c r="U13" i="1" a="1"/>
  <c r="U13" i="1" s="1"/>
  <c r="AB11" i="1" a="1"/>
  <c r="AB11" i="1" s="1"/>
  <c r="Q140" i="14"/>
  <c r="Q336" i="14"/>
  <c r="Q48" i="14"/>
  <c r="Q28" i="14"/>
  <c r="Q197" i="14"/>
  <c r="Q90" i="14"/>
  <c r="Q258" i="14"/>
  <c r="AC7" i="1" a="1"/>
  <c r="AC7" i="1" s="1"/>
  <c r="AC37" i="1" s="1"/>
  <c r="AE142" i="18" a="1"/>
  <c r="AE142" i="18" s="1"/>
  <c r="AE103" i="18" a="1"/>
  <c r="AE103" i="18" s="1"/>
  <c r="AE62" i="18" a="1"/>
  <c r="AE62" i="18" s="1"/>
  <c r="AE7" i="18" a="1"/>
  <c r="AE7" i="18" s="1"/>
  <c r="AE199" i="18" a="1"/>
  <c r="AE199" i="18" s="1"/>
  <c r="AE146" i="18" a="1"/>
  <c r="AE146" i="18" s="1"/>
  <c r="AE93" i="18" a="1"/>
  <c r="AE93" i="18" s="1"/>
  <c r="AE38" i="18" a="1"/>
  <c r="AE38" i="18" s="1"/>
  <c r="AE230" i="18" a="1"/>
  <c r="AE230" i="18" s="1"/>
  <c r="AE177" i="18" a="1"/>
  <c r="AE177" i="18" s="1"/>
  <c r="AE136" i="18" a="1"/>
  <c r="AE136" i="18" s="1"/>
  <c r="AE97" i="18" a="1"/>
  <c r="AE97" i="18" s="1"/>
  <c r="AE56" i="18" a="1"/>
  <c r="AE56" i="18" s="1"/>
  <c r="AE15" i="18" a="1"/>
  <c r="AE15" i="18" s="1"/>
  <c r="AE207" i="18" a="1"/>
  <c r="AE207" i="18" s="1"/>
  <c r="AE168" i="18" a="1"/>
  <c r="AE168" i="18" s="1"/>
  <c r="AE4" i="18" a="1"/>
  <c r="AE4" i="18" s="1"/>
  <c r="AC100" i="18" a="1"/>
  <c r="AC100" i="18" s="1"/>
  <c r="AC150" i="18" a="1"/>
  <c r="AC150" i="18" s="1"/>
  <c r="AC24" i="18" a="1"/>
  <c r="AC24" i="18" s="1"/>
  <c r="AC26" i="18" a="1"/>
  <c r="AC26" i="18" s="1"/>
  <c r="AC74" i="18" a="1"/>
  <c r="AC74" i="18" s="1"/>
  <c r="AC94" i="18" a="1"/>
  <c r="AC94" i="18" s="1"/>
  <c r="AC155" i="18" a="1"/>
  <c r="AC155" i="18" s="1"/>
  <c r="AC14" i="18" a="1"/>
  <c r="AC14" i="18" s="1"/>
  <c r="AC242" i="18" a="1"/>
  <c r="AC242" i="18" s="1"/>
  <c r="AC78" i="18" a="1"/>
  <c r="AC78" i="18" s="1"/>
  <c r="AC109" i="18" a="1"/>
  <c r="AC109" i="18" s="1"/>
  <c r="AC195" i="18" a="1"/>
  <c r="AC195" i="18" s="1"/>
  <c r="AC208" i="18" a="1"/>
  <c r="AC208" i="18" s="1"/>
  <c r="AC69" i="18" a="1"/>
  <c r="AC69" i="18" s="1"/>
  <c r="AC9" i="18" a="1"/>
  <c r="AC9" i="18" s="1"/>
  <c r="AC103" i="18" a="1"/>
  <c r="AC103" i="18" s="1"/>
  <c r="AC226" i="18" a="1"/>
  <c r="AC226" i="18" s="1"/>
  <c r="AD22" i="18" a="1"/>
  <c r="AD22" i="18" s="1"/>
  <c r="AD214" i="18" a="1"/>
  <c r="AD214" i="18" s="1"/>
  <c r="AD161" i="18" a="1"/>
  <c r="AD161" i="18" s="1"/>
  <c r="AD108" i="18" a="1"/>
  <c r="AD108" i="18" s="1"/>
  <c r="AD53" i="18" a="1"/>
  <c r="AD53" i="18" s="1"/>
  <c r="AD12" i="18" a="1"/>
  <c r="AD12" i="18" s="1"/>
  <c r="AD204" i="18" a="1"/>
  <c r="AD204" i="18" s="1"/>
  <c r="AD165" i="18" a="1"/>
  <c r="AD165" i="18" s="1"/>
  <c r="AD126" i="18" a="1"/>
  <c r="AD126" i="18" s="1"/>
  <c r="AD85" i="18" a="1"/>
  <c r="AD85" i="18" s="1"/>
  <c r="AD44" i="18" a="1"/>
  <c r="AD44" i="18" s="1"/>
  <c r="AD236" i="18" a="1"/>
  <c r="AD236" i="18" s="1"/>
  <c r="AD223" i="18" a="1"/>
  <c r="AD223" i="18" s="1"/>
  <c r="AD238" i="18" a="1"/>
  <c r="AD238" i="18" s="1"/>
  <c r="AD104" i="18" a="1"/>
  <c r="AD104" i="18" s="1"/>
  <c r="AD119" i="18" a="1"/>
  <c r="AD119" i="18" s="1"/>
  <c r="Q198" i="14"/>
  <c r="Q148" i="14"/>
  <c r="AD13" i="1" a="1"/>
  <c r="AD13" i="1" s="1"/>
  <c r="AB9" i="1" a="1"/>
  <c r="AB9" i="1" s="1"/>
  <c r="AB39" i="1" s="1"/>
  <c r="AC9" i="1" a="1"/>
  <c r="AC9" i="1" s="1"/>
  <c r="AC39" i="1" s="1"/>
  <c r="AL261" i="14"/>
  <c r="AE156" i="18" a="1"/>
  <c r="AE156" i="18" s="1"/>
  <c r="AE117" i="18" a="1"/>
  <c r="AE117" i="18" s="1"/>
  <c r="AE76" i="18" a="1"/>
  <c r="AE76" i="18" s="1"/>
  <c r="AE21" i="18" a="1"/>
  <c r="AE21" i="18" s="1"/>
  <c r="AE213" i="18" a="1"/>
  <c r="AE213" i="18" s="1"/>
  <c r="AE160" i="18" a="1"/>
  <c r="AE160" i="18" s="1"/>
  <c r="AE107" i="18" a="1"/>
  <c r="AE107" i="18" s="1"/>
  <c r="AE52" i="18" a="1"/>
  <c r="AE52" i="18" s="1"/>
  <c r="AE244" i="18" a="1"/>
  <c r="AE244" i="18" s="1"/>
  <c r="AE189" i="18" a="1"/>
  <c r="AE189" i="18" s="1"/>
  <c r="AE150" i="18" a="1"/>
  <c r="AE150" i="18" s="1"/>
  <c r="AE111" i="18" a="1"/>
  <c r="AE111" i="18" s="1"/>
  <c r="AE70" i="18" a="1"/>
  <c r="AE70" i="18" s="1"/>
  <c r="AE29" i="18" a="1"/>
  <c r="AE29" i="18" s="1"/>
  <c r="AE221" i="18" a="1"/>
  <c r="AE221" i="18" s="1"/>
  <c r="AE5" i="18" a="1"/>
  <c r="AE5" i="18" s="1"/>
  <c r="AE141" i="18" a="1"/>
  <c r="AE141" i="18" s="1"/>
  <c r="AC112" i="18" a="1"/>
  <c r="AC112" i="18" s="1"/>
  <c r="AC166" i="18" a="1"/>
  <c r="AC166" i="18" s="1"/>
  <c r="AC42" i="18" a="1"/>
  <c r="AC42" i="18" s="1"/>
  <c r="AC56" i="18" a="1"/>
  <c r="AC56" i="18" s="1"/>
  <c r="AC84" i="18" a="1"/>
  <c r="AC84" i="18" s="1"/>
  <c r="AC127" i="18" a="1"/>
  <c r="AC127" i="18" s="1"/>
  <c r="AC174" i="18" a="1"/>
  <c r="AC174" i="18" s="1"/>
  <c r="AC31" i="18" a="1"/>
  <c r="AC31" i="18" s="1"/>
  <c r="AC15" i="18" a="1"/>
  <c r="AC15" i="18" s="1"/>
  <c r="AC120" i="18" a="1"/>
  <c r="AC120" i="18" s="1"/>
  <c r="AC133" i="18" a="1"/>
  <c r="AC133" i="18" s="1"/>
  <c r="AC97" i="18" a="1"/>
  <c r="AC97" i="18" s="1"/>
  <c r="AC219" i="18" a="1"/>
  <c r="AC219" i="18" s="1"/>
  <c r="AC79" i="18" a="1"/>
  <c r="AC79" i="18" s="1"/>
  <c r="AH79" i="18" s="1"/>
  <c r="AC23" i="18" a="1"/>
  <c r="AC23" i="18" s="1"/>
  <c r="AC110" i="18" a="1"/>
  <c r="AC110" i="18" s="1"/>
  <c r="AC236" i="18" a="1"/>
  <c r="AC236" i="18" s="1"/>
  <c r="AD36" i="18" a="1"/>
  <c r="AD36" i="18" s="1"/>
  <c r="AD228" i="18" a="1"/>
  <c r="AD228" i="18" s="1"/>
  <c r="AD175" i="18" a="1"/>
  <c r="AD175" i="18" s="1"/>
  <c r="AD122" i="18" a="1"/>
  <c r="AD122" i="18" s="1"/>
  <c r="AD67" i="18" a="1"/>
  <c r="AD67" i="18" s="1"/>
  <c r="AD26" i="18" a="1"/>
  <c r="AD26" i="18" s="1"/>
  <c r="AD218" i="18" a="1"/>
  <c r="AD218" i="18" s="1"/>
  <c r="AD179" i="18" a="1"/>
  <c r="AD179" i="18" s="1"/>
  <c r="AD138" i="18" a="1"/>
  <c r="AD138" i="18" s="1"/>
  <c r="AD99" i="18" a="1"/>
  <c r="AD99" i="18" s="1"/>
  <c r="AD58" i="18" a="1"/>
  <c r="AD58" i="18" s="1"/>
  <c r="AD17" i="18" a="1"/>
  <c r="AD17" i="18" s="1"/>
  <c r="AD237" i="18" a="1"/>
  <c r="AD237" i="18" s="1"/>
  <c r="AD19" i="18" a="1"/>
  <c r="AD19" i="18" s="1"/>
  <c r="AD118" i="18" a="1"/>
  <c r="AD118" i="18" s="1"/>
  <c r="AD145" i="18" a="1"/>
  <c r="AD145" i="18" s="1"/>
  <c r="Q14" i="14"/>
  <c r="Q275" i="14"/>
  <c r="AB8" i="1" a="1"/>
  <c r="AB8" i="1" s="1"/>
  <c r="AB36" i="1" s="1"/>
  <c r="AE170" i="18" a="1"/>
  <c r="AE170" i="18" s="1"/>
  <c r="AE129" i="18" a="1"/>
  <c r="AE129" i="18" s="1"/>
  <c r="AE90" i="18" a="1"/>
  <c r="AE90" i="18" s="1"/>
  <c r="AE35" i="18" a="1"/>
  <c r="AE35" i="18" s="1"/>
  <c r="AE227" i="18" a="1"/>
  <c r="AE227" i="18" s="1"/>
  <c r="AE174" i="18" a="1"/>
  <c r="AE174" i="18" s="1"/>
  <c r="AE121" i="18" a="1"/>
  <c r="AE121" i="18" s="1"/>
  <c r="AE66" i="18" a="1"/>
  <c r="AE66" i="18" s="1"/>
  <c r="AE11" i="18" a="1"/>
  <c r="AE11" i="18" s="1"/>
  <c r="AE203" i="18" a="1"/>
  <c r="AE203" i="18" s="1"/>
  <c r="AE164" i="18" a="1"/>
  <c r="AE164" i="18" s="1"/>
  <c r="AE125" i="18" a="1"/>
  <c r="AE125" i="18" s="1"/>
  <c r="AE84" i="18" a="1"/>
  <c r="AE84" i="18" s="1"/>
  <c r="AE43" i="18" a="1"/>
  <c r="AE43" i="18" s="1"/>
  <c r="AE235" i="18" a="1"/>
  <c r="AE235" i="18" s="1"/>
  <c r="AE194" i="18" a="1"/>
  <c r="AE194" i="18" s="1"/>
  <c r="AE155" i="18" a="1"/>
  <c r="AE155" i="18" s="1"/>
  <c r="AC122" i="18" a="1"/>
  <c r="AC122" i="18" s="1"/>
  <c r="AC6" i="18" a="1"/>
  <c r="AC6" i="18" s="1"/>
  <c r="AC55" i="18" a="1"/>
  <c r="AC55" i="18" s="1"/>
  <c r="AC72" i="18" a="1"/>
  <c r="AC72" i="18" s="1"/>
  <c r="AC93" i="18" a="1"/>
  <c r="AC93" i="18" s="1"/>
  <c r="AC139" i="18" a="1"/>
  <c r="AC139" i="18" s="1"/>
  <c r="AC191" i="18" a="1"/>
  <c r="AC191" i="18" s="1"/>
  <c r="AC48" i="18" a="1"/>
  <c r="AC48" i="18" s="1"/>
  <c r="AH48" i="18" s="1"/>
  <c r="AC32" i="18" a="1"/>
  <c r="AC32" i="18" s="1"/>
  <c r="AC128" i="18" a="1"/>
  <c r="AC128" i="18" s="1"/>
  <c r="AC146" i="18" a="1"/>
  <c r="AC146" i="18" s="1"/>
  <c r="AC104" i="18" a="1"/>
  <c r="AC104" i="18" s="1"/>
  <c r="AC228" i="18" a="1"/>
  <c r="AC228" i="18" s="1"/>
  <c r="AC147" i="18" a="1"/>
  <c r="AC147" i="18" s="1"/>
  <c r="AC37" i="18" a="1"/>
  <c r="AC37" i="18" s="1"/>
  <c r="AC117" i="18" a="1"/>
  <c r="AC117" i="18" s="1"/>
  <c r="AC11" i="18" a="1"/>
  <c r="AC11" i="18" s="1"/>
  <c r="AD50" i="18" a="1"/>
  <c r="AD50" i="18" s="1"/>
  <c r="AD242" i="18" a="1"/>
  <c r="AD242" i="18" s="1"/>
  <c r="AD187" i="18" a="1"/>
  <c r="AD187" i="18" s="1"/>
  <c r="AD134" i="18" a="1"/>
  <c r="AD134" i="18" s="1"/>
  <c r="AD81" i="18" a="1"/>
  <c r="AD81" i="18" s="1"/>
  <c r="AD40" i="18" a="1"/>
  <c r="AD40" i="18" s="1"/>
  <c r="AD232" i="18" a="1"/>
  <c r="AD232" i="18" s="1"/>
  <c r="AD191" i="18" a="1"/>
  <c r="AD191" i="18" s="1"/>
  <c r="AD152" i="18" a="1"/>
  <c r="AD152" i="18" s="1"/>
  <c r="AD113" i="18" a="1"/>
  <c r="AD113" i="18" s="1"/>
  <c r="AD72" i="18" a="1"/>
  <c r="AD72" i="18" s="1"/>
  <c r="AD31" i="18" a="1"/>
  <c r="AD31" i="18" s="1"/>
  <c r="AD18" i="18" a="1"/>
  <c r="AD18" i="18" s="1"/>
  <c r="AD47" i="18" a="1"/>
  <c r="AD47" i="18" s="1"/>
  <c r="AD130" i="18" a="1"/>
  <c r="AD130" i="18" s="1"/>
  <c r="AD159" i="18" a="1"/>
  <c r="AD159" i="18" s="1"/>
  <c r="U8" i="1" a="1"/>
  <c r="U8" i="1" s="1"/>
  <c r="AD7" i="1" a="1"/>
  <c r="AD7" i="1" s="1"/>
  <c r="AD37" i="1" s="1"/>
  <c r="AB7" i="1" a="1"/>
  <c r="AB7" i="1" s="1"/>
  <c r="AB37" i="1" s="1"/>
  <c r="AC12" i="1" a="1"/>
  <c r="AC12" i="1" s="1"/>
  <c r="V92" i="18" a="1"/>
  <c r="V92" i="18" s="1"/>
  <c r="V97" i="18" a="1"/>
  <c r="V97" i="18" s="1"/>
  <c r="V35" i="18" a="1"/>
  <c r="V35" i="18" s="1"/>
  <c r="V21" i="18" a="1"/>
  <c r="V21" i="18" s="1"/>
  <c r="V188" i="18" a="1"/>
  <c r="V188" i="18" s="1"/>
  <c r="V133" i="18" a="1"/>
  <c r="V133" i="18" s="1"/>
  <c r="V173" i="18" a="1"/>
  <c r="V173" i="18" s="1"/>
  <c r="V94" i="18" a="1"/>
  <c r="V94" i="18" s="1"/>
  <c r="V59" i="18" a="1"/>
  <c r="V59" i="18" s="1"/>
  <c r="V28" i="18" a="1"/>
  <c r="V28" i="18" s="1"/>
  <c r="V55" i="18" a="1"/>
  <c r="V55" i="18" s="1"/>
  <c r="V224" i="18" a="1"/>
  <c r="V224" i="18" s="1"/>
  <c r="V220" i="18" a="1"/>
  <c r="V220" i="18" s="1"/>
  <c r="V167" i="18" a="1"/>
  <c r="V167" i="18" s="1"/>
  <c r="V119" i="18" a="1"/>
  <c r="V119" i="18" s="1"/>
  <c r="V171" i="18" a="1"/>
  <c r="V171" i="18" s="1"/>
  <c r="V243" i="18" a="1"/>
  <c r="V243" i="18" s="1"/>
  <c r="V23" i="18" a="1"/>
  <c r="V23" i="18" s="1"/>
  <c r="V106" i="18" a="1"/>
  <c r="V106" i="18" s="1"/>
  <c r="V111" i="18" a="1"/>
  <c r="V111" i="18" s="1"/>
  <c r="V74" i="18" a="1"/>
  <c r="V74" i="18" s="1"/>
  <c r="V26" i="18" a="1"/>
  <c r="V26" i="18" s="1"/>
  <c r="V205" i="18" a="1"/>
  <c r="V205" i="18" s="1"/>
  <c r="V147" i="18" a="1"/>
  <c r="V147" i="18" s="1"/>
  <c r="V184" i="18" a="1"/>
  <c r="V184" i="18" s="1"/>
  <c r="V108" i="18" a="1"/>
  <c r="V108" i="18" s="1"/>
  <c r="V85" i="18" a="1"/>
  <c r="V85" i="18" s="1"/>
  <c r="V37" i="18" a="1"/>
  <c r="V37" i="18" s="1"/>
  <c r="V72" i="18" a="1"/>
  <c r="V72" i="18" s="1"/>
  <c r="V18" i="18" a="1"/>
  <c r="V18" i="18" s="1"/>
  <c r="V13" i="18" a="1"/>
  <c r="V13" i="18" s="1"/>
  <c r="V186" i="18" a="1"/>
  <c r="V186" i="18" s="1"/>
  <c r="V131" i="18" a="1"/>
  <c r="V131" i="18" s="1"/>
  <c r="V175" i="18" a="1"/>
  <c r="V175" i="18" s="1"/>
  <c r="V225" i="18" a="1"/>
  <c r="V225" i="18" s="1"/>
  <c r="V15" i="18" a="1"/>
  <c r="V15" i="18" s="1"/>
  <c r="V115" i="18" a="1"/>
  <c r="V115" i="18" s="1"/>
  <c r="V120" i="18" a="1"/>
  <c r="V120" i="18" s="1"/>
  <c r="V88" i="18" a="1"/>
  <c r="V88" i="18" s="1"/>
  <c r="V31" i="18" a="1"/>
  <c r="V31" i="18" s="1"/>
  <c r="V218" i="18" a="1"/>
  <c r="V218" i="18" s="1"/>
  <c r="V161" i="18" a="1"/>
  <c r="V161" i="18" s="1"/>
  <c r="V197" i="18" a="1"/>
  <c r="V197" i="18" s="1"/>
  <c r="V117" i="18" a="1"/>
  <c r="V117" i="18" s="1"/>
  <c r="V99" i="18" a="1"/>
  <c r="V99" i="18" s="1"/>
  <c r="V63" i="18" a="1"/>
  <c r="V63" i="18" s="1"/>
  <c r="V81" i="18" a="1"/>
  <c r="V81" i="18" s="1"/>
  <c r="V24" i="18" a="1"/>
  <c r="V24" i="18" s="1"/>
  <c r="V29" i="18" a="1"/>
  <c r="V29" i="18" s="1"/>
  <c r="V203" i="18" a="1"/>
  <c r="V203" i="18" s="1"/>
  <c r="V145" i="18" a="1"/>
  <c r="V145" i="18" s="1"/>
  <c r="V182" i="18" a="1"/>
  <c r="V182" i="18" s="1"/>
  <c r="V237" i="18" a="1"/>
  <c r="V237" i="18" s="1"/>
  <c r="V33" i="18" a="1"/>
  <c r="V33" i="18" s="1"/>
  <c r="V4" i="18" a="1"/>
  <c r="V4" i="18" s="1"/>
  <c r="V132" i="18" a="1"/>
  <c r="V132" i="18" s="1"/>
  <c r="V102" i="18" a="1"/>
  <c r="V102" i="18" s="1"/>
  <c r="V40" i="18" a="1"/>
  <c r="V40" i="18" s="1"/>
  <c r="V10" i="18" a="1"/>
  <c r="V10" i="18" s="1"/>
  <c r="V165" i="18" a="1"/>
  <c r="V165" i="18" s="1"/>
  <c r="V210" i="18" a="1"/>
  <c r="V210" i="18" s="1"/>
  <c r="V129" i="18" a="1"/>
  <c r="V129" i="18" s="1"/>
  <c r="V113" i="18" a="1"/>
  <c r="V113" i="18" s="1"/>
  <c r="V67" i="18" a="1"/>
  <c r="V67" i="18" s="1"/>
  <c r="V95" i="18" a="1"/>
  <c r="V95" i="18" s="1"/>
  <c r="V47" i="18" a="1"/>
  <c r="V47" i="18" s="1"/>
  <c r="V38" i="18" a="1"/>
  <c r="V38" i="18" s="1"/>
  <c r="V216" i="18" a="1"/>
  <c r="V216" i="18" s="1"/>
  <c r="V159" i="18" a="1"/>
  <c r="V159" i="18" s="1"/>
  <c r="V191" i="18" a="1"/>
  <c r="V191" i="18" s="1"/>
  <c r="V228" i="18" a="1"/>
  <c r="V228" i="18" s="1"/>
  <c r="V14" i="18" a="1"/>
  <c r="V14" i="18" s="1"/>
  <c r="V141" i="18" a="1"/>
  <c r="V141" i="18" s="1"/>
  <c r="V146" i="18" a="1"/>
  <c r="V146" i="18" s="1"/>
  <c r="V125" i="18" a="1"/>
  <c r="V125" i="18" s="1"/>
  <c r="V53" i="18" a="1"/>
  <c r="V53" i="18" s="1"/>
  <c r="V16" i="18" a="1"/>
  <c r="V16" i="18" s="1"/>
  <c r="V181" i="18" a="1"/>
  <c r="V181" i="18" s="1"/>
  <c r="V227" i="18" a="1"/>
  <c r="V227" i="18" s="1"/>
  <c r="V143" i="18" a="1"/>
  <c r="V143" i="18" s="1"/>
  <c r="V122" i="18" a="1"/>
  <c r="V122" i="18" s="1"/>
  <c r="V76" i="18" a="1"/>
  <c r="V76" i="18" s="1"/>
  <c r="V109" i="18" a="1"/>
  <c r="V109" i="18" s="1"/>
  <c r="V51" i="18" a="1"/>
  <c r="V51" i="18" s="1"/>
  <c r="V60" i="18" a="1"/>
  <c r="V60" i="18" s="1"/>
  <c r="V229" i="18" a="1"/>
  <c r="V229" i="18" s="1"/>
  <c r="V179" i="18" a="1"/>
  <c r="V179" i="18" s="1"/>
  <c r="V195" i="18" a="1"/>
  <c r="V195" i="18" s="1"/>
  <c r="V7" i="18" a="1"/>
  <c r="V7" i="18" s="1"/>
  <c r="V20" i="18" a="1"/>
  <c r="V20" i="18" s="1"/>
  <c r="V155" i="18" a="1"/>
  <c r="V155" i="18" s="1"/>
  <c r="V160" i="18" a="1"/>
  <c r="V160" i="18" s="1"/>
  <c r="V137" i="18" a="1"/>
  <c r="V137" i="18" s="1"/>
  <c r="V70" i="18" a="1"/>
  <c r="V70" i="18" s="1"/>
  <c r="V45" i="18" a="1"/>
  <c r="V45" i="18" s="1"/>
  <c r="V201" i="18" a="1"/>
  <c r="V201" i="18" s="1"/>
  <c r="V236" i="18" a="1"/>
  <c r="V236" i="18" s="1"/>
  <c r="V157" i="18" a="1"/>
  <c r="V157" i="18" s="1"/>
  <c r="V134" i="18" a="1"/>
  <c r="V134" i="18" s="1"/>
  <c r="V90" i="18" a="1"/>
  <c r="V90" i="18" s="1"/>
  <c r="V118" i="18" a="1"/>
  <c r="V118" i="18" s="1"/>
  <c r="V86" i="18" a="1"/>
  <c r="V86" i="18" s="1"/>
  <c r="V64" i="18" a="1"/>
  <c r="V64" i="18" s="1"/>
  <c r="V238" i="18" a="1"/>
  <c r="V238" i="18" s="1"/>
  <c r="V199" i="18" a="1"/>
  <c r="V199" i="18" s="1"/>
  <c r="V208" i="18" a="1"/>
  <c r="V208" i="18" s="1"/>
  <c r="V30" i="18" a="1"/>
  <c r="V30" i="18" s="1"/>
  <c r="V187" i="18" a="1"/>
  <c r="V187" i="18" s="1"/>
  <c r="V164" i="18" a="1"/>
  <c r="V164" i="18" s="1"/>
  <c r="V151" i="18" a="1"/>
  <c r="V151" i="18" s="1"/>
  <c r="V79" i="18" a="1"/>
  <c r="V79" i="18" s="1"/>
  <c r="V49" i="18" a="1"/>
  <c r="V49" i="18" s="1"/>
  <c r="V36" i="18" a="1"/>
  <c r="V36" i="18" s="1"/>
  <c r="V11" i="18" a="1"/>
  <c r="V11" i="18" s="1"/>
  <c r="V177" i="18" a="1"/>
  <c r="V177" i="18" s="1"/>
  <c r="V148" i="18" a="1"/>
  <c r="V148" i="18" s="1"/>
  <c r="V104" i="18" a="1"/>
  <c r="V104" i="18" s="1"/>
  <c r="V130" i="18" a="1"/>
  <c r="V130" i="18" s="1"/>
  <c r="V100" i="18" a="1"/>
  <c r="V100" i="18" s="1"/>
  <c r="V68" i="18" a="1"/>
  <c r="V68" i="18" s="1"/>
  <c r="V8" i="18" a="1"/>
  <c r="V8" i="18" s="1"/>
  <c r="V212" i="18" a="1"/>
  <c r="V212" i="18" s="1"/>
  <c r="V221" i="18" a="1"/>
  <c r="V221" i="18" s="1"/>
  <c r="V39" i="18" a="1"/>
  <c r="V39" i="18" s="1"/>
  <c r="V204" i="18" a="1"/>
  <c r="V204" i="18" s="1"/>
  <c r="V168" i="18" a="1"/>
  <c r="V168" i="18" s="1"/>
  <c r="V172" i="18" a="1"/>
  <c r="V172" i="18" s="1"/>
  <c r="V93" i="18" a="1"/>
  <c r="V93" i="18" s="1"/>
  <c r="V58" i="18" a="1"/>
  <c r="V58" i="18" s="1"/>
  <c r="V75" i="18" a="1"/>
  <c r="V75" i="18" s="1"/>
  <c r="V22" i="18" a="1"/>
  <c r="V22" i="18" s="1"/>
  <c r="V193" i="18" a="1"/>
  <c r="V193" i="18" s="1"/>
  <c r="V162" i="18" a="1"/>
  <c r="V162" i="18" s="1"/>
  <c r="V127" i="18" a="1"/>
  <c r="V127" i="18" s="1"/>
  <c r="V144" i="18" a="1"/>
  <c r="V144" i="18" s="1"/>
  <c r="V114" i="18" a="1"/>
  <c r="V114" i="18" s="1"/>
  <c r="V77" i="18" a="1"/>
  <c r="V77" i="18" s="1"/>
  <c r="V19" i="18" a="1"/>
  <c r="V19" i="18" s="1"/>
  <c r="V25" i="18" a="1"/>
  <c r="V25" i="18" s="1"/>
  <c r="V234" i="18" a="1"/>
  <c r="V234" i="18" s="1"/>
  <c r="V48" i="18" a="1"/>
  <c r="V48" i="18" s="1"/>
  <c r="V217" i="18" a="1"/>
  <c r="V217" i="18" s="1"/>
  <c r="V180" i="18" a="1"/>
  <c r="V180" i="18" s="1"/>
  <c r="V183" i="18" a="1"/>
  <c r="V183" i="18" s="1"/>
  <c r="V107" i="18" a="1"/>
  <c r="V107" i="18" s="1"/>
  <c r="V62" i="18" a="1"/>
  <c r="V62" i="18" s="1"/>
  <c r="V89" i="18" a="1"/>
  <c r="V89" i="18" s="1"/>
  <c r="V27" i="18" a="1"/>
  <c r="V27" i="18" s="1"/>
  <c r="V206" i="18" a="1"/>
  <c r="V206" i="18" s="1"/>
  <c r="V5" i="18" a="1"/>
  <c r="V5" i="18" s="1"/>
  <c r="V139" i="18" a="1"/>
  <c r="V139" i="18" s="1"/>
  <c r="V158" i="18" a="1"/>
  <c r="V158" i="18" s="1"/>
  <c r="V123" i="18" a="1"/>
  <c r="V123" i="18" s="1"/>
  <c r="V91" i="18" a="1"/>
  <c r="V91" i="18" s="1"/>
  <c r="V34" i="18" a="1"/>
  <c r="V34" i="18" s="1"/>
  <c r="V73" i="18" a="1"/>
  <c r="V73" i="18" s="1"/>
  <c r="V240" i="18" a="1"/>
  <c r="V240" i="18" s="1"/>
  <c r="V52" i="18" a="1"/>
  <c r="V52" i="18" s="1"/>
  <c r="V230" i="18" a="1"/>
  <c r="V230" i="18" s="1"/>
  <c r="V200" i="18" a="1"/>
  <c r="V200" i="18" s="1"/>
  <c r="V192" i="18" a="1"/>
  <c r="V192" i="18" s="1"/>
  <c r="V116" i="18" a="1"/>
  <c r="V116" i="18" s="1"/>
  <c r="V66" i="18" a="1"/>
  <c r="V66" i="18" s="1"/>
  <c r="V103" i="18" a="1"/>
  <c r="V103" i="18" s="1"/>
  <c r="V32" i="18" a="1"/>
  <c r="V32" i="18" s="1"/>
  <c r="V223" i="18" a="1"/>
  <c r="V223" i="18" s="1"/>
  <c r="V189" i="18" a="1"/>
  <c r="V189" i="18" s="1"/>
  <c r="V153" i="18" a="1"/>
  <c r="V153" i="18" s="1"/>
  <c r="V170" i="18" a="1"/>
  <c r="V170" i="18" s="1"/>
  <c r="V135" i="18" a="1"/>
  <c r="V135" i="18" s="1"/>
  <c r="V105" i="18" a="1"/>
  <c r="V105" i="18" s="1"/>
  <c r="V43" i="18" a="1"/>
  <c r="V43" i="18" s="1"/>
  <c r="V87" i="18" a="1"/>
  <c r="V87" i="18" s="1"/>
  <c r="V231" i="18" a="1"/>
  <c r="V231" i="18" s="1"/>
  <c r="V61" i="18" a="1"/>
  <c r="V61" i="18" s="1"/>
  <c r="V239" i="18" a="1"/>
  <c r="V239" i="18" s="1"/>
  <c r="V213" i="18" a="1"/>
  <c r="V213" i="18" s="1"/>
  <c r="V196" i="18" a="1"/>
  <c r="V196" i="18" s="1"/>
  <c r="V128" i="18" a="1"/>
  <c r="V128" i="18" s="1"/>
  <c r="V84" i="18" a="1"/>
  <c r="V84" i="18" s="1"/>
  <c r="V126" i="18" a="1"/>
  <c r="V126" i="18" s="1"/>
  <c r="V41" i="18" a="1"/>
  <c r="V41" i="18" s="1"/>
  <c r="V241" i="18" a="1"/>
  <c r="V241" i="18" s="1"/>
  <c r="V202" i="18" a="1"/>
  <c r="V202" i="18" s="1"/>
  <c r="V166" i="18" a="1"/>
  <c r="V166" i="18" s="1"/>
  <c r="V174" i="18" a="1"/>
  <c r="V174" i="18" s="1"/>
  <c r="V149" i="18" a="1"/>
  <c r="V149" i="18" s="1"/>
  <c r="V3" i="18" a="1"/>
  <c r="V3" i="18" s="1"/>
  <c r="V56" i="18" a="1"/>
  <c r="V56" i="18" s="1"/>
  <c r="V101" i="18" a="1"/>
  <c r="V101" i="18" s="1"/>
  <c r="V214" i="18" a="1"/>
  <c r="V214" i="18" s="1"/>
  <c r="V65" i="18" a="1"/>
  <c r="V65" i="18" s="1"/>
  <c r="V44" i="18" a="1"/>
  <c r="V44" i="18" s="1"/>
  <c r="V226" i="18" a="1"/>
  <c r="V226" i="18" s="1"/>
  <c r="V209" i="18" a="1"/>
  <c r="V209" i="18" s="1"/>
  <c r="V142" i="18" a="1"/>
  <c r="V142" i="18" s="1"/>
  <c r="V98" i="18" a="1"/>
  <c r="V98" i="18" s="1"/>
  <c r="V138" i="18" a="1"/>
  <c r="V138" i="18" s="1"/>
  <c r="V54" i="18" a="1"/>
  <c r="V54" i="18" s="1"/>
  <c r="V17" i="18" a="1"/>
  <c r="V17" i="18" s="1"/>
  <c r="V219" i="18" a="1"/>
  <c r="V219" i="18" s="1"/>
  <c r="V185" i="18" a="1"/>
  <c r="V185" i="18" s="1"/>
  <c r="V178" i="18" a="1"/>
  <c r="V178" i="18" s="1"/>
  <c r="V6" i="18" a="1"/>
  <c r="V6" i="18" s="1"/>
  <c r="V140" i="18" a="1"/>
  <c r="V140" i="18" s="1"/>
  <c r="V82" i="18" a="1"/>
  <c r="V82" i="18" s="1"/>
  <c r="V124" i="18" a="1"/>
  <c r="V124" i="18" s="1"/>
  <c r="V215" i="18" a="1"/>
  <c r="V215" i="18" s="1"/>
  <c r="V69" i="18" a="1"/>
  <c r="V69" i="18" s="1"/>
  <c r="V57" i="18" a="1"/>
  <c r="V57" i="18" s="1"/>
  <c r="V244" i="18" a="1"/>
  <c r="V244" i="18" s="1"/>
  <c r="V222" i="18" a="1"/>
  <c r="V222" i="18" s="1"/>
  <c r="V156" i="18" a="1"/>
  <c r="V156" i="18" s="1"/>
  <c r="V112" i="18" a="1"/>
  <c r="V112" i="18" s="1"/>
  <c r="V152" i="18" a="1"/>
  <c r="V152" i="18" s="1"/>
  <c r="V71" i="18" a="1"/>
  <c r="V71" i="18" s="1"/>
  <c r="V46" i="18" a="1"/>
  <c r="V46" i="18" s="1"/>
  <c r="V232" i="18" a="1"/>
  <c r="V232" i="18" s="1"/>
  <c r="V198" i="18" a="1"/>
  <c r="V198" i="18" s="1"/>
  <c r="V194" i="18" a="1"/>
  <c r="V194" i="18" s="1"/>
  <c r="V190" i="18" a="1"/>
  <c r="V190" i="18" s="1"/>
  <c r="V154" i="18" a="1"/>
  <c r="V154" i="18" s="1"/>
  <c r="V96" i="18" a="1"/>
  <c r="V96" i="18" s="1"/>
  <c r="V136" i="18" a="1"/>
  <c r="V136" i="18" s="1"/>
  <c r="V242" i="18" a="1"/>
  <c r="V242" i="18" s="1"/>
  <c r="V78" i="18" a="1"/>
  <c r="V78" i="18" s="1"/>
  <c r="V83" i="18" a="1"/>
  <c r="V83" i="18" s="1"/>
  <c r="V9" i="18" a="1"/>
  <c r="V9" i="18" s="1"/>
  <c r="V235" i="18" a="1"/>
  <c r="V235" i="18" s="1"/>
  <c r="V176" i="18" a="1"/>
  <c r="V176" i="18" s="1"/>
  <c r="V121" i="18" a="1"/>
  <c r="V121" i="18" s="1"/>
  <c r="V169" i="18" a="1"/>
  <c r="V169" i="18" s="1"/>
  <c r="V80" i="18" a="1"/>
  <c r="V80" i="18" s="1"/>
  <c r="V50" i="18" a="1"/>
  <c r="V50" i="18" s="1"/>
  <c r="V12" i="18" a="1"/>
  <c r="V12" i="18" s="1"/>
  <c r="V42" i="18" a="1"/>
  <c r="V42" i="18" s="1"/>
  <c r="V211" i="18" a="1"/>
  <c r="V211" i="18" s="1"/>
  <c r="V207" i="18" a="1"/>
  <c r="V207" i="18" s="1"/>
  <c r="V163" i="18" a="1"/>
  <c r="V163" i="18" s="1"/>
  <c r="V110" i="18" a="1"/>
  <c r="V110" i="18" s="1"/>
  <c r="V150" i="18" a="1"/>
  <c r="V150" i="18" s="1"/>
  <c r="V233" i="18" a="1"/>
  <c r="V233" i="18" s="1"/>
  <c r="AE182" i="18" a="1"/>
  <c r="AE182" i="18" s="1"/>
  <c r="AE143" i="18" a="1"/>
  <c r="AE143" i="18" s="1"/>
  <c r="AE104" i="18" a="1"/>
  <c r="AE104" i="18" s="1"/>
  <c r="AE49" i="18" a="1"/>
  <c r="AE49" i="18" s="1"/>
  <c r="AE241" i="18" a="1"/>
  <c r="AE241" i="18" s="1"/>
  <c r="AE186" i="18" a="1"/>
  <c r="AE186" i="18" s="1"/>
  <c r="AE133" i="18" a="1"/>
  <c r="AE133" i="18" s="1"/>
  <c r="AE80" i="18" a="1"/>
  <c r="AE80" i="18" s="1"/>
  <c r="AE25" i="18" a="1"/>
  <c r="AE25" i="18" s="1"/>
  <c r="AE217" i="18" a="1"/>
  <c r="AE217" i="18" s="1"/>
  <c r="AE178" i="18" a="1"/>
  <c r="AE178" i="18" s="1"/>
  <c r="AE137" i="18" a="1"/>
  <c r="AE137" i="18" s="1"/>
  <c r="AE98" i="18" a="1"/>
  <c r="AE98" i="18" s="1"/>
  <c r="AE57" i="18" a="1"/>
  <c r="AE57" i="18" s="1"/>
  <c r="AE16" i="18" a="1"/>
  <c r="AE16" i="18" s="1"/>
  <c r="AE208" i="18" a="1"/>
  <c r="AE208" i="18" s="1"/>
  <c r="AE169" i="18" a="1"/>
  <c r="AE169" i="18" s="1"/>
  <c r="AC135" i="18" a="1"/>
  <c r="AC135" i="18" s="1"/>
  <c r="AC201" i="18" a="1"/>
  <c r="AC201" i="18" s="1"/>
  <c r="AC71" i="18" a="1"/>
  <c r="AC71" i="18" s="1"/>
  <c r="AC114" i="18" a="1"/>
  <c r="AC114" i="18" s="1"/>
  <c r="AC105" i="18" a="1"/>
  <c r="AC105" i="18" s="1"/>
  <c r="AH105" i="18" s="1"/>
  <c r="AC173" i="18" a="1"/>
  <c r="AC173" i="18" s="1"/>
  <c r="AC209" i="18" a="1"/>
  <c r="AC209" i="18" s="1"/>
  <c r="AC62" i="18" a="1"/>
  <c r="AC62" i="18" s="1"/>
  <c r="AH62" i="18" s="1"/>
  <c r="AC63" i="18" a="1"/>
  <c r="AC63" i="18" s="1"/>
  <c r="AC145" i="18" a="1"/>
  <c r="AC145" i="18" s="1"/>
  <c r="AC194" i="18" a="1"/>
  <c r="AC194" i="18" s="1"/>
  <c r="AH194" i="18" s="1"/>
  <c r="AC111" i="18" a="1"/>
  <c r="AC111" i="18" s="1"/>
  <c r="AH111" i="18" s="1"/>
  <c r="AC237" i="18" a="1"/>
  <c r="AC237" i="18" s="1"/>
  <c r="AH237" i="18" s="1"/>
  <c r="AC177" i="18" a="1"/>
  <c r="AC177" i="18" s="1"/>
  <c r="AC49" i="18" a="1"/>
  <c r="AC49" i="18" s="1"/>
  <c r="AC124" i="18" a="1"/>
  <c r="AC124" i="18" s="1"/>
  <c r="AC25" i="18" a="1"/>
  <c r="AC25" i="18" s="1"/>
  <c r="AD64" i="18" a="1"/>
  <c r="AD64" i="18" s="1"/>
  <c r="AD9" i="18" a="1"/>
  <c r="AD9" i="18" s="1"/>
  <c r="AD201" i="18" a="1"/>
  <c r="AD201" i="18" s="1"/>
  <c r="AD148" i="18" a="1"/>
  <c r="AD148" i="18" s="1"/>
  <c r="AD95" i="18" a="1"/>
  <c r="AD95" i="18" s="1"/>
  <c r="AD54" i="18" a="1"/>
  <c r="AD54" i="18" s="1"/>
  <c r="AD13" i="18" a="1"/>
  <c r="AD13" i="18" s="1"/>
  <c r="AD205" i="18" a="1"/>
  <c r="AD205" i="18" s="1"/>
  <c r="AD166" i="18" a="1"/>
  <c r="AD166" i="18" s="1"/>
  <c r="AD127" i="18" a="1"/>
  <c r="AD127" i="18" s="1"/>
  <c r="AD86" i="18" a="1"/>
  <c r="AD86" i="18" s="1"/>
  <c r="AD45" i="18" a="1"/>
  <c r="AD45" i="18" s="1"/>
  <c r="AD32" i="18" a="1"/>
  <c r="AD32" i="18" s="1"/>
  <c r="AD61" i="18" a="1"/>
  <c r="AD61" i="18" s="1"/>
  <c r="AD144" i="18" a="1"/>
  <c r="AD144" i="18" s="1"/>
  <c r="AD173" i="18" a="1"/>
  <c r="AD173" i="18" s="1"/>
  <c r="U10" i="1" a="1"/>
  <c r="U10" i="1" s="1"/>
  <c r="AC10" i="1" a="1"/>
  <c r="AC10" i="1" s="1"/>
  <c r="AE196" i="18" a="1"/>
  <c r="AE196" i="18" s="1"/>
  <c r="AE157" i="18" a="1"/>
  <c r="AE157" i="18" s="1"/>
  <c r="AE118" i="18" a="1"/>
  <c r="AE118" i="18" s="1"/>
  <c r="AE63" i="18" a="1"/>
  <c r="AE63" i="18" s="1"/>
  <c r="AE8" i="18" a="1"/>
  <c r="AE8" i="18" s="1"/>
  <c r="AE200" i="18" a="1"/>
  <c r="AE200" i="18" s="1"/>
  <c r="AE147" i="18" a="1"/>
  <c r="AE147" i="18" s="1"/>
  <c r="AE94" i="18" a="1"/>
  <c r="AE94" i="18" s="1"/>
  <c r="AE39" i="18" a="1"/>
  <c r="AE39" i="18" s="1"/>
  <c r="AE231" i="18" a="1"/>
  <c r="AE231" i="18" s="1"/>
  <c r="AE190" i="18" a="1"/>
  <c r="AE190" i="18" s="1"/>
  <c r="AE151" i="18" a="1"/>
  <c r="AE151" i="18" s="1"/>
  <c r="AE112" i="18" a="1"/>
  <c r="AE112" i="18" s="1"/>
  <c r="AE71" i="18" a="1"/>
  <c r="AE71" i="18" s="1"/>
  <c r="AE30" i="18" a="1"/>
  <c r="AE30" i="18" s="1"/>
  <c r="AE222" i="18" a="1"/>
  <c r="AE222" i="18" s="1"/>
  <c r="AE6" i="18" a="1"/>
  <c r="AE6" i="18" s="1"/>
  <c r="AC149" i="18" a="1"/>
  <c r="AC149" i="18" s="1"/>
  <c r="AH149" i="18" s="1"/>
  <c r="AC222" i="18" a="1"/>
  <c r="AC222" i="18" s="1"/>
  <c r="AC83" i="18" a="1"/>
  <c r="AC83" i="18" s="1"/>
  <c r="AH83" i="18" s="1"/>
  <c r="AC126" i="18" a="1"/>
  <c r="AC126" i="18" s="1"/>
  <c r="AC115" i="18" a="1"/>
  <c r="AC115" i="18" s="1"/>
  <c r="AC206" i="18" a="1"/>
  <c r="AC206" i="18" s="1"/>
  <c r="AC239" i="18" a="1"/>
  <c r="AC239" i="18" s="1"/>
  <c r="AH239" i="18" s="1"/>
  <c r="AC77" i="18" a="1"/>
  <c r="AC77" i="18" s="1"/>
  <c r="AC87" i="18" a="1"/>
  <c r="AC87" i="18" s="1"/>
  <c r="AC164" i="18" a="1"/>
  <c r="AC164" i="18" s="1"/>
  <c r="AH164" i="18" s="1"/>
  <c r="AC220" i="18" a="1"/>
  <c r="AC220" i="18" s="1"/>
  <c r="AH220" i="18" s="1"/>
  <c r="AC118" i="18" a="1"/>
  <c r="AC118" i="18" s="1"/>
  <c r="AC199" i="18" a="1"/>
  <c r="AC199" i="18" s="1"/>
  <c r="AH199" i="18" s="1"/>
  <c r="AC183" i="18" a="1"/>
  <c r="AC183" i="18" s="1"/>
  <c r="AC60" i="18" a="1"/>
  <c r="AC60" i="18" s="1"/>
  <c r="AC130" i="18" a="1"/>
  <c r="AC130" i="18" s="1"/>
  <c r="AC39" i="18" a="1"/>
  <c r="AC39" i="18" s="1"/>
  <c r="AD78" i="18" a="1"/>
  <c r="AD78" i="18" s="1"/>
  <c r="AD23" i="18" a="1"/>
  <c r="AD23" i="18" s="1"/>
  <c r="AD215" i="18" a="1"/>
  <c r="AD215" i="18" s="1"/>
  <c r="AD162" i="18" a="1"/>
  <c r="AD162" i="18" s="1"/>
  <c r="AD109" i="18" a="1"/>
  <c r="AD109" i="18" s="1"/>
  <c r="AD68" i="18" a="1"/>
  <c r="AD68" i="18" s="1"/>
  <c r="AD27" i="18" a="1"/>
  <c r="AD27" i="18" s="1"/>
  <c r="AD219" i="18" a="1"/>
  <c r="AD219" i="18" s="1"/>
  <c r="AD180" i="18" a="1"/>
  <c r="AD180" i="18" s="1"/>
  <c r="AD139" i="18" a="1"/>
  <c r="AD139" i="18" s="1"/>
  <c r="AD100" i="18" a="1"/>
  <c r="AD100" i="18" s="1"/>
  <c r="AD59" i="18" a="1"/>
  <c r="AD59" i="18" s="1"/>
  <c r="AD46" i="18" a="1"/>
  <c r="AD46" i="18" s="1"/>
  <c r="AD75" i="18" a="1"/>
  <c r="AD75" i="18" s="1"/>
  <c r="AD158" i="18" a="1"/>
  <c r="AD158" i="18" s="1"/>
  <c r="AD241" i="18" a="1"/>
  <c r="AD241" i="18" s="1"/>
  <c r="AL133" i="14"/>
  <c r="AE18" i="18" a="1"/>
  <c r="AE18" i="18" s="1"/>
  <c r="AE210" i="18" a="1"/>
  <c r="AE210" i="18" s="1"/>
  <c r="AE171" i="18" a="1"/>
  <c r="AE171" i="18" s="1"/>
  <c r="AE130" i="18" a="1"/>
  <c r="AE130" i="18" s="1"/>
  <c r="AE77" i="18" a="1"/>
  <c r="AE77" i="18" s="1"/>
  <c r="AE22" i="18" a="1"/>
  <c r="AE22" i="18" s="1"/>
  <c r="AE214" i="18" a="1"/>
  <c r="AE214" i="18" s="1"/>
  <c r="AE161" i="18" a="1"/>
  <c r="AE161" i="18" s="1"/>
  <c r="AE108" i="18" a="1"/>
  <c r="AE108" i="18" s="1"/>
  <c r="AE53" i="18" a="1"/>
  <c r="AE53" i="18" s="1"/>
  <c r="AE12" i="18" a="1"/>
  <c r="AE12" i="18" s="1"/>
  <c r="AE204" i="18" a="1"/>
  <c r="AE204" i="18" s="1"/>
  <c r="AE165" i="18" a="1"/>
  <c r="AE165" i="18" s="1"/>
  <c r="AE126" i="18" a="1"/>
  <c r="AE126" i="18" s="1"/>
  <c r="AE85" i="18" a="1"/>
  <c r="AE85" i="18" s="1"/>
  <c r="AE44" i="18" a="1"/>
  <c r="AE44" i="18" s="1"/>
  <c r="AE236" i="18" a="1"/>
  <c r="AE236" i="18" s="1"/>
  <c r="AE195" i="18" a="1"/>
  <c r="AE195" i="18" s="1"/>
  <c r="AC200" i="18" a="1"/>
  <c r="AC200" i="18" s="1"/>
  <c r="AC22" i="18" a="1"/>
  <c r="AC22" i="18" s="1"/>
  <c r="AC92" i="18" a="1"/>
  <c r="AC92" i="18" s="1"/>
  <c r="AC138" i="18" a="1"/>
  <c r="AC138" i="18" s="1"/>
  <c r="AC154" i="18" a="1"/>
  <c r="AC154" i="18" s="1"/>
  <c r="AH154" i="18" s="1"/>
  <c r="AC234" i="18" a="1"/>
  <c r="AC234" i="18" s="1"/>
  <c r="AH234" i="18" s="1"/>
  <c r="AC13" i="18" a="1"/>
  <c r="AC13" i="18" s="1"/>
  <c r="AC86" i="18" a="1"/>
  <c r="AC86" i="18" s="1"/>
  <c r="AC98" i="18" a="1"/>
  <c r="AC98" i="18" s="1"/>
  <c r="AC179" i="18" a="1"/>
  <c r="AC179" i="18" s="1"/>
  <c r="AC18" i="18" a="1"/>
  <c r="AC18" i="18" s="1"/>
  <c r="AH18" i="18" s="1"/>
  <c r="AC125" i="18" a="1"/>
  <c r="AC125" i="18" s="1"/>
  <c r="AH125" i="18" s="1"/>
  <c r="AC229" i="18" a="1"/>
  <c r="AC229" i="18" s="1"/>
  <c r="AC213" i="18" a="1"/>
  <c r="AC213" i="18" s="1"/>
  <c r="AH213" i="18" s="1"/>
  <c r="AC73" i="18" a="1"/>
  <c r="AC73" i="18" s="1"/>
  <c r="AC140" i="18" a="1"/>
  <c r="AC140" i="18" s="1"/>
  <c r="AH140" i="18" s="1"/>
  <c r="AC50" i="18" a="1"/>
  <c r="AC50" i="18" s="1"/>
  <c r="AH50" i="18" s="1"/>
  <c r="AD92" i="18" a="1"/>
  <c r="AD92" i="18" s="1"/>
  <c r="AD37" i="18" a="1"/>
  <c r="AD37" i="18" s="1"/>
  <c r="AD229" i="18" a="1"/>
  <c r="AD229" i="18" s="1"/>
  <c r="AD176" i="18" a="1"/>
  <c r="AD176" i="18" s="1"/>
  <c r="AD123" i="18" a="1"/>
  <c r="AD123" i="18" s="1"/>
  <c r="AD82" i="18" a="1"/>
  <c r="AD82" i="18" s="1"/>
  <c r="AD41" i="18" a="1"/>
  <c r="AD41" i="18" s="1"/>
  <c r="AD233" i="18" a="1"/>
  <c r="AD233" i="18" s="1"/>
  <c r="AD192" i="18" a="1"/>
  <c r="AD192" i="18" s="1"/>
  <c r="AD153" i="18" a="1"/>
  <c r="AD153" i="18" s="1"/>
  <c r="AD114" i="18" a="1"/>
  <c r="AD114" i="18" s="1"/>
  <c r="AD73" i="18" a="1"/>
  <c r="AD73" i="18" s="1"/>
  <c r="AD60" i="18" a="1"/>
  <c r="AD60" i="18" s="1"/>
  <c r="AD143" i="18" a="1"/>
  <c r="AD143" i="18" s="1"/>
  <c r="AD172" i="18" a="1"/>
  <c r="AD172" i="18" s="1"/>
  <c r="AD6" i="1" a="1"/>
  <c r="AD6" i="1" s="1"/>
  <c r="R191" i="14"/>
  <c r="M8" i="1" s="1" a="1"/>
  <c r="M8" i="1" s="1"/>
  <c r="K202" i="18" a="1"/>
  <c r="K202" i="18" s="1"/>
  <c r="K10" i="18" a="1"/>
  <c r="K10" i="18" s="1"/>
  <c r="K65" i="18" a="1"/>
  <c r="K65" i="18" s="1"/>
  <c r="K120" i="18" a="1"/>
  <c r="K120" i="18" s="1"/>
  <c r="K173" i="18" a="1"/>
  <c r="K173" i="18" s="1"/>
  <c r="N173" i="18" s="1"/>
  <c r="K239" i="18" a="1"/>
  <c r="K239" i="18" s="1"/>
  <c r="K182" i="18" a="1"/>
  <c r="K182" i="18" s="1"/>
  <c r="K223" i="18" a="1"/>
  <c r="K223" i="18" s="1"/>
  <c r="K168" i="18" a="1"/>
  <c r="K168" i="18" s="1"/>
  <c r="N168" i="18" s="1"/>
  <c r="K234" i="18" a="1"/>
  <c r="K234" i="18" s="1"/>
  <c r="K165" i="18" a="1"/>
  <c r="K165" i="18" s="1"/>
  <c r="K203" i="18" a="1"/>
  <c r="K203" i="18" s="1"/>
  <c r="N203" i="18" s="1"/>
  <c r="K11" i="18" a="1"/>
  <c r="K11" i="18" s="1"/>
  <c r="N11" i="18" s="1"/>
  <c r="K31" i="18" a="1"/>
  <c r="K31" i="18" s="1"/>
  <c r="N31" i="18" s="1"/>
  <c r="K71" i="18" a="1"/>
  <c r="K71" i="18" s="1"/>
  <c r="K87" i="18" a="1"/>
  <c r="K87" i="18" s="1"/>
  <c r="N87" i="18" s="1"/>
  <c r="K112" i="18" a="1"/>
  <c r="K112" i="18" s="1"/>
  <c r="N112" i="18" s="1"/>
  <c r="K15" i="18" a="1"/>
  <c r="K15" i="18" s="1"/>
  <c r="N15" i="18" s="1"/>
  <c r="K188" i="18" a="1"/>
  <c r="K188" i="18" s="1"/>
  <c r="K243" i="18" a="1"/>
  <c r="K243" i="18" s="1"/>
  <c r="N243" i="18" s="1"/>
  <c r="K51" i="18" a="1"/>
  <c r="K51" i="18" s="1"/>
  <c r="N51" i="18" s="1"/>
  <c r="K106" i="18" a="1"/>
  <c r="K106" i="18" s="1"/>
  <c r="N106" i="18" s="1"/>
  <c r="K159" i="18" a="1"/>
  <c r="K159" i="18" s="1"/>
  <c r="K225" i="18" a="1"/>
  <c r="K225" i="18" s="1"/>
  <c r="N225" i="18" s="1"/>
  <c r="K170" i="18" a="1"/>
  <c r="K170" i="18" s="1"/>
  <c r="N170" i="18" s="1"/>
  <c r="K209" i="18" a="1"/>
  <c r="K209" i="18" s="1"/>
  <c r="K154" i="18" a="1"/>
  <c r="K154" i="18" s="1"/>
  <c r="N154" i="18" s="1"/>
  <c r="K220" i="18" a="1"/>
  <c r="K220" i="18" s="1"/>
  <c r="N220" i="18" s="1"/>
  <c r="K232" i="18" a="1"/>
  <c r="K232" i="18" s="1"/>
  <c r="K189" i="18" a="1"/>
  <c r="K189" i="18" s="1"/>
  <c r="N189" i="18" s="1"/>
  <c r="K103" i="18" a="1"/>
  <c r="K103" i="18" s="1"/>
  <c r="N103" i="18" s="1"/>
  <c r="K12" i="18" a="1"/>
  <c r="K12" i="18" s="1"/>
  <c r="K48" i="18" a="1"/>
  <c r="K48" i="18" s="1"/>
  <c r="N48" i="18" s="1"/>
  <c r="K68" i="18" a="1"/>
  <c r="K68" i="18" s="1"/>
  <c r="N68" i="18" s="1"/>
  <c r="K84" i="18" a="1"/>
  <c r="K84" i="18" s="1"/>
  <c r="N84" i="18" s="1"/>
  <c r="K176" i="18" a="1"/>
  <c r="K176" i="18" s="1"/>
  <c r="N176" i="18" s="1"/>
  <c r="K229" i="18" a="1"/>
  <c r="K229" i="18" s="1"/>
  <c r="N229" i="18" s="1"/>
  <c r="K37" i="18" a="1"/>
  <c r="K37" i="18" s="1"/>
  <c r="N37" i="18" s="1"/>
  <c r="K92" i="18" a="1"/>
  <c r="K92" i="18" s="1"/>
  <c r="N92" i="18" s="1"/>
  <c r="K145" i="18" a="1"/>
  <c r="K145" i="18" s="1"/>
  <c r="N145" i="18" s="1"/>
  <c r="K211" i="18" a="1"/>
  <c r="K211" i="18" s="1"/>
  <c r="K156" i="18" a="1"/>
  <c r="K156" i="18" s="1"/>
  <c r="N156" i="18" s="1"/>
  <c r="K195" i="18" a="1"/>
  <c r="K195" i="18" s="1"/>
  <c r="K140" i="18" a="1"/>
  <c r="K140" i="18" s="1"/>
  <c r="N140" i="18" s="1"/>
  <c r="K206" i="18" a="1"/>
  <c r="K206" i="18" s="1"/>
  <c r="K218" i="18" a="1"/>
  <c r="K218" i="18" s="1"/>
  <c r="N218" i="18" s="1"/>
  <c r="K177" i="18" a="1"/>
  <c r="K177" i="18" s="1"/>
  <c r="N177" i="18" s="1"/>
  <c r="K77" i="18" a="1"/>
  <c r="K77" i="18" s="1"/>
  <c r="K99" i="18" a="1"/>
  <c r="K99" i="18" s="1"/>
  <c r="N99" i="18" s="1"/>
  <c r="K28" i="18" a="1"/>
  <c r="K28" i="18" s="1"/>
  <c r="N28" i="18" s="1"/>
  <c r="K44" i="18" a="1"/>
  <c r="K44" i="18" s="1"/>
  <c r="N44" i="18" s="1"/>
  <c r="K61" i="18" a="1"/>
  <c r="K61" i="18" s="1"/>
  <c r="N61" i="18" s="1"/>
  <c r="K162" i="18" a="1"/>
  <c r="K162" i="18" s="1"/>
  <c r="N162" i="18" s="1"/>
  <c r="K215" i="18" a="1"/>
  <c r="K215" i="18" s="1"/>
  <c r="N215" i="18" s="1"/>
  <c r="K23" i="18" a="1"/>
  <c r="K23" i="18" s="1"/>
  <c r="N23" i="18" s="1"/>
  <c r="K78" i="18" a="1"/>
  <c r="K78" i="18" s="1"/>
  <c r="N78" i="18" s="1"/>
  <c r="K131" i="18" a="1"/>
  <c r="K131" i="18" s="1"/>
  <c r="N131" i="18" s="1"/>
  <c r="K197" i="18" a="1"/>
  <c r="K197" i="18" s="1"/>
  <c r="K142" i="18" a="1"/>
  <c r="K142" i="18" s="1"/>
  <c r="K6" i="18" a="1"/>
  <c r="K6" i="18" s="1"/>
  <c r="N6" i="18" s="1"/>
  <c r="K3" i="18" a="1"/>
  <c r="K3" i="18" s="1"/>
  <c r="N3" i="18" s="1"/>
  <c r="K192" i="18" a="1"/>
  <c r="K192" i="18" s="1"/>
  <c r="N192" i="18" s="1"/>
  <c r="K204" i="18" a="1"/>
  <c r="K204" i="18" s="1"/>
  <c r="N204" i="18" s="1"/>
  <c r="K163" i="18" a="1"/>
  <c r="K163" i="18" s="1"/>
  <c r="N163" i="18" s="1"/>
  <c r="K57" i="18" a="1"/>
  <c r="K57" i="18" s="1"/>
  <c r="N57" i="18" s="1"/>
  <c r="K73" i="18" a="1"/>
  <c r="K73" i="18" s="1"/>
  <c r="N73" i="18" s="1"/>
  <c r="K137" i="18" a="1"/>
  <c r="K137" i="18" s="1"/>
  <c r="K21" i="18" a="1"/>
  <c r="K21" i="18" s="1"/>
  <c r="K41" i="18" a="1"/>
  <c r="K41" i="18" s="1"/>
  <c r="N41" i="18" s="1"/>
  <c r="K148" i="18" a="1"/>
  <c r="K148" i="18" s="1"/>
  <c r="N148" i="18" s="1"/>
  <c r="K201" i="18" a="1"/>
  <c r="K201" i="18" s="1"/>
  <c r="K9" i="18" a="1"/>
  <c r="K9" i="18" s="1"/>
  <c r="N9" i="18" s="1"/>
  <c r="K64" i="18" a="1"/>
  <c r="K64" i="18" s="1"/>
  <c r="N64" i="18" s="1"/>
  <c r="K119" i="18" a="1"/>
  <c r="K119" i="18" s="1"/>
  <c r="K183" i="18" a="1"/>
  <c r="K183" i="18" s="1"/>
  <c r="N183" i="18" s="1"/>
  <c r="K128" i="18" a="1"/>
  <c r="K128" i="18" s="1"/>
  <c r="N128" i="18" s="1"/>
  <c r="K169" i="18" a="1"/>
  <c r="K169" i="18" s="1"/>
  <c r="N169" i="18" s="1"/>
  <c r="K114" i="18" a="1"/>
  <c r="K114" i="18" s="1"/>
  <c r="N114" i="18" s="1"/>
  <c r="K180" i="18" a="1"/>
  <c r="K180" i="18" s="1"/>
  <c r="N180" i="18" s="1"/>
  <c r="K190" i="18" a="1"/>
  <c r="K190" i="18" s="1"/>
  <c r="K149" i="18" a="1"/>
  <c r="K149" i="18" s="1"/>
  <c r="N149" i="18" s="1"/>
  <c r="K34" i="18" a="1"/>
  <c r="K34" i="18" s="1"/>
  <c r="K54" i="18" a="1"/>
  <c r="K54" i="18" s="1"/>
  <c r="K90" i="18" a="1"/>
  <c r="K90" i="18" s="1"/>
  <c r="K118" i="18" a="1"/>
  <c r="K118" i="18" s="1"/>
  <c r="N118" i="18" s="1"/>
  <c r="K17" i="18" a="1"/>
  <c r="K17" i="18" s="1"/>
  <c r="N17" i="18" s="1"/>
  <c r="K134" i="18" a="1"/>
  <c r="K134" i="18" s="1"/>
  <c r="N134" i="18" s="1"/>
  <c r="K187" i="18" a="1"/>
  <c r="K187" i="18" s="1"/>
  <c r="N187" i="18" s="1"/>
  <c r="K242" i="18" a="1"/>
  <c r="K242" i="18" s="1"/>
  <c r="N242" i="18" s="1"/>
  <c r="K50" i="18" a="1"/>
  <c r="K50" i="18" s="1"/>
  <c r="N50" i="18" s="1"/>
  <c r="K105" i="18" a="1"/>
  <c r="K105" i="18" s="1"/>
  <c r="N105" i="18" s="1"/>
  <c r="K171" i="18" a="1"/>
  <c r="K171" i="18" s="1"/>
  <c r="N171" i="18" s="1"/>
  <c r="K116" i="18" a="1"/>
  <c r="K116" i="18" s="1"/>
  <c r="N116" i="18" s="1"/>
  <c r="K155" i="18" a="1"/>
  <c r="K155" i="18" s="1"/>
  <c r="N155" i="18" s="1"/>
  <c r="K235" i="18" a="1"/>
  <c r="K235" i="18" s="1"/>
  <c r="N235" i="18" s="1"/>
  <c r="K166" i="18" a="1"/>
  <c r="K166" i="18" s="1"/>
  <c r="N166" i="18" s="1"/>
  <c r="K178" i="18" a="1"/>
  <c r="K178" i="18" s="1"/>
  <c r="K135" i="18" a="1"/>
  <c r="K135" i="18" s="1"/>
  <c r="N135" i="18" s="1"/>
  <c r="K14" i="18" a="1"/>
  <c r="K14" i="18" s="1"/>
  <c r="N14" i="18" s="1"/>
  <c r="K30" i="18" a="1"/>
  <c r="K30" i="18" s="1"/>
  <c r="K70" i="18" a="1"/>
  <c r="K70" i="18" s="1"/>
  <c r="N70" i="18" s="1"/>
  <c r="K86" i="18" a="1"/>
  <c r="K86" i="18" s="1"/>
  <c r="N86" i="18" s="1"/>
  <c r="K111" i="18" a="1"/>
  <c r="K111" i="18" s="1"/>
  <c r="N111" i="18" s="1"/>
  <c r="K122" i="18" a="1"/>
  <c r="K122" i="18" s="1"/>
  <c r="N122" i="18" s="1"/>
  <c r="K175" i="18" a="1"/>
  <c r="K175" i="18" s="1"/>
  <c r="N175" i="18" s="1"/>
  <c r="K228" i="18" a="1"/>
  <c r="K228" i="18" s="1"/>
  <c r="N228" i="18" s="1"/>
  <c r="K36" i="18" a="1"/>
  <c r="K36" i="18" s="1"/>
  <c r="N36" i="18" s="1"/>
  <c r="K91" i="18" a="1"/>
  <c r="K91" i="18" s="1"/>
  <c r="N91" i="18" s="1"/>
  <c r="K157" i="18" a="1"/>
  <c r="K157" i="18" s="1"/>
  <c r="N157" i="18" s="1"/>
  <c r="K102" i="18" a="1"/>
  <c r="K102" i="18" s="1"/>
  <c r="N102" i="18" s="1"/>
  <c r="K141" i="18" a="1"/>
  <c r="K141" i="18" s="1"/>
  <c r="N141" i="18" s="1"/>
  <c r="K221" i="18" a="1"/>
  <c r="K221" i="18" s="1"/>
  <c r="N221" i="18" s="1"/>
  <c r="K152" i="18" a="1"/>
  <c r="K152" i="18" s="1"/>
  <c r="N152" i="18" s="1"/>
  <c r="K164" i="18" a="1"/>
  <c r="K164" i="18" s="1"/>
  <c r="N164" i="18" s="1"/>
  <c r="K123" i="18" a="1"/>
  <c r="K123" i="18" s="1"/>
  <c r="N123" i="18" s="1"/>
  <c r="K101" i="18" a="1"/>
  <c r="K101" i="18" s="1"/>
  <c r="N101" i="18" s="1"/>
  <c r="K7" i="18" a="1"/>
  <c r="K7" i="18" s="1"/>
  <c r="N7" i="18" s="1"/>
  <c r="K47" i="18" a="1"/>
  <c r="K47" i="18" s="1"/>
  <c r="N47" i="18" s="1"/>
  <c r="K63" i="18" a="1"/>
  <c r="K63" i="18" s="1"/>
  <c r="N63" i="18" s="1"/>
  <c r="K83" i="18" a="1"/>
  <c r="K83" i="18" s="1"/>
  <c r="N83" i="18" s="1"/>
  <c r="K108" i="18" a="1"/>
  <c r="K108" i="18" s="1"/>
  <c r="N108" i="18" s="1"/>
  <c r="K161" i="18" a="1"/>
  <c r="K161" i="18" s="1"/>
  <c r="N161" i="18" s="1"/>
  <c r="K214" i="18" a="1"/>
  <c r="K214" i="18" s="1"/>
  <c r="N214" i="18" s="1"/>
  <c r="K22" i="18" a="1"/>
  <c r="K22" i="18" s="1"/>
  <c r="N22" i="18" s="1"/>
  <c r="K240" i="18" a="1"/>
  <c r="K240" i="18" s="1"/>
  <c r="N240" i="18" s="1"/>
  <c r="K143" i="18" a="1"/>
  <c r="K143" i="18" s="1"/>
  <c r="N143" i="18" s="1"/>
  <c r="K88" i="18" a="1"/>
  <c r="K88" i="18" s="1"/>
  <c r="N88" i="18" s="1"/>
  <c r="K4" i="18" a="1"/>
  <c r="K4" i="18" s="1"/>
  <c r="N4" i="18" s="1"/>
  <c r="K207" i="18" a="1"/>
  <c r="K207" i="18" s="1"/>
  <c r="K138" i="18" a="1"/>
  <c r="K138" i="18" s="1"/>
  <c r="N138" i="18" s="1"/>
  <c r="K150" i="18" a="1"/>
  <c r="K150" i="18" s="1"/>
  <c r="N150" i="18" s="1"/>
  <c r="K109" i="18" a="1"/>
  <c r="K109" i="18" s="1"/>
  <c r="N109" i="18" s="1"/>
  <c r="K76" i="18" a="1"/>
  <c r="K76" i="18" s="1"/>
  <c r="N76" i="18" s="1"/>
  <c r="K151" i="18" a="1"/>
  <c r="K151" i="18" s="1"/>
  <c r="K27" i="18" a="1"/>
  <c r="K27" i="18" s="1"/>
  <c r="N27" i="18" s="1"/>
  <c r="K43" i="18" a="1"/>
  <c r="K43" i="18" s="1"/>
  <c r="K59" i="18" a="1"/>
  <c r="K59" i="18" s="1"/>
  <c r="N59" i="18" s="1"/>
  <c r="K94" i="18" a="1"/>
  <c r="K94" i="18" s="1"/>
  <c r="N94" i="18" s="1"/>
  <c r="K147" i="18" a="1"/>
  <c r="K147" i="18" s="1"/>
  <c r="N147" i="18" s="1"/>
  <c r="K200" i="18" a="1"/>
  <c r="K200" i="18" s="1"/>
  <c r="N200" i="18" s="1"/>
  <c r="K8" i="18" a="1"/>
  <c r="K8" i="18" s="1"/>
  <c r="N8" i="18" s="1"/>
  <c r="K226" i="18" a="1"/>
  <c r="K226" i="18" s="1"/>
  <c r="N226" i="18" s="1"/>
  <c r="K129" i="18" a="1"/>
  <c r="K129" i="18" s="1"/>
  <c r="N129" i="18" s="1"/>
  <c r="K74" i="18" a="1"/>
  <c r="K74" i="18" s="1"/>
  <c r="N74" i="18" s="1"/>
  <c r="K115" i="18" a="1"/>
  <c r="K115" i="18" s="1"/>
  <c r="N115" i="18" s="1"/>
  <c r="K193" i="18" a="1"/>
  <c r="K193" i="18" s="1"/>
  <c r="K126" i="18" a="1"/>
  <c r="K126" i="18" s="1"/>
  <c r="N126" i="18" s="1"/>
  <c r="K136" i="18" a="1"/>
  <c r="K136" i="18" s="1"/>
  <c r="K95" i="18" a="1"/>
  <c r="K95" i="18" s="1"/>
  <c r="N95" i="18" s="1"/>
  <c r="K56" i="18" a="1"/>
  <c r="K56" i="18" s="1"/>
  <c r="N56" i="18" s="1"/>
  <c r="K98" i="18" a="1"/>
  <c r="K98" i="18" s="1"/>
  <c r="N98" i="18" s="1"/>
  <c r="K130" i="18" a="1"/>
  <c r="K130" i="18" s="1"/>
  <c r="N130" i="18" s="1"/>
  <c r="K20" i="18" a="1"/>
  <c r="K20" i="18" s="1"/>
  <c r="N20" i="18" s="1"/>
  <c r="K40" i="18" a="1"/>
  <c r="K40" i="18" s="1"/>
  <c r="K80" i="18" a="1"/>
  <c r="K80" i="18" s="1"/>
  <c r="K133" i="18" a="1"/>
  <c r="K133" i="18" s="1"/>
  <c r="N133" i="18" s="1"/>
  <c r="K186" i="18" a="1"/>
  <c r="K186" i="18" s="1"/>
  <c r="K241" i="18" a="1"/>
  <c r="K241" i="18" s="1"/>
  <c r="K212" i="18" a="1"/>
  <c r="K212" i="18" s="1"/>
  <c r="N212" i="18" s="1"/>
  <c r="K117" i="18" a="1"/>
  <c r="K117" i="18" s="1"/>
  <c r="N117" i="18" s="1"/>
  <c r="K60" i="18" a="1"/>
  <c r="K60" i="18" s="1"/>
  <c r="K236" i="18" a="1"/>
  <c r="K236" i="18" s="1"/>
  <c r="N236" i="18" s="1"/>
  <c r="K181" i="18" a="1"/>
  <c r="K181" i="18" s="1"/>
  <c r="N181" i="18" s="1"/>
  <c r="K233" i="18" a="1"/>
  <c r="K233" i="18" s="1"/>
  <c r="K124" i="18" a="1"/>
  <c r="K124" i="18" s="1"/>
  <c r="N124" i="18" s="1"/>
  <c r="K81" i="18" a="1"/>
  <c r="K81" i="18" s="1"/>
  <c r="N81" i="18" s="1"/>
  <c r="K33" i="18" a="1"/>
  <c r="K33" i="18" s="1"/>
  <c r="N33" i="18" s="1"/>
  <c r="K72" i="18" a="1"/>
  <c r="K72" i="18" s="1"/>
  <c r="N72" i="18" s="1"/>
  <c r="K89" i="18" a="1"/>
  <c r="K89" i="18" s="1"/>
  <c r="K113" i="18" a="1"/>
  <c r="K113" i="18" s="1"/>
  <c r="K16" i="18" a="1"/>
  <c r="K16" i="18" s="1"/>
  <c r="K66" i="18" a="1"/>
  <c r="K66" i="18" s="1"/>
  <c r="N66" i="18" s="1"/>
  <c r="K121" i="18" a="1"/>
  <c r="K121" i="18" s="1"/>
  <c r="N121" i="18" s="1"/>
  <c r="K174" i="18" a="1"/>
  <c r="K174" i="18" s="1"/>
  <c r="N174" i="18" s="1"/>
  <c r="K227" i="18" a="1"/>
  <c r="K227" i="18" s="1"/>
  <c r="K198" i="18" a="1"/>
  <c r="K198" i="18" s="1"/>
  <c r="N198" i="18" s="1"/>
  <c r="K238" i="18" a="1"/>
  <c r="K238" i="18" s="1"/>
  <c r="N238" i="18" s="1"/>
  <c r="K46" i="18" a="1"/>
  <c r="K46" i="18" s="1"/>
  <c r="N46" i="18" s="1"/>
  <c r="K222" i="18" a="1"/>
  <c r="K222" i="18" s="1"/>
  <c r="N222" i="18" s="1"/>
  <c r="K167" i="18" a="1"/>
  <c r="K167" i="18" s="1"/>
  <c r="N167" i="18" s="1"/>
  <c r="K219" i="18" a="1"/>
  <c r="K219" i="18" s="1"/>
  <c r="N219" i="18" s="1"/>
  <c r="K110" i="18" a="1"/>
  <c r="K110" i="18" s="1"/>
  <c r="N110" i="18" s="1"/>
  <c r="K67" i="18" a="1"/>
  <c r="K67" i="18" s="1"/>
  <c r="N67" i="18" s="1"/>
  <c r="K13" i="18" a="1"/>
  <c r="K13" i="18" s="1"/>
  <c r="N13" i="18" s="1"/>
  <c r="K49" i="18" a="1"/>
  <c r="K49" i="18" s="1"/>
  <c r="K69" i="18" a="1"/>
  <c r="K69" i="18" s="1"/>
  <c r="N69" i="18" s="1"/>
  <c r="K85" i="18" a="1"/>
  <c r="K85" i="18" s="1"/>
  <c r="N85" i="18" s="1"/>
  <c r="K104" i="18" a="1"/>
  <c r="K104" i="18" s="1"/>
  <c r="N104" i="18" s="1"/>
  <c r="K244" i="18" a="1"/>
  <c r="K244" i="18" s="1"/>
  <c r="N244" i="18" s="1"/>
  <c r="K52" i="18" a="1"/>
  <c r="K52" i="18" s="1"/>
  <c r="K107" i="18" a="1"/>
  <c r="K107" i="18" s="1"/>
  <c r="N107" i="18" s="1"/>
  <c r="K160" i="18" a="1"/>
  <c r="K160" i="18" s="1"/>
  <c r="N160" i="18" s="1"/>
  <c r="K213" i="18" a="1"/>
  <c r="K213" i="18" s="1"/>
  <c r="N213" i="18" s="1"/>
  <c r="K184" i="18" a="1"/>
  <c r="K184" i="18" s="1"/>
  <c r="K224" i="18" a="1"/>
  <c r="K224" i="18" s="1"/>
  <c r="N224" i="18" s="1"/>
  <c r="K32" i="18" a="1"/>
  <c r="K32" i="18" s="1"/>
  <c r="N32" i="18" s="1"/>
  <c r="K208" i="18" a="1"/>
  <c r="K208" i="18" s="1"/>
  <c r="N208" i="18" s="1"/>
  <c r="K153" i="18" a="1"/>
  <c r="K153" i="18" s="1"/>
  <c r="N153" i="18" s="1"/>
  <c r="K205" i="18" a="1"/>
  <c r="K205" i="18" s="1"/>
  <c r="N205" i="18" s="1"/>
  <c r="K96" i="18" a="1"/>
  <c r="K96" i="18" s="1"/>
  <c r="K53" i="18" a="1"/>
  <c r="K53" i="18" s="1"/>
  <c r="N53" i="18" s="1"/>
  <c r="K100" i="18" a="1"/>
  <c r="K100" i="18" s="1"/>
  <c r="N100" i="18" s="1"/>
  <c r="K29" i="18" a="1"/>
  <c r="K29" i="18" s="1"/>
  <c r="N29" i="18" s="1"/>
  <c r="K45" i="18" a="1"/>
  <c r="K45" i="18" s="1"/>
  <c r="N45" i="18" s="1"/>
  <c r="K62" i="18" a="1"/>
  <c r="K62" i="18" s="1"/>
  <c r="N62" i="18" s="1"/>
  <c r="K82" i="18" a="1"/>
  <c r="K82" i="18" s="1"/>
  <c r="K230" i="18" a="1"/>
  <c r="K230" i="18" s="1"/>
  <c r="N230" i="18" s="1"/>
  <c r="K38" i="18" a="1"/>
  <c r="K38" i="18" s="1"/>
  <c r="N38" i="18" s="1"/>
  <c r="K93" i="18" a="1"/>
  <c r="K93" i="18" s="1"/>
  <c r="N93" i="18" s="1"/>
  <c r="K146" i="18" a="1"/>
  <c r="K146" i="18" s="1"/>
  <c r="N146" i="18" s="1"/>
  <c r="K199" i="18" a="1"/>
  <c r="K199" i="18" s="1"/>
  <c r="N199" i="18" s="1"/>
  <c r="K172" i="18" a="1"/>
  <c r="K172" i="18" s="1"/>
  <c r="K210" i="18" a="1"/>
  <c r="K210" i="18" s="1"/>
  <c r="N210" i="18" s="1"/>
  <c r="K18" i="18" a="1"/>
  <c r="K18" i="18" s="1"/>
  <c r="N18" i="18" s="1"/>
  <c r="K194" i="18" a="1"/>
  <c r="K194" i="18" s="1"/>
  <c r="N194" i="18" s="1"/>
  <c r="K139" i="18" a="1"/>
  <c r="K139" i="18" s="1"/>
  <c r="K191" i="18" a="1"/>
  <c r="K191" i="18" s="1"/>
  <c r="N191" i="18" s="1"/>
  <c r="K231" i="18" a="1"/>
  <c r="K231" i="18" s="1"/>
  <c r="N231" i="18" s="1"/>
  <c r="K39" i="18" a="1"/>
  <c r="K39" i="18" s="1"/>
  <c r="N39" i="18" s="1"/>
  <c r="K75" i="18" a="1"/>
  <c r="K75" i="18" s="1"/>
  <c r="N75" i="18" s="1"/>
  <c r="K144" i="18" a="1"/>
  <c r="K144" i="18" s="1"/>
  <c r="N144" i="18" s="1"/>
  <c r="K26" i="18" a="1"/>
  <c r="K26" i="18" s="1"/>
  <c r="N26" i="18" s="1"/>
  <c r="K42" i="18" a="1"/>
  <c r="K42" i="18" s="1"/>
  <c r="N42" i="18" s="1"/>
  <c r="K58" i="18" a="1"/>
  <c r="K58" i="18" s="1"/>
  <c r="N58" i="18" s="1"/>
  <c r="K216" i="18" a="1"/>
  <c r="K216" i="18" s="1"/>
  <c r="K24" i="18" a="1"/>
  <c r="K24" i="18" s="1"/>
  <c r="N24" i="18" s="1"/>
  <c r="K79" i="18" a="1"/>
  <c r="K79" i="18" s="1"/>
  <c r="N79" i="18" s="1"/>
  <c r="K132" i="18" a="1"/>
  <c r="K132" i="18" s="1"/>
  <c r="K185" i="18" a="1"/>
  <c r="K185" i="18" s="1"/>
  <c r="N185" i="18" s="1"/>
  <c r="K158" i="18" a="1"/>
  <c r="K158" i="18" s="1"/>
  <c r="N158" i="18" s="1"/>
  <c r="K196" i="18" a="1"/>
  <c r="K196" i="18" s="1"/>
  <c r="N196" i="18" s="1"/>
  <c r="K237" i="18" a="1"/>
  <c r="K237" i="18" s="1"/>
  <c r="N237" i="18" s="1"/>
  <c r="K5" i="18" a="1"/>
  <c r="K5" i="18" s="1"/>
  <c r="N5" i="18" s="1"/>
  <c r="K127" i="18" a="1"/>
  <c r="K127" i="18" s="1"/>
  <c r="N127" i="18" s="1"/>
  <c r="K179" i="18" a="1"/>
  <c r="K179" i="18" s="1"/>
  <c r="N179" i="18" s="1"/>
  <c r="K217" i="18" a="1"/>
  <c r="K217" i="18" s="1"/>
  <c r="N217" i="18" s="1"/>
  <c r="K25" i="18" a="1"/>
  <c r="K25" i="18" s="1"/>
  <c r="N25" i="18" s="1"/>
  <c r="K55" i="18" a="1"/>
  <c r="K55" i="18" s="1"/>
  <c r="N55" i="18" s="1"/>
  <c r="K97" i="18" a="1"/>
  <c r="K97" i="18" s="1"/>
  <c r="N97" i="18" s="1"/>
  <c r="K125" i="18" a="1"/>
  <c r="K125" i="18" s="1"/>
  <c r="N125" i="18" s="1"/>
  <c r="K19" i="18" a="1"/>
  <c r="K19" i="18" s="1"/>
  <c r="N19" i="18" s="1"/>
  <c r="K35" i="18" a="1"/>
  <c r="K35" i="18" s="1"/>
  <c r="N35" i="18" s="1"/>
  <c r="AE224" i="18" a="1"/>
  <c r="AE224" i="18" s="1"/>
  <c r="AE183" i="18" a="1"/>
  <c r="AE183" i="18" s="1"/>
  <c r="AE144" i="18" a="1"/>
  <c r="AE144" i="18" s="1"/>
  <c r="AE91" i="18" a="1"/>
  <c r="AE91" i="18" s="1"/>
  <c r="AE36" i="18" a="1"/>
  <c r="AE36" i="18" s="1"/>
  <c r="AE228" i="18" a="1"/>
  <c r="AE228" i="18" s="1"/>
  <c r="AE175" i="18" a="1"/>
  <c r="AE175" i="18" s="1"/>
  <c r="AE122" i="18" a="1"/>
  <c r="AE122" i="18" s="1"/>
  <c r="AE67" i="18" a="1"/>
  <c r="AE67" i="18" s="1"/>
  <c r="AE26" i="18" a="1"/>
  <c r="AE26" i="18" s="1"/>
  <c r="AE218" i="18" a="1"/>
  <c r="AE218" i="18" s="1"/>
  <c r="AE179" i="18" a="1"/>
  <c r="AE179" i="18" s="1"/>
  <c r="AE138" i="18" a="1"/>
  <c r="AE138" i="18" s="1"/>
  <c r="AE99" i="18" a="1"/>
  <c r="AE99" i="18" s="1"/>
  <c r="AE58" i="18" a="1"/>
  <c r="AE58" i="18" s="1"/>
  <c r="AE17" i="18" a="1"/>
  <c r="AE17" i="18" s="1"/>
  <c r="AE209" i="18" a="1"/>
  <c r="AE209" i="18" s="1"/>
  <c r="AC221" i="18" a="1"/>
  <c r="AC221" i="18" s="1"/>
  <c r="AH221" i="18" s="1"/>
  <c r="AC41" i="18" a="1"/>
  <c r="AC41" i="18" s="1"/>
  <c r="AC102" i="18" a="1"/>
  <c r="AC102" i="18" s="1"/>
  <c r="AH102" i="18" s="1"/>
  <c r="AC171" i="18" a="1"/>
  <c r="AC171" i="18" s="1"/>
  <c r="AC172" i="18" a="1"/>
  <c r="AC172" i="18" s="1"/>
  <c r="AH172" i="18" s="1"/>
  <c r="AC12" i="18" a="1"/>
  <c r="AC12" i="18" s="1"/>
  <c r="AC30" i="18" a="1"/>
  <c r="AC30" i="18" s="1"/>
  <c r="AC107" i="18" a="1"/>
  <c r="AC107" i="18" s="1"/>
  <c r="AH107" i="18" s="1"/>
  <c r="AC108" i="18" a="1"/>
  <c r="AC108" i="18" s="1"/>
  <c r="AC193" i="18" a="1"/>
  <c r="AC193" i="18" s="1"/>
  <c r="AH193" i="18" s="1"/>
  <c r="AC36" i="18" a="1"/>
  <c r="AC36" i="18" s="1"/>
  <c r="AC132" i="18" a="1"/>
  <c r="AC132" i="18" s="1"/>
  <c r="AH132" i="18" s="1"/>
  <c r="AC230" i="18" a="1"/>
  <c r="AC230" i="18" s="1"/>
  <c r="AH230" i="18" s="1"/>
  <c r="AC243" i="18" a="1"/>
  <c r="AC243" i="18" s="1"/>
  <c r="AC81" i="18" a="1"/>
  <c r="AC81" i="18" s="1"/>
  <c r="AH81" i="18" s="1"/>
  <c r="AC151" i="18" a="1"/>
  <c r="AC151" i="18" s="1"/>
  <c r="AH151" i="18" s="1"/>
  <c r="AC61" i="18" a="1"/>
  <c r="AC61" i="18" s="1"/>
  <c r="AH61" i="18" s="1"/>
  <c r="AD106" i="18" a="1"/>
  <c r="AD106" i="18" s="1"/>
  <c r="AD51" i="18" a="1"/>
  <c r="AD51" i="18" s="1"/>
  <c r="AD243" i="18" a="1"/>
  <c r="AD243" i="18" s="1"/>
  <c r="AD188" i="18" a="1"/>
  <c r="AD188" i="18" s="1"/>
  <c r="AD135" i="18" a="1"/>
  <c r="AD135" i="18" s="1"/>
  <c r="AD96" i="18" a="1"/>
  <c r="AD96" i="18" s="1"/>
  <c r="AD55" i="18" a="1"/>
  <c r="AD55" i="18" s="1"/>
  <c r="AD14" i="18" a="1"/>
  <c r="AD14" i="18" s="1"/>
  <c r="AD206" i="18" a="1"/>
  <c r="AD206" i="18" s="1"/>
  <c r="AD167" i="18" a="1"/>
  <c r="AD167" i="18" s="1"/>
  <c r="AD3" i="18" a="1"/>
  <c r="AD3" i="18" s="1"/>
  <c r="AD87" i="18" a="1"/>
  <c r="AD87" i="18" s="1"/>
  <c r="AD88" i="18" a="1"/>
  <c r="AD88" i="18" s="1"/>
  <c r="AD157" i="18" a="1"/>
  <c r="AD157" i="18" s="1"/>
  <c r="AD198" i="18" a="1"/>
  <c r="AD198" i="18" s="1"/>
  <c r="N159" i="18"/>
  <c r="AB42" i="14"/>
  <c r="U27" i="18" a="1"/>
  <c r="U27" i="18" s="1"/>
  <c r="U160" i="18" a="1"/>
  <c r="U160" i="18" s="1"/>
  <c r="U151" i="18" a="1"/>
  <c r="U151" i="18" s="1"/>
  <c r="U70" i="18" a="1"/>
  <c r="U70" i="18" s="1"/>
  <c r="U49" i="18" a="1"/>
  <c r="U49" i="18" s="1"/>
  <c r="U36" i="18" a="1"/>
  <c r="U36" i="18" s="1"/>
  <c r="U32" i="18" a="1"/>
  <c r="U32" i="18" s="1"/>
  <c r="U223" i="18" a="1"/>
  <c r="U223" i="18" s="1"/>
  <c r="U5" i="18" a="1"/>
  <c r="U5" i="18" s="1"/>
  <c r="U166" i="18" a="1"/>
  <c r="U166" i="18" s="1"/>
  <c r="U118" i="18" a="1"/>
  <c r="U118" i="18" s="1"/>
  <c r="U114" i="18" a="1"/>
  <c r="U114" i="18" s="1"/>
  <c r="U68" i="18" a="1"/>
  <c r="U68" i="18" s="1"/>
  <c r="U73" i="18" a="1"/>
  <c r="U73" i="18" s="1"/>
  <c r="U52" i="18" a="1"/>
  <c r="U52" i="18" s="1"/>
  <c r="U30" i="18" a="1"/>
  <c r="U30" i="18" s="1"/>
  <c r="U187" i="18" a="1"/>
  <c r="U187" i="18" s="1"/>
  <c r="U238" i="18" a="1"/>
  <c r="U238" i="18" s="1"/>
  <c r="U24" i="18" a="1"/>
  <c r="U24" i="18" s="1"/>
  <c r="U168" i="18" a="1"/>
  <c r="U168" i="18" s="1"/>
  <c r="U172" i="18" a="1"/>
  <c r="U172" i="18" s="1"/>
  <c r="U79" i="18" a="1"/>
  <c r="U79" i="18" s="1"/>
  <c r="U58" i="18" a="1"/>
  <c r="U58" i="18" s="1"/>
  <c r="U75" i="18" a="1"/>
  <c r="U75" i="18" s="1"/>
  <c r="U41" i="18" a="1"/>
  <c r="U41" i="18" s="1"/>
  <c r="U241" i="18" a="1"/>
  <c r="U241" i="18" s="1"/>
  <c r="U189" i="18" a="1"/>
  <c r="U189" i="18" s="1"/>
  <c r="U174" i="18" a="1"/>
  <c r="U174" i="18" s="1"/>
  <c r="U130" i="18" a="1"/>
  <c r="U130" i="18" s="1"/>
  <c r="U123" i="18" a="1"/>
  <c r="U123" i="18" s="1"/>
  <c r="U77" i="18" a="1"/>
  <c r="U77" i="18" s="1"/>
  <c r="U82" i="18" a="1"/>
  <c r="U82" i="18" s="1"/>
  <c r="U87" i="18" a="1"/>
  <c r="U87" i="18" s="1"/>
  <c r="U39" i="18" a="1"/>
  <c r="U39" i="18" s="1"/>
  <c r="U204" i="18" a="1"/>
  <c r="U204" i="18" s="1"/>
  <c r="U7" i="18" a="1"/>
  <c r="U7" i="18" s="1"/>
  <c r="U12" i="18" a="1"/>
  <c r="U12" i="18" s="1"/>
  <c r="U180" i="18" a="1"/>
  <c r="U180" i="18" s="1"/>
  <c r="U176" i="18" a="1"/>
  <c r="U176" i="18" s="1"/>
  <c r="U93" i="18" a="1"/>
  <c r="U93" i="18" s="1"/>
  <c r="U62" i="18" a="1"/>
  <c r="U62" i="18" s="1"/>
  <c r="U89" i="18" a="1"/>
  <c r="U89" i="18" s="1"/>
  <c r="U54" i="18" a="1"/>
  <c r="U54" i="18" s="1"/>
  <c r="U17" i="18" a="1"/>
  <c r="U17" i="18" s="1"/>
  <c r="U202" i="18" a="1"/>
  <c r="U202" i="18" s="1"/>
  <c r="U185" i="18" a="1"/>
  <c r="U185" i="18" s="1"/>
  <c r="U144" i="18" a="1"/>
  <c r="U144" i="18" s="1"/>
  <c r="U135" i="18" a="1"/>
  <c r="U135" i="18" s="1"/>
  <c r="U91" i="18" a="1"/>
  <c r="U91" i="18" s="1"/>
  <c r="U96" i="18" a="1"/>
  <c r="U96" i="18" s="1"/>
  <c r="U101" i="18" a="1"/>
  <c r="U101" i="18" s="1"/>
  <c r="U48" i="18" a="1"/>
  <c r="U48" i="18" s="1"/>
  <c r="U217" i="18" a="1"/>
  <c r="U217" i="18" s="1"/>
  <c r="U25" i="18" a="1"/>
  <c r="U25" i="18" s="1"/>
  <c r="U200" i="18" a="1"/>
  <c r="U200" i="18" s="1"/>
  <c r="U183" i="18" a="1"/>
  <c r="U183" i="18" s="1"/>
  <c r="U107" i="18" a="1"/>
  <c r="U107" i="18" s="1"/>
  <c r="U84" i="18" a="1"/>
  <c r="U84" i="18" s="1"/>
  <c r="U103" i="18" a="1"/>
  <c r="U103" i="18" s="1"/>
  <c r="U71" i="18" a="1"/>
  <c r="U71" i="18" s="1"/>
  <c r="U46" i="18" a="1"/>
  <c r="U46" i="18" s="1"/>
  <c r="U219" i="18" a="1"/>
  <c r="U219" i="18" s="1"/>
  <c r="U198" i="18" a="1"/>
  <c r="U198" i="18" s="1"/>
  <c r="U158" i="18" a="1"/>
  <c r="U158" i="18" s="1"/>
  <c r="U149" i="18" a="1"/>
  <c r="U149" i="18" s="1"/>
  <c r="U105" i="18" a="1"/>
  <c r="U105" i="18" s="1"/>
  <c r="U110" i="18" a="1"/>
  <c r="U110" i="18" s="1"/>
  <c r="U124" i="18" a="1"/>
  <c r="U124" i="18" s="1"/>
  <c r="U61" i="18" a="1"/>
  <c r="U61" i="18" s="1"/>
  <c r="U230" i="18" a="1"/>
  <c r="U230" i="18" s="1"/>
  <c r="U9" i="18" a="1"/>
  <c r="U9" i="18" s="1"/>
  <c r="U213" i="18" a="1"/>
  <c r="U213" i="18" s="1"/>
  <c r="U192" i="18" a="1"/>
  <c r="U192" i="18" s="1"/>
  <c r="U116" i="18" a="1"/>
  <c r="U116" i="18" s="1"/>
  <c r="U98" i="18" a="1"/>
  <c r="U98" i="18" s="1"/>
  <c r="U126" i="18" a="1"/>
  <c r="U126" i="18" s="1"/>
  <c r="U80" i="18" a="1"/>
  <c r="U80" i="18" s="1"/>
  <c r="U50" i="18" a="1"/>
  <c r="U50" i="18" s="1"/>
  <c r="U232" i="18" a="1"/>
  <c r="U232" i="18" s="1"/>
  <c r="U215" i="18" a="1"/>
  <c r="U215" i="18" s="1"/>
  <c r="U170" i="18" a="1"/>
  <c r="U170" i="18" s="1"/>
  <c r="U163" i="18" a="1"/>
  <c r="U163" i="18" s="1"/>
  <c r="U3" i="18" a="1"/>
  <c r="U3" i="18" s="1"/>
  <c r="U119" i="18" a="1"/>
  <c r="U119" i="18" s="1"/>
  <c r="U136" i="18" a="1"/>
  <c r="U136" i="18" s="1"/>
  <c r="U65" i="18" a="1"/>
  <c r="U65" i="18" s="1"/>
  <c r="U239" i="18" a="1"/>
  <c r="U239" i="18" s="1"/>
  <c r="U35" i="18" a="1"/>
  <c r="U35" i="18" s="1"/>
  <c r="U226" i="18" a="1"/>
  <c r="U226" i="18" s="1"/>
  <c r="U196" i="18" a="1"/>
  <c r="U196" i="18" s="1"/>
  <c r="U128" i="18" a="1"/>
  <c r="U128" i="18" s="1"/>
  <c r="U112" i="18" a="1"/>
  <c r="U112" i="18" s="1"/>
  <c r="U138" i="18" a="1"/>
  <c r="U138" i="18" s="1"/>
  <c r="U94" i="18" a="1"/>
  <c r="U94" i="18" s="1"/>
  <c r="U59" i="18" a="1"/>
  <c r="U59" i="18" s="1"/>
  <c r="U28" i="18" a="1"/>
  <c r="U28" i="18" s="1"/>
  <c r="U228" i="18" a="1"/>
  <c r="U228" i="18" s="1"/>
  <c r="U178" i="18" a="1"/>
  <c r="U178" i="18" s="1"/>
  <c r="U6" i="18" a="1"/>
  <c r="U6" i="18" s="1"/>
  <c r="U140" i="18" a="1"/>
  <c r="U140" i="18" s="1"/>
  <c r="U131" i="18" a="1"/>
  <c r="U131" i="18" s="1"/>
  <c r="U150" i="18" a="1"/>
  <c r="U150" i="18" s="1"/>
  <c r="U69" i="18" a="1"/>
  <c r="U69" i="18" s="1"/>
  <c r="U229" i="18" a="1"/>
  <c r="U229" i="18" s="1"/>
  <c r="U44" i="18" a="1"/>
  <c r="U44" i="18" s="1"/>
  <c r="U244" i="18" a="1"/>
  <c r="U244" i="18" s="1"/>
  <c r="U209" i="18" a="1"/>
  <c r="U209" i="18" s="1"/>
  <c r="U142" i="18" a="1"/>
  <c r="U142" i="18" s="1"/>
  <c r="U121" i="18" a="1"/>
  <c r="U121" i="18" s="1"/>
  <c r="U152" i="18" a="1"/>
  <c r="U152" i="18" s="1"/>
  <c r="U108" i="18" a="1"/>
  <c r="U108" i="18" s="1"/>
  <c r="U67" i="18" a="1"/>
  <c r="U67" i="18" s="1"/>
  <c r="U37" i="18" a="1"/>
  <c r="U37" i="18" s="1"/>
  <c r="U23" i="18" a="1"/>
  <c r="U23" i="18" s="1"/>
  <c r="U194" i="18" a="1"/>
  <c r="U194" i="18" s="1"/>
  <c r="U190" i="18" a="1"/>
  <c r="U190" i="18" s="1"/>
  <c r="U154" i="18" a="1"/>
  <c r="U154" i="18" s="1"/>
  <c r="U145" i="18" a="1"/>
  <c r="U145" i="18" s="1"/>
  <c r="U175" i="18" a="1"/>
  <c r="U175" i="18" s="1"/>
  <c r="U78" i="18" a="1"/>
  <c r="U78" i="18" s="1"/>
  <c r="U231" i="18" a="1"/>
  <c r="U231" i="18" s="1"/>
  <c r="U57" i="18" a="1"/>
  <c r="U57" i="18" s="1"/>
  <c r="U15" i="18" a="1"/>
  <c r="U15" i="18" s="1"/>
  <c r="U222" i="18" a="1"/>
  <c r="U222" i="18" s="1"/>
  <c r="U156" i="18" a="1"/>
  <c r="U156" i="18" s="1"/>
  <c r="U133" i="18" a="1"/>
  <c r="U133" i="18" s="1"/>
  <c r="U169" i="18" a="1"/>
  <c r="U169" i="18" s="1"/>
  <c r="U117" i="18" a="1"/>
  <c r="U117" i="18" s="1"/>
  <c r="U85" i="18" a="1"/>
  <c r="U85" i="18" s="1"/>
  <c r="U63" i="18" a="1"/>
  <c r="U63" i="18" s="1"/>
  <c r="U33" i="18" a="1"/>
  <c r="U33" i="18" s="1"/>
  <c r="U211" i="18" a="1"/>
  <c r="U211" i="18" s="1"/>
  <c r="U207" i="18" a="1"/>
  <c r="U207" i="18" s="1"/>
  <c r="U167" i="18" a="1"/>
  <c r="U167" i="18" s="1"/>
  <c r="U159" i="18" a="1"/>
  <c r="U159" i="18" s="1"/>
  <c r="U182" i="18" a="1"/>
  <c r="U182" i="18" s="1"/>
  <c r="U92" i="18" a="1"/>
  <c r="U92" i="18" s="1"/>
  <c r="U242" i="18" a="1"/>
  <c r="U242" i="18" s="1"/>
  <c r="U83" i="18" a="1"/>
  <c r="U83" i="18" s="1"/>
  <c r="U26" i="18" a="1"/>
  <c r="U26" i="18" s="1"/>
  <c r="U235" i="18" a="1"/>
  <c r="U235" i="18" s="1"/>
  <c r="U188" i="18" a="1"/>
  <c r="U188" i="18" s="1"/>
  <c r="U147" i="18" a="1"/>
  <c r="U147" i="18" s="1"/>
  <c r="U173" i="18" a="1"/>
  <c r="U173" i="18" s="1"/>
  <c r="U129" i="18" a="1"/>
  <c r="U129" i="18" s="1"/>
  <c r="U99" i="18" a="1"/>
  <c r="U99" i="18" s="1"/>
  <c r="U76" i="18" a="1"/>
  <c r="U76" i="18" s="1"/>
  <c r="U42" i="18" a="1"/>
  <c r="U42" i="18" s="1"/>
  <c r="U18" i="18" a="1"/>
  <c r="U18" i="18" s="1"/>
  <c r="U220" i="18" a="1"/>
  <c r="U220" i="18" s="1"/>
  <c r="U186" i="18" a="1"/>
  <c r="U186" i="18" s="1"/>
  <c r="U171" i="18" a="1"/>
  <c r="U171" i="18" s="1"/>
  <c r="U191" i="18" a="1"/>
  <c r="U191" i="18" s="1"/>
  <c r="U106" i="18" a="1"/>
  <c r="U106" i="18" s="1"/>
  <c r="U233" i="18" a="1"/>
  <c r="U233" i="18" s="1"/>
  <c r="U97" i="18" a="1"/>
  <c r="U97" i="18" s="1"/>
  <c r="U74" i="18" a="1"/>
  <c r="U74" i="18" s="1"/>
  <c r="U21" i="18" a="1"/>
  <c r="U21" i="18" s="1"/>
  <c r="U205" i="18" a="1"/>
  <c r="U205" i="18" s="1"/>
  <c r="U161" i="18" a="1"/>
  <c r="U161" i="18" s="1"/>
  <c r="U184" i="18" a="1"/>
  <c r="U184" i="18" s="1"/>
  <c r="U143" i="18" a="1"/>
  <c r="U143" i="18" s="1"/>
  <c r="U113" i="18" a="1"/>
  <c r="U113" i="18" s="1"/>
  <c r="U90" i="18" a="1"/>
  <c r="U90" i="18" s="1"/>
  <c r="U55" i="18" a="1"/>
  <c r="U55" i="18" s="1"/>
  <c r="U47" i="18" a="1"/>
  <c r="U47" i="18" s="1"/>
  <c r="U13" i="18" a="1"/>
  <c r="U13" i="18" s="1"/>
  <c r="U203" i="18" a="1"/>
  <c r="U203" i="18" s="1"/>
  <c r="U179" i="18" a="1"/>
  <c r="U179" i="18" s="1"/>
  <c r="U195" i="18" a="1"/>
  <c r="U195" i="18" s="1"/>
  <c r="U115" i="18" a="1"/>
  <c r="U115" i="18" s="1"/>
  <c r="U234" i="18" a="1"/>
  <c r="U234" i="18" s="1"/>
  <c r="U111" i="18" a="1"/>
  <c r="U111" i="18" s="1"/>
  <c r="U88" i="18" a="1"/>
  <c r="U88" i="18" s="1"/>
  <c r="U31" i="18" a="1"/>
  <c r="U31" i="18" s="1"/>
  <c r="U218" i="18" a="1"/>
  <c r="U218" i="18" s="1"/>
  <c r="U165" i="18" a="1"/>
  <c r="U165" i="18" s="1"/>
  <c r="U197" i="18" a="1"/>
  <c r="U197" i="18" s="1"/>
  <c r="U157" i="18" a="1"/>
  <c r="U157" i="18" s="1"/>
  <c r="U122" i="18" a="1"/>
  <c r="U122" i="18" s="1"/>
  <c r="U104" i="18" a="1"/>
  <c r="U104" i="18" s="1"/>
  <c r="U72" i="18" a="1"/>
  <c r="U72" i="18" s="1"/>
  <c r="U51" i="18" a="1"/>
  <c r="U51" i="18" s="1"/>
  <c r="U29" i="18" a="1"/>
  <c r="U29" i="18" s="1"/>
  <c r="U216" i="18" a="1"/>
  <c r="U216" i="18" s="1"/>
  <c r="U199" i="18" a="1"/>
  <c r="U199" i="18" s="1"/>
  <c r="U208" i="18" a="1"/>
  <c r="U208" i="18" s="1"/>
  <c r="U4" i="18" a="1"/>
  <c r="U4" i="18" s="1"/>
  <c r="U224" i="18" a="1"/>
  <c r="U224" i="18" s="1"/>
  <c r="U120" i="18" a="1"/>
  <c r="U120" i="18" s="1"/>
  <c r="U102" i="18" a="1"/>
  <c r="U102" i="18" s="1"/>
  <c r="U40" i="18" a="1"/>
  <c r="U40" i="18" s="1"/>
  <c r="U240" i="18" a="1"/>
  <c r="U240" i="18" s="1"/>
  <c r="U181" i="18" a="1"/>
  <c r="U181" i="18" s="1"/>
  <c r="U210" i="18" a="1"/>
  <c r="U210" i="18" s="1"/>
  <c r="U177" i="18" a="1"/>
  <c r="U177" i="18" s="1"/>
  <c r="U134" i="18" a="1"/>
  <c r="U134" i="18" s="1"/>
  <c r="U127" i="18" a="1"/>
  <c r="U127" i="18" s="1"/>
  <c r="U81" i="18" a="1"/>
  <c r="U81" i="18" s="1"/>
  <c r="U60" i="18" a="1"/>
  <c r="U60" i="18" s="1"/>
  <c r="U34" i="18" a="1"/>
  <c r="U34" i="18" s="1"/>
  <c r="U8" i="18" a="1"/>
  <c r="U8" i="18" s="1"/>
  <c r="U212" i="18" a="1"/>
  <c r="U212" i="18" s="1"/>
  <c r="U221" i="18" a="1"/>
  <c r="U221" i="18" s="1"/>
  <c r="U141" i="18" a="1"/>
  <c r="U141" i="18" s="1"/>
  <c r="U236" i="18" a="1"/>
  <c r="U236" i="18" s="1"/>
  <c r="U10" i="18" a="1"/>
  <c r="U10" i="18" s="1"/>
  <c r="U132" i="18" a="1"/>
  <c r="U132" i="18" s="1"/>
  <c r="U125" i="18" a="1"/>
  <c r="U125" i="18" s="1"/>
  <c r="U53" i="18" a="1"/>
  <c r="U53" i="18" s="1"/>
  <c r="U16" i="18" a="1"/>
  <c r="U16" i="18" s="1"/>
  <c r="U201" i="18" a="1"/>
  <c r="U201" i="18" s="1"/>
  <c r="U11" i="18" a="1"/>
  <c r="U11" i="18" s="1"/>
  <c r="U193" i="18" a="1"/>
  <c r="U193" i="18" s="1"/>
  <c r="U148" i="18" a="1"/>
  <c r="U148" i="18" s="1"/>
  <c r="U139" i="18" a="1"/>
  <c r="U139" i="18" s="1"/>
  <c r="U95" i="18" a="1"/>
  <c r="U95" i="18" s="1"/>
  <c r="U86" i="18" a="1"/>
  <c r="U86" i="18" s="1"/>
  <c r="U38" i="18" a="1"/>
  <c r="U38" i="18" s="1"/>
  <c r="U43" i="18" a="1"/>
  <c r="U43" i="18" s="1"/>
  <c r="U225" i="18" a="1"/>
  <c r="U225" i="18" s="1"/>
  <c r="U14" i="18" a="1"/>
  <c r="U14" i="18" s="1"/>
  <c r="U155" i="18" a="1"/>
  <c r="U155" i="18" s="1"/>
  <c r="U237" i="18" a="1"/>
  <c r="U237" i="18" s="1"/>
  <c r="U19" i="18" a="1"/>
  <c r="U19" i="18" s="1"/>
  <c r="U146" i="18" a="1"/>
  <c r="U146" i="18" s="1"/>
  <c r="U137" i="18" a="1"/>
  <c r="U137" i="18" s="1"/>
  <c r="U66" i="18" a="1"/>
  <c r="U66" i="18" s="1"/>
  <c r="U45" i="18" a="1"/>
  <c r="U45" i="18" s="1"/>
  <c r="U214" i="18" a="1"/>
  <c r="U214" i="18" s="1"/>
  <c r="U22" i="18" a="1"/>
  <c r="U22" i="18" s="1"/>
  <c r="U206" i="18" a="1"/>
  <c r="U206" i="18" s="1"/>
  <c r="U162" i="18" a="1"/>
  <c r="U162" i="18" s="1"/>
  <c r="U153" i="18" a="1"/>
  <c r="U153" i="18" s="1"/>
  <c r="U109" i="18" a="1"/>
  <c r="U109" i="18" s="1"/>
  <c r="U100" i="18" a="1"/>
  <c r="U100" i="18" s="1"/>
  <c r="U64" i="18" a="1"/>
  <c r="U64" i="18" s="1"/>
  <c r="U56" i="18" a="1"/>
  <c r="U56" i="18" s="1"/>
  <c r="U243" i="18" a="1"/>
  <c r="U243" i="18" s="1"/>
  <c r="U20" i="18" a="1"/>
  <c r="U20" i="18" s="1"/>
  <c r="U164" i="18" a="1"/>
  <c r="U164" i="18" s="1"/>
  <c r="U227" i="18" a="1"/>
  <c r="U227" i="18" s="1"/>
  <c r="T29" i="18" a="1"/>
  <c r="T29" i="18" s="1"/>
  <c r="T222" i="18" a="1"/>
  <c r="T222" i="18" s="1"/>
  <c r="T188" i="18" a="1"/>
  <c r="T188" i="18" s="1"/>
  <c r="T133" i="18" a="1"/>
  <c r="T133" i="18" s="1"/>
  <c r="T138" i="18" a="1"/>
  <c r="T138" i="18" s="1"/>
  <c r="T80" i="18" a="1"/>
  <c r="T80" i="18" s="1"/>
  <c r="T59" i="18" a="1"/>
  <c r="T59" i="18" s="1"/>
  <c r="X59" i="18" s="1"/>
  <c r="T63" i="18" a="1"/>
  <c r="T63" i="18" s="1"/>
  <c r="T12" i="18" a="1"/>
  <c r="T12" i="18" s="1"/>
  <c r="T178" i="18" a="1"/>
  <c r="T178" i="18" s="1"/>
  <c r="X178" i="18" s="1"/>
  <c r="T163" i="18" a="1"/>
  <c r="T163" i="18" s="1"/>
  <c r="T140" i="18" a="1"/>
  <c r="T140" i="18" s="1"/>
  <c r="X140" i="18" s="1"/>
  <c r="T131" i="18" a="1"/>
  <c r="T131" i="18" s="1"/>
  <c r="X131" i="18" s="1"/>
  <c r="T150" i="18" a="1"/>
  <c r="T150" i="18" s="1"/>
  <c r="X150" i="18" s="1"/>
  <c r="T69" i="18" a="1"/>
  <c r="T69" i="18" s="1"/>
  <c r="X69" i="18" s="1"/>
  <c r="T44" i="18" a="1"/>
  <c r="T44" i="18" s="1"/>
  <c r="T244" i="18" a="1"/>
  <c r="T244" i="18" s="1"/>
  <c r="T26" i="18" a="1"/>
  <c r="T26" i="18" s="1"/>
  <c r="T235" i="18" a="1"/>
  <c r="T235" i="18" s="1"/>
  <c r="T205" i="18" a="1"/>
  <c r="T205" i="18" s="1"/>
  <c r="T147" i="18" a="1"/>
  <c r="T147" i="18" s="1"/>
  <c r="T152" i="18" a="1"/>
  <c r="T152" i="18" s="1"/>
  <c r="X152" i="18" s="1"/>
  <c r="T94" i="18" a="1"/>
  <c r="T94" i="18" s="1"/>
  <c r="T67" i="18" a="1"/>
  <c r="T67" i="18" s="1"/>
  <c r="X67" i="18" s="1"/>
  <c r="T76" i="18" a="1"/>
  <c r="T76" i="18" s="1"/>
  <c r="T23" i="18" a="1"/>
  <c r="T23" i="18" s="1"/>
  <c r="X23" i="18" s="1"/>
  <c r="T194" i="18" a="1"/>
  <c r="T194" i="18" s="1"/>
  <c r="X194" i="18" s="1"/>
  <c r="T6" i="18" a="1"/>
  <c r="T6" i="18" s="1"/>
  <c r="T154" i="18" a="1"/>
  <c r="T154" i="18" s="1"/>
  <c r="T145" i="18" a="1"/>
  <c r="T145" i="18" s="1"/>
  <c r="X145" i="18" s="1"/>
  <c r="T175" i="18" a="1"/>
  <c r="T175" i="18" s="1"/>
  <c r="X175" i="18" s="1"/>
  <c r="T78" i="18" a="1"/>
  <c r="T78" i="18" s="1"/>
  <c r="X78" i="18" s="1"/>
  <c r="T57" i="18" a="1"/>
  <c r="T57" i="18" s="1"/>
  <c r="T239" i="18" a="1"/>
  <c r="T239" i="18" s="1"/>
  <c r="T74" i="18" a="1"/>
  <c r="T74" i="18" s="1"/>
  <c r="T31" i="18" a="1"/>
  <c r="T31" i="18" s="1"/>
  <c r="T218" i="18" a="1"/>
  <c r="T218" i="18" s="1"/>
  <c r="T161" i="18" a="1"/>
  <c r="T161" i="18" s="1"/>
  <c r="T169" i="18" a="1"/>
  <c r="T169" i="18" s="1"/>
  <c r="T108" i="18" a="1"/>
  <c r="T108" i="18" s="1"/>
  <c r="T85" i="18" a="1"/>
  <c r="T85" i="18" s="1"/>
  <c r="T90" i="18" a="1"/>
  <c r="T90" i="18" s="1"/>
  <c r="T33" i="18" a="1"/>
  <c r="T33" i="18" s="1"/>
  <c r="X33" i="18" s="1"/>
  <c r="T207" i="18" a="1"/>
  <c r="T207" i="18" s="1"/>
  <c r="T190" i="18" a="1"/>
  <c r="T190" i="18" s="1"/>
  <c r="T167" i="18" a="1"/>
  <c r="T167" i="18" s="1"/>
  <c r="X167" i="18" s="1"/>
  <c r="T159" i="18" a="1"/>
  <c r="T159" i="18" s="1"/>
  <c r="X159" i="18" s="1"/>
  <c r="T182" i="18" a="1"/>
  <c r="T182" i="18" s="1"/>
  <c r="X182" i="18" s="1"/>
  <c r="T92" i="18" a="1"/>
  <c r="T92" i="18" s="1"/>
  <c r="X92" i="18" s="1"/>
  <c r="T83" i="18" a="1"/>
  <c r="T83" i="18" s="1"/>
  <c r="T230" i="18" a="1"/>
  <c r="T230" i="18" s="1"/>
  <c r="T88" i="18" a="1"/>
  <c r="T88" i="18" s="1"/>
  <c r="T40" i="18" a="1"/>
  <c r="T40" i="18" s="1"/>
  <c r="T231" i="18" a="1"/>
  <c r="T231" i="18" s="1"/>
  <c r="T165" i="18" a="1"/>
  <c r="T165" i="18" s="1"/>
  <c r="T173" i="18" a="1"/>
  <c r="T173" i="18" s="1"/>
  <c r="X173" i="18" s="1"/>
  <c r="T117" i="18" a="1"/>
  <c r="T117" i="18" s="1"/>
  <c r="T99" i="18" a="1"/>
  <c r="T99" i="18" s="1"/>
  <c r="X99" i="18" s="1"/>
  <c r="T104" i="18" a="1"/>
  <c r="T104" i="18" s="1"/>
  <c r="T42" i="18" a="1"/>
  <c r="T42" i="18" s="1"/>
  <c r="X42" i="18" s="1"/>
  <c r="T224" i="18" a="1"/>
  <c r="T224" i="18" s="1"/>
  <c r="T203" i="18" a="1"/>
  <c r="T203" i="18" s="1"/>
  <c r="T186" i="18" a="1"/>
  <c r="T186" i="18" s="1"/>
  <c r="X186" i="18" s="1"/>
  <c r="T171" i="18" a="1"/>
  <c r="T171" i="18" s="1"/>
  <c r="T191" i="18" a="1"/>
  <c r="T191" i="18" s="1"/>
  <c r="T106" i="18" a="1"/>
  <c r="T106" i="18" s="1"/>
  <c r="T97" i="18" a="1"/>
  <c r="T97" i="18" s="1"/>
  <c r="T241" i="18" a="1"/>
  <c r="T241" i="18" s="1"/>
  <c r="T102" i="18" a="1"/>
  <c r="T102" i="18" s="1"/>
  <c r="T53" i="18" a="1"/>
  <c r="T53" i="18" s="1"/>
  <c r="T240" i="18" a="1"/>
  <c r="T240" i="18" s="1"/>
  <c r="T181" i="18" a="1"/>
  <c r="T181" i="18" s="1"/>
  <c r="T184" i="18" a="1"/>
  <c r="T184" i="18" s="1"/>
  <c r="X184" i="18" s="1"/>
  <c r="T129" i="18" a="1"/>
  <c r="T129" i="18" s="1"/>
  <c r="T113" i="18" a="1"/>
  <c r="T113" i="18" s="1"/>
  <c r="X113" i="18" s="1"/>
  <c r="T127" i="18" a="1"/>
  <c r="T127" i="18" s="1"/>
  <c r="T55" i="18" a="1"/>
  <c r="T55" i="18" s="1"/>
  <c r="T18" i="18" a="1"/>
  <c r="T18" i="18" s="1"/>
  <c r="T13" i="18" a="1"/>
  <c r="T13" i="18" s="1"/>
  <c r="X13" i="18" s="1"/>
  <c r="T199" i="18" a="1"/>
  <c r="T199" i="18" s="1"/>
  <c r="T179" i="18" a="1"/>
  <c r="T179" i="18" s="1"/>
  <c r="T208" i="18" a="1"/>
  <c r="T208" i="18" s="1"/>
  <c r="T115" i="18" a="1"/>
  <c r="T115" i="18" s="1"/>
  <c r="T111" i="18" a="1"/>
  <c r="T111" i="18" s="1"/>
  <c r="T242" i="18" a="1"/>
  <c r="T242" i="18" s="1"/>
  <c r="T125" i="18" a="1"/>
  <c r="T125" i="18" s="1"/>
  <c r="T66" i="18" a="1"/>
  <c r="T66" i="18" s="1"/>
  <c r="T16" i="18" a="1"/>
  <c r="T16" i="18" s="1"/>
  <c r="T201" i="18" a="1"/>
  <c r="T201" i="18" s="1"/>
  <c r="T193" i="18" a="1"/>
  <c r="T193" i="18" s="1"/>
  <c r="T143" i="18" a="1"/>
  <c r="T143" i="18" s="1"/>
  <c r="T122" i="18" a="1"/>
  <c r="T122" i="18" s="1"/>
  <c r="X122" i="18" s="1"/>
  <c r="T139" i="18" a="1"/>
  <c r="T139" i="18" s="1"/>
  <c r="T72" i="18" a="1"/>
  <c r="T72" i="18" s="1"/>
  <c r="T47" i="18" a="1"/>
  <c r="T47" i="18" s="1"/>
  <c r="T24" i="18" a="1"/>
  <c r="T24" i="18" s="1"/>
  <c r="T216" i="18" a="1"/>
  <c r="T216" i="18" s="1"/>
  <c r="X216" i="18" s="1"/>
  <c r="T195" i="18" a="1"/>
  <c r="T195" i="18" s="1"/>
  <c r="T221" i="18" a="1"/>
  <c r="T221" i="18" s="1"/>
  <c r="T4" i="18" a="1"/>
  <c r="T4" i="18" s="1"/>
  <c r="X4" i="18" s="1"/>
  <c r="T120" i="18" a="1"/>
  <c r="T120" i="18" s="1"/>
  <c r="T233" i="18" a="1"/>
  <c r="T233" i="18" s="1"/>
  <c r="T137" i="18" a="1"/>
  <c r="T137" i="18" s="1"/>
  <c r="T70" i="18" a="1"/>
  <c r="T70" i="18" s="1"/>
  <c r="T45" i="18" a="1"/>
  <c r="T45" i="18" s="1"/>
  <c r="T214" i="18" a="1"/>
  <c r="T214" i="18" s="1"/>
  <c r="T197" i="18" a="1"/>
  <c r="T197" i="18" s="1"/>
  <c r="T157" i="18" a="1"/>
  <c r="T157" i="18" s="1"/>
  <c r="T134" i="18" a="1"/>
  <c r="T134" i="18" s="1"/>
  <c r="X134" i="18" s="1"/>
  <c r="T153" i="18" a="1"/>
  <c r="T153" i="18" s="1"/>
  <c r="T81" i="18" a="1"/>
  <c r="T81" i="18" s="1"/>
  <c r="T51" i="18" a="1"/>
  <c r="T51" i="18" s="1"/>
  <c r="T34" i="18" a="1"/>
  <c r="T34" i="18" s="1"/>
  <c r="T229" i="18" a="1"/>
  <c r="T229" i="18" s="1"/>
  <c r="X229" i="18" s="1"/>
  <c r="T212" i="18" a="1"/>
  <c r="T212" i="18" s="1"/>
  <c r="X212" i="18" s="1"/>
  <c r="T234" i="18" a="1"/>
  <c r="T234" i="18" s="1"/>
  <c r="T141" i="18" a="1"/>
  <c r="T141" i="18" s="1"/>
  <c r="X141" i="18" s="1"/>
  <c r="T132" i="18" a="1"/>
  <c r="T132" i="18" s="1"/>
  <c r="T219" i="18" a="1"/>
  <c r="T219" i="18" s="1"/>
  <c r="T151" i="18" a="1"/>
  <c r="T151" i="18" s="1"/>
  <c r="T79" i="18" a="1"/>
  <c r="T79" i="18" s="1"/>
  <c r="T49" i="18" a="1"/>
  <c r="T49" i="18" s="1"/>
  <c r="T227" i="18" a="1"/>
  <c r="T227" i="18" s="1"/>
  <c r="T210" i="18" a="1"/>
  <c r="T210" i="18" s="1"/>
  <c r="T177" i="18" a="1"/>
  <c r="T177" i="18" s="1"/>
  <c r="T148" i="18" a="1"/>
  <c r="T148" i="18" s="1"/>
  <c r="T166" i="18" a="1"/>
  <c r="T166" i="18" s="1"/>
  <c r="T95" i="18" a="1"/>
  <c r="T95" i="18" s="1"/>
  <c r="T60" i="18" a="1"/>
  <c r="T60" i="18" s="1"/>
  <c r="T38" i="18" a="1"/>
  <c r="T38" i="18" s="1"/>
  <c r="T43" i="18" a="1"/>
  <c r="T43" i="18" s="1"/>
  <c r="T225" i="18" a="1"/>
  <c r="T225" i="18" s="1"/>
  <c r="T14" i="18" a="1"/>
  <c r="T14" i="18" s="1"/>
  <c r="T155" i="18" a="1"/>
  <c r="T155" i="18" s="1"/>
  <c r="T146" i="18" a="1"/>
  <c r="T146" i="18" s="1"/>
  <c r="T243" i="18" a="1"/>
  <c r="T243" i="18" s="1"/>
  <c r="T15" i="18" a="1"/>
  <c r="T15" i="18" s="1"/>
  <c r="T172" i="18" a="1"/>
  <c r="T172" i="18" s="1"/>
  <c r="T93" i="18" a="1"/>
  <c r="T93" i="18" s="1"/>
  <c r="T58" i="18" a="1"/>
  <c r="T58" i="18" s="1"/>
  <c r="T10" i="18" a="1"/>
  <c r="T10" i="18" s="1"/>
  <c r="T223" i="18" a="1"/>
  <c r="T223" i="18" s="1"/>
  <c r="T189" i="18" a="1"/>
  <c r="T189" i="18" s="1"/>
  <c r="T162" i="18" a="1"/>
  <c r="T162" i="18" s="1"/>
  <c r="T174" i="18" a="1"/>
  <c r="T174" i="18" s="1"/>
  <c r="T109" i="18" a="1"/>
  <c r="T109" i="18" s="1"/>
  <c r="T86" i="18" a="1"/>
  <c r="T86" i="18" s="1"/>
  <c r="T64" i="18" a="1"/>
  <c r="T64" i="18" s="1"/>
  <c r="T56" i="18" a="1"/>
  <c r="T56" i="18" s="1"/>
  <c r="T19" i="18" a="1"/>
  <c r="T19" i="18" s="1"/>
  <c r="T25" i="18" a="1"/>
  <c r="T25" i="18" s="1"/>
  <c r="T164" i="18" a="1"/>
  <c r="T164" i="18" s="1"/>
  <c r="T160" i="18" a="1"/>
  <c r="T160" i="18" s="1"/>
  <c r="T220" i="18" a="1"/>
  <c r="T220" i="18" s="1"/>
  <c r="T11" i="18" a="1"/>
  <c r="T11" i="18" s="1"/>
  <c r="T176" i="18" a="1"/>
  <c r="T176" i="18" s="1"/>
  <c r="T107" i="18" a="1"/>
  <c r="T107" i="18" s="1"/>
  <c r="T62" i="18" a="1"/>
  <c r="T62" i="18" s="1"/>
  <c r="T36" i="18" a="1"/>
  <c r="T36" i="18" s="1"/>
  <c r="T22" i="18" a="1"/>
  <c r="T22" i="18" s="1"/>
  <c r="T206" i="18" a="1"/>
  <c r="T206" i="18" s="1"/>
  <c r="T5" i="18" a="1"/>
  <c r="T5" i="18" s="1"/>
  <c r="T185" i="18" a="1"/>
  <c r="T185" i="18" s="1"/>
  <c r="T118" i="18" a="1"/>
  <c r="T118" i="18" s="1"/>
  <c r="T100" i="18" a="1"/>
  <c r="T100" i="18" s="1"/>
  <c r="T68" i="18" a="1"/>
  <c r="T68" i="18" s="1"/>
  <c r="T73" i="18" a="1"/>
  <c r="T73" i="18" s="1"/>
  <c r="T52" i="18" a="1"/>
  <c r="T52" i="18" s="1"/>
  <c r="T30" i="18" a="1"/>
  <c r="T30" i="18" s="1"/>
  <c r="T187" i="18" a="1"/>
  <c r="T187" i="18" s="1"/>
  <c r="T168" i="18" a="1"/>
  <c r="T168" i="18" s="1"/>
  <c r="T236" i="18" a="1"/>
  <c r="T236" i="18" s="1"/>
  <c r="T20" i="18" a="1"/>
  <c r="T20" i="18" s="1"/>
  <c r="T183" i="18" a="1"/>
  <c r="T183" i="18" s="1"/>
  <c r="T116" i="18" a="1"/>
  <c r="T116" i="18" s="1"/>
  <c r="T84" i="18" a="1"/>
  <c r="T84" i="18" s="1"/>
  <c r="T75" i="18" a="1"/>
  <c r="T75" i="18" s="1"/>
  <c r="T32" i="18" a="1"/>
  <c r="T32" i="18" s="1"/>
  <c r="T17" i="18" a="1"/>
  <c r="T17" i="18" s="1"/>
  <c r="T202" i="18" a="1"/>
  <c r="T202" i="18" s="1"/>
  <c r="T198" i="18" a="1"/>
  <c r="T198" i="18" s="1"/>
  <c r="T130" i="18" a="1"/>
  <c r="T130" i="18" s="1"/>
  <c r="T114" i="18" a="1"/>
  <c r="T114" i="18" s="1"/>
  <c r="T77" i="18" a="1"/>
  <c r="T77" i="18" s="1"/>
  <c r="T82" i="18" a="1"/>
  <c r="T82" i="18" s="1"/>
  <c r="T87" i="18" a="1"/>
  <c r="T87" i="18" s="1"/>
  <c r="T39" i="18" a="1"/>
  <c r="T39" i="18" s="1"/>
  <c r="T204" i="18" a="1"/>
  <c r="T204" i="18" s="1"/>
  <c r="T180" i="18" a="1"/>
  <c r="T180" i="18" s="1"/>
  <c r="T238" i="18" a="1"/>
  <c r="T238" i="18" s="1"/>
  <c r="T28" i="18" a="1"/>
  <c r="T28" i="18" s="1"/>
  <c r="T192" i="18" a="1"/>
  <c r="T192" i="18" s="1"/>
  <c r="T128" i="18" a="1"/>
  <c r="T128" i="18" s="1"/>
  <c r="T98" i="18" a="1"/>
  <c r="T98" i="18" s="1"/>
  <c r="T89" i="18" a="1"/>
  <c r="T89" i="18" s="1"/>
  <c r="T41" i="18" a="1"/>
  <c r="T41" i="18" s="1"/>
  <c r="T27" i="18" a="1"/>
  <c r="T27" i="18" s="1"/>
  <c r="T215" i="18" a="1"/>
  <c r="T215" i="18" s="1"/>
  <c r="T211" i="18" a="1"/>
  <c r="T211" i="18" s="1"/>
  <c r="T144" i="18" a="1"/>
  <c r="T144" i="18" s="1"/>
  <c r="T123" i="18" a="1"/>
  <c r="T123" i="18" s="1"/>
  <c r="T91" i="18" a="1"/>
  <c r="T91" i="18" s="1"/>
  <c r="T96" i="18" a="1"/>
  <c r="T96" i="18" s="1"/>
  <c r="T101" i="18" a="1"/>
  <c r="T101" i="18" s="1"/>
  <c r="T48" i="18" a="1"/>
  <c r="T48" i="18" s="1"/>
  <c r="T217" i="18" a="1"/>
  <c r="T217" i="18" s="1"/>
  <c r="T200" i="18" a="1"/>
  <c r="T200" i="18" s="1"/>
  <c r="T7" i="18" a="1"/>
  <c r="T7" i="18" s="1"/>
  <c r="T8" i="18" a="1"/>
  <c r="T8" i="18" s="1"/>
  <c r="T196" i="18" a="1"/>
  <c r="T196" i="18" s="1"/>
  <c r="T142" i="18" a="1"/>
  <c r="T142" i="18" s="1"/>
  <c r="T112" i="18" a="1"/>
  <c r="T112" i="18" s="1"/>
  <c r="T103" i="18" a="1"/>
  <c r="T103" i="18" s="1"/>
  <c r="T54" i="18" a="1"/>
  <c r="T54" i="18" s="1"/>
  <c r="T46" i="18" a="1"/>
  <c r="T46" i="18" s="1"/>
  <c r="T232" i="18" a="1"/>
  <c r="T232" i="18" s="1"/>
  <c r="T228" i="18" a="1"/>
  <c r="T228" i="18" s="1"/>
  <c r="T158" i="18" a="1"/>
  <c r="T158" i="18" s="1"/>
  <c r="T135" i="18" a="1"/>
  <c r="T135" i="18" s="1"/>
  <c r="T105" i="18" a="1"/>
  <c r="T105" i="18" s="1"/>
  <c r="T110" i="18" a="1"/>
  <c r="T110" i="18" s="1"/>
  <c r="T124" i="18" a="1"/>
  <c r="T124" i="18" s="1"/>
  <c r="T61" i="18" a="1"/>
  <c r="T61" i="18" s="1"/>
  <c r="T9" i="18" a="1"/>
  <c r="T9" i="18" s="1"/>
  <c r="T213" i="18" a="1"/>
  <c r="T213" i="18" s="1"/>
  <c r="T21" i="18" a="1"/>
  <c r="T21" i="18" s="1"/>
  <c r="T209" i="18" a="1"/>
  <c r="T209" i="18" s="1"/>
  <c r="T156" i="18" a="1"/>
  <c r="T156" i="18" s="1"/>
  <c r="T121" i="18" a="1"/>
  <c r="T121" i="18" s="1"/>
  <c r="T126" i="18" a="1"/>
  <c r="T126" i="18" s="1"/>
  <c r="T71" i="18" a="1"/>
  <c r="T71" i="18" s="1"/>
  <c r="T50" i="18" a="1"/>
  <c r="T50" i="18" s="1"/>
  <c r="T37" i="18" a="1"/>
  <c r="T37" i="18" s="1"/>
  <c r="T237" i="18" a="1"/>
  <c r="T237" i="18" s="1"/>
  <c r="T170" i="18" a="1"/>
  <c r="T170" i="18" s="1"/>
  <c r="T149" i="18" a="1"/>
  <c r="T149" i="18" s="1"/>
  <c r="T3" i="18" a="1"/>
  <c r="T3" i="18" s="1"/>
  <c r="T119" i="18" a="1"/>
  <c r="T119" i="18" s="1"/>
  <c r="T136" i="18" a="1"/>
  <c r="T136" i="18" s="1"/>
  <c r="T65" i="18" a="1"/>
  <c r="T65" i="18" s="1"/>
  <c r="T35" i="18" a="1"/>
  <c r="T35" i="18" s="1"/>
  <c r="T226" i="18" a="1"/>
  <c r="T226" i="18" s="1"/>
  <c r="Z134" i="18" a="1"/>
  <c r="Z134" i="18" s="1"/>
  <c r="Z170" i="18" a="1"/>
  <c r="Z170" i="18" s="1"/>
  <c r="Z169" i="18" a="1"/>
  <c r="Z169" i="18" s="1"/>
  <c r="Z217" i="18" a="1"/>
  <c r="Z217" i="18" s="1"/>
  <c r="Z228" i="18" a="1"/>
  <c r="Z228" i="18" s="1"/>
  <c r="Z123" i="18" a="1"/>
  <c r="Z123" i="18" s="1"/>
  <c r="Z157" i="18" a="1"/>
  <c r="Z157" i="18" s="1"/>
  <c r="Z156" i="18" a="1"/>
  <c r="Z156" i="18" s="1"/>
  <c r="Z203" i="18" a="1"/>
  <c r="Z203" i="18" s="1"/>
  <c r="Z215" i="18" a="1"/>
  <c r="Z215" i="18" s="1"/>
  <c r="Z112" i="18" a="1"/>
  <c r="Z112" i="18" s="1"/>
  <c r="Z144" i="18" a="1"/>
  <c r="Z144" i="18" s="1"/>
  <c r="Z132" i="18" a="1"/>
  <c r="Z132" i="18" s="1"/>
  <c r="Z191" i="18" a="1"/>
  <c r="Z191" i="18" s="1"/>
  <c r="Z201" i="18" a="1"/>
  <c r="Z201" i="18" s="1"/>
  <c r="Z233" i="18" a="1"/>
  <c r="Z233" i="18" s="1"/>
  <c r="Z61" i="18" a="1"/>
  <c r="Z61" i="18" s="1"/>
  <c r="Z98" i="18" a="1"/>
  <c r="Z98" i="18" s="1"/>
  <c r="Z71" i="18" a="1"/>
  <c r="Z71" i="18" s="1"/>
  <c r="Z243" i="18" a="1"/>
  <c r="Z243" i="18" s="1"/>
  <c r="Z141" i="18" a="1"/>
  <c r="Z141" i="18" s="1"/>
  <c r="Z145" i="18" a="1"/>
  <c r="Z145" i="18" s="1"/>
  <c r="Z5" i="18" a="1"/>
  <c r="Z5" i="18" s="1"/>
  <c r="Z181" i="18" a="1"/>
  <c r="Z181" i="18" s="1"/>
  <c r="Z230" i="18" a="1"/>
  <c r="Z230" i="18" s="1"/>
  <c r="Z242" i="18" a="1"/>
  <c r="Z242" i="18" s="1"/>
  <c r="N239" i="18"/>
  <c r="N186" i="18"/>
  <c r="N151" i="18"/>
  <c r="N193" i="18"/>
  <c r="N165" i="18"/>
  <c r="N43" i="18"/>
  <c r="N202" i="18"/>
  <c r="N120" i="18"/>
  <c r="N142" i="18"/>
  <c r="N71" i="18"/>
  <c r="N201" i="18"/>
  <c r="N216" i="18"/>
  <c r="N52" i="18"/>
  <c r="N139" i="18"/>
  <c r="N136" i="18"/>
  <c r="N16" i="18"/>
  <c r="N223" i="18"/>
  <c r="N34" i="18"/>
  <c r="N232" i="18"/>
  <c r="N188" i="18"/>
  <c r="N90" i="18"/>
  <c r="N227" i="18"/>
  <c r="N197" i="18"/>
  <c r="N182" i="18"/>
  <c r="N21" i="18"/>
  <c r="N30" i="18"/>
  <c r="N10" i="18"/>
  <c r="N137" i="18"/>
  <c r="N12" i="18"/>
  <c r="N40" i="18"/>
  <c r="N172" i="18"/>
  <c r="N82" i="18"/>
  <c r="N211" i="18"/>
  <c r="N89" i="18"/>
  <c r="N206" i="18"/>
  <c r="N241" i="18"/>
  <c r="N190" i="18"/>
  <c r="N132" i="18"/>
  <c r="N60" i="18"/>
  <c r="N234" i="18"/>
  <c r="N65" i="18"/>
  <c r="N49" i="18"/>
  <c r="N178" i="18"/>
  <c r="N119" i="18"/>
  <c r="N54" i="18"/>
  <c r="N209" i="18"/>
  <c r="N207" i="18"/>
  <c r="N233" i="18"/>
  <c r="L236" i="18" a="1"/>
  <c r="L236" i="18" s="1"/>
  <c r="L223" i="18" a="1"/>
  <c r="L223" i="18" s="1"/>
  <c r="L209" i="18" a="1"/>
  <c r="L209" i="18" s="1"/>
  <c r="L195" i="18" a="1"/>
  <c r="L195" i="18" s="1"/>
  <c r="L6" i="18" a="1"/>
  <c r="L6" i="18" s="1"/>
  <c r="M6" i="18" s="1"/>
  <c r="L169" i="18" a="1"/>
  <c r="L169" i="18" s="1"/>
  <c r="L155" i="18" a="1"/>
  <c r="L155" i="18" s="1"/>
  <c r="L141" i="18" a="1"/>
  <c r="L141" i="18" s="1"/>
  <c r="L4" i="18" a="1"/>
  <c r="L4" i="18" s="1"/>
  <c r="M4" i="18" s="1"/>
  <c r="L115" i="18" a="1"/>
  <c r="L115" i="18" s="1"/>
  <c r="L103" i="18" a="1"/>
  <c r="L103" i="18" s="1"/>
  <c r="M103" i="18" s="1"/>
  <c r="L89" i="18" a="1"/>
  <c r="L89" i="18" s="1"/>
  <c r="L75" i="18" a="1"/>
  <c r="L75" i="18" s="1"/>
  <c r="L61" i="18" a="1"/>
  <c r="L61" i="18" s="1"/>
  <c r="L47" i="18" a="1"/>
  <c r="L47" i="18" s="1"/>
  <c r="L33" i="18" a="1"/>
  <c r="L33" i="18" s="1"/>
  <c r="L19" i="18" a="1"/>
  <c r="L19" i="18" s="1"/>
  <c r="M19" i="18" s="1"/>
  <c r="L235" i="18" a="1"/>
  <c r="L235" i="18" s="1"/>
  <c r="M235" i="18" s="1"/>
  <c r="L222" i="18" a="1"/>
  <c r="L222" i="18" s="1"/>
  <c r="L208" i="18" a="1"/>
  <c r="L208" i="18" s="1"/>
  <c r="L194" i="18" a="1"/>
  <c r="L194" i="18" s="1"/>
  <c r="M194" i="18" s="1"/>
  <c r="L5" i="18" a="1"/>
  <c r="L5" i="18" s="1"/>
  <c r="M5" i="18" s="1"/>
  <c r="L168" i="18" a="1"/>
  <c r="L168" i="18" s="1"/>
  <c r="M168" i="18" s="1"/>
  <c r="L154" i="18" a="1"/>
  <c r="L154" i="18" s="1"/>
  <c r="L140" i="18" a="1"/>
  <c r="L140" i="18" s="1"/>
  <c r="L3" i="18" a="1"/>
  <c r="L3" i="18" s="1"/>
  <c r="L114" i="18" a="1"/>
  <c r="L114" i="18" s="1"/>
  <c r="L102" i="18" a="1"/>
  <c r="L102" i="18" s="1"/>
  <c r="L88" i="18" a="1"/>
  <c r="L88" i="18" s="1"/>
  <c r="M88" i="18" s="1"/>
  <c r="L74" i="18" a="1"/>
  <c r="L74" i="18" s="1"/>
  <c r="L60" i="18" a="1"/>
  <c r="L60" i="18" s="1"/>
  <c r="L46" i="18" a="1"/>
  <c r="L46" i="18" s="1"/>
  <c r="M46" i="18" s="1"/>
  <c r="L32" i="18" a="1"/>
  <c r="L32" i="18" s="1"/>
  <c r="M32" i="18" s="1"/>
  <c r="L18" i="18" a="1"/>
  <c r="L18" i="18" s="1"/>
  <c r="M18" i="18" s="1"/>
  <c r="L234" i="18" a="1"/>
  <c r="L234" i="18" s="1"/>
  <c r="M234" i="18" s="1"/>
  <c r="L221" i="18" a="1"/>
  <c r="L221" i="18" s="1"/>
  <c r="M221" i="18" s="1"/>
  <c r="L207" i="18" a="1"/>
  <c r="L207" i="18" s="1"/>
  <c r="L193" i="18" a="1"/>
  <c r="L193" i="18" s="1"/>
  <c r="L181" i="18" a="1"/>
  <c r="L181" i="18" s="1"/>
  <c r="L167" i="18" a="1"/>
  <c r="L167" i="18" s="1"/>
  <c r="L153" i="18" a="1"/>
  <c r="L153" i="18" s="1"/>
  <c r="L139" i="18" a="1"/>
  <c r="L139" i="18" s="1"/>
  <c r="L127" i="18" a="1"/>
  <c r="L127" i="18" s="1"/>
  <c r="L113" i="18" a="1"/>
  <c r="L113" i="18" s="1"/>
  <c r="L101" i="18" a="1"/>
  <c r="L101" i="18" s="1"/>
  <c r="L87" i="18" a="1"/>
  <c r="L87" i="18" s="1"/>
  <c r="M87" i="18" s="1"/>
  <c r="L73" i="18" a="1"/>
  <c r="L73" i="18" s="1"/>
  <c r="L59" i="18" a="1"/>
  <c r="L59" i="18" s="1"/>
  <c r="L45" i="18" a="1"/>
  <c r="L45" i="18" s="1"/>
  <c r="L31" i="18" a="1"/>
  <c r="L31" i="18" s="1"/>
  <c r="M31" i="18" s="1"/>
  <c r="L17" i="18" a="1"/>
  <c r="L17" i="18" s="1"/>
  <c r="L233" i="18" a="1"/>
  <c r="L233" i="18" s="1"/>
  <c r="L220" i="18" a="1"/>
  <c r="L220" i="18" s="1"/>
  <c r="L206" i="18" a="1"/>
  <c r="L206" i="18" s="1"/>
  <c r="L192" i="18" a="1"/>
  <c r="L192" i="18" s="1"/>
  <c r="L180" i="18" a="1"/>
  <c r="L180" i="18" s="1"/>
  <c r="L166" i="18" a="1"/>
  <c r="L166" i="18" s="1"/>
  <c r="M166" i="18" s="1"/>
  <c r="L152" i="18" a="1"/>
  <c r="L152" i="18" s="1"/>
  <c r="M152" i="18" s="1"/>
  <c r="L138" i="18" a="1"/>
  <c r="L138" i="18" s="1"/>
  <c r="L126" i="18" a="1"/>
  <c r="L126" i="18" s="1"/>
  <c r="L100" i="18" a="1"/>
  <c r="L100" i="18" s="1"/>
  <c r="L86" i="18" a="1"/>
  <c r="L86" i="18" s="1"/>
  <c r="L72" i="18" a="1"/>
  <c r="L72" i="18" s="1"/>
  <c r="M72" i="18" s="1"/>
  <c r="L58" i="18" a="1"/>
  <c r="L58" i="18" s="1"/>
  <c r="M58" i="18" s="1"/>
  <c r="L44" i="18" a="1"/>
  <c r="L44" i="18" s="1"/>
  <c r="L30" i="18" a="1"/>
  <c r="L30" i="18" s="1"/>
  <c r="M30" i="18" s="1"/>
  <c r="L16" i="18" a="1"/>
  <c r="L16" i="18" s="1"/>
  <c r="M16" i="18" s="1"/>
  <c r="L232" i="18" a="1"/>
  <c r="L232" i="18" s="1"/>
  <c r="L219" i="18" a="1"/>
  <c r="L219" i="18" s="1"/>
  <c r="L205" i="18" a="1"/>
  <c r="L205" i="18" s="1"/>
  <c r="L191" i="18" a="1"/>
  <c r="L191" i="18" s="1"/>
  <c r="L179" i="18" a="1"/>
  <c r="L179" i="18" s="1"/>
  <c r="L165" i="18" a="1"/>
  <c r="L165" i="18" s="1"/>
  <c r="M165" i="18" s="1"/>
  <c r="L151" i="18" a="1"/>
  <c r="L151" i="18" s="1"/>
  <c r="M151" i="18" s="1"/>
  <c r="L137" i="18" a="1"/>
  <c r="L137" i="18" s="1"/>
  <c r="M137" i="18" s="1"/>
  <c r="L125" i="18" a="1"/>
  <c r="L125" i="18" s="1"/>
  <c r="M125" i="18" s="1"/>
  <c r="L112" i="18" a="1"/>
  <c r="L112" i="18" s="1"/>
  <c r="L99" i="18" a="1"/>
  <c r="L99" i="18" s="1"/>
  <c r="L85" i="18" a="1"/>
  <c r="L85" i="18" s="1"/>
  <c r="L71" i="18" a="1"/>
  <c r="L71" i="18" s="1"/>
  <c r="L57" i="18" a="1"/>
  <c r="L57" i="18" s="1"/>
  <c r="L43" i="18" a="1"/>
  <c r="L43" i="18" s="1"/>
  <c r="L29" i="18" a="1"/>
  <c r="L29" i="18" s="1"/>
  <c r="L15" i="18" a="1"/>
  <c r="L15" i="18" s="1"/>
  <c r="M15" i="18" s="1"/>
  <c r="L231" i="18" a="1"/>
  <c r="L231" i="18" s="1"/>
  <c r="L218" i="18" a="1"/>
  <c r="L218" i="18" s="1"/>
  <c r="M218" i="18" s="1"/>
  <c r="L204" i="18" a="1"/>
  <c r="L204" i="18" s="1"/>
  <c r="M204" i="18" s="1"/>
  <c r="L190" i="18" a="1"/>
  <c r="L190" i="18" s="1"/>
  <c r="L178" i="18" a="1"/>
  <c r="L178" i="18" s="1"/>
  <c r="L164" i="18" a="1"/>
  <c r="L164" i="18" s="1"/>
  <c r="M164" i="18" s="1"/>
  <c r="L150" i="18" a="1"/>
  <c r="L150" i="18" s="1"/>
  <c r="L136" i="18" a="1"/>
  <c r="L136" i="18" s="1"/>
  <c r="M136" i="18" s="1"/>
  <c r="L124" i="18" a="1"/>
  <c r="L124" i="18" s="1"/>
  <c r="L111" i="18" a="1"/>
  <c r="L111" i="18" s="1"/>
  <c r="L98" i="18" a="1"/>
  <c r="L98" i="18" s="1"/>
  <c r="L84" i="18" a="1"/>
  <c r="L84" i="18" s="1"/>
  <c r="L70" i="18" a="1"/>
  <c r="L70" i="18" s="1"/>
  <c r="L56" i="18" a="1"/>
  <c r="L56" i="18" s="1"/>
  <c r="L42" i="18" a="1"/>
  <c r="L42" i="18" s="1"/>
  <c r="L28" i="18" a="1"/>
  <c r="L28" i="18" s="1"/>
  <c r="L14" i="18" a="1"/>
  <c r="L14" i="18" s="1"/>
  <c r="L244" i="18" a="1"/>
  <c r="L244" i="18" s="1"/>
  <c r="L230" i="18" a="1"/>
  <c r="L230" i="18" s="1"/>
  <c r="M230" i="18" s="1"/>
  <c r="L217" i="18" a="1"/>
  <c r="L217" i="18" s="1"/>
  <c r="L203" i="18" a="1"/>
  <c r="L203" i="18" s="1"/>
  <c r="M203" i="18" s="1"/>
  <c r="L189" i="18" a="1"/>
  <c r="L189" i="18" s="1"/>
  <c r="L177" i="18" a="1"/>
  <c r="L177" i="18" s="1"/>
  <c r="L163" i="18" a="1"/>
  <c r="L163" i="18" s="1"/>
  <c r="L149" i="18" a="1"/>
  <c r="L149" i="18" s="1"/>
  <c r="L135" i="18" a="1"/>
  <c r="L135" i="18" s="1"/>
  <c r="L123" i="18" a="1"/>
  <c r="L123" i="18" s="1"/>
  <c r="L110" i="18" a="1"/>
  <c r="L110" i="18" s="1"/>
  <c r="M110" i="18" s="1"/>
  <c r="L97" i="18" a="1"/>
  <c r="L97" i="18" s="1"/>
  <c r="L83" i="18" a="1"/>
  <c r="L83" i="18" s="1"/>
  <c r="L69" i="18" a="1"/>
  <c r="L69" i="18" s="1"/>
  <c r="L55" i="18" a="1"/>
  <c r="L55" i="18" s="1"/>
  <c r="L41" i="18" a="1"/>
  <c r="L41" i="18" s="1"/>
  <c r="M41" i="18" s="1"/>
  <c r="L27" i="18" a="1"/>
  <c r="L27" i="18" s="1"/>
  <c r="L13" i="18" a="1"/>
  <c r="L13" i="18" s="1"/>
  <c r="L243" i="18" a="1"/>
  <c r="L243" i="18" s="1"/>
  <c r="L229" i="18" a="1"/>
  <c r="L229" i="18" s="1"/>
  <c r="L216" i="18" a="1"/>
  <c r="L216" i="18" s="1"/>
  <c r="L202" i="18" a="1"/>
  <c r="L202" i="18" s="1"/>
  <c r="L188" i="18" a="1"/>
  <c r="L188" i="18" s="1"/>
  <c r="L176" i="18" a="1"/>
  <c r="L176" i="18" s="1"/>
  <c r="L162" i="18" a="1"/>
  <c r="L162" i="18" s="1"/>
  <c r="M162" i="18" s="1"/>
  <c r="L148" i="18" a="1"/>
  <c r="L148" i="18" s="1"/>
  <c r="M148" i="18" s="1"/>
  <c r="L134" i="18" a="1"/>
  <c r="L134" i="18" s="1"/>
  <c r="M134" i="18" s="1"/>
  <c r="L122" i="18" a="1"/>
  <c r="L122" i="18" s="1"/>
  <c r="M122" i="18" s="1"/>
  <c r="L96" i="18" a="1"/>
  <c r="L96" i="18" s="1"/>
  <c r="L82" i="18" a="1"/>
  <c r="L82" i="18" s="1"/>
  <c r="M82" i="18" s="1"/>
  <c r="L68" i="18" a="1"/>
  <c r="L68" i="18" s="1"/>
  <c r="M68" i="18" s="1"/>
  <c r="L54" i="18" a="1"/>
  <c r="L54" i="18" s="1"/>
  <c r="L40" i="18" a="1"/>
  <c r="L40" i="18" s="1"/>
  <c r="M40" i="18" s="1"/>
  <c r="L26" i="18" a="1"/>
  <c r="L26" i="18" s="1"/>
  <c r="M26" i="18" s="1"/>
  <c r="L12" i="18" a="1"/>
  <c r="L12" i="18" s="1"/>
  <c r="L242" i="18" a="1"/>
  <c r="L242" i="18" s="1"/>
  <c r="L215" i="18" a="1"/>
  <c r="L215" i="18" s="1"/>
  <c r="L201" i="18" a="1"/>
  <c r="L201" i="18" s="1"/>
  <c r="L187" i="18" a="1"/>
  <c r="L187" i="18" s="1"/>
  <c r="L175" i="18" a="1"/>
  <c r="L175" i="18" s="1"/>
  <c r="M175" i="18" s="1"/>
  <c r="L161" i="18" a="1"/>
  <c r="L161" i="18" s="1"/>
  <c r="L147" i="18" a="1"/>
  <c r="L147" i="18" s="1"/>
  <c r="L133" i="18" a="1"/>
  <c r="L133" i="18" s="1"/>
  <c r="M133" i="18" s="1"/>
  <c r="L121" i="18" a="1"/>
  <c r="L121" i="18" s="1"/>
  <c r="L109" i="18" a="1"/>
  <c r="L109" i="18" s="1"/>
  <c r="L95" i="18" a="1"/>
  <c r="L95" i="18" s="1"/>
  <c r="M95" i="18" s="1"/>
  <c r="L81" i="18" a="1"/>
  <c r="L81" i="18" s="1"/>
  <c r="M81" i="18" s="1"/>
  <c r="L67" i="18" a="1"/>
  <c r="L67" i="18" s="1"/>
  <c r="M67" i="18" s="1"/>
  <c r="L53" i="18" a="1"/>
  <c r="L53" i="18" s="1"/>
  <c r="L39" i="18" a="1"/>
  <c r="L39" i="18" s="1"/>
  <c r="L25" i="18" a="1"/>
  <c r="L25" i="18" s="1"/>
  <c r="L11" i="18" a="1"/>
  <c r="L11" i="18" s="1"/>
  <c r="L241" i="18" a="1"/>
  <c r="L241" i="18" s="1"/>
  <c r="L228" i="18" a="1"/>
  <c r="L228" i="18" s="1"/>
  <c r="L214" i="18" a="1"/>
  <c r="L214" i="18" s="1"/>
  <c r="L200" i="18" a="1"/>
  <c r="L200" i="18" s="1"/>
  <c r="L186" i="18" a="1"/>
  <c r="L186" i="18" s="1"/>
  <c r="L174" i="18" a="1"/>
  <c r="L174" i="18" s="1"/>
  <c r="L160" i="18" a="1"/>
  <c r="L160" i="18" s="1"/>
  <c r="M160" i="18" s="1"/>
  <c r="L146" i="18" a="1"/>
  <c r="L146" i="18" s="1"/>
  <c r="L132" i="18" a="1"/>
  <c r="L132" i="18" s="1"/>
  <c r="L120" i="18" a="1"/>
  <c r="L120" i="18" s="1"/>
  <c r="L108" i="18" a="1"/>
  <c r="L108" i="18" s="1"/>
  <c r="L94" i="18" a="1"/>
  <c r="L94" i="18" s="1"/>
  <c r="L80" i="18" a="1"/>
  <c r="L80" i="18" s="1"/>
  <c r="L66" i="18" a="1"/>
  <c r="L66" i="18" s="1"/>
  <c r="L52" i="18" a="1"/>
  <c r="L52" i="18" s="1"/>
  <c r="L38" i="18" a="1"/>
  <c r="L38" i="18" s="1"/>
  <c r="L24" i="18" a="1"/>
  <c r="L24" i="18" s="1"/>
  <c r="L10" i="18" a="1"/>
  <c r="L10" i="18" s="1"/>
  <c r="M10" i="18" s="1"/>
  <c r="L240" i="18" a="1"/>
  <c r="L240" i="18" s="1"/>
  <c r="L227" i="18" a="1"/>
  <c r="L227" i="18" s="1"/>
  <c r="L213" i="18" a="1"/>
  <c r="L213" i="18" s="1"/>
  <c r="L199" i="18" a="1"/>
  <c r="L199" i="18" s="1"/>
  <c r="M199" i="18" s="1"/>
  <c r="L185" i="18" a="1"/>
  <c r="L185" i="18" s="1"/>
  <c r="L173" i="18" a="1"/>
  <c r="L173" i="18" s="1"/>
  <c r="M173" i="18" s="1"/>
  <c r="L159" i="18" a="1"/>
  <c r="L159" i="18" s="1"/>
  <c r="L145" i="18" a="1"/>
  <c r="L145" i="18" s="1"/>
  <c r="L131" i="18" a="1"/>
  <c r="L131" i="18" s="1"/>
  <c r="L119" i="18" a="1"/>
  <c r="L119" i="18" s="1"/>
  <c r="M119" i="18" s="1"/>
  <c r="L107" i="18" a="1"/>
  <c r="L107" i="18" s="1"/>
  <c r="L93" i="18" a="1"/>
  <c r="L93" i="18" s="1"/>
  <c r="L79" i="18" a="1"/>
  <c r="L79" i="18" s="1"/>
  <c r="L65" i="18" a="1"/>
  <c r="L65" i="18" s="1"/>
  <c r="L51" i="18" a="1"/>
  <c r="L51" i="18" s="1"/>
  <c r="M51" i="18" s="1"/>
  <c r="L37" i="18" a="1"/>
  <c r="L37" i="18" s="1"/>
  <c r="M37" i="18" s="1"/>
  <c r="L23" i="18" a="1"/>
  <c r="L23" i="18" s="1"/>
  <c r="L9" i="18" a="1"/>
  <c r="L9" i="18" s="1"/>
  <c r="L239" i="18" a="1"/>
  <c r="L239" i="18" s="1"/>
  <c r="L226" i="18" a="1"/>
  <c r="L226" i="18" s="1"/>
  <c r="M226" i="18" s="1"/>
  <c r="L212" i="18" a="1"/>
  <c r="L212" i="18" s="1"/>
  <c r="L198" i="18" a="1"/>
  <c r="L198" i="18" s="1"/>
  <c r="L184" i="18" a="1"/>
  <c r="L184" i="18" s="1"/>
  <c r="L172" i="18" a="1"/>
  <c r="L172" i="18" s="1"/>
  <c r="L158" i="18" a="1"/>
  <c r="L158" i="18" s="1"/>
  <c r="L144" i="18" a="1"/>
  <c r="L144" i="18" s="1"/>
  <c r="M144" i="18" s="1"/>
  <c r="L130" i="18" a="1"/>
  <c r="L130" i="18" s="1"/>
  <c r="L118" i="18" a="1"/>
  <c r="L118" i="18" s="1"/>
  <c r="M118" i="18" s="1"/>
  <c r="L106" i="18" a="1"/>
  <c r="L106" i="18" s="1"/>
  <c r="L92" i="18" a="1"/>
  <c r="L92" i="18" s="1"/>
  <c r="L78" i="18" a="1"/>
  <c r="L78" i="18" s="1"/>
  <c r="L64" i="18" a="1"/>
  <c r="L64" i="18" s="1"/>
  <c r="L50" i="18" a="1"/>
  <c r="L50" i="18" s="1"/>
  <c r="L36" i="18" a="1"/>
  <c r="L36" i="18" s="1"/>
  <c r="M36" i="18" s="1"/>
  <c r="L22" i="18" a="1"/>
  <c r="L22" i="18" s="1"/>
  <c r="L8" i="18" a="1"/>
  <c r="L8" i="18" s="1"/>
  <c r="L238" i="18" a="1"/>
  <c r="L238" i="18" s="1"/>
  <c r="L225" i="18" a="1"/>
  <c r="L225" i="18" s="1"/>
  <c r="L211" i="18" a="1"/>
  <c r="L211" i="18" s="1"/>
  <c r="L197" i="18" a="1"/>
  <c r="L197" i="18" s="1"/>
  <c r="L183" i="18" a="1"/>
  <c r="L183" i="18" s="1"/>
  <c r="L171" i="18" a="1"/>
  <c r="L171" i="18" s="1"/>
  <c r="M171" i="18" s="1"/>
  <c r="L157" i="18" a="1"/>
  <c r="L157" i="18" s="1"/>
  <c r="L143" i="18" a="1"/>
  <c r="L143" i="18" s="1"/>
  <c r="M143" i="18" s="1"/>
  <c r="L129" i="18" a="1"/>
  <c r="L129" i="18" s="1"/>
  <c r="L117" i="18" a="1"/>
  <c r="L117" i="18" s="1"/>
  <c r="L105" i="18" a="1"/>
  <c r="L105" i="18" s="1"/>
  <c r="L91" i="18" a="1"/>
  <c r="L91" i="18" s="1"/>
  <c r="L77" i="18" a="1"/>
  <c r="L77" i="18" s="1"/>
  <c r="L63" i="18" a="1"/>
  <c r="L63" i="18" s="1"/>
  <c r="L49" i="18" a="1"/>
  <c r="L49" i="18" s="1"/>
  <c r="L35" i="18" a="1"/>
  <c r="L35" i="18" s="1"/>
  <c r="L21" i="18" a="1"/>
  <c r="L21" i="18" s="1"/>
  <c r="M21" i="18" s="1"/>
  <c r="L237" i="18" a="1"/>
  <c r="L237" i="18" s="1"/>
  <c r="L224" i="18" a="1"/>
  <c r="L224" i="18" s="1"/>
  <c r="L210" i="18" a="1"/>
  <c r="L210" i="18" s="1"/>
  <c r="M210" i="18" s="1"/>
  <c r="L196" i="18" a="1"/>
  <c r="L196" i="18" s="1"/>
  <c r="L182" i="18" a="1"/>
  <c r="L182" i="18" s="1"/>
  <c r="M182" i="18" s="1"/>
  <c r="L170" i="18" a="1"/>
  <c r="L170" i="18" s="1"/>
  <c r="M170" i="18" s="1"/>
  <c r="L156" i="18" a="1"/>
  <c r="L156" i="18" s="1"/>
  <c r="M156" i="18" s="1"/>
  <c r="L142" i="18" a="1"/>
  <c r="L142" i="18" s="1"/>
  <c r="M142" i="18" s="1"/>
  <c r="L128" i="18" a="1"/>
  <c r="L128" i="18" s="1"/>
  <c r="M128" i="18" s="1"/>
  <c r="L116" i="18" a="1"/>
  <c r="L116" i="18" s="1"/>
  <c r="L104" i="18" a="1"/>
  <c r="L104" i="18" s="1"/>
  <c r="L90" i="18" a="1"/>
  <c r="L90" i="18" s="1"/>
  <c r="L76" i="18" a="1"/>
  <c r="L76" i="18" s="1"/>
  <c r="L62" i="18" a="1"/>
  <c r="L62" i="18" s="1"/>
  <c r="L48" i="18" a="1"/>
  <c r="L48" i="18" s="1"/>
  <c r="L34" i="18" a="1"/>
  <c r="L34" i="18" s="1"/>
  <c r="M34" i="18" s="1"/>
  <c r="L20" i="18" a="1"/>
  <c r="L20" i="18" s="1"/>
  <c r="M20" i="18" s="1"/>
  <c r="L7" i="18" a="1"/>
  <c r="L7" i="18" s="1"/>
  <c r="M7" i="18" s="1"/>
  <c r="I25" i="1"/>
  <c r="J8" i="1" a="1"/>
  <c r="J8" i="1" s="1"/>
  <c r="AL80" i="14"/>
  <c r="AG7" i="1" s="1" a="1"/>
  <c r="AG7" i="1" s="1"/>
  <c r="AZ7" i="16" s="1"/>
  <c r="U5" i="1" a="1"/>
  <c r="U5" i="1" s="1"/>
  <c r="J7" i="1" a="1"/>
  <c r="J7" i="1" s="1"/>
  <c r="J26" i="1" s="1"/>
  <c r="J13" i="1" a="1"/>
  <c r="J13" i="1" s="1"/>
  <c r="AC5" i="1" a="1"/>
  <c r="AC5" i="1" s="1"/>
  <c r="AC38" i="1" s="1"/>
  <c r="AG38" i="1" s="1"/>
  <c r="U12" i="1" a="1"/>
  <c r="U12" i="1" s="1"/>
  <c r="AF154" i="13"/>
  <c r="AF49" i="13"/>
  <c r="AG36" i="1"/>
  <c r="I27" i="1"/>
  <c r="AM36" i="1"/>
  <c r="H101" i="11" a="1"/>
  <c r="H101" i="11" s="1"/>
  <c r="G101" i="11" a="1"/>
  <c r="G101" i="11" s="1"/>
  <c r="P101" i="11" a="1"/>
  <c r="P101" i="11" s="1"/>
  <c r="Z101" i="11" a="1"/>
  <c r="Z101" i="11" s="1"/>
  <c r="Q101" i="11" a="1"/>
  <c r="Q101" i="11" s="1"/>
  <c r="J30" i="1"/>
  <c r="AG39" i="1"/>
  <c r="AG37" i="1"/>
  <c r="W331" i="13"/>
  <c r="U331" i="14" a="1"/>
  <c r="U331" i="14" s="1"/>
  <c r="W331" i="14" s="1"/>
  <c r="W273" i="13"/>
  <c r="U270" i="14" a="1"/>
  <c r="U270" i="14" s="1"/>
  <c r="W270" i="14" s="1"/>
  <c r="W16" i="13"/>
  <c r="U13" i="14" a="1"/>
  <c r="U13" i="14" s="1"/>
  <c r="W13" i="14" s="1"/>
  <c r="W194" i="13"/>
  <c r="U194" i="14" a="1"/>
  <c r="U194" i="14" s="1"/>
  <c r="W194" i="14" s="1"/>
  <c r="W325" i="13"/>
  <c r="U325" i="14" a="1"/>
  <c r="U325" i="14" s="1"/>
  <c r="W325" i="14" s="1"/>
  <c r="W185" i="13"/>
  <c r="U185" i="14" a="1"/>
  <c r="U185" i="14" s="1"/>
  <c r="W185" i="14" s="1"/>
  <c r="W319" i="13"/>
  <c r="U319" i="14" a="1"/>
  <c r="U319" i="14" s="1"/>
  <c r="W319" i="14" s="1"/>
  <c r="W9" i="13"/>
  <c r="U9" i="14" a="1"/>
  <c r="U9" i="14" s="1"/>
  <c r="W9" i="14" s="1"/>
  <c r="W5" i="13"/>
  <c r="U5" i="14" a="1"/>
  <c r="U5" i="14" s="1"/>
  <c r="W5" i="14" s="1"/>
  <c r="W350" i="13"/>
  <c r="U349" i="14" a="1"/>
  <c r="U349" i="14" s="1"/>
  <c r="W349" i="14" s="1"/>
  <c r="W351" i="13"/>
  <c r="U351" i="14" a="1"/>
  <c r="U351" i="14" s="1"/>
  <c r="W351" i="14" s="1"/>
  <c r="W48" i="13"/>
  <c r="U48" i="14" a="1"/>
  <c r="U48" i="14" s="1"/>
  <c r="W48" i="14" s="1"/>
  <c r="W274" i="13"/>
  <c r="U272" i="14" a="1"/>
  <c r="U272" i="14" s="1"/>
  <c r="W272" i="14" s="1"/>
  <c r="W192" i="13"/>
  <c r="U192" i="14" a="1"/>
  <c r="U192" i="14" s="1"/>
  <c r="W192" i="14" s="1"/>
  <c r="W321" i="13"/>
  <c r="U321" i="14" a="1"/>
  <c r="U321" i="14" s="1"/>
  <c r="W321" i="14" s="1"/>
  <c r="W206" i="13"/>
  <c r="U202" i="14" a="1"/>
  <c r="U202" i="14" s="1"/>
  <c r="W202" i="14" s="1"/>
  <c r="W306" i="13"/>
  <c r="U306" i="14" a="1"/>
  <c r="U306" i="14" s="1"/>
  <c r="W306" i="14" s="1"/>
  <c r="W336" i="13"/>
  <c r="U336" i="14" a="1"/>
  <c r="U336" i="14" s="1"/>
  <c r="W336" i="14" s="1"/>
  <c r="W149" i="13"/>
  <c r="U149" i="14" a="1"/>
  <c r="U149" i="14" s="1"/>
  <c r="W149" i="14" s="1"/>
  <c r="W81" i="13"/>
  <c r="U81" i="14" a="1"/>
  <c r="U81" i="14" s="1"/>
  <c r="W81" i="14" s="1"/>
  <c r="W358" i="13"/>
  <c r="U358" i="14" a="1"/>
  <c r="U358" i="14" s="1"/>
  <c r="W358" i="14" s="1"/>
  <c r="W346" i="13"/>
  <c r="U346" i="14" a="1"/>
  <c r="U346" i="14" s="1"/>
  <c r="W346" i="14" s="1"/>
  <c r="W210" i="13"/>
  <c r="U210" i="14" a="1"/>
  <c r="U210" i="14" s="1"/>
  <c r="W210" i="14" s="1"/>
  <c r="W204" i="13"/>
  <c r="U198" i="14" a="1"/>
  <c r="U198" i="14" s="1"/>
  <c r="W198" i="14" s="1"/>
  <c r="W205" i="13"/>
  <c r="U200" i="14" a="1"/>
  <c r="U200" i="14" s="1"/>
  <c r="W200" i="14" s="1"/>
  <c r="W207" i="13"/>
  <c r="U204" i="14" a="1"/>
  <c r="U204" i="14" s="1"/>
  <c r="W204" i="14" s="1"/>
  <c r="W209" i="13"/>
  <c r="U208" i="14" a="1"/>
  <c r="U208" i="14" s="1"/>
  <c r="W208" i="14" s="1"/>
  <c r="W208" i="13"/>
  <c r="U206" i="14" a="1"/>
  <c r="U206" i="14" s="1"/>
  <c r="W206" i="14" s="1"/>
  <c r="W15" i="13"/>
  <c r="U11" i="14" a="1"/>
  <c r="U11" i="14" s="1"/>
  <c r="W11" i="14" s="1"/>
  <c r="W310" i="13"/>
  <c r="U310" i="14" a="1"/>
  <c r="U310" i="14" s="1"/>
  <c r="W310" i="14" s="1"/>
  <c r="W299" i="13"/>
  <c r="U299" i="14" a="1"/>
  <c r="U299" i="14" s="1"/>
  <c r="W299" i="14" s="1"/>
  <c r="W18" i="13"/>
  <c r="U17" i="14" a="1"/>
  <c r="U17" i="14" s="1"/>
  <c r="W17" i="14" s="1"/>
  <c r="W19" i="13"/>
  <c r="U19" i="14" a="1"/>
  <c r="U19" i="14" s="1"/>
  <c r="W19" i="14" s="1"/>
  <c r="W17" i="13"/>
  <c r="U15" i="14" a="1"/>
  <c r="U15" i="14" s="1"/>
  <c r="W15" i="14" s="1"/>
  <c r="W29" i="13"/>
  <c r="U29" i="14" a="1"/>
  <c r="U29" i="14" s="1"/>
  <c r="W29" i="14" s="1"/>
  <c r="W291" i="13"/>
  <c r="U291" i="14" a="1"/>
  <c r="U291" i="14" s="1"/>
  <c r="W291" i="14" s="1"/>
  <c r="W275" i="13"/>
  <c r="U274" i="14" a="1"/>
  <c r="U274" i="14" s="1"/>
  <c r="W274" i="14" s="1"/>
  <c r="W276" i="13"/>
  <c r="U276" i="14" a="1"/>
  <c r="U276" i="14" s="1"/>
  <c r="W276" i="14" s="1"/>
  <c r="W64" i="13"/>
  <c r="U64" i="14" a="1"/>
  <c r="U64" i="14" s="1"/>
  <c r="W64" i="14" s="1"/>
  <c r="W69" i="13"/>
  <c r="U69" i="14" a="1"/>
  <c r="U69" i="14" s="1"/>
  <c r="W69" i="14" s="1"/>
  <c r="W190" i="13"/>
  <c r="U190" i="14" a="1"/>
  <c r="U190" i="14" s="1"/>
  <c r="W190" i="14" s="1"/>
  <c r="W314" i="13"/>
  <c r="U314" i="14" a="1"/>
  <c r="U314" i="14" s="1"/>
  <c r="W314" i="14" s="1"/>
  <c r="AW18" i="14"/>
  <c r="AW19" i="14"/>
  <c r="AW16" i="14"/>
  <c r="AW17" i="14"/>
  <c r="AW13" i="14"/>
  <c r="AW12" i="14"/>
  <c r="AW14" i="14"/>
  <c r="AW15" i="14"/>
  <c r="AW11" i="14"/>
  <c r="AW10" i="14"/>
  <c r="AW192" i="14"/>
  <c r="AW191" i="14"/>
  <c r="AW273" i="14"/>
  <c r="AW274" i="14"/>
  <c r="AW272" i="14"/>
  <c r="AW271" i="14"/>
  <c r="AW270" i="14"/>
  <c r="AW269" i="14"/>
  <c r="AW275" i="14"/>
  <c r="AW276" i="14"/>
  <c r="AW320" i="14"/>
  <c r="AW321" i="14"/>
  <c r="AW330" i="14"/>
  <c r="AW331" i="14"/>
  <c r="AW309" i="14"/>
  <c r="AW310" i="14"/>
  <c r="AW185" i="14"/>
  <c r="AW184" i="14"/>
  <c r="AW199" i="14"/>
  <c r="AW200" i="14"/>
  <c r="AW209" i="14"/>
  <c r="AW210" i="14"/>
  <c r="AW207" i="14"/>
  <c r="AW208" i="14"/>
  <c r="AW206" i="14"/>
  <c r="AW205" i="14"/>
  <c r="AW204" i="14"/>
  <c r="AW203" i="14"/>
  <c r="AW202" i="14"/>
  <c r="AW201" i="14"/>
  <c r="AW197" i="14"/>
  <c r="AW198" i="14"/>
  <c r="AW148" i="14"/>
  <c r="AW149" i="14"/>
  <c r="AW80" i="14"/>
  <c r="AW81" i="14"/>
  <c r="AW358" i="14"/>
  <c r="AW357" i="14"/>
  <c r="AW47" i="14"/>
  <c r="AW48" i="14"/>
  <c r="AW193" i="14"/>
  <c r="AW194" i="14"/>
  <c r="AW5" i="14"/>
  <c r="AW4" i="14"/>
  <c r="W93" i="13"/>
  <c r="U93" i="14" a="1"/>
  <c r="U93" i="14" s="1"/>
  <c r="W93" i="14" s="1"/>
  <c r="AW290" i="14"/>
  <c r="AW291" i="14"/>
  <c r="AW335" i="14"/>
  <c r="AW336" i="14"/>
  <c r="AW348" i="14"/>
  <c r="AW349" i="14"/>
  <c r="AW351" i="14"/>
  <c r="AW350" i="14"/>
  <c r="AW28" i="14"/>
  <c r="AW29" i="14"/>
  <c r="AW305" i="14"/>
  <c r="AW306" i="14"/>
  <c r="U91" i="14" a="1"/>
  <c r="U91" i="14" s="1"/>
  <c r="W91" i="14" s="1"/>
  <c r="W92" i="13"/>
  <c r="AW313" i="14"/>
  <c r="AW314" i="14"/>
  <c r="AW325" i="14"/>
  <c r="AW324" i="14"/>
  <c r="AW9" i="14"/>
  <c r="AW8" i="14"/>
  <c r="AW298" i="14"/>
  <c r="AW299" i="14"/>
  <c r="AW261" i="14"/>
  <c r="AW262" i="14"/>
  <c r="F24" i="1"/>
  <c r="AM37" i="1"/>
  <c r="AM39" i="1"/>
  <c r="AM38" i="1"/>
  <c r="AS26" i="14"/>
  <c r="Y5" i="1" a="1"/>
  <c r="Y5" i="1" s="1"/>
  <c r="Y38" i="1" s="1"/>
  <c r="F21" i="1"/>
  <c r="AB269" i="14"/>
  <c r="F23" i="1"/>
  <c r="F26" i="1"/>
  <c r="Y11" i="1" a="1"/>
  <c r="Y11" i="1" s="1"/>
  <c r="Y7" i="1" a="1"/>
  <c r="Y7" i="1" s="1"/>
  <c r="O21" i="1"/>
  <c r="O22" i="1"/>
  <c r="Y6" i="1" a="1"/>
  <c r="Y6" i="1" s="1"/>
  <c r="Y37" i="1" s="1"/>
  <c r="O24" i="1"/>
  <c r="AS111" i="14"/>
  <c r="AS338" i="14"/>
  <c r="Y10" i="1" a="1"/>
  <c r="Y10" i="1" s="1"/>
  <c r="Y13" i="1" a="1"/>
  <c r="Y13" i="1" s="1"/>
  <c r="Y9" i="1" a="1"/>
  <c r="Y9" i="1" s="1"/>
  <c r="Y39" i="1" s="1"/>
  <c r="Y12" i="1" a="1"/>
  <c r="Y12" i="1" s="1"/>
  <c r="M7" i="1" a="1"/>
  <c r="M7" i="1" s="1"/>
  <c r="H7" i="16" s="1"/>
  <c r="H55" i="16" s="1"/>
  <c r="M11" i="1" a="1"/>
  <c r="M11" i="1" s="1"/>
  <c r="M13" i="1" a="1"/>
  <c r="M13" i="1" s="1"/>
  <c r="M9" i="1" a="1"/>
  <c r="M9" i="1" s="1"/>
  <c r="M6" i="1" a="1"/>
  <c r="M6" i="1" s="1"/>
  <c r="G7" i="16" s="1"/>
  <c r="M10" i="1" a="1"/>
  <c r="M10" i="1" s="1"/>
  <c r="AF215" i="13"/>
  <c r="Q308" i="14"/>
  <c r="K13" i="1" a="1"/>
  <c r="K13" i="1" s="1"/>
  <c r="K6" i="1" a="1"/>
  <c r="K6" i="1" s="1"/>
  <c r="K9" i="1" a="1"/>
  <c r="K9" i="1" s="1"/>
  <c r="K12" i="1" a="1"/>
  <c r="K12" i="1" s="1"/>
  <c r="K7" i="1" a="1"/>
  <c r="K7" i="1" s="1"/>
  <c r="K11" i="1" a="1"/>
  <c r="K11" i="1" s="1"/>
  <c r="K8" i="1" a="1"/>
  <c r="K8" i="1" s="1"/>
  <c r="K5" i="1" a="1"/>
  <c r="K5" i="1" s="1"/>
  <c r="K10" i="1" a="1"/>
  <c r="K10" i="1" s="1"/>
  <c r="AS256" i="14"/>
  <c r="AB6" i="14"/>
  <c r="S5" i="1" a="1"/>
  <c r="S5" i="1" s="1"/>
  <c r="S21" i="1" s="1"/>
  <c r="W21" i="1" s="1"/>
  <c r="S10" i="1" a="1"/>
  <c r="S10" i="1" s="1"/>
  <c r="S6" i="1" a="1"/>
  <c r="S6" i="1" s="1"/>
  <c r="S11" i="1" a="1"/>
  <c r="S11" i="1" s="1"/>
  <c r="S7" i="1" a="1"/>
  <c r="S7" i="1" s="1"/>
  <c r="S8" i="1" a="1"/>
  <c r="S8" i="1" s="1"/>
  <c r="S27" i="1" s="1"/>
  <c r="W27" i="1" s="1"/>
  <c r="S13" i="1" a="1"/>
  <c r="S13" i="1" s="1"/>
  <c r="S9" i="1" a="1"/>
  <c r="S9" i="1" s="1"/>
  <c r="S29" i="1" s="1"/>
  <c r="W29" i="1" s="1"/>
  <c r="S12" i="1" a="1"/>
  <c r="S12" i="1" s="1"/>
  <c r="T8" i="1" a="1"/>
  <c r="T8" i="1" s="1"/>
  <c r="T13" i="1" a="1"/>
  <c r="T13" i="1" s="1"/>
  <c r="T11" i="1" a="1"/>
  <c r="T11" i="1" s="1"/>
  <c r="T9" i="1" a="1"/>
  <c r="T9" i="1" s="1"/>
  <c r="T5" i="1" a="1"/>
  <c r="T5" i="1" s="1"/>
  <c r="T6" i="1" a="1"/>
  <c r="T6" i="1" s="1"/>
  <c r="T12" i="1" a="1"/>
  <c r="T12" i="1" s="1"/>
  <c r="T7" i="1" a="1"/>
  <c r="T7" i="1" s="1"/>
  <c r="AS98" i="14"/>
  <c r="AF75" i="13"/>
  <c r="AF173" i="13"/>
  <c r="AF103" i="13"/>
  <c r="AF224" i="13"/>
  <c r="AB48" i="14"/>
  <c r="AS260" i="14"/>
  <c r="AS115" i="14"/>
  <c r="AB207" i="14"/>
  <c r="AB47" i="14"/>
  <c r="AS371" i="14"/>
  <c r="AS356" i="14"/>
  <c r="AS123" i="14"/>
  <c r="AS267" i="14"/>
  <c r="AB275" i="14"/>
  <c r="AS95" i="14"/>
  <c r="AS143" i="14"/>
  <c r="AS120" i="14"/>
  <c r="AB87" i="14"/>
  <c r="AS88" i="14"/>
  <c r="AB69" i="14"/>
  <c r="AS147" i="14"/>
  <c r="AS56" i="14"/>
  <c r="AB203" i="14"/>
  <c r="AB197" i="14"/>
  <c r="AB357" i="14"/>
  <c r="AS101" i="14"/>
  <c r="AB288" i="14"/>
  <c r="AS85" i="14"/>
  <c r="AB272" i="14"/>
  <c r="AB330" i="14"/>
  <c r="AB210" i="14"/>
  <c r="AB4" i="14"/>
  <c r="AS277" i="14"/>
  <c r="AB64" i="14"/>
  <c r="AB68" i="14"/>
  <c r="AB202" i="14"/>
  <c r="AS72" i="14"/>
  <c r="AB19" i="14"/>
  <c r="AS25" i="14"/>
  <c r="AB331" i="14"/>
  <c r="AB14" i="14"/>
  <c r="AB5" i="14"/>
  <c r="AS301" i="14"/>
  <c r="AS195" i="14"/>
  <c r="AB37" i="14"/>
  <c r="AB287" i="14"/>
  <c r="AS136" i="14"/>
  <c r="AS131" i="14"/>
  <c r="AS27" i="14"/>
  <c r="AB208" i="14"/>
  <c r="AB299" i="14"/>
  <c r="AS224" i="14"/>
  <c r="AB185" i="14"/>
  <c r="AB63" i="14"/>
  <c r="AB201" i="14"/>
  <c r="AB324" i="14"/>
  <c r="AS252" i="14"/>
  <c r="AB262" i="14"/>
  <c r="AB318" i="14"/>
  <c r="AB314" i="14"/>
  <c r="AF290" i="14"/>
  <c r="AS155" i="14"/>
  <c r="AB270" i="14"/>
  <c r="AB290" i="14"/>
  <c r="AB261" i="14"/>
  <c r="AB86" i="14"/>
  <c r="AB126" i="14"/>
  <c r="AB80" i="14"/>
  <c r="AB13" i="14"/>
  <c r="AB306" i="14"/>
  <c r="AB15" i="14"/>
  <c r="AS114" i="14"/>
  <c r="AB92" i="14"/>
  <c r="AB305" i="14"/>
  <c r="AB18" i="14"/>
  <c r="AB345" i="14"/>
  <c r="AS251" i="14"/>
  <c r="AB198" i="14"/>
  <c r="AB209" i="14"/>
  <c r="AB273" i="14"/>
  <c r="AB194" i="14"/>
  <c r="AB140" i="14"/>
  <c r="AS221" i="14"/>
  <c r="AB28" i="14"/>
  <c r="AB191" i="14"/>
  <c r="AB271" i="14"/>
  <c r="AB199" i="14"/>
  <c r="AB29" i="14"/>
  <c r="AB204" i="14"/>
  <c r="AB309" i="14"/>
  <c r="AS32" i="14"/>
  <c r="AS250" i="14"/>
  <c r="AB149" i="14"/>
  <c r="AB335" i="14"/>
  <c r="W182" i="13"/>
  <c r="U182" i="14"/>
  <c r="W182" i="14" s="1"/>
  <c r="AT182" i="14" s="1"/>
  <c r="W166" i="13"/>
  <c r="U166" i="14"/>
  <c r="W166" i="14" s="1"/>
  <c r="AF130" i="13"/>
  <c r="AC130" i="14"/>
  <c r="AF130" i="14" s="1"/>
  <c r="W238" i="13"/>
  <c r="U238" i="14"/>
  <c r="W238" i="14" s="1"/>
  <c r="AT238" i="14" s="1"/>
  <c r="AF202" i="13"/>
  <c r="AC207" i="14"/>
  <c r="AF207" i="14" s="1"/>
  <c r="AF349" i="13"/>
  <c r="AC350" i="14"/>
  <c r="AF350" i="14" s="1"/>
  <c r="AF351" i="14"/>
  <c r="W307" i="13"/>
  <c r="U307" i="14"/>
  <c r="W307" i="14" s="1"/>
  <c r="AT307" i="14" s="1"/>
  <c r="W363" i="13"/>
  <c r="U363" i="14"/>
  <c r="W363" i="14" s="1"/>
  <c r="AT363" i="14" s="1"/>
  <c r="W153" i="13"/>
  <c r="U153" i="14"/>
  <c r="W153" i="14" s="1"/>
  <c r="AT153" i="14" s="1"/>
  <c r="W83" i="13"/>
  <c r="U83" i="14"/>
  <c r="W83" i="14" s="1"/>
  <c r="W34" i="13"/>
  <c r="U34" i="14"/>
  <c r="W34" i="14" s="1"/>
  <c r="W66" i="13"/>
  <c r="U66" i="14"/>
  <c r="W66" i="14" s="1"/>
  <c r="AT66" i="14" s="1"/>
  <c r="AF74" i="13"/>
  <c r="AC74" i="14"/>
  <c r="AF74" i="14" s="1"/>
  <c r="W294" i="13"/>
  <c r="U294" i="14"/>
  <c r="W294" i="14" s="1"/>
  <c r="AS294" i="14" s="1"/>
  <c r="W94" i="13"/>
  <c r="U94" i="14"/>
  <c r="W94" i="14" s="1"/>
  <c r="AT94" i="14" s="1"/>
  <c r="W138" i="13"/>
  <c r="U138" i="14"/>
  <c r="W138" i="14" s="1"/>
  <c r="AS138" i="14" s="1"/>
  <c r="W203" i="13"/>
  <c r="U209" i="14"/>
  <c r="W209" i="14" s="1"/>
  <c r="W330" i="13"/>
  <c r="U330" i="14"/>
  <c r="W330" i="14" s="1"/>
  <c r="W46" i="13"/>
  <c r="U46" i="14"/>
  <c r="W46" i="14" s="1"/>
  <c r="AT46" i="14" s="1"/>
  <c r="W232" i="13"/>
  <c r="U232" i="14"/>
  <c r="W232" i="14" s="1"/>
  <c r="W57" i="13"/>
  <c r="U57" i="14"/>
  <c r="W57" i="14" s="1"/>
  <c r="AT57" i="14" s="1"/>
  <c r="AF76" i="13"/>
  <c r="AC76" i="14"/>
  <c r="AF76" i="14" s="1"/>
  <c r="W362" i="13"/>
  <c r="U362" i="14"/>
  <c r="W362" i="14" s="1"/>
  <c r="AT362" i="14" s="1"/>
  <c r="W211" i="13"/>
  <c r="U211" i="14"/>
  <c r="W211" i="14" s="1"/>
  <c r="AT211" i="14" s="1"/>
  <c r="W317" i="13"/>
  <c r="U317" i="14"/>
  <c r="W317" i="14" s="1"/>
  <c r="AT317" i="14" s="1"/>
  <c r="W42" i="13"/>
  <c r="U42" i="14"/>
  <c r="W42" i="14" s="1"/>
  <c r="W255" i="13"/>
  <c r="U255" i="14"/>
  <c r="W255" i="14" s="1"/>
  <c r="AT255" i="14" s="1"/>
  <c r="W109" i="13"/>
  <c r="U109" i="14"/>
  <c r="W109" i="14" s="1"/>
  <c r="AT109" i="14" s="1"/>
  <c r="AF261" i="13"/>
  <c r="AC261" i="14"/>
  <c r="AF261" i="14" s="1"/>
  <c r="AF262" i="14"/>
  <c r="AF200" i="13"/>
  <c r="AC203" i="14"/>
  <c r="AF203" i="14" s="1"/>
  <c r="W51" i="13"/>
  <c r="U51" i="14"/>
  <c r="W51" i="14" s="1"/>
  <c r="W7" i="13"/>
  <c r="U7" i="14"/>
  <c r="W7" i="14" s="1"/>
  <c r="AS7" i="14" s="1"/>
  <c r="W233" i="13"/>
  <c r="U233" i="14"/>
  <c r="W233" i="14" s="1"/>
  <c r="AS127" i="14"/>
  <c r="AS165" i="14"/>
  <c r="AF318" i="13"/>
  <c r="AC318" i="14"/>
  <c r="AF318" i="14" s="1"/>
  <c r="AF319" i="14"/>
  <c r="AF222" i="13"/>
  <c r="AC222" i="14"/>
  <c r="AF222" i="14" s="1"/>
  <c r="W281" i="13"/>
  <c r="U281" i="14"/>
  <c r="W281" i="14" s="1"/>
  <c r="AF174" i="13"/>
  <c r="AC174" i="14"/>
  <c r="AF174" i="14" s="1"/>
  <c r="W36" i="13"/>
  <c r="U36" i="14"/>
  <c r="W36" i="14" s="1"/>
  <c r="AT36" i="14" s="1"/>
  <c r="AF10" i="13"/>
  <c r="AF11" i="14"/>
  <c r="AC10" i="14"/>
  <c r="AF10" i="14" s="1"/>
  <c r="W54" i="13"/>
  <c r="U54" i="14"/>
  <c r="W54" i="14" s="1"/>
  <c r="AT54" i="14" s="1"/>
  <c r="W50" i="13"/>
  <c r="U50" i="14"/>
  <c r="W50" i="14" s="1"/>
  <c r="W188" i="13"/>
  <c r="U188" i="14"/>
  <c r="W188" i="14" s="1"/>
  <c r="AT188" i="14" s="1"/>
  <c r="W137" i="13"/>
  <c r="U137" i="14"/>
  <c r="W137" i="14" s="1"/>
  <c r="AT137" i="14" s="1"/>
  <c r="W53" i="13"/>
  <c r="U53" i="14"/>
  <c r="W53" i="14" s="1"/>
  <c r="AS53" i="14" s="1"/>
  <c r="AF55" i="13"/>
  <c r="AC55" i="14"/>
  <c r="AF55" i="14" s="1"/>
  <c r="AF166" i="13"/>
  <c r="AC166" i="14"/>
  <c r="AF166" i="14" s="1"/>
  <c r="W361" i="13"/>
  <c r="U361" i="14"/>
  <c r="W361" i="14" s="1"/>
  <c r="AS361" i="14" s="1"/>
  <c r="W13" i="13"/>
  <c r="U16" i="14"/>
  <c r="W16" i="14" s="1"/>
  <c r="AC367" i="14"/>
  <c r="AF367" i="14" s="1"/>
  <c r="AF368" i="13"/>
  <c r="W181" i="13"/>
  <c r="U181" i="14"/>
  <c r="W181" i="14" s="1"/>
  <c r="AT181" i="14" s="1"/>
  <c r="W159" i="13"/>
  <c r="U159" i="14"/>
  <c r="W159" i="14" s="1"/>
  <c r="AT159" i="14" s="1"/>
  <c r="W105" i="13"/>
  <c r="U105" i="14"/>
  <c r="W105" i="14" s="1"/>
  <c r="W110" i="13"/>
  <c r="U110" i="14"/>
  <c r="W110" i="14" s="1"/>
  <c r="AT110" i="14" s="1"/>
  <c r="W97" i="13"/>
  <c r="U97" i="14"/>
  <c r="W97" i="14" s="1"/>
  <c r="AT97" i="14" s="1"/>
  <c r="W103" i="13"/>
  <c r="U103" i="14"/>
  <c r="W103" i="14" s="1"/>
  <c r="W22" i="13"/>
  <c r="U22" i="14"/>
  <c r="W22" i="14" s="1"/>
  <c r="AS22" i="14" s="1"/>
  <c r="W106" i="13"/>
  <c r="U106" i="14"/>
  <c r="W106" i="14" s="1"/>
  <c r="AT106" i="14" s="1"/>
  <c r="W130" i="13"/>
  <c r="U130" i="14"/>
  <c r="W130" i="14" s="1"/>
  <c r="W323" i="13"/>
  <c r="U323" i="14"/>
  <c r="W323" i="14" s="1"/>
  <c r="AS323" i="14" s="1"/>
  <c r="AF12" i="13"/>
  <c r="AC14" i="14"/>
  <c r="AF14" i="14" s="1"/>
  <c r="AF15" i="14"/>
  <c r="AF271" i="13"/>
  <c r="AF274" i="14"/>
  <c r="AC273" i="14"/>
  <c r="AF273" i="14" s="1"/>
  <c r="AF200" i="14"/>
  <c r="AC199" i="14"/>
  <c r="AF199" i="14" s="1"/>
  <c r="W49" i="13"/>
  <c r="U49" i="14"/>
  <c r="W49" i="14" s="1"/>
  <c r="W278" i="13"/>
  <c r="U278" i="14"/>
  <c r="W278" i="14" s="1"/>
  <c r="AT278" i="14" s="1"/>
  <c r="W135" i="13"/>
  <c r="U135" i="14"/>
  <c r="W135" i="14" s="1"/>
  <c r="AT135" i="14" s="1"/>
  <c r="AF13" i="13"/>
  <c r="AC16" i="14"/>
  <c r="AF16" i="14" s="1"/>
  <c r="AF17" i="14"/>
  <c r="AF61" i="13"/>
  <c r="AC61" i="14"/>
  <c r="AF61" i="14" s="1"/>
  <c r="W122" i="13"/>
  <c r="U122" i="14"/>
  <c r="W122" i="14" s="1"/>
  <c r="AS122" i="14" s="1"/>
  <c r="W201" i="13"/>
  <c r="U205" i="14"/>
  <c r="W205" i="14" s="1"/>
  <c r="AF227" i="13"/>
  <c r="AC227" i="14"/>
  <c r="AF227" i="14" s="1"/>
  <c r="AF77" i="13"/>
  <c r="AC77" i="14"/>
  <c r="AF77" i="14" s="1"/>
  <c r="W254" i="13"/>
  <c r="U254" i="14"/>
  <c r="W254" i="14" s="1"/>
  <c r="AS254" i="14" s="1"/>
  <c r="AC218" i="14"/>
  <c r="AF218" i="14" s="1"/>
  <c r="AF218" i="13"/>
  <c r="W14" i="13"/>
  <c r="U18" i="14"/>
  <c r="W18" i="14" s="1"/>
  <c r="W266" i="13"/>
  <c r="U266" i="14"/>
  <c r="W266" i="14" s="1"/>
  <c r="AT266" i="14" s="1"/>
  <c r="W169" i="13"/>
  <c r="U169" i="14"/>
  <c r="W169" i="14" s="1"/>
  <c r="AT169" i="14" s="1"/>
  <c r="W58" i="13"/>
  <c r="U58" i="14"/>
  <c r="W58" i="14" s="1"/>
  <c r="W146" i="13"/>
  <c r="U146" i="14"/>
  <c r="W146" i="14" s="1"/>
  <c r="AS146" i="14" s="1"/>
  <c r="W213" i="13"/>
  <c r="U213" i="14"/>
  <c r="W213" i="14" s="1"/>
  <c r="W239" i="13"/>
  <c r="U239" i="14"/>
  <c r="W239" i="14" s="1"/>
  <c r="AS239" i="14" s="1"/>
  <c r="W60" i="13"/>
  <c r="U60" i="14"/>
  <c r="W60" i="14" s="1"/>
  <c r="AT60" i="14" s="1"/>
  <c r="AF335" i="13"/>
  <c r="AF336" i="14"/>
  <c r="AC335" i="14"/>
  <c r="AF335" i="14" s="1"/>
  <c r="AF357" i="13"/>
  <c r="AC357" i="14"/>
  <c r="AF357" i="14" s="1"/>
  <c r="AF358" i="14"/>
  <c r="W279" i="13"/>
  <c r="U279" i="14"/>
  <c r="W279" i="14" s="1"/>
  <c r="AT279" i="14" s="1"/>
  <c r="W104" i="13"/>
  <c r="U104" i="14"/>
  <c r="W104" i="14" s="1"/>
  <c r="AS104" i="14" s="1"/>
  <c r="AF282" i="13"/>
  <c r="AC282" i="14"/>
  <c r="AF282" i="14" s="1"/>
  <c r="AF300" i="13"/>
  <c r="AC300" i="14"/>
  <c r="AF300" i="14" s="1"/>
  <c r="W11" i="13"/>
  <c r="U12" i="14"/>
  <c r="W12" i="14" s="1"/>
  <c r="W121" i="13"/>
  <c r="U121" i="14"/>
  <c r="W121" i="14" s="1"/>
  <c r="AT121" i="14" s="1"/>
  <c r="W316" i="13"/>
  <c r="U316" i="14"/>
  <c r="W316" i="14" s="1"/>
  <c r="AT316" i="14" s="1"/>
  <c r="W229" i="13"/>
  <c r="U229" i="14"/>
  <c r="W229" i="14" s="1"/>
  <c r="AC229" i="14"/>
  <c r="AF229" i="14" s="1"/>
  <c r="AF229" i="13"/>
  <c r="W220" i="13"/>
  <c r="U220" i="14"/>
  <c r="W220" i="14" s="1"/>
  <c r="AT220" i="14" s="1"/>
  <c r="AS108" i="14"/>
  <c r="W365" i="13"/>
  <c r="U365" i="14"/>
  <c r="W365" i="14" s="1"/>
  <c r="AS365" i="14" s="1"/>
  <c r="W52" i="13"/>
  <c r="U52" i="14"/>
  <c r="W52" i="14" s="1"/>
  <c r="AT52" i="14" s="1"/>
  <c r="AF177" i="13"/>
  <c r="AC177" i="14"/>
  <c r="AF177" i="14" s="1"/>
  <c r="AT177" i="14" s="1"/>
  <c r="AF189" i="13"/>
  <c r="AC189" i="14"/>
  <c r="AF189" i="14" s="1"/>
  <c r="W160" i="13"/>
  <c r="U160" i="14"/>
  <c r="W160" i="14" s="1"/>
  <c r="AS160" i="14" s="1"/>
  <c r="W302" i="13"/>
  <c r="U302" i="14"/>
  <c r="W302" i="14" s="1"/>
  <c r="AT302" i="14" s="1"/>
  <c r="W77" i="13"/>
  <c r="U77" i="14"/>
  <c r="W77" i="14" s="1"/>
  <c r="W152" i="13"/>
  <c r="U152" i="14"/>
  <c r="W152" i="14" s="1"/>
  <c r="AF233" i="13"/>
  <c r="AF11" i="13"/>
  <c r="AC12" i="14"/>
  <c r="AF12" i="14" s="1"/>
  <c r="W39" i="13"/>
  <c r="U39" i="14"/>
  <c r="W39" i="14" s="1"/>
  <c r="AS39" i="14" s="1"/>
  <c r="W217" i="13"/>
  <c r="U217" i="14"/>
  <c r="W217" i="14" s="1"/>
  <c r="W369" i="13"/>
  <c r="U368" i="14"/>
  <c r="W368" i="14" s="1"/>
  <c r="AF68" i="13"/>
  <c r="AC68" i="14"/>
  <c r="AF68" i="14" s="1"/>
  <c r="AF348" i="13"/>
  <c r="AF349" i="14"/>
  <c r="AC348" i="14"/>
  <c r="AF348" i="14" s="1"/>
  <c r="AF132" i="13"/>
  <c r="AC132" i="14"/>
  <c r="AF132" i="14" s="1"/>
  <c r="AF345" i="13"/>
  <c r="AC345" i="14"/>
  <c r="AF345" i="14" s="1"/>
  <c r="AF346" i="14"/>
  <c r="W107" i="13"/>
  <c r="U107" i="14"/>
  <c r="W107" i="14" s="1"/>
  <c r="AS107" i="14" s="1"/>
  <c r="W339" i="13"/>
  <c r="U339" i="14"/>
  <c r="W339" i="14" s="1"/>
  <c r="AT339" i="14" s="1"/>
  <c r="W243" i="13"/>
  <c r="U243" i="14"/>
  <c r="W243" i="14" s="1"/>
  <c r="AS243" i="14" s="1"/>
  <c r="W44" i="13"/>
  <c r="U44" i="14"/>
  <c r="W44" i="14" s="1"/>
  <c r="AT44" i="14" s="1"/>
  <c r="W218" i="13"/>
  <c r="U218" i="14"/>
  <c r="W218" i="14" s="1"/>
  <c r="W333" i="13"/>
  <c r="U333" i="14"/>
  <c r="W333" i="14" s="1"/>
  <c r="AT333" i="14" s="1"/>
  <c r="W196" i="13"/>
  <c r="U196" i="14"/>
  <c r="W196" i="14" s="1"/>
  <c r="AT196" i="14" s="1"/>
  <c r="W349" i="13"/>
  <c r="U350" i="14"/>
  <c r="W350" i="14" s="1"/>
  <c r="W223" i="13"/>
  <c r="U223" i="14"/>
  <c r="W223" i="14" s="1"/>
  <c r="AT223" i="14" s="1"/>
  <c r="W375" i="13"/>
  <c r="U375" i="14"/>
  <c r="W375" i="14" s="1"/>
  <c r="AT375" i="14" s="1"/>
  <c r="AF203" i="13"/>
  <c r="AC209" i="14"/>
  <c r="AF209" i="14" s="1"/>
  <c r="AF210" i="14"/>
  <c r="W55" i="13"/>
  <c r="U55" i="14"/>
  <c r="W55" i="14" s="1"/>
  <c r="AF8" i="13"/>
  <c r="AC8" i="14"/>
  <c r="AF8" i="14" s="1"/>
  <c r="AF9" i="14"/>
  <c r="AF51" i="13"/>
  <c r="AC51" i="14"/>
  <c r="AF51" i="14" s="1"/>
  <c r="AF197" i="13"/>
  <c r="AF198" i="14"/>
  <c r="AC197" i="14"/>
  <c r="AF197" i="14" s="1"/>
  <c r="AF330" i="13"/>
  <c r="AF331" i="14"/>
  <c r="AC330" i="14"/>
  <c r="AF330" i="14" s="1"/>
  <c r="W289" i="13"/>
  <c r="U289" i="14"/>
  <c r="W289" i="14" s="1"/>
  <c r="AT289" i="14" s="1"/>
  <c r="W235" i="13"/>
  <c r="U235" i="14"/>
  <c r="W235" i="14" s="1"/>
  <c r="AT235" i="14" s="1"/>
  <c r="W263" i="13"/>
  <c r="U263" i="14"/>
  <c r="W263" i="14" s="1"/>
  <c r="AS263" i="14" s="1"/>
  <c r="W308" i="13"/>
  <c r="U308" i="14"/>
  <c r="AF214" i="13"/>
  <c r="AC214" i="14"/>
  <c r="AF214" i="14" s="1"/>
  <c r="W216" i="13"/>
  <c r="U216" i="14"/>
  <c r="W216" i="14" s="1"/>
  <c r="AT216" i="14" s="1"/>
  <c r="W71" i="13"/>
  <c r="U71" i="14"/>
  <c r="W71" i="14" s="1"/>
  <c r="AT71" i="14" s="1"/>
  <c r="AF140" i="13"/>
  <c r="AC140" i="14"/>
  <c r="AF140" i="14" s="1"/>
  <c r="AF184" i="13"/>
  <c r="AF185" i="14"/>
  <c r="AC184" i="14"/>
  <c r="AF184" i="14" s="1"/>
  <c r="W303" i="13"/>
  <c r="U303" i="14"/>
  <c r="W303" i="14" s="1"/>
  <c r="AT303" i="14" s="1"/>
  <c r="W270" i="13"/>
  <c r="U271" i="14"/>
  <c r="W271" i="14" s="1"/>
  <c r="W300" i="13"/>
  <c r="U300" i="14"/>
  <c r="W300" i="14" s="1"/>
  <c r="W199" i="13"/>
  <c r="U201" i="14"/>
  <c r="W201" i="14" s="1"/>
  <c r="AF225" i="13"/>
  <c r="AC225" i="14"/>
  <c r="AF225" i="14" s="1"/>
  <c r="W340" i="13"/>
  <c r="U340" i="14"/>
  <c r="W340" i="14" s="1"/>
  <c r="AT340" i="14" s="1"/>
  <c r="W101" i="13"/>
  <c r="U100" i="14"/>
  <c r="W100" i="14" s="1"/>
  <c r="AT100" i="14" s="1"/>
  <c r="AF161" i="13"/>
  <c r="W368" i="13"/>
  <c r="U367" i="14"/>
  <c r="W367" i="14" s="1"/>
  <c r="W312" i="13"/>
  <c r="U312" i="14"/>
  <c r="W312" i="14" s="1"/>
  <c r="AT312" i="14" s="1"/>
  <c r="AF370" i="13"/>
  <c r="AC369" i="14"/>
  <c r="AF369" i="14" s="1"/>
  <c r="W89" i="13"/>
  <c r="U89" i="14"/>
  <c r="W89" i="14" s="1"/>
  <c r="AF269" i="13"/>
  <c r="AC269" i="14"/>
  <c r="AF269" i="14" s="1"/>
  <c r="AF86" i="13"/>
  <c r="AF87" i="14"/>
  <c r="AC86" i="14"/>
  <c r="AF86" i="14" s="1"/>
  <c r="W59" i="13"/>
  <c r="U59" i="14"/>
  <c r="W59" i="14" s="1"/>
  <c r="W230" i="13"/>
  <c r="U230" i="14"/>
  <c r="W230" i="14" s="1"/>
  <c r="W70" i="13"/>
  <c r="U70" i="14"/>
  <c r="W70" i="14" s="1"/>
  <c r="AT70" i="14" s="1"/>
  <c r="AF320" i="13"/>
  <c r="AF321" i="14"/>
  <c r="AC320" i="14"/>
  <c r="AF320" i="14" s="1"/>
  <c r="W200" i="13"/>
  <c r="U203" i="14"/>
  <c r="W203" i="14" s="1"/>
  <c r="W84" i="13"/>
  <c r="U84" i="14"/>
  <c r="W84" i="14" s="1"/>
  <c r="AF90" i="13"/>
  <c r="AC90" i="14"/>
  <c r="AF90" i="14" s="1"/>
  <c r="AF91" i="14"/>
  <c r="W139" i="13"/>
  <c r="U139" i="14"/>
  <c r="W139" i="14" s="1"/>
  <c r="AS139" i="14" s="1"/>
  <c r="AF248" i="13"/>
  <c r="AC248" i="14"/>
  <c r="AF248" i="14" s="1"/>
  <c r="W313" i="13"/>
  <c r="U313" i="14"/>
  <c r="W313" i="14" s="1"/>
  <c r="W284" i="13"/>
  <c r="U284" i="14"/>
  <c r="W284" i="14" s="1"/>
  <c r="AS284" i="14" s="1"/>
  <c r="AF152" i="13"/>
  <c r="AF228" i="13"/>
  <c r="AC228" i="14"/>
  <c r="AF228" i="14" s="1"/>
  <c r="W214" i="13"/>
  <c r="U214" i="14"/>
  <c r="W214" i="14" s="1"/>
  <c r="W184" i="13"/>
  <c r="U184" i="14"/>
  <c r="W184" i="14" s="1"/>
  <c r="W33" i="13"/>
  <c r="U33" i="14"/>
  <c r="W33" i="14" s="1"/>
  <c r="W248" i="13"/>
  <c r="U248" i="14"/>
  <c r="W248" i="14" s="1"/>
  <c r="AF217" i="13"/>
  <c r="AC217" i="14"/>
  <c r="AF217" i="14" s="1"/>
  <c r="W198" i="13"/>
  <c r="U199" i="14"/>
  <c r="W199" i="14" s="1"/>
  <c r="AF43" i="13"/>
  <c r="AC43" i="14"/>
  <c r="AF43" i="14" s="1"/>
  <c r="AT43" i="14" s="1"/>
  <c r="AF4" i="13"/>
  <c r="AC4" i="14"/>
  <c r="AF4" i="14" s="1"/>
  <c r="AF5" i="14"/>
  <c r="AF287" i="13"/>
  <c r="AC287" i="14"/>
  <c r="AF287" i="14" s="1"/>
  <c r="AF288" i="14"/>
  <c r="AF201" i="13"/>
  <c r="AC205" i="14"/>
  <c r="AF205" i="14" s="1"/>
  <c r="AF206" i="14"/>
  <c r="W297" i="13"/>
  <c r="U297" i="14"/>
  <c r="W297" i="14" s="1"/>
  <c r="AS297" i="14" s="1"/>
  <c r="W20" i="13"/>
  <c r="U20" i="14"/>
  <c r="W20" i="14" s="1"/>
  <c r="AS20" i="14" s="1"/>
  <c r="W186" i="13"/>
  <c r="U186" i="14"/>
  <c r="W186" i="14" s="1"/>
  <c r="AT186" i="14" s="1"/>
  <c r="AF191" i="13"/>
  <c r="AC191" i="14"/>
  <c r="AF191" i="14" s="1"/>
  <c r="W364" i="13"/>
  <c r="U364" i="14"/>
  <c r="W364" i="14" s="1"/>
  <c r="AS364" i="14" s="1"/>
  <c r="AF63" i="13"/>
  <c r="AC63" i="14"/>
  <c r="AF63" i="14" s="1"/>
  <c r="AF64" i="14"/>
  <c r="AF105" i="13"/>
  <c r="AC105" i="14"/>
  <c r="AF105" i="14" s="1"/>
  <c r="AF58" i="13"/>
  <c r="AC58" i="14"/>
  <c r="AF58" i="14" s="1"/>
  <c r="AF193" i="13"/>
  <c r="AC193" i="14"/>
  <c r="AF193" i="14" s="1"/>
  <c r="W354" i="13"/>
  <c r="U354" i="14"/>
  <c r="W354" i="14" s="1"/>
  <c r="AT354" i="14" s="1"/>
  <c r="W359" i="13"/>
  <c r="U359" i="14"/>
  <c r="W359" i="14" s="1"/>
  <c r="AT359" i="14" s="1"/>
  <c r="W334" i="13"/>
  <c r="U334" i="14"/>
  <c r="W334" i="14" s="1"/>
  <c r="AT334" i="14" s="1"/>
  <c r="W212" i="13"/>
  <c r="U212" i="14"/>
  <c r="W212" i="14" s="1"/>
  <c r="AT212" i="14" s="1"/>
  <c r="W118" i="13"/>
  <c r="U118" i="14"/>
  <c r="W118" i="14" s="1"/>
  <c r="AS118" i="14" s="1"/>
  <c r="W283" i="13"/>
  <c r="U283" i="14"/>
  <c r="W283" i="14" s="1"/>
  <c r="W247" i="13"/>
  <c r="U247" i="14"/>
  <c r="W247" i="14" s="1"/>
  <c r="AS247" i="14" s="1"/>
  <c r="W259" i="13"/>
  <c r="U259" i="14"/>
  <c r="W259" i="14" s="1"/>
  <c r="AB313" i="14"/>
  <c r="AB184" i="14"/>
  <c r="AB148" i="14"/>
  <c r="AB276" i="14"/>
  <c r="AB200" i="14"/>
  <c r="AB12" i="14"/>
  <c r="AB298" i="14"/>
  <c r="W189" i="13"/>
  <c r="U189" i="14"/>
  <c r="W189" i="14" s="1"/>
  <c r="W344" i="13"/>
  <c r="U344" i="14"/>
  <c r="W344" i="14" s="1"/>
  <c r="AT344" i="14" s="1"/>
  <c r="W73" i="13"/>
  <c r="U73" i="14"/>
  <c r="W73" i="14" s="1"/>
  <c r="AS73" i="14" s="1"/>
  <c r="W215" i="13"/>
  <c r="U215" i="14"/>
  <c r="W215" i="14" s="1"/>
  <c r="AT215" i="14" s="1"/>
  <c r="W162" i="13"/>
  <c r="U162" i="14"/>
  <c r="W162" i="14" s="1"/>
  <c r="AT162" i="14" s="1"/>
  <c r="W79" i="13"/>
  <c r="U79" i="14"/>
  <c r="W79" i="14" s="1"/>
  <c r="AT79" i="14" s="1"/>
  <c r="W332" i="13"/>
  <c r="U332" i="14"/>
  <c r="W332" i="14" s="1"/>
  <c r="AT332" i="14" s="1"/>
  <c r="W102" i="13"/>
  <c r="U102" i="14"/>
  <c r="W102" i="14" s="1"/>
  <c r="AT102" i="14" s="1"/>
  <c r="AF281" i="13"/>
  <c r="AC281" i="14"/>
  <c r="AF281" i="14" s="1"/>
  <c r="AF14" i="13"/>
  <c r="AC18" i="14"/>
  <c r="AF18" i="14" s="1"/>
  <c r="AF19" i="14"/>
  <c r="AC285" i="14"/>
  <c r="AF285" i="14" s="1"/>
  <c r="AF286" i="14"/>
  <c r="AF270" i="13"/>
  <c r="AC271" i="14"/>
  <c r="AF271" i="14" s="1"/>
  <c r="AF272" i="13"/>
  <c r="AF276" i="14"/>
  <c r="AC275" i="14"/>
  <c r="AF275" i="14" s="1"/>
  <c r="AF80" i="13"/>
  <c r="AF81" i="14"/>
  <c r="AC80" i="14"/>
  <c r="AF80" i="14" s="1"/>
  <c r="W320" i="13"/>
  <c r="U320" i="14"/>
  <c r="W320" i="14" s="1"/>
  <c r="W124" i="13"/>
  <c r="U124" i="14"/>
  <c r="W124" i="14" s="1"/>
  <c r="AS124" i="14" s="1"/>
  <c r="W65" i="13"/>
  <c r="U65" i="14"/>
  <c r="W65" i="14" s="1"/>
  <c r="AT65" i="14" s="1"/>
  <c r="AF41" i="13"/>
  <c r="AC41" i="14"/>
  <c r="AF41" i="14" s="1"/>
  <c r="W202" i="13"/>
  <c r="U207" i="14"/>
  <c r="W207" i="14" s="1"/>
  <c r="W326" i="13"/>
  <c r="U326" i="14"/>
  <c r="W326" i="14" s="1"/>
  <c r="AT326" i="14" s="1"/>
  <c r="W116" i="13"/>
  <c r="U116" i="14"/>
  <c r="W116" i="14" s="1"/>
  <c r="AT116" i="14" s="1"/>
  <c r="AF151" i="13"/>
  <c r="AC151" i="14"/>
  <c r="AF151" i="14" s="1"/>
  <c r="AS151" i="14" s="1"/>
  <c r="W290" i="13"/>
  <c r="U290" i="14"/>
  <c r="W290" i="14" s="1"/>
  <c r="W170" i="13"/>
  <c r="U170" i="14"/>
  <c r="W170" i="14" s="1"/>
  <c r="AT170" i="14" s="1"/>
  <c r="W82" i="13"/>
  <c r="U82" i="14"/>
  <c r="W82" i="14" s="1"/>
  <c r="AS82" i="14" s="1"/>
  <c r="W241" i="13"/>
  <c r="U241" i="14"/>
  <c r="W241" i="14" s="1"/>
  <c r="AT241" i="14" s="1"/>
  <c r="W163" i="13"/>
  <c r="U163" i="14"/>
  <c r="W163" i="14" s="1"/>
  <c r="AT163" i="14" s="1"/>
  <c r="AB291" i="14"/>
  <c r="AB132" i="14"/>
  <c r="AB325" i="14"/>
  <c r="AB38" i="14"/>
  <c r="AB81" i="14"/>
  <c r="AB125" i="14"/>
  <c r="AF305" i="13"/>
  <c r="AF306" i="14"/>
  <c r="AC305" i="14"/>
  <c r="AF305" i="14" s="1"/>
  <c r="W173" i="13"/>
  <c r="U173" i="14"/>
  <c r="W173" i="14" s="1"/>
  <c r="AT173" i="14" s="1"/>
  <c r="W237" i="13"/>
  <c r="U237" i="14"/>
  <c r="W237" i="14" s="1"/>
  <c r="AS237" i="14" s="1"/>
  <c r="W222" i="13"/>
  <c r="U222" i="14"/>
  <c r="W222" i="14" s="1"/>
  <c r="W227" i="13"/>
  <c r="U227" i="14"/>
  <c r="W227" i="14" s="1"/>
  <c r="AF315" i="13"/>
  <c r="AC315" i="14"/>
  <c r="AF315" i="14" s="1"/>
  <c r="AF187" i="13"/>
  <c r="AC187" i="14"/>
  <c r="AF187" i="14" s="1"/>
  <c r="AF257" i="13"/>
  <c r="AF258" i="14"/>
  <c r="AC257" i="14"/>
  <c r="AF257" i="14" s="1"/>
  <c r="AF28" i="13"/>
  <c r="AC28" i="14"/>
  <c r="AF28" i="14" s="1"/>
  <c r="AF29" i="14"/>
  <c r="W360" i="13"/>
  <c r="U360" i="14"/>
  <c r="W360" i="14" s="1"/>
  <c r="AT360" i="14" s="1"/>
  <c r="W236" i="13"/>
  <c r="U236" i="14"/>
  <c r="W236" i="14" s="1"/>
  <c r="AT236" i="14" s="1"/>
  <c r="W156" i="13"/>
  <c r="U156" i="14"/>
  <c r="W156" i="14" s="1"/>
  <c r="AS156" i="14" s="1"/>
  <c r="W117" i="13"/>
  <c r="U117" i="14"/>
  <c r="W117" i="14" s="1"/>
  <c r="AT117" i="14" s="1"/>
  <c r="W113" i="13"/>
  <c r="U113" i="14"/>
  <c r="W113" i="14" s="1"/>
  <c r="W329" i="13"/>
  <c r="U329" i="14"/>
  <c r="W329" i="14" s="1"/>
  <c r="AT329" i="14" s="1"/>
  <c r="AF84" i="13"/>
  <c r="AC84" i="14"/>
  <c r="AF84" i="14" s="1"/>
  <c r="W264" i="13"/>
  <c r="U264" i="14"/>
  <c r="W264" i="14" s="1"/>
  <c r="AT264" i="14" s="1"/>
  <c r="W315" i="13"/>
  <c r="U315" i="14"/>
  <c r="W315" i="14" s="1"/>
  <c r="W63" i="13"/>
  <c r="U63" i="14"/>
  <c r="W63" i="14" s="1"/>
  <c r="W168" i="13"/>
  <c r="U168" i="14"/>
  <c r="W168" i="14" s="1"/>
  <c r="AT168" i="14" s="1"/>
  <c r="W322" i="13"/>
  <c r="U322" i="14"/>
  <c r="W322" i="14" s="1"/>
  <c r="AT322" i="14" s="1"/>
  <c r="W304" i="13"/>
  <c r="U304" i="14"/>
  <c r="W304" i="14" s="1"/>
  <c r="AT304" i="14" s="1"/>
  <c r="W6" i="13"/>
  <c r="U6" i="14"/>
  <c r="W6" i="14" s="1"/>
  <c r="AB133" i="14"/>
  <c r="AB258" i="14"/>
  <c r="AB17" i="14"/>
  <c r="AB91" i="14"/>
  <c r="AB93" i="14"/>
  <c r="W167" i="13"/>
  <c r="U167" i="14"/>
  <c r="W167" i="14" s="1"/>
  <c r="AT167" i="14" s="1"/>
  <c r="AF125" i="13"/>
  <c r="AC125" i="14"/>
  <c r="AF125" i="14" s="1"/>
  <c r="AF42" i="13"/>
  <c r="AC42" i="14"/>
  <c r="AF42" i="14" s="1"/>
  <c r="W175" i="13"/>
  <c r="U175" i="14"/>
  <c r="W175" i="14" s="1"/>
  <c r="AT175" i="14" s="1"/>
  <c r="W174" i="13"/>
  <c r="U174" i="14"/>
  <c r="W174" i="14" s="1"/>
  <c r="AF83" i="13"/>
  <c r="AC83" i="14"/>
  <c r="AF83" i="14" s="1"/>
  <c r="W74" i="13"/>
  <c r="U74" i="14"/>
  <c r="W74" i="14" s="1"/>
  <c r="W144" i="13"/>
  <c r="U144" i="14"/>
  <c r="W144" i="14" s="1"/>
  <c r="AT144" i="14" s="1"/>
  <c r="W172" i="13"/>
  <c r="U172" i="14"/>
  <c r="W172" i="14" s="1"/>
  <c r="AC148" i="14"/>
  <c r="AF148" i="14" s="1"/>
  <c r="AF149" i="14"/>
  <c r="AF324" i="13"/>
  <c r="AC324" i="14"/>
  <c r="AF324" i="14" s="1"/>
  <c r="AF325" i="14"/>
  <c r="AF199" i="13"/>
  <c r="AF202" i="14"/>
  <c r="AC201" i="14"/>
  <c r="AF201" i="14" s="1"/>
  <c r="AF298" i="13"/>
  <c r="AC298" i="14"/>
  <c r="AF298" i="14" s="1"/>
  <c r="W244" i="13"/>
  <c r="U244" i="14"/>
  <c r="W244" i="14" s="1"/>
  <c r="AT244" i="14" s="1"/>
  <c r="AF226" i="13"/>
  <c r="AC226" i="14"/>
  <c r="AF226" i="14" s="1"/>
  <c r="W357" i="13"/>
  <c r="U357" i="14"/>
  <c r="W357" i="14" s="1"/>
  <c r="W3" i="13"/>
  <c r="U3" i="14"/>
  <c r="W3" i="14" s="1"/>
  <c r="AT3" i="14" s="1"/>
  <c r="W78" i="13"/>
  <c r="U78" i="14"/>
  <c r="W78" i="14" s="1"/>
  <c r="AT78" i="14" s="1"/>
  <c r="AF113" i="13"/>
  <c r="AC113" i="14"/>
  <c r="AF113" i="14" s="1"/>
  <c r="W347" i="13"/>
  <c r="U347" i="14"/>
  <c r="W347" i="14" s="1"/>
  <c r="AS347" i="14" s="1"/>
  <c r="W61" i="13"/>
  <c r="U61" i="14"/>
  <c r="W61" i="14" s="1"/>
  <c r="W265" i="13"/>
  <c r="U265" i="14"/>
  <c r="W265" i="14" s="1"/>
  <c r="AT265" i="14" s="1"/>
  <c r="W164" i="13"/>
  <c r="U164" i="14"/>
  <c r="W164" i="14" s="1"/>
  <c r="AS164" i="14" s="1"/>
  <c r="AB257" i="14"/>
  <c r="AB192" i="14"/>
  <c r="AB16" i="14"/>
  <c r="AB90" i="14"/>
  <c r="AB321" i="14"/>
  <c r="AB189" i="14"/>
  <c r="AB358" i="14"/>
  <c r="AB320" i="14"/>
  <c r="AB346" i="14"/>
  <c r="AB190" i="14"/>
  <c r="AF242" i="13"/>
  <c r="W178" i="13"/>
  <c r="U178" i="14"/>
  <c r="W178" i="14" s="1"/>
  <c r="AS178" i="14" s="1"/>
  <c r="W157" i="13"/>
  <c r="U157" i="14"/>
  <c r="W157" i="14" s="1"/>
  <c r="AT157" i="14" s="1"/>
  <c r="W112" i="13"/>
  <c r="U112" i="14"/>
  <c r="W112" i="14" s="1"/>
  <c r="AS112" i="14" s="1"/>
  <c r="W293" i="13"/>
  <c r="U293" i="14"/>
  <c r="W293" i="14" s="1"/>
  <c r="AT293" i="14" s="1"/>
  <c r="W99" i="13"/>
  <c r="U99" i="14"/>
  <c r="W99" i="14" s="1"/>
  <c r="AT99" i="14" s="1"/>
  <c r="AF171" i="13"/>
  <c r="AC171" i="14"/>
  <c r="AF171" i="14" s="1"/>
  <c r="W327" i="13"/>
  <c r="U327" i="14"/>
  <c r="W327" i="14" s="1"/>
  <c r="AT327" i="14" s="1"/>
  <c r="AF371" i="13"/>
  <c r="AC370" i="14"/>
  <c r="AF370" i="14" s="1"/>
  <c r="AT370" i="14" s="1"/>
  <c r="AF91" i="13"/>
  <c r="AC92" i="14"/>
  <c r="AF92" i="14" s="1"/>
  <c r="AF93" i="14"/>
  <c r="W128" i="13"/>
  <c r="U128" i="14"/>
  <c r="W128" i="14" s="1"/>
  <c r="W245" i="13"/>
  <c r="U245" i="14"/>
  <c r="W245" i="14" s="1"/>
  <c r="AT245" i="14" s="1"/>
  <c r="W226" i="13"/>
  <c r="U226" i="14"/>
  <c r="W226" i="14" s="1"/>
  <c r="W328" i="13"/>
  <c r="U328" i="14"/>
  <c r="W328" i="14" s="1"/>
  <c r="AT328" i="14" s="1"/>
  <c r="W180" i="13"/>
  <c r="U180" i="14"/>
  <c r="W180" i="14" s="1"/>
  <c r="AS180" i="14" s="1"/>
  <c r="W280" i="13"/>
  <c r="U280" i="14"/>
  <c r="W280" i="14" s="1"/>
  <c r="AF249" i="13"/>
  <c r="AC249" i="14"/>
  <c r="AF249" i="14" s="1"/>
  <c r="AS249" i="14" s="1"/>
  <c r="AF309" i="13"/>
  <c r="AC309" i="14"/>
  <c r="AF309" i="14" s="1"/>
  <c r="W158" i="13"/>
  <c r="U158" i="14"/>
  <c r="W158" i="14" s="1"/>
  <c r="AT158" i="14" s="1"/>
  <c r="W30" i="13"/>
  <c r="U30" i="14"/>
  <c r="W30" i="14" s="1"/>
  <c r="AT30" i="14" s="1"/>
  <c r="W28" i="13"/>
  <c r="U28" i="14"/>
  <c r="W28" i="14" s="1"/>
  <c r="W282" i="13"/>
  <c r="U282" i="14"/>
  <c r="W282" i="14" s="1"/>
  <c r="W337" i="13"/>
  <c r="U337" i="14"/>
  <c r="W337" i="14" s="1"/>
  <c r="AS337" i="14" s="1"/>
  <c r="W352" i="13"/>
  <c r="U352" i="14"/>
  <c r="W352" i="14" s="1"/>
  <c r="W67" i="13"/>
  <c r="U67" i="14"/>
  <c r="W67" i="14" s="1"/>
  <c r="AT67" i="14" s="1"/>
  <c r="W373" i="13"/>
  <c r="U373" i="14"/>
  <c r="W373" i="14" s="1"/>
  <c r="AS373" i="14" s="1"/>
  <c r="W292" i="13"/>
  <c r="U292" i="14"/>
  <c r="W292" i="14" s="1"/>
  <c r="AS292" i="14" s="1"/>
  <c r="W261" i="13"/>
  <c r="W262" i="14"/>
  <c r="U261" i="14"/>
  <c r="W261" i="14" s="1"/>
  <c r="AF89" i="13"/>
  <c r="AC89" i="14"/>
  <c r="AF89" i="14" s="1"/>
  <c r="W62" i="13"/>
  <c r="U62" i="14"/>
  <c r="W62" i="14" s="1"/>
  <c r="AS62" i="14" s="1"/>
  <c r="W348" i="13"/>
  <c r="U348" i="14"/>
  <c r="W348" i="14" s="1"/>
  <c r="W305" i="13"/>
  <c r="U305" i="14"/>
  <c r="W305" i="14" s="1"/>
  <c r="W370" i="13"/>
  <c r="U369" i="14"/>
  <c r="W369" i="14" s="1"/>
  <c r="AF37" i="13"/>
  <c r="AC37" i="14"/>
  <c r="AF37" i="14" s="1"/>
  <c r="AF38" i="14"/>
  <c r="W253" i="13"/>
  <c r="U253" i="14"/>
  <c r="W253" i="14" s="1"/>
  <c r="AT253" i="14" s="1"/>
  <c r="W45" i="13"/>
  <c r="U45" i="14"/>
  <c r="W45" i="14" s="1"/>
  <c r="AT45" i="14" s="1"/>
  <c r="W228" i="13"/>
  <c r="U228" i="14"/>
  <c r="W228" i="14" s="1"/>
  <c r="AF232" i="13"/>
  <c r="AC232" i="14"/>
  <c r="AF232" i="14" s="1"/>
  <c r="W176" i="13"/>
  <c r="U176" i="14"/>
  <c r="W176" i="14" s="1"/>
  <c r="AF230" i="13"/>
  <c r="AC230" i="14"/>
  <c r="AF230" i="14" s="1"/>
  <c r="W345" i="13"/>
  <c r="U345" i="14"/>
  <c r="W345" i="14" s="1"/>
  <c r="W197" i="13"/>
  <c r="U197" i="14"/>
  <c r="W197" i="14" s="1"/>
  <c r="AF240" i="13"/>
  <c r="AC240" i="14"/>
  <c r="AF240" i="14" s="1"/>
  <c r="W366" i="13"/>
  <c r="U366" i="14"/>
  <c r="W366" i="14" s="1"/>
  <c r="AT366" i="14" s="1"/>
  <c r="W96" i="13"/>
  <c r="U96" i="14"/>
  <c r="W96" i="14" s="1"/>
  <c r="AT96" i="14" s="1"/>
  <c r="W145" i="13"/>
  <c r="U145" i="14"/>
  <c r="W145" i="14" s="1"/>
  <c r="AT145" i="14" s="1"/>
  <c r="W23" i="13"/>
  <c r="U23" i="14"/>
  <c r="W23" i="14" s="1"/>
  <c r="AT23" i="14" s="1"/>
  <c r="W269" i="13"/>
  <c r="U269" i="14"/>
  <c r="W269" i="14" s="1"/>
  <c r="W295" i="13"/>
  <c r="U295" i="14"/>
  <c r="W295" i="14" s="1"/>
  <c r="AS295" i="14" s="1"/>
  <c r="W161" i="13"/>
  <c r="U161" i="14"/>
  <c r="W161" i="14" s="1"/>
  <c r="W240" i="13"/>
  <c r="U240" i="14"/>
  <c r="W240" i="14" s="1"/>
  <c r="AB141" i="14"/>
  <c r="AB274" i="14"/>
  <c r="W225" i="13"/>
  <c r="U225" i="14"/>
  <c r="W225" i="14" s="1"/>
  <c r="W80" i="13"/>
  <c r="U80" i="14"/>
  <c r="W80" i="14" s="1"/>
  <c r="W148" i="13"/>
  <c r="U148" i="14"/>
  <c r="W148" i="14" s="1"/>
  <c r="AF234" i="13"/>
  <c r="AC234" i="14"/>
  <c r="AF234" i="14" s="1"/>
  <c r="AC47" i="14"/>
  <c r="AF47" i="14" s="1"/>
  <c r="AF48" i="14"/>
  <c r="AF280" i="13"/>
  <c r="AC280" i="14"/>
  <c r="AF280" i="14" s="1"/>
  <c r="AF50" i="13"/>
  <c r="AC50" i="14"/>
  <c r="AF50" i="14" s="1"/>
  <c r="W309" i="13"/>
  <c r="U309" i="14"/>
  <c r="W309" i="14" s="1"/>
  <c r="W31" i="13"/>
  <c r="U31" i="14"/>
  <c r="W31" i="14" s="1"/>
  <c r="AT31" i="14" s="1"/>
  <c r="W343" i="13"/>
  <c r="U343" i="14"/>
  <c r="W343" i="14" s="1"/>
  <c r="AT343" i="14" s="1"/>
  <c r="W75" i="13"/>
  <c r="U75" i="14"/>
  <c r="W75" i="14" s="1"/>
  <c r="AS75" i="14" s="1"/>
  <c r="W179" i="13"/>
  <c r="U179" i="14"/>
  <c r="W179" i="14" s="1"/>
  <c r="AT179" i="14" s="1"/>
  <c r="AB350" i="14"/>
  <c r="W219" i="13"/>
  <c r="U219" i="14"/>
  <c r="W219" i="14" s="1"/>
  <c r="W296" i="13"/>
  <c r="U296" i="14"/>
  <c r="W296" i="14" s="1"/>
  <c r="AS296" i="14" s="1"/>
  <c r="AF129" i="13"/>
  <c r="AC129" i="14"/>
  <c r="AF129" i="14" s="1"/>
  <c r="AS129" i="14" s="1"/>
  <c r="AF213" i="13"/>
  <c r="AC213" i="14"/>
  <c r="AF213" i="14" s="1"/>
  <c r="AF34" i="13"/>
  <c r="AC34" i="14"/>
  <c r="AF34" i="14" s="1"/>
  <c r="W341" i="13"/>
  <c r="U341" i="14"/>
  <c r="W341" i="14" s="1"/>
  <c r="AT341" i="14" s="1"/>
  <c r="AF33" i="13"/>
  <c r="AC33" i="14"/>
  <c r="W12" i="13"/>
  <c r="U14" i="14"/>
  <c r="W14" i="14" s="1"/>
  <c r="AF150" i="13"/>
  <c r="AC150" i="14"/>
  <c r="AF150" i="14" s="1"/>
  <c r="W311" i="13"/>
  <c r="U311" i="14"/>
  <c r="W311" i="14" s="1"/>
  <c r="AT311" i="14" s="1"/>
  <c r="W268" i="13"/>
  <c r="U268" i="14"/>
  <c r="W268" i="14" s="1"/>
  <c r="AT268" i="14" s="1"/>
  <c r="W41" i="13"/>
  <c r="U41" i="14"/>
  <c r="W41" i="14" s="1"/>
  <c r="W353" i="13"/>
  <c r="U353" i="14"/>
  <c r="W353" i="14" s="1"/>
  <c r="AT353" i="14" s="1"/>
  <c r="AB351" i="14"/>
  <c r="AB319" i="14"/>
  <c r="AB349" i="14"/>
  <c r="AB193" i="14"/>
  <c r="W35" i="13"/>
  <c r="U35" i="14"/>
  <c r="W35" i="14" s="1"/>
  <c r="AT35" i="14" s="1"/>
  <c r="W183" i="13"/>
  <c r="U183" i="14"/>
  <c r="W183" i="14" s="1"/>
  <c r="AS183" i="14" s="1"/>
  <c r="AF352" i="13"/>
  <c r="AC352" i="14"/>
  <c r="AF352" i="14" s="1"/>
  <c r="AF128" i="13"/>
  <c r="AC128" i="14"/>
  <c r="AF128" i="14" s="1"/>
  <c r="AF231" i="13"/>
  <c r="AC231" i="14"/>
  <c r="AF231" i="14" s="1"/>
  <c r="AF59" i="13"/>
  <c r="AC59" i="14"/>
  <c r="AF59" i="14" s="1"/>
  <c r="W24" i="13"/>
  <c r="U24" i="14"/>
  <c r="W24" i="14" s="1"/>
  <c r="AS24" i="14" s="1"/>
  <c r="W342" i="13"/>
  <c r="U342" i="14"/>
  <c r="W342" i="14" s="1"/>
  <c r="AS342" i="14" s="1"/>
  <c r="W372" i="13"/>
  <c r="U372" i="14"/>
  <c r="W372" i="14" s="1"/>
  <c r="AT372" i="14" s="1"/>
  <c r="W119" i="13"/>
  <c r="U119" i="14"/>
  <c r="W119" i="14" s="1"/>
  <c r="AT119" i="14" s="1"/>
  <c r="W271" i="13"/>
  <c r="U273" i="14"/>
  <c r="W273" i="14" s="1"/>
  <c r="AB348" i="14"/>
  <c r="AB8" i="14"/>
  <c r="W355" i="13"/>
  <c r="U355" i="14"/>
  <c r="W355" i="14" s="1"/>
  <c r="AT355" i="14" s="1"/>
  <c r="W142" i="13"/>
  <c r="U142" i="14"/>
  <c r="W142" i="14" s="1"/>
  <c r="AT142" i="14" s="1"/>
  <c r="W231" i="13"/>
  <c r="U231" i="14"/>
  <c r="W231" i="14" s="1"/>
  <c r="AF176" i="13"/>
  <c r="AC176" i="14"/>
  <c r="AF176" i="14" s="1"/>
  <c r="W242" i="13"/>
  <c r="U242" i="14"/>
  <c r="W242" i="14" s="1"/>
  <c r="W21" i="13"/>
  <c r="U21" i="14"/>
  <c r="W21" i="14" s="1"/>
  <c r="AT21" i="14" s="1"/>
  <c r="W298" i="13"/>
  <c r="U298" i="14"/>
  <c r="W298" i="14" s="1"/>
  <c r="W10" i="13"/>
  <c r="U10" i="14"/>
  <c r="W10" i="14" s="1"/>
  <c r="W272" i="13"/>
  <c r="U275" i="14"/>
  <c r="W275" i="14" s="1"/>
  <c r="W171" i="13"/>
  <c r="U171" i="14"/>
  <c r="W171" i="14" s="1"/>
  <c r="W234" i="13"/>
  <c r="U234" i="14"/>
  <c r="W234" i="14" s="1"/>
  <c r="W150" i="13"/>
  <c r="U150" i="14"/>
  <c r="W150" i="14" s="1"/>
  <c r="AB310" i="14"/>
  <c r="AB9" i="14"/>
  <c r="W134" i="13"/>
  <c r="U134" i="14"/>
  <c r="W134" i="14" s="1"/>
  <c r="AT134" i="14" s="1"/>
  <c r="W47" i="13"/>
  <c r="U47" i="14"/>
  <c r="W47" i="14" s="1"/>
  <c r="W76" i="13"/>
  <c r="U76" i="14"/>
  <c r="W76" i="14" s="1"/>
  <c r="AF369" i="13"/>
  <c r="AC368" i="14"/>
  <c r="AF368" i="14" s="1"/>
  <c r="W318" i="13"/>
  <c r="U318" i="14"/>
  <c r="W318" i="14" s="1"/>
  <c r="W187" i="13"/>
  <c r="U187" i="14"/>
  <c r="W187" i="14" s="1"/>
  <c r="W374" i="13"/>
  <c r="U374" i="14"/>
  <c r="W374" i="14" s="1"/>
  <c r="AT374" i="14" s="1"/>
  <c r="AF313" i="13"/>
  <c r="AC313" i="14"/>
  <c r="AF313" i="14" s="1"/>
  <c r="W191" i="13"/>
  <c r="U191" i="14"/>
  <c r="W191" i="14" s="1"/>
  <c r="W246" i="13"/>
  <c r="U246" i="14"/>
  <c r="W246" i="14" s="1"/>
  <c r="AS246" i="14" s="1"/>
  <c r="AF259" i="13"/>
  <c r="AC259" i="14"/>
  <c r="AF259" i="14" s="1"/>
  <c r="AF283" i="13"/>
  <c r="AC283" i="14"/>
  <c r="AF283" i="14" s="1"/>
  <c r="AF172" i="13"/>
  <c r="AC172" i="14"/>
  <c r="AF172" i="14" s="1"/>
  <c r="AF219" i="13"/>
  <c r="AC219" i="14"/>
  <c r="AF219" i="14" s="1"/>
  <c r="W40" i="13"/>
  <c r="U40" i="14"/>
  <c r="W40" i="14" s="1"/>
  <c r="AT40" i="14" s="1"/>
  <c r="AB336" i="14"/>
  <c r="I101" i="11" a="1"/>
  <c r="I101" i="11" s="1"/>
  <c r="X101" i="11" a="1"/>
  <c r="X101" i="11" s="1"/>
  <c r="Y101" i="11" a="1"/>
  <c r="Y101" i="11" s="1"/>
  <c r="O101" i="11" a="1"/>
  <c r="O101" i="11" s="1"/>
  <c r="AO48" i="10" a="1"/>
  <c r="AO48" i="10" s="1"/>
  <c r="AP7" i="10"/>
  <c r="AH49" i="18" l="1"/>
  <c r="X34" i="18"/>
  <c r="X55" i="18"/>
  <c r="X191" i="18"/>
  <c r="X85" i="18"/>
  <c r="X154" i="18"/>
  <c r="X138" i="18"/>
  <c r="M207" i="18"/>
  <c r="M5" i="1" a="1"/>
  <c r="M5" i="1" s="1"/>
  <c r="M183" i="18"/>
  <c r="M109" i="18"/>
  <c r="M244" i="18"/>
  <c r="Z18" i="18" a="1"/>
  <c r="Z18" i="18" s="1"/>
  <c r="Z19" i="18" a="1"/>
  <c r="Z19" i="18" s="1"/>
  <c r="Z41" i="18" a="1"/>
  <c r="Z41" i="18" s="1"/>
  <c r="M24" i="18"/>
  <c r="M9" i="18"/>
  <c r="M121" i="18"/>
  <c r="M14" i="18"/>
  <c r="X169" i="18"/>
  <c r="X72" i="18"/>
  <c r="M157" i="18"/>
  <c r="X171" i="18"/>
  <c r="M38" i="18"/>
  <c r="M12" i="1" a="1"/>
  <c r="M12" i="1" s="1"/>
  <c r="M211" i="18"/>
  <c r="M23" i="18"/>
  <c r="M28" i="18"/>
  <c r="X54" i="18"/>
  <c r="Z11" i="18" a="1"/>
  <c r="Z11" i="18" s="1"/>
  <c r="Z45" i="18" a="1"/>
  <c r="Z45" i="18" s="1"/>
  <c r="Z111" i="18" a="1"/>
  <c r="Z111" i="18" s="1"/>
  <c r="Z166" i="18" a="1"/>
  <c r="Z166" i="18" s="1"/>
  <c r="Z35" i="18" a="1"/>
  <c r="Z35" i="18" s="1"/>
  <c r="Z196" i="18" a="1"/>
  <c r="Z196" i="18" s="1"/>
  <c r="Z76" i="18" a="1"/>
  <c r="Z76" i="18" s="1"/>
  <c r="Z80" i="18" a="1"/>
  <c r="Z80" i="18" s="1"/>
  <c r="Z162" i="18" a="1"/>
  <c r="Z162" i="18" s="1"/>
  <c r="Z47" i="18" a="1"/>
  <c r="Z47" i="18" s="1"/>
  <c r="Z124" i="18" a="1"/>
  <c r="Z124" i="18" s="1"/>
  <c r="M146" i="18"/>
  <c r="AH86" i="18"/>
  <c r="Z176" i="18" a="1"/>
  <c r="Z176" i="18" s="1"/>
  <c r="Z65" i="18" a="1"/>
  <c r="Z65" i="18" s="1"/>
  <c r="Z115" i="18" a="1"/>
  <c r="Z115" i="18" s="1"/>
  <c r="X237" i="18"/>
  <c r="M224" i="18"/>
  <c r="M55" i="18"/>
  <c r="M169" i="18"/>
  <c r="X179" i="18"/>
  <c r="M237" i="18"/>
  <c r="M64" i="18"/>
  <c r="M69" i="18"/>
  <c r="M124" i="18"/>
  <c r="M45" i="18"/>
  <c r="Z54" i="18" a="1"/>
  <c r="Z54" i="18" s="1"/>
  <c r="Z142" i="18" a="1"/>
  <c r="Z142" i="18" s="1"/>
  <c r="M17" i="18"/>
  <c r="M83" i="18"/>
  <c r="M59" i="18"/>
  <c r="M155" i="18"/>
  <c r="M97" i="18"/>
  <c r="M150" i="18"/>
  <c r="M73" i="18"/>
  <c r="M140" i="18"/>
  <c r="Z100" i="18" a="1"/>
  <c r="Z100" i="18" s="1"/>
  <c r="Z184" i="18" a="1"/>
  <c r="Z184" i="18" s="1"/>
  <c r="AH22" i="18"/>
  <c r="Z165" i="18" a="1"/>
  <c r="Z165" i="18" s="1"/>
  <c r="Z173" i="18" a="1"/>
  <c r="Z173" i="18" s="1"/>
  <c r="Z164" i="18" a="1"/>
  <c r="Z164" i="18" s="1"/>
  <c r="Z43" i="18" a="1"/>
  <c r="Z43" i="18" s="1"/>
  <c r="Z32" i="18" a="1"/>
  <c r="Z32" i="18" s="1"/>
  <c r="Z29" i="18" a="1"/>
  <c r="Z29" i="18" s="1"/>
  <c r="Z153" i="18" a="1"/>
  <c r="Z153" i="18" s="1"/>
  <c r="Z214" i="18" a="1"/>
  <c r="Z214" i="18" s="1"/>
  <c r="Z31" i="18" a="1"/>
  <c r="Z31" i="18" s="1"/>
  <c r="Z23" i="18" a="1"/>
  <c r="Z23" i="18" s="1"/>
  <c r="Z122" i="18" a="1"/>
  <c r="Z122" i="18" s="1"/>
  <c r="M208" i="18"/>
  <c r="M48" i="18"/>
  <c r="M227" i="18"/>
  <c r="Z194" i="18" a="1"/>
  <c r="Z194" i="18" s="1"/>
  <c r="Z126" i="18" a="1"/>
  <c r="Z126" i="18" s="1"/>
  <c r="Z158" i="18" a="1"/>
  <c r="Z158" i="18" s="1"/>
  <c r="Z12" i="18" a="1"/>
  <c r="Z12" i="18" s="1"/>
  <c r="Z63" i="18" a="1"/>
  <c r="Z63" i="18" s="1"/>
  <c r="Z127" i="18" a="1"/>
  <c r="Z127" i="18" s="1"/>
  <c r="Z226" i="18" a="1"/>
  <c r="Z226" i="18" s="1"/>
  <c r="Z15" i="18" a="1"/>
  <c r="Z15" i="18" s="1"/>
  <c r="Z208" i="18" a="1"/>
  <c r="Z208" i="18" s="1"/>
  <c r="Z105" i="18" a="1"/>
  <c r="Z105" i="18" s="1"/>
  <c r="AT152" i="14"/>
  <c r="AS103" i="14"/>
  <c r="Z225" i="18" a="1"/>
  <c r="Z225" i="18" s="1"/>
  <c r="Z193" i="18" a="1"/>
  <c r="Z193" i="18" s="1"/>
  <c r="AT87" i="14"/>
  <c r="AH128" i="18"/>
  <c r="Z186" i="18" a="1"/>
  <c r="Z186" i="18" s="1"/>
  <c r="Z222" i="18" a="1"/>
  <c r="Z222" i="18" s="1"/>
  <c r="Z212" i="18" a="1"/>
  <c r="Z212" i="18" s="1"/>
  <c r="Z133" i="18" a="1"/>
  <c r="Z133" i="18" s="1"/>
  <c r="AH110" i="18"/>
  <c r="X114" i="18"/>
  <c r="X166" i="18"/>
  <c r="Z4" i="18" a="1"/>
  <c r="Z4" i="18" s="1"/>
  <c r="X9" i="18"/>
  <c r="X130" i="18"/>
  <c r="Z34" i="18" a="1"/>
  <c r="Z34" i="18" s="1"/>
  <c r="Z60" i="18" a="1"/>
  <c r="Z60" i="18" s="1"/>
  <c r="Z94" i="18" a="1"/>
  <c r="Z94" i="18" s="1"/>
  <c r="Z90" i="18" a="1"/>
  <c r="Z90" i="18" s="1"/>
  <c r="AT219" i="14"/>
  <c r="AT128" i="14"/>
  <c r="AT49" i="14"/>
  <c r="AT281" i="14"/>
  <c r="AT242" i="14"/>
  <c r="AF69" i="14"/>
  <c r="AT69" i="14" s="1"/>
  <c r="AS286" i="14"/>
  <c r="AT76" i="14"/>
  <c r="AT229" i="14"/>
  <c r="AT240" i="14"/>
  <c r="AT203" i="14"/>
  <c r="AT55" i="14"/>
  <c r="AT41" i="14"/>
  <c r="AT318" i="14"/>
  <c r="AT226" i="14"/>
  <c r="AT74" i="14"/>
  <c r="AT283" i="14"/>
  <c r="AT84" i="14"/>
  <c r="AT185" i="14"/>
  <c r="AT298" i="14"/>
  <c r="AT280" i="14"/>
  <c r="AT86" i="14"/>
  <c r="AT58" i="14"/>
  <c r="AT218" i="14"/>
  <c r="AT187" i="14"/>
  <c r="AT150" i="14"/>
  <c r="AT61" i="14"/>
  <c r="AT248" i="14"/>
  <c r="AT234" i="14"/>
  <c r="AT369" i="14"/>
  <c r="AT300" i="14"/>
  <c r="AT310" i="14"/>
  <c r="AT171" i="14"/>
  <c r="AT231" i="14"/>
  <c r="AT259" i="14"/>
  <c r="AT77" i="14"/>
  <c r="AT166" i="14"/>
  <c r="AS154" i="14"/>
  <c r="AT230" i="14"/>
  <c r="AT315" i="14"/>
  <c r="AT204" i="14"/>
  <c r="AT172" i="14"/>
  <c r="AT113" i="14"/>
  <c r="AT89" i="14"/>
  <c r="AT51" i="14"/>
  <c r="AT330" i="14"/>
  <c r="AT34" i="14"/>
  <c r="AT68" i="14"/>
  <c r="AT200" i="14"/>
  <c r="AT83" i="14"/>
  <c r="AT309" i="14"/>
  <c r="AT225" i="14"/>
  <c r="AT176" i="14"/>
  <c r="AT63" i="14"/>
  <c r="AT50" i="14"/>
  <c r="AT227" i="14"/>
  <c r="AT59" i="14"/>
  <c r="AT367" i="14"/>
  <c r="AT321" i="14"/>
  <c r="AT331" i="14"/>
  <c r="AT320" i="14"/>
  <c r="AT184" i="14"/>
  <c r="AT228" i="14"/>
  <c r="AT352" i="14"/>
  <c r="AT174" i="14"/>
  <c r="AT222" i="14"/>
  <c r="AT319" i="14"/>
  <c r="AT161" i="14"/>
  <c r="AT257" i="14"/>
  <c r="AT6" i="14"/>
  <c r="AT105" i="14"/>
  <c r="AT233" i="14"/>
  <c r="AT232" i="14"/>
  <c r="AT207" i="14"/>
  <c r="AT199" i="14"/>
  <c r="AT214" i="14"/>
  <c r="AT368" i="14"/>
  <c r="AT217" i="14"/>
  <c r="AT213" i="14"/>
  <c r="AT282" i="14"/>
  <c r="AT130" i="14"/>
  <c r="AT42" i="14"/>
  <c r="AT258" i="14"/>
  <c r="AT205" i="14"/>
  <c r="AT291" i="14"/>
  <c r="AT345" i="14"/>
  <c r="AT348" i="14"/>
  <c r="AT342" i="14"/>
  <c r="AT164" i="14"/>
  <c r="AT90" i="14"/>
  <c r="AT206" i="14"/>
  <c r="AT17" i="14"/>
  <c r="AT324" i="14"/>
  <c r="AT47" i="14"/>
  <c r="AT12" i="14"/>
  <c r="AT15" i="14"/>
  <c r="AT325" i="14"/>
  <c r="AT160" i="14"/>
  <c r="AT39" i="14"/>
  <c r="AT361" i="14"/>
  <c r="AT138" i="14"/>
  <c r="AT197" i="14"/>
  <c r="AT262" i="14"/>
  <c r="AT193" i="14"/>
  <c r="AT92" i="14"/>
  <c r="AT202" i="14"/>
  <c r="AT290" i="14"/>
  <c r="AT364" i="14"/>
  <c r="AT297" i="14"/>
  <c r="AT20" i="14"/>
  <c r="AT347" i="14"/>
  <c r="AT292" i="14"/>
  <c r="AT53" i="14"/>
  <c r="AT246" i="14"/>
  <c r="AT275" i="14"/>
  <c r="AT148" i="14"/>
  <c r="AT28" i="14"/>
  <c r="AT271" i="14"/>
  <c r="AT64" i="14"/>
  <c r="AT210" i="14"/>
  <c r="AT29" i="14"/>
  <c r="AT139" i="14"/>
  <c r="AT243" i="14"/>
  <c r="AT294" i="14"/>
  <c r="AT14" i="14"/>
  <c r="AT198" i="14"/>
  <c r="AT48" i="14"/>
  <c r="AT10" i="14"/>
  <c r="AT192" i="14"/>
  <c r="AT357" i="14"/>
  <c r="AT299" i="14"/>
  <c r="AT13" i="14"/>
  <c r="AT93" i="14"/>
  <c r="AT272" i="14"/>
  <c r="AT249" i="14"/>
  <c r="AT247" i="14"/>
  <c r="AT239" i="14"/>
  <c r="AT254" i="14"/>
  <c r="AT180" i="14"/>
  <c r="AT336" i="14"/>
  <c r="Z199" i="18" a="1"/>
  <c r="Z199" i="18" s="1"/>
  <c r="Z235" i="18" a="1"/>
  <c r="Z235" i="18" s="1"/>
  <c r="Z56" i="18" a="1"/>
  <c r="Z56" i="18" s="1"/>
  <c r="AT285" i="14"/>
  <c r="AT274" i="14"/>
  <c r="AT314" i="14"/>
  <c r="AT351" i="14"/>
  <c r="AT80" i="14"/>
  <c r="AT288" i="14"/>
  <c r="AT365" i="14"/>
  <c r="AT104" i="14"/>
  <c r="AT323" i="14"/>
  <c r="AT118" i="14"/>
  <c r="AT140" i="14"/>
  <c r="Z197" i="18" a="1"/>
  <c r="Z197" i="18" s="1"/>
  <c r="Z48" i="18" a="1"/>
  <c r="Z48" i="18" s="1"/>
  <c r="AT208" i="14"/>
  <c r="AT8" i="14"/>
  <c r="AT335" i="14"/>
  <c r="AT133" i="14"/>
  <c r="AT82" i="14"/>
  <c r="AT107" i="14"/>
  <c r="AT178" i="14"/>
  <c r="AT263" i="14"/>
  <c r="AT122" i="14"/>
  <c r="AT132" i="14"/>
  <c r="AT149" i="14"/>
  <c r="AT91" i="14"/>
  <c r="AT189" i="14"/>
  <c r="AT141" i="14"/>
  <c r="AT273" i="14"/>
  <c r="AT287" i="14"/>
  <c r="AT270" i="14"/>
  <c r="AT112" i="14"/>
  <c r="AT156" i="14"/>
  <c r="AT129" i="14"/>
  <c r="AT146" i="14"/>
  <c r="AT261" i="14"/>
  <c r="AT313" i="14"/>
  <c r="AT125" i="14"/>
  <c r="AT346" i="14"/>
  <c r="AT358" i="14"/>
  <c r="AT194" i="14"/>
  <c r="Z102" i="18" a="1"/>
  <c r="Z102" i="18" s="1"/>
  <c r="AT22" i="14"/>
  <c r="AT24" i="14"/>
  <c r="AT190" i="14"/>
  <c r="AT350" i="14"/>
  <c r="AT306" i="14"/>
  <c r="AT11" i="14"/>
  <c r="AT209" i="14"/>
  <c r="AT37" i="14"/>
  <c r="AT284" i="14"/>
  <c r="AT296" i="14"/>
  <c r="AT73" i="14"/>
  <c r="X41" i="18"/>
  <c r="Z8" i="18" a="1"/>
  <c r="Z8" i="18" s="1"/>
  <c r="AT16" i="14"/>
  <c r="AT305" i="14"/>
  <c r="AT191" i="14"/>
  <c r="AT269" i="14"/>
  <c r="AT286" i="14"/>
  <c r="AT237" i="14"/>
  <c r="AT151" i="14"/>
  <c r="AT62" i="14"/>
  <c r="Z108" i="18" a="1"/>
  <c r="Z108" i="18" s="1"/>
  <c r="AT5" i="14"/>
  <c r="AT276" i="14"/>
  <c r="AT349" i="14"/>
  <c r="AT4" i="14"/>
  <c r="AT38" i="14"/>
  <c r="AT81" i="14"/>
  <c r="AT373" i="14"/>
  <c r="AT183" i="14"/>
  <c r="AT124" i="14"/>
  <c r="AT337" i="14"/>
  <c r="Z78" i="18" a="1"/>
  <c r="Z78" i="18" s="1"/>
  <c r="Z206" i="18" a="1"/>
  <c r="Z206" i="18" s="1"/>
  <c r="AT126" i="14"/>
  <c r="AT18" i="14"/>
  <c r="AT9" i="14"/>
  <c r="AT103" i="14"/>
  <c r="AT75" i="14"/>
  <c r="AT201" i="14"/>
  <c r="AT19" i="14"/>
  <c r="AT295" i="14"/>
  <c r="AT7" i="14"/>
  <c r="X136" i="18"/>
  <c r="X213" i="18"/>
  <c r="X30" i="18"/>
  <c r="Z116" i="18" a="1"/>
  <c r="Z116" i="18" s="1"/>
  <c r="Z96" i="18" a="1"/>
  <c r="Z96" i="18" s="1"/>
  <c r="Z125" i="18" a="1"/>
  <c r="Z125" i="18" s="1"/>
  <c r="Z135" i="18" a="1"/>
  <c r="Z135" i="18" s="1"/>
  <c r="Z81" i="18" a="1"/>
  <c r="Z81" i="18" s="1"/>
  <c r="Z59" i="18" a="1"/>
  <c r="Z59" i="18" s="1"/>
  <c r="Z154" i="18" a="1"/>
  <c r="Z154" i="18" s="1"/>
  <c r="Z210" i="18" a="1"/>
  <c r="Z210" i="18" s="1"/>
  <c r="Z70" i="18" a="1"/>
  <c r="Z70" i="18" s="1"/>
  <c r="Z239" i="18" a="1"/>
  <c r="Z239" i="18" s="1"/>
  <c r="Z147" i="18" a="1"/>
  <c r="Z147" i="18" s="1"/>
  <c r="Z198" i="18" a="1"/>
  <c r="Z198" i="18" s="1"/>
  <c r="X209" i="18"/>
  <c r="Z237" i="18" a="1"/>
  <c r="Z237" i="18" s="1"/>
  <c r="Z205" i="18" a="1"/>
  <c r="Z205" i="18" s="1"/>
  <c r="X65" i="18"/>
  <c r="AH116" i="18"/>
  <c r="Z189" i="18" a="1"/>
  <c r="Z189" i="18" s="1"/>
  <c r="Z14" i="18" a="1"/>
  <c r="Z14" i="18" s="1"/>
  <c r="Z163" i="18" a="1"/>
  <c r="Z163" i="18" s="1"/>
  <c r="Z161" i="18" a="1"/>
  <c r="Z161" i="18" s="1"/>
  <c r="Z219" i="18" a="1"/>
  <c r="Z219" i="18" s="1"/>
  <c r="Z103" i="18" a="1"/>
  <c r="Z103" i="18" s="1"/>
  <c r="Z118" i="18" a="1"/>
  <c r="Z118" i="18" s="1"/>
  <c r="Z114" i="18" a="1"/>
  <c r="Z114" i="18" s="1"/>
  <c r="Z140" i="18" a="1"/>
  <c r="Z140" i="18" s="1"/>
  <c r="Z84" i="18" a="1"/>
  <c r="Z84" i="18" s="1"/>
  <c r="Z136" i="18" a="1"/>
  <c r="Z136" i="18" s="1"/>
  <c r="Z92" i="18" a="1"/>
  <c r="Z92" i="18" s="1"/>
  <c r="Z106" i="18" a="1"/>
  <c r="Z106" i="18" s="1"/>
  <c r="Z28" i="18" a="1"/>
  <c r="Z28" i="18" s="1"/>
  <c r="Z38" i="18" a="1"/>
  <c r="Z38" i="18" s="1"/>
  <c r="Z190" i="18" a="1"/>
  <c r="Z190" i="18" s="1"/>
  <c r="AP48" i="10" a="1"/>
  <c r="AP48" i="10" s="1"/>
  <c r="C6" i="6"/>
  <c r="Z167" i="18" a="1"/>
  <c r="Z167" i="18" s="1"/>
  <c r="Z20" i="18" a="1"/>
  <c r="Z20" i="18" s="1"/>
  <c r="Z159" i="18" a="1"/>
  <c r="Z159" i="18" s="1"/>
  <c r="Z119" i="18" a="1"/>
  <c r="Z119" i="18" s="1"/>
  <c r="Z183" i="18" a="1"/>
  <c r="Z183" i="18" s="1"/>
  <c r="M206" i="18"/>
  <c r="X46" i="18"/>
  <c r="X123" i="18"/>
  <c r="X39" i="18"/>
  <c r="X36" i="18"/>
  <c r="AH145" i="18"/>
  <c r="Z10" i="18" a="1"/>
  <c r="Z10" i="18" s="1"/>
  <c r="W55" i="16"/>
  <c r="W56" i="16" s="1"/>
  <c r="W57" i="16" s="1"/>
  <c r="W58" i="16" s="1"/>
  <c r="W59" i="16" s="1"/>
  <c r="W60" i="16" s="1"/>
  <c r="W61" i="16" s="1"/>
  <c r="W62" i="16" s="1"/>
  <c r="W63" i="16" s="1"/>
  <c r="Z22" i="18" a="1"/>
  <c r="Z22" i="18" s="1"/>
  <c r="Z130" i="18" a="1"/>
  <c r="Z130" i="18" s="1"/>
  <c r="Z211" i="18" a="1"/>
  <c r="Z211" i="18" s="1"/>
  <c r="Z24" i="18" a="1"/>
  <c r="Z24" i="18" s="1"/>
  <c r="Z177" i="18" a="1"/>
  <c r="Z177" i="18" s="1"/>
  <c r="X238" i="18"/>
  <c r="M158" i="18"/>
  <c r="M107" i="18"/>
  <c r="M241" i="18"/>
  <c r="M56" i="18"/>
  <c r="M205" i="18"/>
  <c r="M180" i="18"/>
  <c r="M139" i="18"/>
  <c r="X228" i="18"/>
  <c r="AH30" i="18"/>
  <c r="M35" i="18"/>
  <c r="M172" i="18"/>
  <c r="M201" i="18"/>
  <c r="M123" i="18"/>
  <c r="M70" i="18"/>
  <c r="M192" i="18"/>
  <c r="X215" i="18"/>
  <c r="X223" i="18"/>
  <c r="Z148" i="18" a="1"/>
  <c r="Z148" i="18" s="1"/>
  <c r="Z146" i="18" a="1"/>
  <c r="Z146" i="18" s="1"/>
  <c r="Z151" i="18" a="1"/>
  <c r="Z151" i="18" s="1"/>
  <c r="Z51" i="18" a="1"/>
  <c r="Z51" i="18" s="1"/>
  <c r="Z128" i="18" a="1"/>
  <c r="Z128" i="18" s="1"/>
  <c r="G6" i="3" a="1"/>
  <c r="G6" i="3" s="1"/>
  <c r="Z30" i="18" a="1"/>
  <c r="Z30" i="18" s="1"/>
  <c r="Z224" i="18" a="1"/>
  <c r="Z224" i="18" s="1"/>
  <c r="Z179" i="18" a="1"/>
  <c r="Z179" i="18" s="1"/>
  <c r="Z97" i="18" a="1"/>
  <c r="Z97" i="18" s="1"/>
  <c r="X176" i="18"/>
  <c r="T56" i="16"/>
  <c r="T57" i="16" s="1"/>
  <c r="T58" i="16" s="1"/>
  <c r="T59" i="16" s="1"/>
  <c r="T60" i="16" s="1"/>
  <c r="T61" i="16" s="1"/>
  <c r="T62" i="16" s="1"/>
  <c r="T63" i="16" s="1"/>
  <c r="X20" i="18"/>
  <c r="U41" i="16" a="1"/>
  <c r="U41" i="16" s="1"/>
  <c r="T41" i="16" a="1"/>
  <c r="T41" i="16" s="1"/>
  <c r="S41" i="16" a="1"/>
  <c r="S41" i="16" s="1"/>
  <c r="R41" i="16" a="1"/>
  <c r="R41" i="16" s="1"/>
  <c r="Q41" i="16" a="1"/>
  <c r="Q41" i="16" s="1"/>
  <c r="G60" i="16"/>
  <c r="G58" i="16"/>
  <c r="G57" i="16"/>
  <c r="G59" i="16"/>
  <c r="G61" i="16"/>
  <c r="G63" i="16"/>
  <c r="G55" i="16"/>
  <c r="G56" i="16"/>
  <c r="G62" i="16"/>
  <c r="Z232" i="18" a="1"/>
  <c r="Z232" i="18" s="1"/>
  <c r="Z33" i="18" a="1"/>
  <c r="Z33" i="18" s="1"/>
  <c r="Z44" i="18" a="1"/>
  <c r="Z44" i="18" s="1"/>
  <c r="Z46" i="18" a="1"/>
  <c r="Z46" i="18" s="1"/>
  <c r="P10" i="1" a="1"/>
  <c r="P10" i="1" s="1"/>
  <c r="AH74" i="18"/>
  <c r="Z17" i="18" a="1"/>
  <c r="Z17" i="18" s="1"/>
  <c r="X126" i="18"/>
  <c r="X232" i="18"/>
  <c r="X91" i="18"/>
  <c r="X204" i="18"/>
  <c r="X183" i="18"/>
  <c r="Z202" i="18" a="1"/>
  <c r="Z202" i="18" s="1"/>
  <c r="X160" i="18"/>
  <c r="Z53" i="18" a="1"/>
  <c r="Z53" i="18" s="1"/>
  <c r="X37" i="18"/>
  <c r="Y8" i="1" a="1"/>
  <c r="Y8" i="1" s="1"/>
  <c r="Y36" i="1" s="1"/>
  <c r="X71" i="18"/>
  <c r="X116" i="18"/>
  <c r="J7" i="16"/>
  <c r="J55" i="16" s="1"/>
  <c r="BX55" i="16" s="1"/>
  <c r="X168" i="18"/>
  <c r="X107" i="18"/>
  <c r="X70" i="18"/>
  <c r="X239" i="18"/>
  <c r="X233" i="18"/>
  <c r="X16" i="18"/>
  <c r="X68" i="18"/>
  <c r="X174" i="18"/>
  <c r="X43" i="18"/>
  <c r="X224" i="18"/>
  <c r="X57" i="18"/>
  <c r="X235" i="18"/>
  <c r="X142" i="18"/>
  <c r="X242" i="18"/>
  <c r="X225" i="18"/>
  <c r="X132" i="18"/>
  <c r="X205" i="18"/>
  <c r="X80" i="18"/>
  <c r="M29" i="18"/>
  <c r="X7" i="18"/>
  <c r="M159" i="18"/>
  <c r="M108" i="18"/>
  <c r="M53" i="18"/>
  <c r="M216" i="18"/>
  <c r="M111" i="18"/>
  <c r="M71" i="18"/>
  <c r="M193" i="18"/>
  <c r="M154" i="18"/>
  <c r="X135" i="18"/>
  <c r="X48" i="18"/>
  <c r="X28" i="18"/>
  <c r="X185" i="18"/>
  <c r="AH108" i="18"/>
  <c r="AH177" i="18"/>
  <c r="AH117" i="18"/>
  <c r="X98" i="18"/>
  <c r="X149" i="18"/>
  <c r="X202" i="18"/>
  <c r="M90" i="18"/>
  <c r="M238" i="18"/>
  <c r="M131" i="18"/>
  <c r="M25" i="18"/>
  <c r="M215" i="18"/>
  <c r="M135" i="18"/>
  <c r="M84" i="18"/>
  <c r="M232" i="18"/>
  <c r="M3" i="18"/>
  <c r="M89" i="18"/>
  <c r="X110" i="18"/>
  <c r="X17" i="18"/>
  <c r="AH124" i="18"/>
  <c r="X124" i="18"/>
  <c r="M94" i="18"/>
  <c r="M242" i="18"/>
  <c r="M149" i="18"/>
  <c r="M98" i="18"/>
  <c r="M220" i="18"/>
  <c r="X217" i="18"/>
  <c r="AH98" i="18"/>
  <c r="AH115" i="18"/>
  <c r="AH69" i="18"/>
  <c r="X96" i="18"/>
  <c r="X180" i="18"/>
  <c r="X219" i="18"/>
  <c r="Z110" i="18" a="1"/>
  <c r="Z110" i="18" s="1"/>
  <c r="X196" i="18"/>
  <c r="X58" i="18"/>
  <c r="AH42" i="18"/>
  <c r="AH226" i="18"/>
  <c r="AH24" i="18"/>
  <c r="X105" i="18"/>
  <c r="X192" i="18"/>
  <c r="X49" i="18"/>
  <c r="Z174" i="18" a="1"/>
  <c r="Z174" i="18" s="1"/>
  <c r="Z172" i="18" a="1"/>
  <c r="Z172" i="18" s="1"/>
  <c r="X139" i="18"/>
  <c r="X50" i="18"/>
  <c r="X158" i="18"/>
  <c r="X84" i="18"/>
  <c r="X5" i="18"/>
  <c r="X31" i="18"/>
  <c r="AS329" i="14"/>
  <c r="Z37" i="18" a="1"/>
  <c r="Z37" i="18" s="1"/>
  <c r="AH197" i="18"/>
  <c r="AH12" i="18"/>
  <c r="AH120" i="18"/>
  <c r="X56" i="18"/>
  <c r="X146" i="18"/>
  <c r="X197" i="18"/>
  <c r="X230" i="18"/>
  <c r="X94" i="18"/>
  <c r="X12" i="18"/>
  <c r="X201" i="18"/>
  <c r="X77" i="18"/>
  <c r="X187" i="18"/>
  <c r="X207" i="18"/>
  <c r="X44" i="18"/>
  <c r="AH171" i="18"/>
  <c r="AH146" i="18"/>
  <c r="X119" i="18"/>
  <c r="X220" i="18"/>
  <c r="X148" i="18"/>
  <c r="X111" i="18"/>
  <c r="X218" i="18"/>
  <c r="AH60" i="18"/>
  <c r="J23" i="1"/>
  <c r="X211" i="18"/>
  <c r="AH25" i="18"/>
  <c r="X153" i="18"/>
  <c r="X241" i="18"/>
  <c r="AH201" i="18"/>
  <c r="AS6" i="14"/>
  <c r="X19" i="18"/>
  <c r="X243" i="18"/>
  <c r="X157" i="18"/>
  <c r="X199" i="18"/>
  <c r="X88" i="18"/>
  <c r="X161" i="18"/>
  <c r="AH229" i="18"/>
  <c r="X164" i="18"/>
  <c r="AH93" i="18"/>
  <c r="AH103" i="18"/>
  <c r="AH72" i="18"/>
  <c r="X64" i="18"/>
  <c r="X155" i="18"/>
  <c r="X151" i="18"/>
  <c r="X214" i="18"/>
  <c r="X18" i="18"/>
  <c r="AH13" i="18"/>
  <c r="AH97" i="18"/>
  <c r="X203" i="18"/>
  <c r="X137" i="18"/>
  <c r="AH92" i="18"/>
  <c r="X35" i="18"/>
  <c r="X103" i="18"/>
  <c r="X82" i="18"/>
  <c r="X66" i="18"/>
  <c r="X190" i="18"/>
  <c r="AH118" i="18"/>
  <c r="J21" i="1"/>
  <c r="J22" i="1"/>
  <c r="X11" i="18"/>
  <c r="X10" i="18"/>
  <c r="X240" i="18"/>
  <c r="M100" i="18"/>
  <c r="M104" i="18"/>
  <c r="M174" i="18"/>
  <c r="M117" i="18"/>
  <c r="M47" i="18"/>
  <c r="M50" i="18"/>
  <c r="M77" i="18"/>
  <c r="M243" i="18"/>
  <c r="M239" i="18"/>
  <c r="X104" i="18"/>
  <c r="M185" i="18"/>
  <c r="M85" i="18"/>
  <c r="M115" i="18"/>
  <c r="M177" i="18"/>
  <c r="M188" i="18"/>
  <c r="M132" i="18"/>
  <c r="M96" i="18"/>
  <c r="M66" i="18"/>
  <c r="M74" i="18"/>
  <c r="M138" i="18"/>
  <c r="M101" i="18"/>
  <c r="M187" i="18"/>
  <c r="M12" i="18"/>
  <c r="M120" i="18"/>
  <c r="M79" i="18"/>
  <c r="M49" i="18"/>
  <c r="M186" i="18"/>
  <c r="M129" i="18"/>
  <c r="M112" i="18"/>
  <c r="M65" i="18"/>
  <c r="AH11" i="18"/>
  <c r="X22" i="18"/>
  <c r="X193" i="18"/>
  <c r="M153" i="18"/>
  <c r="M13" i="18"/>
  <c r="M113" i="18"/>
  <c r="M197" i="18"/>
  <c r="M189" i="18"/>
  <c r="M80" i="18"/>
  <c r="M8" i="18"/>
  <c r="M195" i="18"/>
  <c r="M202" i="18"/>
  <c r="AH39" i="18"/>
  <c r="X226" i="18"/>
  <c r="X156" i="18"/>
  <c r="X144" i="18"/>
  <c r="X236" i="18"/>
  <c r="X62" i="18"/>
  <c r="X162" i="18"/>
  <c r="X38" i="18"/>
  <c r="X234" i="18"/>
  <c r="X26" i="18"/>
  <c r="X133" i="18"/>
  <c r="X120" i="18"/>
  <c r="M200" i="18"/>
  <c r="M78" i="18"/>
  <c r="AH222" i="18"/>
  <c r="M219" i="18"/>
  <c r="M33" i="18"/>
  <c r="M147" i="18"/>
  <c r="M240" i="18"/>
  <c r="M178" i="18"/>
  <c r="M54" i="18"/>
  <c r="M11" i="18"/>
  <c r="M217" i="18"/>
  <c r="M184" i="18"/>
  <c r="M167" i="18"/>
  <c r="M130" i="18"/>
  <c r="M22" i="18"/>
  <c r="M102" i="18"/>
  <c r="M145" i="18"/>
  <c r="M209" i="18"/>
  <c r="M179" i="18"/>
  <c r="M213" i="18"/>
  <c r="M222" i="18"/>
  <c r="M214" i="18"/>
  <c r="M92" i="18"/>
  <c r="M75" i="18"/>
  <c r="M233" i="18"/>
  <c r="M43" i="18"/>
  <c r="M161" i="18"/>
  <c r="M91" i="18"/>
  <c r="M190" i="18"/>
  <c r="M61" i="18"/>
  <c r="M225" i="18"/>
  <c r="AG8" i="1" a="1"/>
  <c r="AG8" i="1" s="1"/>
  <c r="X3" i="18"/>
  <c r="X61" i="18"/>
  <c r="X8" i="18"/>
  <c r="X198" i="18"/>
  <c r="X177" i="18"/>
  <c r="X102" i="18"/>
  <c r="X165" i="18"/>
  <c r="N184" i="18"/>
  <c r="N77" i="18"/>
  <c r="N113" i="18"/>
  <c r="AH41" i="18"/>
  <c r="M39" i="18"/>
  <c r="M27" i="18"/>
  <c r="M116" i="18"/>
  <c r="M57" i="18"/>
  <c r="M44" i="18"/>
  <c r="M229" i="18"/>
  <c r="AH200" i="18"/>
  <c r="AG10" i="1" a="1"/>
  <c r="AG10" i="1" s="1"/>
  <c r="X210" i="18"/>
  <c r="X208" i="18"/>
  <c r="X231" i="18"/>
  <c r="X117" i="18"/>
  <c r="M231" i="18"/>
  <c r="M52" i="18"/>
  <c r="M198" i="18"/>
  <c r="M236" i="18"/>
  <c r="M228" i="18"/>
  <c r="M114" i="18"/>
  <c r="M163" i="18"/>
  <c r="M106" i="18"/>
  <c r="M223" i="18"/>
  <c r="AG11" i="1" a="1"/>
  <c r="AG11" i="1" s="1"/>
  <c r="X200" i="18"/>
  <c r="X128" i="18"/>
  <c r="X100" i="18"/>
  <c r="X15" i="18"/>
  <c r="X227" i="18"/>
  <c r="X40" i="18"/>
  <c r="X76" i="18"/>
  <c r="X163" i="18"/>
  <c r="X51" i="18"/>
  <c r="N195" i="18"/>
  <c r="N80" i="18"/>
  <c r="M196" i="18"/>
  <c r="M191" i="18"/>
  <c r="M60" i="18"/>
  <c r="M126" i="18"/>
  <c r="M76" i="18"/>
  <c r="M63" i="18"/>
  <c r="M105" i="18"/>
  <c r="AH56" i="18"/>
  <c r="AG12" i="1" a="1"/>
  <c r="AG12" i="1" s="1"/>
  <c r="X195" i="18"/>
  <c r="X53" i="18"/>
  <c r="X90" i="18"/>
  <c r="X6" i="18"/>
  <c r="X21" i="18"/>
  <c r="X63" i="18"/>
  <c r="AH71" i="18"/>
  <c r="AH166" i="18"/>
  <c r="AH235" i="18"/>
  <c r="AH80" i="18"/>
  <c r="AH43" i="18"/>
  <c r="AH85" i="18"/>
  <c r="AH215" i="18"/>
  <c r="AH38" i="18"/>
  <c r="AH143" i="18"/>
  <c r="AH152" i="18"/>
  <c r="AH160" i="18"/>
  <c r="AH54" i="18"/>
  <c r="X81" i="18"/>
  <c r="X115" i="18"/>
  <c r="AH73" i="18"/>
  <c r="AH206" i="18"/>
  <c r="AH23" i="18"/>
  <c r="AH112" i="18"/>
  <c r="AH150" i="18"/>
  <c r="AH57" i="18"/>
  <c r="AH227" i="18"/>
  <c r="AH231" i="18"/>
  <c r="AH28" i="18"/>
  <c r="AH19" i="18"/>
  <c r="AH3" i="18"/>
  <c r="AH90" i="18"/>
  <c r="AH129" i="18"/>
  <c r="AH21" i="18"/>
  <c r="X127" i="18"/>
  <c r="X97" i="18"/>
  <c r="AH135" i="18"/>
  <c r="AH55" i="18"/>
  <c r="AH9" i="18"/>
  <c r="AH100" i="18"/>
  <c r="AH198" i="18"/>
  <c r="AH207" i="18"/>
  <c r="AH202" i="18"/>
  <c r="AH27" i="18"/>
  <c r="AH170" i="18"/>
  <c r="AH59" i="18"/>
  <c r="AH17" i="18"/>
  <c r="AH244" i="18"/>
  <c r="X27" i="18"/>
  <c r="AH126" i="18"/>
  <c r="AH6" i="18"/>
  <c r="AH219" i="18"/>
  <c r="AH5" i="18"/>
  <c r="AH89" i="18"/>
  <c r="AH101" i="18"/>
  <c r="AH203" i="18"/>
  <c r="AH134" i="18"/>
  <c r="AH233" i="18"/>
  <c r="M62" i="18"/>
  <c r="AH163" i="18"/>
  <c r="M127" i="18"/>
  <c r="AH238" i="18"/>
  <c r="X106" i="18"/>
  <c r="X89" i="18"/>
  <c r="X129" i="18"/>
  <c r="AH37" i="18"/>
  <c r="AH122" i="18"/>
  <c r="AH208" i="18"/>
  <c r="M176" i="18"/>
  <c r="AH99" i="18"/>
  <c r="AH224" i="18"/>
  <c r="AH67" i="18"/>
  <c r="AH196" i="18"/>
  <c r="AH167" i="18"/>
  <c r="AH51" i="18"/>
  <c r="AH232" i="18"/>
  <c r="AH4" i="18"/>
  <c r="AH141" i="18"/>
  <c r="X83" i="18"/>
  <c r="AH130" i="18"/>
  <c r="AH147" i="18"/>
  <c r="AH133" i="18"/>
  <c r="AH195" i="18"/>
  <c r="AH64" i="18"/>
  <c r="AH46" i="18"/>
  <c r="AH225" i="18"/>
  <c r="AH91" i="18"/>
  <c r="AH212" i="18"/>
  <c r="AH161" i="18"/>
  <c r="AH168" i="18"/>
  <c r="AH95" i="18"/>
  <c r="AH66" i="18"/>
  <c r="X47" i="18"/>
  <c r="X25" i="18"/>
  <c r="X93" i="18"/>
  <c r="AH179" i="18"/>
  <c r="X52" i="18"/>
  <c r="AH228" i="18"/>
  <c r="AH109" i="18"/>
  <c r="AH210" i="18"/>
  <c r="AH190" i="18"/>
  <c r="AH216" i="18"/>
  <c r="AH52" i="18"/>
  <c r="AH158" i="18"/>
  <c r="AH180" i="18"/>
  <c r="AH113" i="18"/>
  <c r="AH45" i="18"/>
  <c r="AH214" i="18"/>
  <c r="AG13" i="1" a="1"/>
  <c r="AG13" i="1" s="1"/>
  <c r="X206" i="18"/>
  <c r="X86" i="18"/>
  <c r="X14" i="18"/>
  <c r="X143" i="18"/>
  <c r="X74" i="18"/>
  <c r="X147" i="18"/>
  <c r="X109" i="18"/>
  <c r="X121" i="18"/>
  <c r="X170" i="18"/>
  <c r="X118" i="18"/>
  <c r="AH243" i="18"/>
  <c r="AH183" i="18"/>
  <c r="AH104" i="18"/>
  <c r="AH15" i="18"/>
  <c r="AH78" i="18"/>
  <c r="AH240" i="18"/>
  <c r="AH165" i="18"/>
  <c r="AH33" i="18"/>
  <c r="AH142" i="18"/>
  <c r="AH187" i="18"/>
  <c r="AH53" i="18"/>
  <c r="AH205" i="18"/>
  <c r="AH144" i="18"/>
  <c r="X75" i="18"/>
  <c r="AH63" i="18"/>
  <c r="X73" i="18"/>
  <c r="AH31" i="18"/>
  <c r="AH242" i="18"/>
  <c r="AH88" i="18"/>
  <c r="AH181" i="18"/>
  <c r="AH76" i="18"/>
  <c r="AH185" i="18"/>
  <c r="AH20" i="18"/>
  <c r="AH204" i="18"/>
  <c r="M93" i="18"/>
  <c r="AH119" i="18"/>
  <c r="X101" i="18"/>
  <c r="X60" i="18"/>
  <c r="AH174" i="18"/>
  <c r="AH14" i="18"/>
  <c r="M181" i="18"/>
  <c r="AH75" i="18"/>
  <c r="AH34" i="18"/>
  <c r="AH148" i="18"/>
  <c r="AH10" i="18"/>
  <c r="M99" i="18"/>
  <c r="AH241" i="18"/>
  <c r="AH131" i="18"/>
  <c r="AH153" i="18"/>
  <c r="AH47" i="18"/>
  <c r="X112" i="18"/>
  <c r="X79" i="18"/>
  <c r="AH36" i="18"/>
  <c r="AH209" i="18"/>
  <c r="AH32" i="18"/>
  <c r="AH127" i="18"/>
  <c r="AH155" i="18"/>
  <c r="AH58" i="18"/>
  <c r="M212" i="18"/>
  <c r="AH192" i="18"/>
  <c r="AH65" i="18"/>
  <c r="AH8" i="18"/>
  <c r="M42" i="18"/>
  <c r="AH162" i="18"/>
  <c r="AH169" i="18"/>
  <c r="AH70" i="18"/>
  <c r="AH29" i="18"/>
  <c r="Y182" i="18" a="1"/>
  <c r="Y182" i="18" s="1"/>
  <c r="AB182" i="18" s="1"/>
  <c r="Y117" i="18" a="1"/>
  <c r="Y117" i="18" s="1"/>
  <c r="AB117" i="18" s="1"/>
  <c r="Y130" i="18" a="1"/>
  <c r="Y130" i="18" s="1"/>
  <c r="Y38" i="18" a="1"/>
  <c r="Y38" i="18" s="1"/>
  <c r="Y118" i="18" a="1"/>
  <c r="Y118" i="18" s="1"/>
  <c r="Y24" i="18" a="1"/>
  <c r="Y24" i="18" s="1"/>
  <c r="AB24" i="18" s="1"/>
  <c r="Y104" i="18" a="1"/>
  <c r="Y104" i="18" s="1"/>
  <c r="AB104" i="18" s="1"/>
  <c r="Y10" i="18" a="1"/>
  <c r="Y10" i="18" s="1"/>
  <c r="AB10" i="18" s="1"/>
  <c r="Y81" i="18" a="1"/>
  <c r="Y81" i="18" s="1"/>
  <c r="AB81" i="18" s="1"/>
  <c r="Y67" i="18" a="1"/>
  <c r="Y67" i="18" s="1"/>
  <c r="AB67" i="18" s="1"/>
  <c r="Y241" i="18" a="1"/>
  <c r="Y241" i="18" s="1"/>
  <c r="AB241" i="18" s="1"/>
  <c r="Y229" i="18" a="1"/>
  <c r="Y229" i="18" s="1"/>
  <c r="AB229" i="18" s="1"/>
  <c r="Y184" i="18" a="1"/>
  <c r="Y184" i="18" s="1"/>
  <c r="AB184" i="18" s="1"/>
  <c r="Y205" i="18" a="1"/>
  <c r="Y205" i="18" s="1"/>
  <c r="AB205" i="18" s="1"/>
  <c r="Y242" i="18" a="1"/>
  <c r="Y242" i="18" s="1"/>
  <c r="AB242" i="18" s="1"/>
  <c r="Y6" i="18" a="1"/>
  <c r="Y6" i="18" s="1"/>
  <c r="AB6" i="18" s="1"/>
  <c r="Y145" i="18" a="1"/>
  <c r="Y145" i="18" s="1"/>
  <c r="AB145" i="18" s="1"/>
  <c r="Y171" i="18" a="1"/>
  <c r="Y171" i="18" s="1"/>
  <c r="AB171" i="18" s="1"/>
  <c r="Y105" i="18" a="1"/>
  <c r="Y105" i="18" s="1"/>
  <c r="AB105" i="18" s="1"/>
  <c r="Y157" i="18" a="1"/>
  <c r="Y157" i="18" s="1"/>
  <c r="AB157" i="18" s="1"/>
  <c r="Y68" i="18" a="1"/>
  <c r="Y68" i="18" s="1"/>
  <c r="AB68" i="18" s="1"/>
  <c r="Y143" i="18" a="1"/>
  <c r="Y143" i="18" s="1"/>
  <c r="AB143" i="18" s="1"/>
  <c r="Y218" i="18" a="1"/>
  <c r="Y218" i="18" s="1"/>
  <c r="AB218" i="18" s="1"/>
  <c r="Y129" i="18" a="1"/>
  <c r="Y129" i="18" s="1"/>
  <c r="AB129" i="18" s="1"/>
  <c r="AS335" i="14"/>
  <c r="AG5" i="1" a="1"/>
  <c r="AG5" i="1" s="1"/>
  <c r="AG9" i="1" a="1"/>
  <c r="AG9" i="1" s="1"/>
  <c r="BB7" i="16" s="1"/>
  <c r="BD10" i="16" s="1"/>
  <c r="X244" i="18"/>
  <c r="X188" i="18"/>
  <c r="X95" i="18"/>
  <c r="X172" i="18"/>
  <c r="X32" i="18"/>
  <c r="M86" i="18"/>
  <c r="AH173" i="18"/>
  <c r="X189" i="18"/>
  <c r="AH84" i="18"/>
  <c r="AH94" i="18"/>
  <c r="AH7" i="18"/>
  <c r="AH175" i="18"/>
  <c r="AH16" i="18"/>
  <c r="AH189" i="18"/>
  <c r="AH182" i="18"/>
  <c r="AH121" i="18"/>
  <c r="AH159" i="18"/>
  <c r="AH40" i="18"/>
  <c r="AH186" i="18"/>
  <c r="AG6" i="1" a="1"/>
  <c r="AG6" i="1" s="1"/>
  <c r="AY7" i="16" s="1"/>
  <c r="AY8" i="16" s="1"/>
  <c r="X125" i="18"/>
  <c r="X181" i="18"/>
  <c r="X222" i="18"/>
  <c r="N96" i="18"/>
  <c r="AH138" i="18"/>
  <c r="AH87" i="18"/>
  <c r="X108" i="18"/>
  <c r="AH191" i="18"/>
  <c r="AH218" i="18"/>
  <c r="AH223" i="18"/>
  <c r="AH106" i="18"/>
  <c r="AH176" i="18"/>
  <c r="AH188" i="18"/>
  <c r="AH123" i="18"/>
  <c r="AH35" i="18"/>
  <c r="AH157" i="18"/>
  <c r="AH184" i="18"/>
  <c r="X221" i="18"/>
  <c r="X29" i="18"/>
  <c r="X45" i="18"/>
  <c r="X87" i="18"/>
  <c r="X24" i="18"/>
  <c r="M141" i="18"/>
  <c r="AH77" i="18"/>
  <c r="AH114" i="18"/>
  <c r="AH139" i="18"/>
  <c r="AH236" i="18"/>
  <c r="AH26" i="18"/>
  <c r="AH96" i="18"/>
  <c r="AH136" i="18"/>
  <c r="AH44" i="18"/>
  <c r="AH156" i="18"/>
  <c r="AH217" i="18"/>
  <c r="AH68" i="18"/>
  <c r="AH178" i="18"/>
  <c r="AH211" i="18"/>
  <c r="AH82" i="18"/>
  <c r="AH137" i="18"/>
  <c r="Y103" i="18" a="1"/>
  <c r="Y103" i="18" s="1"/>
  <c r="AB103" i="18" s="1"/>
  <c r="Y155" i="18" a="1"/>
  <c r="Y155" i="18" s="1"/>
  <c r="AB155" i="18" s="1"/>
  <c r="Y203" i="18" a="1"/>
  <c r="Y203" i="18" s="1"/>
  <c r="AB203" i="18" s="1"/>
  <c r="Y21" i="18" a="1"/>
  <c r="Y21" i="18" s="1"/>
  <c r="AB21" i="18" s="1"/>
  <c r="Y62" i="18" a="1"/>
  <c r="Y62" i="18" s="1"/>
  <c r="AB62" i="18" s="1"/>
  <c r="Y99" i="18" a="1"/>
  <c r="Y99" i="18" s="1"/>
  <c r="AB99" i="18" s="1"/>
  <c r="Y125" i="18" a="1"/>
  <c r="Y125" i="18" s="1"/>
  <c r="Y164" i="18" a="1"/>
  <c r="Y164" i="18" s="1"/>
  <c r="AB164" i="18" s="1"/>
  <c r="Y210" i="18" a="1"/>
  <c r="Y210" i="18" s="1"/>
  <c r="AB210" i="18" s="1"/>
  <c r="Y30" i="18" a="1"/>
  <c r="Y30" i="18" s="1"/>
  <c r="Y71" i="18" a="1"/>
  <c r="Y71" i="18" s="1"/>
  <c r="AB71" i="18" s="1"/>
  <c r="Y121" i="18" a="1"/>
  <c r="Y121" i="18" s="1"/>
  <c r="AB121" i="18" s="1"/>
  <c r="Y146" i="18" a="1"/>
  <c r="Y146" i="18" s="1"/>
  <c r="AB146" i="18" s="1"/>
  <c r="Y206" i="18" a="1"/>
  <c r="Y206" i="18" s="1"/>
  <c r="Y26" i="18" a="1"/>
  <c r="Y26" i="18" s="1"/>
  <c r="AB26" i="18" s="1"/>
  <c r="Y39" i="18" a="1"/>
  <c r="Y39" i="18" s="1"/>
  <c r="AB39" i="18" s="1"/>
  <c r="Y80" i="18" a="1"/>
  <c r="Y80" i="18" s="1"/>
  <c r="AB80" i="18" s="1"/>
  <c r="Y79" i="18" a="1"/>
  <c r="Y79" i="18" s="1"/>
  <c r="AB79" i="18" s="1"/>
  <c r="Y141" i="18" a="1"/>
  <c r="Y141" i="18" s="1"/>
  <c r="AB141" i="18" s="1"/>
  <c r="Y191" i="18" a="1"/>
  <c r="Y191" i="18" s="1"/>
  <c r="AB191" i="18" s="1"/>
  <c r="Y7" i="18" a="1"/>
  <c r="Y7" i="18" s="1"/>
  <c r="AB7" i="18" s="1"/>
  <c r="Y48" i="18" a="1"/>
  <c r="Y48" i="18" s="1"/>
  <c r="AB48" i="18" s="1"/>
  <c r="Y75" i="18" a="1"/>
  <c r="Y75" i="18" s="1"/>
  <c r="AB75" i="18" s="1"/>
  <c r="Y111" i="18" a="1"/>
  <c r="Y111" i="18" s="1"/>
  <c r="AB111" i="18" s="1"/>
  <c r="Y150" i="18" a="1"/>
  <c r="Y150" i="18" s="1"/>
  <c r="AB150" i="18" s="1"/>
  <c r="Y199" i="18" a="1"/>
  <c r="Y199" i="18" s="1"/>
  <c r="Y16" i="18" a="1"/>
  <c r="Y16" i="18" s="1"/>
  <c r="AB16" i="18" s="1"/>
  <c r="Y57" i="18" a="1"/>
  <c r="Y57" i="18" s="1"/>
  <c r="AB57" i="18" s="1"/>
  <c r="Y107" i="18" a="1"/>
  <c r="Y107" i="18" s="1"/>
  <c r="AB107" i="18" s="1"/>
  <c r="Y132" i="18" a="1"/>
  <c r="Y132" i="18" s="1"/>
  <c r="AB132" i="18" s="1"/>
  <c r="Y196" i="18" a="1"/>
  <c r="Y196" i="18" s="1"/>
  <c r="AB196" i="18" s="1"/>
  <c r="Y12" i="18" a="1"/>
  <c r="Y12" i="18" s="1"/>
  <c r="AB12" i="18" s="1"/>
  <c r="Y25" i="18" a="1"/>
  <c r="Y25" i="18" s="1"/>
  <c r="AB25" i="18" s="1"/>
  <c r="Y66" i="18" a="1"/>
  <c r="Y66" i="18" s="1"/>
  <c r="AB66" i="18" s="1"/>
  <c r="Y235" i="18" a="1"/>
  <c r="Y235" i="18" s="1"/>
  <c r="AB235" i="18" s="1"/>
  <c r="Y65" i="18" a="1"/>
  <c r="Y65" i="18" s="1"/>
  <c r="AB65" i="18" s="1"/>
  <c r="Y4" i="18" a="1"/>
  <c r="Y4" i="18" s="1"/>
  <c r="AB4" i="18" s="1"/>
  <c r="Y180" i="18" a="1"/>
  <c r="Y180" i="18" s="1"/>
  <c r="AB180" i="18" s="1"/>
  <c r="Y237" i="18" a="1"/>
  <c r="Y237" i="18" s="1"/>
  <c r="AB237" i="18" s="1"/>
  <c r="Y34" i="18" a="1"/>
  <c r="Y34" i="18" s="1"/>
  <c r="AB34" i="18" s="1"/>
  <c r="Y61" i="18" a="1"/>
  <c r="Y61" i="18" s="1"/>
  <c r="AB61" i="18" s="1"/>
  <c r="Y98" i="18" a="1"/>
  <c r="Y98" i="18" s="1"/>
  <c r="AB98" i="18" s="1"/>
  <c r="Y136" i="18" a="1"/>
  <c r="Y136" i="18" s="1"/>
  <c r="AB136" i="18" s="1"/>
  <c r="Y187" i="18" a="1"/>
  <c r="Y187" i="18" s="1"/>
  <c r="AB187" i="18" s="1"/>
  <c r="Y221" i="18" a="1"/>
  <c r="Y221" i="18" s="1"/>
  <c r="AB221" i="18" s="1"/>
  <c r="Y43" i="18" a="1"/>
  <c r="Y43" i="18" s="1"/>
  <c r="AB43" i="18" s="1"/>
  <c r="Y84" i="18" a="1"/>
  <c r="Y84" i="18" s="1"/>
  <c r="AB84" i="18" s="1"/>
  <c r="Y120" i="18" a="1"/>
  <c r="Y120" i="18" s="1"/>
  <c r="AB120" i="18" s="1"/>
  <c r="Y183" i="18" a="1"/>
  <c r="Y183" i="18" s="1"/>
  <c r="Y230" i="18" a="1"/>
  <c r="Y230" i="18" s="1"/>
  <c r="AB230" i="18" s="1"/>
  <c r="Y11" i="18" a="1"/>
  <c r="Y11" i="18" s="1"/>
  <c r="AB11" i="18" s="1"/>
  <c r="Y52" i="18" a="1"/>
  <c r="Y52" i="18" s="1"/>
  <c r="AB52" i="18" s="1"/>
  <c r="Y225" i="18" a="1"/>
  <c r="Y225" i="18" s="1"/>
  <c r="AB225" i="18" s="1"/>
  <c r="Y51" i="18" a="1"/>
  <c r="Y51" i="18" s="1"/>
  <c r="AB51" i="18" s="1"/>
  <c r="Y115" i="18" a="1"/>
  <c r="Y115" i="18" s="1"/>
  <c r="AB115" i="18" s="1"/>
  <c r="Y168" i="18" a="1"/>
  <c r="Y168" i="18" s="1"/>
  <c r="AB168" i="18" s="1"/>
  <c r="Y226" i="18" a="1"/>
  <c r="Y226" i="18" s="1"/>
  <c r="Y20" i="18" a="1"/>
  <c r="Y20" i="18" s="1"/>
  <c r="AB20" i="18" s="1"/>
  <c r="Y47" i="18" a="1"/>
  <c r="Y47" i="18" s="1"/>
  <c r="AB47" i="18" s="1"/>
  <c r="Y88" i="18" a="1"/>
  <c r="Y88" i="18" s="1"/>
  <c r="AB88" i="18" s="1"/>
  <c r="Y124" i="18" a="1"/>
  <c r="Y124" i="18" s="1"/>
  <c r="AB124" i="18" s="1"/>
  <c r="Y176" i="18" a="1"/>
  <c r="Y176" i="18" s="1"/>
  <c r="AB176" i="18" s="1"/>
  <c r="Y209" i="18" a="1"/>
  <c r="Y209" i="18" s="1"/>
  <c r="AB209" i="18" s="1"/>
  <c r="Y29" i="18" a="1"/>
  <c r="Y29" i="18" s="1"/>
  <c r="AB29" i="18" s="1"/>
  <c r="Y70" i="18" a="1"/>
  <c r="Y70" i="18" s="1"/>
  <c r="AB70" i="18" s="1"/>
  <c r="Y106" i="18" a="1"/>
  <c r="Y106" i="18" s="1"/>
  <c r="AB106" i="18" s="1"/>
  <c r="Y172" i="18" a="1"/>
  <c r="Y172" i="18" s="1"/>
  <c r="AB172" i="18" s="1"/>
  <c r="Y240" i="18" a="1"/>
  <c r="Y240" i="18" s="1"/>
  <c r="AB240" i="18" s="1"/>
  <c r="Y37" i="18" a="1"/>
  <c r="Y37" i="18" s="1"/>
  <c r="AB37" i="18" s="1"/>
  <c r="Y102" i="18" a="1"/>
  <c r="Y102" i="18" s="1"/>
  <c r="AB102" i="18" s="1"/>
  <c r="Y154" i="18" a="1"/>
  <c r="Y154" i="18" s="1"/>
  <c r="AB154" i="18" s="1"/>
  <c r="Y214" i="18" a="1"/>
  <c r="Y214" i="18" s="1"/>
  <c r="AB214" i="18" s="1"/>
  <c r="Y236" i="18" a="1"/>
  <c r="Y236" i="18" s="1"/>
  <c r="AB236" i="18" s="1"/>
  <c r="Y33" i="18" a="1"/>
  <c r="Y33" i="18" s="1"/>
  <c r="AB33" i="18" s="1"/>
  <c r="Y74" i="18" a="1"/>
  <c r="Y74" i="18" s="1"/>
  <c r="AB74" i="18" s="1"/>
  <c r="Y110" i="18" a="1"/>
  <c r="Y110" i="18" s="1"/>
  <c r="AB110" i="18" s="1"/>
  <c r="Y163" i="18" a="1"/>
  <c r="Y163" i="18" s="1"/>
  <c r="AB163" i="18" s="1"/>
  <c r="Y198" i="18" a="1"/>
  <c r="Y198" i="18" s="1"/>
  <c r="AB198" i="18" s="1"/>
  <c r="Y15" i="18" a="1"/>
  <c r="Y15" i="18" s="1"/>
  <c r="AB15" i="18" s="1"/>
  <c r="Y56" i="18" a="1"/>
  <c r="Y56" i="18" s="1"/>
  <c r="Y94" i="18" a="1"/>
  <c r="Y94" i="18" s="1"/>
  <c r="Y159" i="18" a="1"/>
  <c r="Y159" i="18" s="1"/>
  <c r="AB159" i="18" s="1"/>
  <c r="Y195" i="18" a="1"/>
  <c r="Y195" i="18" s="1"/>
  <c r="AB195" i="18" s="1"/>
  <c r="Y228" i="18" a="1"/>
  <c r="Y228" i="18" s="1"/>
  <c r="AB228" i="18" s="1"/>
  <c r="Y23" i="18" a="1"/>
  <c r="Y23" i="18" s="1"/>
  <c r="AB23" i="18" s="1"/>
  <c r="Y91" i="18" a="1"/>
  <c r="Y91" i="18" s="1"/>
  <c r="AB91" i="18" s="1"/>
  <c r="Y140" i="18" a="1"/>
  <c r="Y140" i="18" s="1"/>
  <c r="AB140" i="18" s="1"/>
  <c r="Y202" i="18" a="1"/>
  <c r="Y202" i="18" s="1"/>
  <c r="Y213" i="18" a="1"/>
  <c r="Y213" i="18" s="1"/>
  <c r="AB213" i="18" s="1"/>
  <c r="Y19" i="18" a="1"/>
  <c r="Y19" i="18" s="1"/>
  <c r="AB19" i="18" s="1"/>
  <c r="Y60" i="18" a="1"/>
  <c r="Y60" i="18" s="1"/>
  <c r="AB60" i="18" s="1"/>
  <c r="Y97" i="18" a="1"/>
  <c r="Y97" i="18" s="1"/>
  <c r="AB97" i="18" s="1"/>
  <c r="Y149" i="18" a="1"/>
  <c r="Y149" i="18" s="1"/>
  <c r="AB149" i="18" s="1"/>
  <c r="Y186" i="18" a="1"/>
  <c r="Y186" i="18" s="1"/>
  <c r="AB186" i="18" s="1"/>
  <c r="Y244" i="18" a="1"/>
  <c r="Y244" i="18" s="1"/>
  <c r="AB244" i="18" s="1"/>
  <c r="Y42" i="18" a="1"/>
  <c r="Y42" i="18" s="1"/>
  <c r="AB42" i="18" s="1"/>
  <c r="Y83" i="18" a="1"/>
  <c r="Y83" i="18" s="1"/>
  <c r="AB83" i="18" s="1"/>
  <c r="Y217" i="18" a="1"/>
  <c r="Y217" i="18" s="1"/>
  <c r="AB217" i="18" s="1"/>
  <c r="Y9" i="18" a="1"/>
  <c r="Y9" i="18" s="1"/>
  <c r="AB9" i="18" s="1"/>
  <c r="Y78" i="18" a="1"/>
  <c r="Y78" i="18" s="1"/>
  <c r="AB78" i="18" s="1"/>
  <c r="Y3" i="18" a="1"/>
  <c r="Y3" i="18" s="1"/>
  <c r="AB3" i="18" s="1"/>
  <c r="Y167" i="18" a="1"/>
  <c r="Y167" i="18" s="1"/>
  <c r="Y201" i="18" a="1"/>
  <c r="Y201" i="18" s="1"/>
  <c r="AB201" i="18" s="1"/>
  <c r="Y224" i="18" a="1"/>
  <c r="Y224" i="18" s="1"/>
  <c r="AB224" i="18" s="1"/>
  <c r="Y46" i="18" a="1"/>
  <c r="Y46" i="18" s="1"/>
  <c r="AB46" i="18" s="1"/>
  <c r="Y87" i="18" a="1"/>
  <c r="Y87" i="18" s="1"/>
  <c r="AB87" i="18" s="1"/>
  <c r="Y135" i="18" a="1"/>
  <c r="Y135" i="18" s="1"/>
  <c r="AB135" i="18" s="1"/>
  <c r="Y175" i="18" a="1"/>
  <c r="Y175" i="18" s="1"/>
  <c r="AB175" i="18" s="1"/>
  <c r="Y232" i="18" a="1"/>
  <c r="Y232" i="18" s="1"/>
  <c r="AB232" i="18" s="1"/>
  <c r="Y28" i="18" a="1"/>
  <c r="Y28" i="18" s="1"/>
  <c r="AB28" i="18" s="1"/>
  <c r="Y69" i="18" a="1"/>
  <c r="Y69" i="18" s="1"/>
  <c r="AB69" i="18" s="1"/>
  <c r="Y131" i="18" a="1"/>
  <c r="Y131" i="18" s="1"/>
  <c r="AB131" i="18" s="1"/>
  <c r="Y158" i="18" a="1"/>
  <c r="Y158" i="18" s="1"/>
  <c r="AB158" i="18" s="1"/>
  <c r="Y194" i="18" a="1"/>
  <c r="Y194" i="18" s="1"/>
  <c r="AB194" i="18" s="1"/>
  <c r="Y193" i="18" a="1"/>
  <c r="Y193" i="18" s="1"/>
  <c r="AB193" i="18" s="1"/>
  <c r="Y239" i="18" a="1"/>
  <c r="Y239" i="18" s="1"/>
  <c r="Y64" i="18" a="1"/>
  <c r="Y64" i="18" s="1"/>
  <c r="AB64" i="18" s="1"/>
  <c r="Y114" i="18" a="1"/>
  <c r="Y114" i="18" s="1"/>
  <c r="AB114" i="18" s="1"/>
  <c r="Y153" i="18" a="1"/>
  <c r="Y153" i="18" s="1"/>
  <c r="AB153" i="18" s="1"/>
  <c r="Y190" i="18" a="1"/>
  <c r="Y190" i="18" s="1"/>
  <c r="AB190" i="18" s="1"/>
  <c r="Y212" i="18" a="1"/>
  <c r="Y212" i="18" s="1"/>
  <c r="AB212" i="18" s="1"/>
  <c r="Y32" i="18" a="1"/>
  <c r="Y32" i="18" s="1"/>
  <c r="AB32" i="18" s="1"/>
  <c r="Y73" i="18" a="1"/>
  <c r="Y73" i="18" s="1"/>
  <c r="AB73" i="18" s="1"/>
  <c r="Y123" i="18" a="1"/>
  <c r="Y123" i="18" s="1"/>
  <c r="AB123" i="18" s="1"/>
  <c r="Y162" i="18" a="1"/>
  <c r="Y162" i="18" s="1"/>
  <c r="AB162" i="18" s="1"/>
  <c r="Y220" i="18" a="1"/>
  <c r="Y220" i="18" s="1"/>
  <c r="AB220" i="18" s="1"/>
  <c r="Y14" i="18" a="1"/>
  <c r="Y14" i="18" s="1"/>
  <c r="AB14" i="18" s="1"/>
  <c r="Y55" i="18" a="1"/>
  <c r="Y55" i="18" s="1"/>
  <c r="AB55" i="18" s="1"/>
  <c r="Y119" i="18" a="1"/>
  <c r="Y119" i="18" s="1"/>
  <c r="AB119" i="18" s="1"/>
  <c r="Y144" i="18" a="1"/>
  <c r="Y144" i="18" s="1"/>
  <c r="AB144" i="18" s="1"/>
  <c r="Y5" i="18" a="1"/>
  <c r="Y5" i="18" s="1"/>
  <c r="AB5" i="18" s="1"/>
  <c r="Y227" i="18" a="1"/>
  <c r="Y227" i="18" s="1"/>
  <c r="AB227" i="18" s="1"/>
  <c r="Y50" i="18" a="1"/>
  <c r="Y50" i="18" s="1"/>
  <c r="AB50" i="18" s="1"/>
  <c r="Y101" i="18" a="1"/>
  <c r="Y101" i="18" s="1"/>
  <c r="AB101" i="18" s="1"/>
  <c r="Y139" i="18" a="1"/>
  <c r="Y139" i="18" s="1"/>
  <c r="AB139" i="18" s="1"/>
  <c r="Y179" i="18" a="1"/>
  <c r="Y179" i="18" s="1"/>
  <c r="Y200" i="18" a="1"/>
  <c r="Y200" i="18" s="1"/>
  <c r="AB200" i="18" s="1"/>
  <c r="Y18" i="18" a="1"/>
  <c r="Y18" i="18" s="1"/>
  <c r="AB18" i="18" s="1"/>
  <c r="Y59" i="18" a="1"/>
  <c r="Y59" i="18" s="1"/>
  <c r="AB59" i="18" s="1"/>
  <c r="Y109" i="18" a="1"/>
  <c r="Y109" i="18" s="1"/>
  <c r="AB109" i="18" s="1"/>
  <c r="Y148" i="18" a="1"/>
  <c r="Y148" i="18" s="1"/>
  <c r="AB148" i="18" s="1"/>
  <c r="Y208" i="18" a="1"/>
  <c r="Y208" i="18" s="1"/>
  <c r="AB208" i="18" s="1"/>
  <c r="Y243" i="18" a="1"/>
  <c r="Y243" i="18" s="1"/>
  <c r="AB243" i="18" s="1"/>
  <c r="Y41" i="18" a="1"/>
  <c r="Y41" i="18" s="1"/>
  <c r="AB41" i="18" s="1"/>
  <c r="Y170" i="18" a="1"/>
  <c r="Y170" i="18" s="1"/>
  <c r="AB170" i="18" s="1"/>
  <c r="Y216" i="18" a="1"/>
  <c r="Y216" i="18" s="1"/>
  <c r="AB216" i="18" s="1"/>
  <c r="Y36" i="18" a="1"/>
  <c r="Y36" i="18" s="1"/>
  <c r="AB36" i="18" s="1"/>
  <c r="Y90" i="18" a="1"/>
  <c r="Y90" i="18" s="1"/>
  <c r="AB90" i="18" s="1"/>
  <c r="Y127" i="18" a="1"/>
  <c r="Y127" i="18" s="1"/>
  <c r="AB127" i="18" s="1"/>
  <c r="Y166" i="18" a="1"/>
  <c r="Y166" i="18" s="1"/>
  <c r="AB166" i="18" s="1"/>
  <c r="Y189" i="18" a="1"/>
  <c r="Y189" i="18" s="1"/>
  <c r="AB189" i="18" s="1"/>
  <c r="Y234" i="18" a="1"/>
  <c r="Y234" i="18" s="1"/>
  <c r="AB234" i="18" s="1"/>
  <c r="Y45" i="18" a="1"/>
  <c r="Y45" i="18" s="1"/>
  <c r="AB45" i="18" s="1"/>
  <c r="Y96" i="18" a="1"/>
  <c r="Y96" i="18" s="1"/>
  <c r="AB96" i="18" s="1"/>
  <c r="Y134" i="18" a="1"/>
  <c r="Y134" i="18" s="1"/>
  <c r="AB134" i="18" s="1"/>
  <c r="Y185" i="18" a="1"/>
  <c r="Y185" i="18" s="1"/>
  <c r="AB185" i="18" s="1"/>
  <c r="Y207" i="18" a="1"/>
  <c r="Y207" i="18" s="1"/>
  <c r="AB207" i="18" s="1"/>
  <c r="Y27" i="18" a="1"/>
  <c r="Y27" i="18" s="1"/>
  <c r="AB27" i="18" s="1"/>
  <c r="Y93" i="18" a="1"/>
  <c r="Y93" i="18" s="1"/>
  <c r="AB93" i="18" s="1"/>
  <c r="Y156" i="18" a="1"/>
  <c r="Y156" i="18" s="1"/>
  <c r="AB156" i="18" s="1"/>
  <c r="Y204" i="18" a="1"/>
  <c r="Y204" i="18" s="1"/>
  <c r="AB204" i="18" s="1"/>
  <c r="Y22" i="18" a="1"/>
  <c r="Y22" i="18" s="1"/>
  <c r="AB22" i="18" s="1"/>
  <c r="Y77" i="18" a="1"/>
  <c r="Y77" i="18" s="1"/>
  <c r="AB77" i="18" s="1"/>
  <c r="Y113" i="18" a="1"/>
  <c r="Y113" i="18" s="1"/>
  <c r="AB113" i="18" s="1"/>
  <c r="Y152" i="18" a="1"/>
  <c r="Y152" i="18" s="1"/>
  <c r="AB152" i="18" s="1"/>
  <c r="Y178" i="18" a="1"/>
  <c r="Y178" i="18" s="1"/>
  <c r="AB178" i="18" s="1"/>
  <c r="Y223" i="18" a="1"/>
  <c r="Y223" i="18" s="1"/>
  <c r="AB223" i="18" s="1"/>
  <c r="Y31" i="18" a="1"/>
  <c r="Y31" i="18" s="1"/>
  <c r="AB31" i="18" s="1"/>
  <c r="Y86" i="18" a="1"/>
  <c r="Y86" i="18" s="1"/>
  <c r="AB86" i="18" s="1"/>
  <c r="Y122" i="18" a="1"/>
  <c r="Y122" i="18" s="1"/>
  <c r="AB122" i="18" s="1"/>
  <c r="Y174" i="18" a="1"/>
  <c r="Y174" i="18" s="1"/>
  <c r="AB174" i="18" s="1"/>
  <c r="Y197" i="18" a="1"/>
  <c r="Y197" i="18" s="1"/>
  <c r="AB197" i="18" s="1"/>
  <c r="Y13" i="18" a="1"/>
  <c r="Y13" i="18" s="1"/>
  <c r="AB13" i="18" s="1"/>
  <c r="Y82" i="18" a="1"/>
  <c r="Y82" i="18" s="1"/>
  <c r="AB82" i="18" s="1"/>
  <c r="Y142" i="18" a="1"/>
  <c r="Y142" i="18" s="1"/>
  <c r="AB142" i="18" s="1"/>
  <c r="Y192" i="18" a="1"/>
  <c r="Y192" i="18" s="1"/>
  <c r="AB192" i="18" s="1"/>
  <c r="Y8" i="18" a="1"/>
  <c r="Y8" i="18" s="1"/>
  <c r="AB8" i="18" s="1"/>
  <c r="Y63" i="18" a="1"/>
  <c r="Y63" i="18" s="1"/>
  <c r="AB63" i="18" s="1"/>
  <c r="Y100" i="18" a="1"/>
  <c r="Y100" i="18" s="1"/>
  <c r="AB100" i="18" s="1"/>
  <c r="Y138" i="18" a="1"/>
  <c r="Y138" i="18" s="1"/>
  <c r="AB138" i="18" s="1"/>
  <c r="Y165" i="18" a="1"/>
  <c r="Y165" i="18" s="1"/>
  <c r="AB165" i="18" s="1"/>
  <c r="Y211" i="18" a="1"/>
  <c r="Y211" i="18" s="1"/>
  <c r="AB211" i="18" s="1"/>
  <c r="Y17" i="18" a="1"/>
  <c r="Y17" i="18" s="1"/>
  <c r="AB17" i="18" s="1"/>
  <c r="Y72" i="18" a="1"/>
  <c r="Y72" i="18" s="1"/>
  <c r="AB72" i="18" s="1"/>
  <c r="Y108" i="18" a="1"/>
  <c r="Y108" i="18" s="1"/>
  <c r="AB108" i="18" s="1"/>
  <c r="Y161" i="18" a="1"/>
  <c r="Y161" i="18" s="1"/>
  <c r="AB161" i="18" s="1"/>
  <c r="Y128" i="18" a="1"/>
  <c r="Y128" i="18" s="1"/>
  <c r="AB128" i="18" s="1"/>
  <c r="Y181" i="18" a="1"/>
  <c r="Y181" i="18" s="1"/>
  <c r="AB181" i="18" s="1"/>
  <c r="Y238" i="18" a="1"/>
  <c r="Y238" i="18" s="1"/>
  <c r="AB238" i="18" s="1"/>
  <c r="Y49" i="18" a="1"/>
  <c r="Y49" i="18" s="1"/>
  <c r="AB49" i="18" s="1"/>
  <c r="Y89" i="18" a="1"/>
  <c r="Y89" i="18" s="1"/>
  <c r="AB89" i="18" s="1"/>
  <c r="Y126" i="18" a="1"/>
  <c r="Y126" i="18" s="1"/>
  <c r="AB126" i="18" s="1"/>
  <c r="Y151" i="18" a="1"/>
  <c r="Y151" i="18" s="1"/>
  <c r="AB151" i="18" s="1"/>
  <c r="Y188" i="18" a="1"/>
  <c r="Y188" i="18" s="1"/>
  <c r="AB188" i="18" s="1"/>
  <c r="Y233" i="18" a="1"/>
  <c r="Y233" i="18" s="1"/>
  <c r="AB233" i="18" s="1"/>
  <c r="Y58" i="18" a="1"/>
  <c r="Y58" i="18" s="1"/>
  <c r="AB58" i="18" s="1"/>
  <c r="Y95" i="18" a="1"/>
  <c r="Y95" i="18" s="1"/>
  <c r="AB95" i="18" s="1"/>
  <c r="Y147" i="18" a="1"/>
  <c r="Y147" i="18" s="1"/>
  <c r="AB147" i="18" s="1"/>
  <c r="Y173" i="18" a="1"/>
  <c r="Y173" i="18" s="1"/>
  <c r="AB173" i="18" s="1"/>
  <c r="Y231" i="18" a="1"/>
  <c r="Y231" i="18" s="1"/>
  <c r="AB231" i="18" s="1"/>
  <c r="Y54" i="18" a="1"/>
  <c r="Y54" i="18" s="1"/>
  <c r="AB54" i="18" s="1"/>
  <c r="Y116" i="18" a="1"/>
  <c r="Y116" i="18" s="1"/>
  <c r="Y169" i="18" a="1"/>
  <c r="Y169" i="18" s="1"/>
  <c r="AB169" i="18" s="1"/>
  <c r="Y215" i="18" a="1"/>
  <c r="Y215" i="18" s="1"/>
  <c r="AB215" i="18" s="1"/>
  <c r="Y35" i="18" a="1"/>
  <c r="Y35" i="18" s="1"/>
  <c r="AB35" i="18" s="1"/>
  <c r="Y76" i="18" a="1"/>
  <c r="Y76" i="18" s="1"/>
  <c r="AB76" i="18" s="1"/>
  <c r="Y112" i="18" a="1"/>
  <c r="Y112" i="18" s="1"/>
  <c r="AB112" i="18" s="1"/>
  <c r="Y137" i="18" a="1"/>
  <c r="Y137" i="18" s="1"/>
  <c r="AB137" i="18" s="1"/>
  <c r="Y177" i="18" a="1"/>
  <c r="Y177" i="18" s="1"/>
  <c r="AB177" i="18" s="1"/>
  <c r="Y222" i="18" a="1"/>
  <c r="Y222" i="18" s="1"/>
  <c r="AB222" i="18" s="1"/>
  <c r="Y44" i="18" a="1"/>
  <c r="Y44" i="18" s="1"/>
  <c r="Y85" i="18" a="1"/>
  <c r="Y85" i="18" s="1"/>
  <c r="AB85" i="18" s="1"/>
  <c r="Y133" i="18" a="1"/>
  <c r="Y133" i="18" s="1"/>
  <c r="AB133" i="18" s="1"/>
  <c r="Y160" i="18" a="1"/>
  <c r="Y160" i="18" s="1"/>
  <c r="AB160" i="18" s="1"/>
  <c r="Y219" i="18" a="1"/>
  <c r="Y219" i="18" s="1"/>
  <c r="AB219" i="18" s="1"/>
  <c r="Y40" i="18" a="1"/>
  <c r="Y40" i="18" s="1"/>
  <c r="AB40" i="18" s="1"/>
  <c r="Y53" i="18" a="1"/>
  <c r="Y53" i="18" s="1"/>
  <c r="AB53" i="18" s="1"/>
  <c r="Y92" i="18" a="1"/>
  <c r="Y92" i="18" s="1"/>
  <c r="AB92" i="18" s="1"/>
  <c r="Q11" i="18" a="1"/>
  <c r="Q11" i="18" s="1"/>
  <c r="S11" i="18" s="1"/>
  <c r="AS11" i="18" s="1"/>
  <c r="Q15" i="18" a="1"/>
  <c r="Q15" i="18" s="1"/>
  <c r="S15" i="18" s="1"/>
  <c r="AR15" i="18" s="1"/>
  <c r="Q28" i="18" a="1"/>
  <c r="Q28" i="18" s="1"/>
  <c r="S28" i="18" s="1"/>
  <c r="AR28" i="18" s="1"/>
  <c r="Q36" i="18" a="1"/>
  <c r="Q36" i="18" s="1"/>
  <c r="S36" i="18" s="1"/>
  <c r="Q20" i="18" a="1"/>
  <c r="Q20" i="18" s="1"/>
  <c r="S20" i="18" s="1"/>
  <c r="AR20" i="18" s="1"/>
  <c r="Q24" i="18" a="1"/>
  <c r="Q24" i="18" s="1"/>
  <c r="S24" i="18" s="1"/>
  <c r="Q41" i="18" a="1"/>
  <c r="Q41" i="18" s="1"/>
  <c r="S41" i="18" s="1"/>
  <c r="Q45" i="18" a="1"/>
  <c r="Q45" i="18" s="1"/>
  <c r="S45" i="18" s="1"/>
  <c r="Q54" i="18" a="1"/>
  <c r="Q54" i="18" s="1"/>
  <c r="S54" i="18" s="1"/>
  <c r="Q67" i="18" a="1"/>
  <c r="Q67" i="18" s="1"/>
  <c r="S67" i="18" s="1"/>
  <c r="AR67" i="18" s="1"/>
  <c r="Q59" i="18" a="1"/>
  <c r="Q59" i="18" s="1"/>
  <c r="S59" i="18" s="1"/>
  <c r="AS59" i="18" s="1"/>
  <c r="Q63" i="18" a="1"/>
  <c r="Q63" i="18" s="1"/>
  <c r="S63" i="18" s="1"/>
  <c r="Q72" i="18" a="1"/>
  <c r="Q72" i="18" s="1"/>
  <c r="S72" i="18" s="1"/>
  <c r="Q17" i="18" a="1"/>
  <c r="Q17" i="18" s="1"/>
  <c r="S17" i="18" s="1"/>
  <c r="Q21" i="18" a="1"/>
  <c r="Q21" i="18" s="1"/>
  <c r="S21" i="18" s="1"/>
  <c r="Q38" i="18" a="1"/>
  <c r="Q38" i="18" s="1"/>
  <c r="S38" i="18" s="1"/>
  <c r="Q51" i="18" a="1"/>
  <c r="Q51" i="18" s="1"/>
  <c r="S51" i="18" s="1"/>
  <c r="Q10" i="18" a="1"/>
  <c r="Q10" i="18" s="1"/>
  <c r="S10" i="18" s="1"/>
  <c r="Q14" i="18" a="1"/>
  <c r="Q14" i="18" s="1"/>
  <c r="S14" i="18" s="1"/>
  <c r="Q32" i="18" a="1"/>
  <c r="Q32" i="18" s="1"/>
  <c r="S32" i="18" s="1"/>
  <c r="Q49" i="18" a="1"/>
  <c r="Q49" i="18" s="1"/>
  <c r="S49" i="18" s="1"/>
  <c r="Q18" i="18" a="1"/>
  <c r="Q18" i="18" s="1"/>
  <c r="S18" i="18" s="1"/>
  <c r="AS18" i="18" s="1"/>
  <c r="Q31" i="18" a="1"/>
  <c r="Q31" i="18" s="1"/>
  <c r="S31" i="18" s="1"/>
  <c r="Q44" i="18" a="1"/>
  <c r="Q44" i="18" s="1"/>
  <c r="S44" i="18" s="1"/>
  <c r="Q74" i="18" a="1"/>
  <c r="Q74" i="18" s="1"/>
  <c r="S74" i="18" s="1"/>
  <c r="AS74" i="18" s="1"/>
  <c r="Q92" i="18" a="1"/>
  <c r="Q92" i="18" s="1"/>
  <c r="S92" i="18" s="1"/>
  <c r="Q117" i="18" a="1"/>
  <c r="Q117" i="18" s="1"/>
  <c r="S117" i="18" s="1"/>
  <c r="AS117" i="18" s="1"/>
  <c r="Q139" i="18" a="1"/>
  <c r="Q139" i="18" s="1"/>
  <c r="S139" i="18" s="1"/>
  <c r="Q169" i="18" a="1"/>
  <c r="Q169" i="18" s="1"/>
  <c r="S169" i="18" s="1"/>
  <c r="Q177" i="18" a="1"/>
  <c r="Q177" i="18" s="1"/>
  <c r="S177" i="18" s="1"/>
  <c r="Q181" i="18" a="1"/>
  <c r="Q181" i="18" s="1"/>
  <c r="S181" i="18" s="1"/>
  <c r="Q199" i="18" a="1"/>
  <c r="Q199" i="18" s="1"/>
  <c r="S199" i="18" s="1"/>
  <c r="Q230" i="18" a="1"/>
  <c r="Q230" i="18" s="1"/>
  <c r="S230" i="18" s="1"/>
  <c r="AS230" i="18" s="1"/>
  <c r="Q237" i="18" a="1"/>
  <c r="Q237" i="18" s="1"/>
  <c r="S237" i="18" s="1"/>
  <c r="AS237" i="18" s="1"/>
  <c r="Q12" i="18" a="1"/>
  <c r="Q12" i="18" s="1"/>
  <c r="S12" i="18" s="1"/>
  <c r="AS12" i="18" s="1"/>
  <c r="Q25" i="18" a="1"/>
  <c r="Q25" i="18" s="1"/>
  <c r="S25" i="18" s="1"/>
  <c r="Q69" i="18" a="1"/>
  <c r="Q69" i="18" s="1"/>
  <c r="S69" i="18" s="1"/>
  <c r="Q84" i="18" a="1"/>
  <c r="Q84" i="18" s="1"/>
  <c r="S84" i="18" s="1"/>
  <c r="Q88" i="18" a="1"/>
  <c r="Q88" i="18" s="1"/>
  <c r="S88" i="18" s="1"/>
  <c r="Q113" i="18" a="1"/>
  <c r="Q113" i="18" s="1"/>
  <c r="S113" i="18" s="1"/>
  <c r="Q125" i="18" a="1"/>
  <c r="Q125" i="18" s="1"/>
  <c r="S125" i="18" s="1"/>
  <c r="Q135" i="18" a="1"/>
  <c r="Q135" i="18" s="1"/>
  <c r="S135" i="18" s="1"/>
  <c r="Q144" i="18" a="1"/>
  <c r="Q144" i="18" s="1"/>
  <c r="S144" i="18" s="1"/>
  <c r="Q211" i="18" a="1"/>
  <c r="Q211" i="18" s="1"/>
  <c r="S211" i="18" s="1"/>
  <c r="Q223" i="18" a="1"/>
  <c r="Q223" i="18" s="1"/>
  <c r="S223" i="18" s="1"/>
  <c r="Q244" i="18" a="1"/>
  <c r="Q244" i="18" s="1"/>
  <c r="S244" i="18" s="1"/>
  <c r="AR244" i="18" s="1"/>
  <c r="Q52" i="18" a="1"/>
  <c r="Q52" i="18" s="1"/>
  <c r="S52" i="18" s="1"/>
  <c r="Q58" i="18" a="1"/>
  <c r="Q58" i="18" s="1"/>
  <c r="S58" i="18" s="1"/>
  <c r="Q64" i="18" a="1"/>
  <c r="Q64" i="18" s="1"/>
  <c r="S64" i="18" s="1"/>
  <c r="Q97" i="18" a="1"/>
  <c r="Q97" i="18" s="1"/>
  <c r="S97" i="18" s="1"/>
  <c r="AS97" i="18" s="1"/>
  <c r="Q105" i="18" a="1"/>
  <c r="Q105" i="18" s="1"/>
  <c r="S105" i="18" s="1"/>
  <c r="AR105" i="18" s="1"/>
  <c r="Q109" i="18" a="1"/>
  <c r="Q109" i="18" s="1"/>
  <c r="S109" i="18" s="1"/>
  <c r="Q122" i="18" a="1"/>
  <c r="Q122" i="18" s="1"/>
  <c r="S122" i="18" s="1"/>
  <c r="Q131" i="18" a="1"/>
  <c r="Q131" i="18" s="1"/>
  <c r="S131" i="18" s="1"/>
  <c r="AR131" i="18" s="1"/>
  <c r="Q149" i="18" a="1"/>
  <c r="Q149" i="18" s="1"/>
  <c r="S149" i="18" s="1"/>
  <c r="AS149" i="18" s="1"/>
  <c r="Q153" i="18" a="1"/>
  <c r="Q153" i="18" s="1"/>
  <c r="S153" i="18" s="1"/>
  <c r="Q157" i="18" a="1"/>
  <c r="Q157" i="18" s="1"/>
  <c r="S157" i="18" s="1"/>
  <c r="Q165" i="18" a="1"/>
  <c r="Q165" i="18" s="1"/>
  <c r="S165" i="18" s="1"/>
  <c r="Q174" i="18" a="1"/>
  <c r="Q174" i="18" s="1"/>
  <c r="S174" i="18" s="1"/>
  <c r="Q183" i="18" a="1"/>
  <c r="Q183" i="18" s="1"/>
  <c r="S183" i="18" s="1"/>
  <c r="Q187" i="18" a="1"/>
  <c r="Q187" i="18" s="1"/>
  <c r="S187" i="18" s="1"/>
  <c r="Q191" i="18" a="1"/>
  <c r="Q191" i="18" s="1"/>
  <c r="S191" i="18" s="1"/>
  <c r="Q195" i="18" a="1"/>
  <c r="Q195" i="18" s="1"/>
  <c r="S195" i="18" s="1"/>
  <c r="Q219" i="18" a="1"/>
  <c r="Q219" i="18" s="1"/>
  <c r="S219" i="18" s="1"/>
  <c r="Q227" i="18" a="1"/>
  <c r="Q227" i="18" s="1"/>
  <c r="S227" i="18" s="1"/>
  <c r="Q234" i="18" a="1"/>
  <c r="Q234" i="18" s="1"/>
  <c r="S234" i="18" s="1"/>
  <c r="AR234" i="18" s="1"/>
  <c r="Q19" i="18" a="1"/>
  <c r="Q19" i="18" s="1"/>
  <c r="S19" i="18" s="1"/>
  <c r="Q26" i="18" a="1"/>
  <c r="Q26" i="18" s="1"/>
  <c r="S26" i="18" s="1"/>
  <c r="AS26" i="18" s="1"/>
  <c r="Q39" i="18" a="1"/>
  <c r="Q39" i="18" s="1"/>
  <c r="S39" i="18" s="1"/>
  <c r="AS39" i="18" s="1"/>
  <c r="Q46" i="18" a="1"/>
  <c r="Q46" i="18" s="1"/>
  <c r="S46" i="18" s="1"/>
  <c r="Q75" i="18" a="1"/>
  <c r="Q75" i="18" s="1"/>
  <c r="S75" i="18" s="1"/>
  <c r="AR75" i="18" s="1"/>
  <c r="Q80" i="18" a="1"/>
  <c r="Q80" i="18" s="1"/>
  <c r="S80" i="18" s="1"/>
  <c r="Q93" i="18" a="1"/>
  <c r="Q93" i="18" s="1"/>
  <c r="S93" i="18" s="1"/>
  <c r="Q101" i="18" a="1"/>
  <c r="Q101" i="18" s="1"/>
  <c r="S101" i="18" s="1"/>
  <c r="Q118" i="18" a="1"/>
  <c r="Q118" i="18" s="1"/>
  <c r="S118" i="18" s="1"/>
  <c r="Q4" i="18" a="1"/>
  <c r="Q4" i="18" s="1"/>
  <c r="S4" i="18" s="1"/>
  <c r="AR4" i="18" s="1"/>
  <c r="Q140" i="18" a="1"/>
  <c r="Q140" i="18" s="1"/>
  <c r="S140" i="18" s="1"/>
  <c r="AS140" i="18" s="1"/>
  <c r="Q161" i="18" a="1"/>
  <c r="Q161" i="18" s="1"/>
  <c r="S161" i="18" s="1"/>
  <c r="Q170" i="18" a="1"/>
  <c r="Q170" i="18" s="1"/>
  <c r="S170" i="18" s="1"/>
  <c r="Q5" i="18" a="1"/>
  <c r="Q5" i="18" s="1"/>
  <c r="S5" i="18" s="1"/>
  <c r="Q204" i="18" a="1"/>
  <c r="Q204" i="18" s="1"/>
  <c r="S204" i="18" s="1"/>
  <c r="Q215" i="18" a="1"/>
  <c r="Q215" i="18" s="1"/>
  <c r="S215" i="18" s="1"/>
  <c r="Q238" i="18" a="1"/>
  <c r="Q238" i="18" s="1"/>
  <c r="S238" i="18" s="1"/>
  <c r="Q241" i="18" a="1"/>
  <c r="Q241" i="18" s="1"/>
  <c r="S241" i="18" s="1"/>
  <c r="AS241" i="18" s="1"/>
  <c r="Q13" i="18" a="1"/>
  <c r="Q13" i="18" s="1"/>
  <c r="S13" i="18" s="1"/>
  <c r="Q33" i="18" a="1"/>
  <c r="Q33" i="18" s="1"/>
  <c r="S33" i="18" s="1"/>
  <c r="AR33" i="18" s="1"/>
  <c r="Q70" i="18" a="1"/>
  <c r="Q70" i="18" s="1"/>
  <c r="S70" i="18" s="1"/>
  <c r="AS70" i="18" s="1"/>
  <c r="Q85" i="18" a="1"/>
  <c r="Q85" i="18" s="1"/>
  <c r="S85" i="18" s="1"/>
  <c r="Q89" i="18" a="1"/>
  <c r="Q89" i="18" s="1"/>
  <c r="S89" i="18" s="1"/>
  <c r="Q114" i="18" a="1"/>
  <c r="Q114" i="18" s="1"/>
  <c r="S114" i="18" s="1"/>
  <c r="Q136" i="18" a="1"/>
  <c r="Q136" i="18" s="1"/>
  <c r="S136" i="18" s="1"/>
  <c r="AS136" i="18" s="1"/>
  <c r="Q145" i="18" a="1"/>
  <c r="Q145" i="18" s="1"/>
  <c r="S145" i="18" s="1"/>
  <c r="AS145" i="18" s="1"/>
  <c r="Q178" i="18" a="1"/>
  <c r="Q178" i="18" s="1"/>
  <c r="S178" i="18" s="1"/>
  <c r="AS178" i="18" s="1"/>
  <c r="Q200" i="18" a="1"/>
  <c r="Q200" i="18" s="1"/>
  <c r="S200" i="18" s="1"/>
  <c r="Q208" i="18" a="1"/>
  <c r="Q208" i="18" s="1"/>
  <c r="S208" i="18" s="1"/>
  <c r="Q231" i="18" a="1"/>
  <c r="Q231" i="18" s="1"/>
  <c r="S231" i="18" s="1"/>
  <c r="Q47" i="18" a="1"/>
  <c r="Q47" i="18" s="1"/>
  <c r="S47" i="18" s="1"/>
  <c r="Q53" i="18" a="1"/>
  <c r="Q53" i="18" s="1"/>
  <c r="S53" i="18" s="1"/>
  <c r="Q60" i="18" a="1"/>
  <c r="Q60" i="18" s="1"/>
  <c r="S60" i="18" s="1"/>
  <c r="Q98" i="18" a="1"/>
  <c r="Q98" i="18" s="1"/>
  <c r="S98" i="18" s="1"/>
  <c r="AR98" i="18" s="1"/>
  <c r="Q106" i="18" a="1"/>
  <c r="Q106" i="18" s="1"/>
  <c r="S106" i="18" s="1"/>
  <c r="AR106" i="18" s="1"/>
  <c r="Q110" i="18" a="1"/>
  <c r="Q110" i="18" s="1"/>
  <c r="S110" i="18" s="1"/>
  <c r="Q126" i="18" a="1"/>
  <c r="Q126" i="18" s="1"/>
  <c r="S126" i="18" s="1"/>
  <c r="Q132" i="18" a="1"/>
  <c r="Q132" i="18" s="1"/>
  <c r="S132" i="18" s="1"/>
  <c r="Q150" i="18" a="1"/>
  <c r="Q150" i="18" s="1"/>
  <c r="S150" i="18" s="1"/>
  <c r="Q154" i="18" a="1"/>
  <c r="Q154" i="18" s="1"/>
  <c r="S154" i="18" s="1"/>
  <c r="AS154" i="18" s="1"/>
  <c r="Q158" i="18" a="1"/>
  <c r="Q158" i="18" s="1"/>
  <c r="S158" i="18" s="1"/>
  <c r="Q166" i="18" a="1"/>
  <c r="Q166" i="18" s="1"/>
  <c r="S166" i="18" s="1"/>
  <c r="Q196" i="18" a="1"/>
  <c r="Q196" i="18" s="1"/>
  <c r="S196" i="18" s="1"/>
  <c r="AS196" i="18" s="1"/>
  <c r="Q27" i="18" a="1"/>
  <c r="Q27" i="18" s="1"/>
  <c r="S27" i="18" s="1"/>
  <c r="Q40" i="18" a="1"/>
  <c r="Q40" i="18" s="1"/>
  <c r="S40" i="18" s="1"/>
  <c r="Q65" i="18" a="1"/>
  <c r="Q65" i="18" s="1"/>
  <c r="S65" i="18" s="1"/>
  <c r="AR65" i="18" s="1"/>
  <c r="Q76" i="18" a="1"/>
  <c r="Q76" i="18" s="1"/>
  <c r="S76" i="18" s="1"/>
  <c r="Q81" i="18" a="1"/>
  <c r="Q81" i="18" s="1"/>
  <c r="S81" i="18" s="1"/>
  <c r="AR81" i="18" s="1"/>
  <c r="Q94" i="18" a="1"/>
  <c r="Q94" i="18" s="1"/>
  <c r="S94" i="18" s="1"/>
  <c r="Q119" i="18" a="1"/>
  <c r="Q119" i="18" s="1"/>
  <c r="S119" i="18" s="1"/>
  <c r="Q123" i="18" a="1"/>
  <c r="Q123" i="18" s="1"/>
  <c r="S123" i="18" s="1"/>
  <c r="Q128" i="18" a="1"/>
  <c r="Q128" i="18" s="1"/>
  <c r="S128" i="18" s="1"/>
  <c r="Q141" i="18" a="1"/>
  <c r="Q141" i="18" s="1"/>
  <c r="S141" i="18" s="1"/>
  <c r="Q162" i="18" a="1"/>
  <c r="Q162" i="18" s="1"/>
  <c r="S162" i="18" s="1"/>
  <c r="AS162" i="18" s="1"/>
  <c r="Q175" i="18" a="1"/>
  <c r="Q175" i="18" s="1"/>
  <c r="S175" i="18" s="1"/>
  <c r="Q188" i="18" a="1"/>
  <c r="Q188" i="18" s="1"/>
  <c r="S188" i="18" s="1"/>
  <c r="Q192" i="18" a="1"/>
  <c r="Q192" i="18" s="1"/>
  <c r="S192" i="18" s="1"/>
  <c r="Q205" i="18" a="1"/>
  <c r="Q205" i="18" s="1"/>
  <c r="S205" i="18" s="1"/>
  <c r="AR205" i="18" s="1"/>
  <c r="Q212" i="18" a="1"/>
  <c r="Q212" i="18" s="1"/>
  <c r="S212" i="18" s="1"/>
  <c r="Q220" i="18" a="1"/>
  <c r="Q220" i="18" s="1"/>
  <c r="S220" i="18" s="1"/>
  <c r="Q224" i="18" a="1"/>
  <c r="Q224" i="18" s="1"/>
  <c r="S224" i="18" s="1"/>
  <c r="Q242" i="18" a="1"/>
  <c r="Q242" i="18" s="1"/>
  <c r="S242" i="18" s="1"/>
  <c r="AS242" i="18" s="1"/>
  <c r="Q34" i="18" a="1"/>
  <c r="Q34" i="18" s="1"/>
  <c r="S34" i="18" s="1"/>
  <c r="AS34" i="18" s="1"/>
  <c r="Q55" i="18" a="1"/>
  <c r="Q55" i="18" s="1"/>
  <c r="S55" i="18" s="1"/>
  <c r="AR55" i="18" s="1"/>
  <c r="Q71" i="18" a="1"/>
  <c r="Q71" i="18" s="1"/>
  <c r="S71" i="18" s="1"/>
  <c r="AR71" i="18" s="1"/>
  <c r="Q77" i="18" a="1"/>
  <c r="Q77" i="18" s="1"/>
  <c r="S77" i="18" s="1"/>
  <c r="Q86" i="18" a="1"/>
  <c r="Q86" i="18" s="1"/>
  <c r="S86" i="18" s="1"/>
  <c r="Q90" i="18" a="1"/>
  <c r="Q90" i="18" s="1"/>
  <c r="S90" i="18" s="1"/>
  <c r="Q102" i="18" a="1"/>
  <c r="Q102" i="18" s="1"/>
  <c r="S102" i="18" s="1"/>
  <c r="AS102" i="18" s="1"/>
  <c r="Q115" i="18" a="1"/>
  <c r="Q115" i="18" s="1"/>
  <c r="S115" i="18" s="1"/>
  <c r="AR115" i="18" s="1"/>
  <c r="Q137" i="18" a="1"/>
  <c r="Q137" i="18" s="1"/>
  <c r="S137" i="18" s="1"/>
  <c r="Q146" i="18" a="1"/>
  <c r="Q146" i="18" s="1"/>
  <c r="S146" i="18" s="1"/>
  <c r="AR146" i="18" s="1"/>
  <c r="Q171" i="18" a="1"/>
  <c r="Q171" i="18" s="1"/>
  <c r="S171" i="18" s="1"/>
  <c r="Q179" i="18" a="1"/>
  <c r="Q179" i="18" s="1"/>
  <c r="S179" i="18" s="1"/>
  <c r="Q6" i="18" a="1"/>
  <c r="Q6" i="18" s="1"/>
  <c r="S6" i="18" s="1"/>
  <c r="AR6" i="18" s="1"/>
  <c r="Q184" i="18" a="1"/>
  <c r="Q184" i="18" s="1"/>
  <c r="S184" i="18" s="1"/>
  <c r="AS184" i="18" s="1"/>
  <c r="Q201" i="18" a="1"/>
  <c r="Q201" i="18" s="1"/>
  <c r="S201" i="18" s="1"/>
  <c r="Q216" i="18" a="1"/>
  <c r="Q216" i="18" s="1"/>
  <c r="S216" i="18" s="1"/>
  <c r="Q228" i="18" a="1"/>
  <c r="Q228" i="18" s="1"/>
  <c r="S228" i="18" s="1"/>
  <c r="AS228" i="18" s="1"/>
  <c r="Q235" i="18" a="1"/>
  <c r="Q235" i="18" s="1"/>
  <c r="S235" i="18" s="1"/>
  <c r="Q48" i="18" a="1"/>
  <c r="Q48" i="18" s="1"/>
  <c r="S48" i="18" s="1"/>
  <c r="AR48" i="18" s="1"/>
  <c r="Q111" i="18" a="1"/>
  <c r="Q111" i="18" s="1"/>
  <c r="S111" i="18" s="1"/>
  <c r="Q133" i="18" a="1"/>
  <c r="Q133" i="18" s="1"/>
  <c r="S133" i="18" s="1"/>
  <c r="Q167" i="18" a="1"/>
  <c r="Q167" i="18" s="1"/>
  <c r="S167" i="18" s="1"/>
  <c r="Q197" i="18" a="1"/>
  <c r="Q197" i="18" s="1"/>
  <c r="S197" i="18" s="1"/>
  <c r="Q209" i="18" a="1"/>
  <c r="Q209" i="18" s="1"/>
  <c r="S209" i="18" s="1"/>
  <c r="Q239" i="18" a="1"/>
  <c r="Q239" i="18" s="1"/>
  <c r="S239" i="18" s="1"/>
  <c r="Q8" i="18" a="1"/>
  <c r="Q8" i="18" s="1"/>
  <c r="S8" i="18" s="1"/>
  <c r="Q16" i="18" a="1"/>
  <c r="Q16" i="18" s="1"/>
  <c r="S16" i="18" s="1"/>
  <c r="AR16" i="18" s="1"/>
  <c r="Q22" i="18" a="1"/>
  <c r="Q22" i="18" s="1"/>
  <c r="S22" i="18" s="1"/>
  <c r="Q29" i="18" a="1"/>
  <c r="Q29" i="18" s="1"/>
  <c r="S29" i="18" s="1"/>
  <c r="AS29" i="18" s="1"/>
  <c r="Q42" i="18" a="1"/>
  <c r="Q42" i="18" s="1"/>
  <c r="S42" i="18" s="1"/>
  <c r="AS42" i="18" s="1"/>
  <c r="Q61" i="18" a="1"/>
  <c r="Q61" i="18" s="1"/>
  <c r="S61" i="18" s="1"/>
  <c r="AR61" i="18" s="1"/>
  <c r="Q66" i="18" a="1"/>
  <c r="Q66" i="18" s="1"/>
  <c r="S66" i="18" s="1"/>
  <c r="Q82" i="18" a="1"/>
  <c r="Q82" i="18" s="1"/>
  <c r="S82" i="18" s="1"/>
  <c r="Q99" i="18" a="1"/>
  <c r="Q99" i="18" s="1"/>
  <c r="S99" i="18" s="1"/>
  <c r="Q107" i="18" a="1"/>
  <c r="Q107" i="18" s="1"/>
  <c r="S107" i="18" s="1"/>
  <c r="AS107" i="18" s="1"/>
  <c r="Q120" i="18" a="1"/>
  <c r="Q120" i="18" s="1"/>
  <c r="S120" i="18" s="1"/>
  <c r="Q127" i="18" a="1"/>
  <c r="Q127" i="18" s="1"/>
  <c r="S127" i="18" s="1"/>
  <c r="AR127" i="18" s="1"/>
  <c r="Q142" i="18" a="1"/>
  <c r="Q142" i="18" s="1"/>
  <c r="S142" i="18" s="1"/>
  <c r="Q151" i="18" a="1"/>
  <c r="Q151" i="18" s="1"/>
  <c r="S151" i="18" s="1"/>
  <c r="Q159" i="18" a="1"/>
  <c r="Q159" i="18" s="1"/>
  <c r="S159" i="18" s="1"/>
  <c r="AS159" i="18" s="1"/>
  <c r="Q176" i="18" a="1"/>
  <c r="Q176" i="18" s="1"/>
  <c r="S176" i="18" s="1"/>
  <c r="Q193" i="18" a="1"/>
  <c r="Q193" i="18" s="1"/>
  <c r="S193" i="18" s="1"/>
  <c r="AS193" i="18" s="1"/>
  <c r="Q206" i="18" a="1"/>
  <c r="Q206" i="18" s="1"/>
  <c r="S206" i="18" s="1"/>
  <c r="Q213" i="18" a="1"/>
  <c r="Q213" i="18" s="1"/>
  <c r="S213" i="18" s="1"/>
  <c r="Q221" i="18" a="1"/>
  <c r="Q221" i="18" s="1"/>
  <c r="S221" i="18" s="1"/>
  <c r="AS221" i="18" s="1"/>
  <c r="Q232" i="18" a="1"/>
  <c r="Q232" i="18" s="1"/>
  <c r="S232" i="18" s="1"/>
  <c r="AS232" i="18" s="1"/>
  <c r="Q35" i="18" a="1"/>
  <c r="Q35" i="18" s="1"/>
  <c r="S35" i="18" s="1"/>
  <c r="Q56" i="18" a="1"/>
  <c r="Q56" i="18" s="1"/>
  <c r="S56" i="18" s="1"/>
  <c r="Q78" i="18" a="1"/>
  <c r="Q78" i="18" s="1"/>
  <c r="S78" i="18" s="1"/>
  <c r="AS78" i="18" s="1"/>
  <c r="Q95" i="18" a="1"/>
  <c r="Q95" i="18" s="1"/>
  <c r="S95" i="18" s="1"/>
  <c r="Q103" i="18" a="1"/>
  <c r="Q103" i="18" s="1"/>
  <c r="S103" i="18" s="1"/>
  <c r="AR103" i="18" s="1"/>
  <c r="Q116" i="18" a="1"/>
  <c r="Q116" i="18" s="1"/>
  <c r="S116" i="18" s="1"/>
  <c r="Q124" i="18" a="1"/>
  <c r="Q124" i="18" s="1"/>
  <c r="S124" i="18" s="1"/>
  <c r="AS124" i="18" s="1"/>
  <c r="Q129" i="18" a="1"/>
  <c r="Q129" i="18" s="1"/>
  <c r="S129" i="18" s="1"/>
  <c r="AS129" i="18" s="1"/>
  <c r="Q138" i="18" a="1"/>
  <c r="Q138" i="18" s="1"/>
  <c r="S138" i="18" s="1"/>
  <c r="Q147" i="18" a="1"/>
  <c r="Q147" i="18" s="1"/>
  <c r="S147" i="18" s="1"/>
  <c r="Q155" i="18" a="1"/>
  <c r="Q155" i="18" s="1"/>
  <c r="S155" i="18" s="1"/>
  <c r="Q163" i="18" a="1"/>
  <c r="Q163" i="18" s="1"/>
  <c r="S163" i="18" s="1"/>
  <c r="Q172" i="18" a="1"/>
  <c r="Q172" i="18" s="1"/>
  <c r="S172" i="18" s="1"/>
  <c r="Q180" i="18" a="1"/>
  <c r="Q180" i="18" s="1"/>
  <c r="S180" i="18" s="1"/>
  <c r="AR180" i="18" s="1"/>
  <c r="Q182" i="18" a="1"/>
  <c r="Q182" i="18" s="1"/>
  <c r="S182" i="18" s="1"/>
  <c r="AS182" i="18" s="1"/>
  <c r="Q185" i="18" a="1"/>
  <c r="Q185" i="18" s="1"/>
  <c r="S185" i="18" s="1"/>
  <c r="AS185" i="18" s="1"/>
  <c r="Q189" i="18" a="1"/>
  <c r="Q189" i="18" s="1"/>
  <c r="S189" i="18" s="1"/>
  <c r="Q202" i="18" a="1"/>
  <c r="Q202" i="18" s="1"/>
  <c r="S202" i="18" s="1"/>
  <c r="Q217" i="18" a="1"/>
  <c r="Q217" i="18" s="1"/>
  <c r="S217" i="18" s="1"/>
  <c r="Q225" i="18" a="1"/>
  <c r="Q225" i="18" s="1"/>
  <c r="S225" i="18" s="1"/>
  <c r="Q236" i="18" a="1"/>
  <c r="Q236" i="18" s="1"/>
  <c r="S236" i="18" s="1"/>
  <c r="AR236" i="18" s="1"/>
  <c r="Q243" i="18" a="1"/>
  <c r="Q243" i="18" s="1"/>
  <c r="S243" i="18" s="1"/>
  <c r="Q9" i="18" a="1"/>
  <c r="Q9" i="18" s="1"/>
  <c r="S9" i="18" s="1"/>
  <c r="AS9" i="18" s="1"/>
  <c r="Q30" i="18" a="1"/>
  <c r="Q30" i="18" s="1"/>
  <c r="S30" i="18" s="1"/>
  <c r="Q43" i="18" a="1"/>
  <c r="Q43" i="18" s="1"/>
  <c r="S43" i="18" s="1"/>
  <c r="AR43" i="18" s="1"/>
  <c r="Q50" i="18" a="1"/>
  <c r="Q50" i="18" s="1"/>
  <c r="S50" i="18" s="1"/>
  <c r="Q73" i="18" a="1"/>
  <c r="Q73" i="18" s="1"/>
  <c r="S73" i="18" s="1"/>
  <c r="AS73" i="18" s="1"/>
  <c r="Q87" i="18" a="1"/>
  <c r="Q87" i="18" s="1"/>
  <c r="S87" i="18" s="1"/>
  <c r="AS87" i="18" s="1"/>
  <c r="Q91" i="18" a="1"/>
  <c r="Q91" i="18" s="1"/>
  <c r="S91" i="18" s="1"/>
  <c r="AS91" i="18" s="1"/>
  <c r="Q112" i="18" a="1"/>
  <c r="Q112" i="18" s="1"/>
  <c r="S112" i="18" s="1"/>
  <c r="Q168" i="18" a="1"/>
  <c r="Q168" i="18" s="1"/>
  <c r="S168" i="18" s="1"/>
  <c r="Q198" i="18" a="1"/>
  <c r="Q198" i="18" s="1"/>
  <c r="S198" i="18" s="1"/>
  <c r="Q210" i="18" a="1"/>
  <c r="Q210" i="18" s="1"/>
  <c r="S210" i="18" s="1"/>
  <c r="Q229" i="18" a="1"/>
  <c r="Q229" i="18" s="1"/>
  <c r="S229" i="18" s="1"/>
  <c r="AR229" i="18" s="1"/>
  <c r="Q23" i="18" a="1"/>
  <c r="Q23" i="18" s="1"/>
  <c r="S23" i="18" s="1"/>
  <c r="Q37" i="18" a="1"/>
  <c r="Q37" i="18" s="1"/>
  <c r="S37" i="18" s="1"/>
  <c r="AS37" i="18" s="1"/>
  <c r="Q68" i="18" a="1"/>
  <c r="Q68" i="18" s="1"/>
  <c r="S68" i="18" s="1"/>
  <c r="Q83" i="18" a="1"/>
  <c r="Q83" i="18" s="1"/>
  <c r="S83" i="18" s="1"/>
  <c r="AR83" i="18" s="1"/>
  <c r="Q108" i="18" a="1"/>
  <c r="Q108" i="18" s="1"/>
  <c r="S108" i="18" s="1"/>
  <c r="Q121" i="18" a="1"/>
  <c r="Q121" i="18" s="1"/>
  <c r="S121" i="18" s="1"/>
  <c r="Q134" i="18" a="1"/>
  <c r="Q134" i="18" s="1"/>
  <c r="S134" i="18" s="1"/>
  <c r="Q143" i="18" a="1"/>
  <c r="Q143" i="18" s="1"/>
  <c r="S143" i="18" s="1"/>
  <c r="Q160" i="18" a="1"/>
  <c r="Q160" i="18" s="1"/>
  <c r="S160" i="18" s="1"/>
  <c r="Q194" i="18" a="1"/>
  <c r="Q194" i="18" s="1"/>
  <c r="S194" i="18" s="1"/>
  <c r="AS194" i="18" s="1"/>
  <c r="Q214" i="18" a="1"/>
  <c r="Q214" i="18" s="1"/>
  <c r="S214" i="18" s="1"/>
  <c r="AS214" i="18" s="1"/>
  <c r="Q222" i="18" a="1"/>
  <c r="Q222" i="18" s="1"/>
  <c r="S222" i="18" s="1"/>
  <c r="Q57" i="18" a="1"/>
  <c r="Q57" i="18" s="1"/>
  <c r="S57" i="18" s="1"/>
  <c r="AS57" i="18" s="1"/>
  <c r="Q62" i="18" a="1"/>
  <c r="Q62" i="18" s="1"/>
  <c r="S62" i="18" s="1"/>
  <c r="AR62" i="18" s="1"/>
  <c r="Q79" i="18" a="1"/>
  <c r="Q79" i="18" s="1"/>
  <c r="S79" i="18" s="1"/>
  <c r="AR79" i="18" s="1"/>
  <c r="Q96" i="18" a="1"/>
  <c r="Q96" i="18" s="1"/>
  <c r="S96" i="18" s="1"/>
  <c r="Q100" i="18" a="1"/>
  <c r="Q100" i="18" s="1"/>
  <c r="S100" i="18" s="1"/>
  <c r="Q104" i="18" a="1"/>
  <c r="Q104" i="18" s="1"/>
  <c r="S104" i="18" s="1"/>
  <c r="Q3" i="18" a="1"/>
  <c r="Q3" i="18" s="1"/>
  <c r="S3" i="18" s="1"/>
  <c r="AS3" i="18" s="1"/>
  <c r="Q130" i="18" a="1"/>
  <c r="Q130" i="18" s="1"/>
  <c r="S130" i="18" s="1"/>
  <c r="Q148" i="18" a="1"/>
  <c r="Q148" i="18" s="1"/>
  <c r="S148" i="18" s="1"/>
  <c r="Q152" i="18" a="1"/>
  <c r="Q152" i="18" s="1"/>
  <c r="S152" i="18" s="1"/>
  <c r="Q156" i="18" a="1"/>
  <c r="Q156" i="18" s="1"/>
  <c r="S156" i="18" s="1"/>
  <c r="Q164" i="18" a="1"/>
  <c r="Q164" i="18" s="1"/>
  <c r="S164" i="18" s="1"/>
  <c r="AR164" i="18" s="1"/>
  <c r="Q173" i="18" a="1"/>
  <c r="Q173" i="18" s="1"/>
  <c r="S173" i="18" s="1"/>
  <c r="Q186" i="18" a="1"/>
  <c r="Q186" i="18" s="1"/>
  <c r="S186" i="18" s="1"/>
  <c r="AS186" i="18" s="1"/>
  <c r="Q190" i="18" a="1"/>
  <c r="Q190" i="18" s="1"/>
  <c r="S190" i="18" s="1"/>
  <c r="Q203" i="18" a="1"/>
  <c r="Q203" i="18" s="1"/>
  <c r="S203" i="18" s="1"/>
  <c r="Q207" i="18" a="1"/>
  <c r="Q207" i="18" s="1"/>
  <c r="S207" i="18" s="1"/>
  <c r="Q218" i="18" a="1"/>
  <c r="Q218" i="18" s="1"/>
  <c r="S218" i="18" s="1"/>
  <c r="AR218" i="18" s="1"/>
  <c r="Q226" i="18" a="1"/>
  <c r="Q226" i="18" s="1"/>
  <c r="S226" i="18" s="1"/>
  <c r="Q233" i="18" a="1"/>
  <c r="Q233" i="18" s="1"/>
  <c r="S233" i="18" s="1"/>
  <c r="Q240" i="18" a="1"/>
  <c r="Q240" i="18" s="1"/>
  <c r="S240" i="18" s="1"/>
  <c r="AR240" i="18" s="1"/>
  <c r="Q7" i="18" a="1"/>
  <c r="Q7" i="18" s="1"/>
  <c r="S7" i="18" s="1"/>
  <c r="BB9" i="16"/>
  <c r="BF9" i="16"/>
  <c r="CB9" i="16" s="1"/>
  <c r="J25" i="1"/>
  <c r="J28" i="1"/>
  <c r="J27" i="1"/>
  <c r="AY9" i="16"/>
  <c r="AS8" i="14"/>
  <c r="J47" i="16"/>
  <c r="G19" i="16"/>
  <c r="G32" i="16"/>
  <c r="G47" i="16"/>
  <c r="G17" i="16"/>
  <c r="G30" i="16"/>
  <c r="G45" i="16"/>
  <c r="G15" i="16"/>
  <c r="G28" i="16"/>
  <c r="G43" i="16"/>
  <c r="G8" i="16"/>
  <c r="G13" i="16"/>
  <c r="G26" i="16"/>
  <c r="G41" i="16"/>
  <c r="G11" i="16"/>
  <c r="G24" i="16"/>
  <c r="G39" i="16"/>
  <c r="G9" i="16"/>
  <c r="G22" i="16"/>
  <c r="G37" i="16"/>
  <c r="G50" i="16"/>
  <c r="G52" i="16"/>
  <c r="G20" i="16"/>
  <c r="G35" i="16"/>
  <c r="G48" i="16"/>
  <c r="G18" i="16"/>
  <c r="G33" i="16"/>
  <c r="G46" i="16"/>
  <c r="G16" i="16"/>
  <c r="G31" i="16"/>
  <c r="G44" i="16"/>
  <c r="G14" i="16"/>
  <c r="G29" i="16"/>
  <c r="G42" i="16"/>
  <c r="G21" i="16"/>
  <c r="G34" i="16"/>
  <c r="G49" i="16"/>
  <c r="G27" i="16"/>
  <c r="G36" i="16"/>
  <c r="G38" i="16"/>
  <c r="G40" i="16"/>
  <c r="G10" i="16"/>
  <c r="G12" i="16"/>
  <c r="G23" i="16"/>
  <c r="G25" i="16"/>
  <c r="F7" i="16"/>
  <c r="K7" i="16"/>
  <c r="K55" i="16" s="1"/>
  <c r="L7" i="16"/>
  <c r="L55" i="16" s="1"/>
  <c r="BZ55" i="16" s="1"/>
  <c r="I7" i="16"/>
  <c r="I55" i="16" s="1"/>
  <c r="BW55" i="16" s="1"/>
  <c r="H9" i="16"/>
  <c r="H57" i="16" s="1"/>
  <c r="H11" i="16"/>
  <c r="H59" i="16" s="1"/>
  <c r="H13" i="16"/>
  <c r="H61" i="16" s="1"/>
  <c r="H15" i="16"/>
  <c r="H63" i="16" s="1"/>
  <c r="H17" i="16"/>
  <c r="H19" i="16"/>
  <c r="H21" i="16"/>
  <c r="H23" i="16"/>
  <c r="H25" i="16"/>
  <c r="H27" i="16"/>
  <c r="H29" i="16"/>
  <c r="H31" i="16"/>
  <c r="H33" i="16"/>
  <c r="H35" i="16"/>
  <c r="H37" i="16"/>
  <c r="H39" i="16"/>
  <c r="H41" i="16"/>
  <c r="H43" i="16"/>
  <c r="H45" i="16"/>
  <c r="H47" i="16"/>
  <c r="H49" i="16"/>
  <c r="H34" i="16"/>
  <c r="H32" i="16"/>
  <c r="H8" i="16"/>
  <c r="H56" i="16" s="1"/>
  <c r="H30" i="16"/>
  <c r="H28" i="16"/>
  <c r="H26" i="16"/>
  <c r="H24" i="16"/>
  <c r="H22" i="16"/>
  <c r="H50" i="16"/>
  <c r="H52" i="16"/>
  <c r="H20" i="16"/>
  <c r="H48" i="16"/>
  <c r="H18" i="16"/>
  <c r="H46" i="16"/>
  <c r="H16" i="16"/>
  <c r="H44" i="16"/>
  <c r="H36" i="16"/>
  <c r="H38" i="16"/>
  <c r="H12" i="16"/>
  <c r="H60" i="16" s="1"/>
  <c r="H40" i="16"/>
  <c r="H10" i="16"/>
  <c r="H58" i="16" s="1"/>
  <c r="H42" i="16"/>
  <c r="H14" i="16"/>
  <c r="H62" i="16" s="1"/>
  <c r="AZ9" i="16"/>
  <c r="AZ10" i="16"/>
  <c r="AZ8" i="16"/>
  <c r="X6" i="1" a="1"/>
  <c r="X6" i="1" s="1"/>
  <c r="AN8" i="16" s="1"/>
  <c r="S23" i="1"/>
  <c r="W23" i="1" s="1"/>
  <c r="S25" i="1"/>
  <c r="W25" i="1" s="1"/>
  <c r="W7" i="1" a="1"/>
  <c r="W7" i="1" s="1"/>
  <c r="AD7" i="16" s="1"/>
  <c r="AF33" i="14"/>
  <c r="AT33" i="14" s="1"/>
  <c r="X9" i="1" a="1"/>
  <c r="X9" i="1" s="1"/>
  <c r="AQ7" i="16" s="1"/>
  <c r="X11" i="1" a="1"/>
  <c r="X11" i="1" s="1"/>
  <c r="X5" i="1" a="1"/>
  <c r="X5" i="1" s="1"/>
  <c r="X13" i="1" a="1"/>
  <c r="X13" i="1" s="1"/>
  <c r="X12" i="1" a="1"/>
  <c r="X12" i="1" s="1"/>
  <c r="X7" i="1" a="1"/>
  <c r="X7" i="1" s="1"/>
  <c r="X8" i="1" a="1"/>
  <c r="X8" i="1" s="1"/>
  <c r="AP8" i="16" s="1"/>
  <c r="X10" i="1" a="1"/>
  <c r="X10" i="1" s="1"/>
  <c r="P6" i="1" a="1"/>
  <c r="P6" i="1" s="1"/>
  <c r="P24" i="1" s="1"/>
  <c r="M30" i="1"/>
  <c r="M29" i="1"/>
  <c r="M28" i="1"/>
  <c r="M27" i="1"/>
  <c r="AS37" i="14"/>
  <c r="AS262" i="14"/>
  <c r="M22" i="1"/>
  <c r="M21" i="1"/>
  <c r="M24" i="1"/>
  <c r="M23" i="1"/>
  <c r="M25" i="1"/>
  <c r="M26" i="1"/>
  <c r="W10" i="1" a="1"/>
  <c r="W10" i="1" s="1"/>
  <c r="W5" i="1" a="1"/>
  <c r="W5" i="1" s="1"/>
  <c r="W9" i="1" a="1"/>
  <c r="W9" i="1" s="1"/>
  <c r="L8" i="1" a="1"/>
  <c r="L8" i="1" s="1"/>
  <c r="L12" i="1" a="1"/>
  <c r="L12" i="1" s="1"/>
  <c r="L7" i="1" a="1"/>
  <c r="L7" i="1" s="1"/>
  <c r="L9" i="1" a="1"/>
  <c r="L9" i="1" s="1"/>
  <c r="L13" i="1" a="1"/>
  <c r="L13" i="1" s="1"/>
  <c r="L10" i="1" a="1"/>
  <c r="L10" i="1" s="1"/>
  <c r="L11" i="1" a="1"/>
  <c r="L11" i="1" s="1"/>
  <c r="L5" i="1" a="1"/>
  <c r="L5" i="1" s="1"/>
  <c r="L6" i="1" a="1"/>
  <c r="L6" i="1" s="1"/>
  <c r="W11" i="1" a="1"/>
  <c r="W11" i="1" s="1"/>
  <c r="W13" i="1" a="1"/>
  <c r="W13" i="1" s="1"/>
  <c r="W8" i="1" a="1"/>
  <c r="W8" i="1" s="1"/>
  <c r="W6" i="1" a="1"/>
  <c r="W6" i="1" s="1"/>
  <c r="AC7" i="16" s="1"/>
  <c r="AS68" i="14"/>
  <c r="AS86" i="14"/>
  <c r="W308" i="14"/>
  <c r="R10" i="1" s="1" a="1"/>
  <c r="R10" i="1" s="1"/>
  <c r="P8" i="1" a="1"/>
  <c r="P8" i="1" s="1"/>
  <c r="P12" i="1" a="1"/>
  <c r="P12" i="1" s="1"/>
  <c r="P5" i="1" a="1"/>
  <c r="P5" i="1" s="1"/>
  <c r="P11" i="1" a="1"/>
  <c r="P11" i="1" s="1"/>
  <c r="P7" i="1" a="1"/>
  <c r="P7" i="1" s="1"/>
  <c r="P9" i="1" a="1"/>
  <c r="P9" i="1" s="1"/>
  <c r="P13" i="1" a="1"/>
  <c r="P13" i="1" s="1"/>
  <c r="W12" i="1" a="1"/>
  <c r="W12" i="1" s="1"/>
  <c r="AS324" i="14"/>
  <c r="AS133" i="14"/>
  <c r="AS275" i="14"/>
  <c r="AS270" i="14"/>
  <c r="AS174" i="14"/>
  <c r="AS92" i="14"/>
  <c r="AS4" i="14"/>
  <c r="AS346" i="14"/>
  <c r="AS191" i="14"/>
  <c r="AS171" i="14"/>
  <c r="AS231" i="14"/>
  <c r="AS5" i="14"/>
  <c r="AS184" i="14"/>
  <c r="AS225" i="14"/>
  <c r="AS345" i="14"/>
  <c r="AS274" i="14"/>
  <c r="AS204" i="14"/>
  <c r="AS28" i="14"/>
  <c r="AS198" i="14"/>
  <c r="AS58" i="14"/>
  <c r="AS74" i="14"/>
  <c r="AS313" i="14"/>
  <c r="AS238" i="14"/>
  <c r="AS125" i="14"/>
  <c r="AS325" i="14"/>
  <c r="AS18" i="14"/>
  <c r="AS306" i="14"/>
  <c r="AS271" i="14"/>
  <c r="AS126" i="14"/>
  <c r="AS9" i="14"/>
  <c r="AS193" i="14"/>
  <c r="AS305" i="14"/>
  <c r="AS61" i="14"/>
  <c r="AS166" i="14"/>
  <c r="AS348" i="14"/>
  <c r="AS12" i="14"/>
  <c r="AS116" i="14"/>
  <c r="AS189" i="14"/>
  <c r="AS314" i="14"/>
  <c r="AS368" i="14"/>
  <c r="AS357" i="14"/>
  <c r="AS303" i="14"/>
  <c r="AS57" i="14"/>
  <c r="AS374" i="14"/>
  <c r="AS157" i="14"/>
  <c r="AS172" i="14"/>
  <c r="AS208" i="14"/>
  <c r="AS288" i="14"/>
  <c r="AS179" i="14"/>
  <c r="AS29" i="14"/>
  <c r="AS170" i="14"/>
  <c r="AS140" i="14"/>
  <c r="AS87" i="14"/>
  <c r="AS299" i="14"/>
  <c r="AS304" i="14"/>
  <c r="AS202" i="14"/>
  <c r="AS223" i="14"/>
  <c r="AS343" i="14"/>
  <c r="AS96" i="14"/>
  <c r="AS176" i="14"/>
  <c r="AS328" i="14"/>
  <c r="AS173" i="14"/>
  <c r="AS65" i="14"/>
  <c r="AS52" i="14"/>
  <c r="AS137" i="14"/>
  <c r="AS211" i="14"/>
  <c r="AS78" i="14"/>
  <c r="AS91" i="14"/>
  <c r="AS322" i="14"/>
  <c r="AS162" i="14"/>
  <c r="AS43" i="14"/>
  <c r="AS230" i="14"/>
  <c r="AS152" i="14"/>
  <c r="AS40" i="14"/>
  <c r="AS234" i="14"/>
  <c r="AS273" i="14"/>
  <c r="AS14" i="14"/>
  <c r="AS219" i="14"/>
  <c r="AS161" i="14"/>
  <c r="AS158" i="14"/>
  <c r="AS99" i="14"/>
  <c r="AS3" i="14"/>
  <c r="AS168" i="14"/>
  <c r="AS132" i="14"/>
  <c r="AS285" i="14"/>
  <c r="AS215" i="14"/>
  <c r="AS199" i="14"/>
  <c r="AS59" i="14"/>
  <c r="AS367" i="14"/>
  <c r="AS272" i="14"/>
  <c r="AS77" i="14"/>
  <c r="AS67" i="14"/>
  <c r="AS316" i="14"/>
  <c r="AS266" i="14"/>
  <c r="AS205" i="14"/>
  <c r="AS16" i="14"/>
  <c r="AS309" i="14"/>
  <c r="AS228" i="14"/>
  <c r="AS349" i="14"/>
  <c r="AS245" i="14"/>
  <c r="AS117" i="14"/>
  <c r="AS321" i="14"/>
  <c r="AS200" i="14"/>
  <c r="AS196" i="14"/>
  <c r="AS17" i="14"/>
  <c r="AS50" i="14"/>
  <c r="AS153" i="14"/>
  <c r="AS48" i="14"/>
  <c r="AS310" i="14"/>
  <c r="AS80" i="14"/>
  <c r="AS293" i="14"/>
  <c r="AS358" i="14"/>
  <c r="AS175" i="14"/>
  <c r="AS64" i="14"/>
  <c r="AS320" i="14"/>
  <c r="AS212" i="14"/>
  <c r="AS84" i="14"/>
  <c r="AS302" i="14"/>
  <c r="AS121" i="14"/>
  <c r="AS19" i="14"/>
  <c r="AS242" i="14"/>
  <c r="AS100" i="14"/>
  <c r="AS344" i="14"/>
  <c r="AS289" i="14"/>
  <c r="AS13" i="14"/>
  <c r="AS110" i="14"/>
  <c r="AS276" i="14"/>
  <c r="AS372" i="14"/>
  <c r="AS41" i="14"/>
  <c r="AS269" i="14"/>
  <c r="AS253" i="14"/>
  <c r="AS315" i="14"/>
  <c r="AS236" i="14"/>
  <c r="AS227" i="14"/>
  <c r="AS241" i="14"/>
  <c r="AS248" i="14"/>
  <c r="AS203" i="14"/>
  <c r="AS340" i="14"/>
  <c r="AS218" i="14"/>
  <c r="AS97" i="14"/>
  <c r="AS233" i="14"/>
  <c r="AS255" i="14"/>
  <c r="AS232" i="14"/>
  <c r="AS307" i="14"/>
  <c r="AS182" i="14"/>
  <c r="AS119" i="14"/>
  <c r="AS341" i="14"/>
  <c r="AS282" i="14"/>
  <c r="AS264" i="14"/>
  <c r="AS207" i="14"/>
  <c r="AS336" i="14"/>
  <c r="AS42" i="14"/>
  <c r="AS46" i="14"/>
  <c r="AS177" i="14"/>
  <c r="AS363" i="14"/>
  <c r="AS134" i="14"/>
  <c r="AS359" i="14"/>
  <c r="AS280" i="14"/>
  <c r="AS244" i="14"/>
  <c r="AS360" i="14"/>
  <c r="AS222" i="14"/>
  <c r="AS190" i="14"/>
  <c r="AS287" i="14"/>
  <c r="AS44" i="14"/>
  <c r="AS229" i="14"/>
  <c r="AS60" i="14"/>
  <c r="AS318" i="14"/>
  <c r="AS10" i="14"/>
  <c r="AS261" i="14"/>
  <c r="AS370" i="14"/>
  <c r="AS144" i="14"/>
  <c r="AS332" i="14"/>
  <c r="AS259" i="14"/>
  <c r="AS354" i="14"/>
  <c r="AS89" i="14"/>
  <c r="AS375" i="14"/>
  <c r="AS217" i="14"/>
  <c r="AS159" i="14"/>
  <c r="AS36" i="14"/>
  <c r="AS235" i="14"/>
  <c r="AS197" i="14"/>
  <c r="AS258" i="14"/>
  <c r="AS187" i="14"/>
  <c r="AS167" i="14"/>
  <c r="AS51" i="14"/>
  <c r="AS317" i="14"/>
  <c r="AS331" i="14"/>
  <c r="AS66" i="14"/>
  <c r="AS326" i="14"/>
  <c r="AS102" i="14"/>
  <c r="AS142" i="14"/>
  <c r="AS79" i="14"/>
  <c r="AS38" i="14"/>
  <c r="AS181" i="14"/>
  <c r="AS330" i="14"/>
  <c r="AS339" i="14"/>
  <c r="AS45" i="14"/>
  <c r="AS63" i="14"/>
  <c r="AS55" i="14"/>
  <c r="AS257" i="14"/>
  <c r="AS109" i="14"/>
  <c r="AS35" i="14"/>
  <c r="AS141" i="14"/>
  <c r="AS311" i="14"/>
  <c r="AS70" i="14"/>
  <c r="AS291" i="14"/>
  <c r="AS130" i="14"/>
  <c r="AS34" i="14"/>
  <c r="AS150" i="14"/>
  <c r="AS149" i="14"/>
  <c r="AS300" i="14"/>
  <c r="AS169" i="14"/>
  <c r="AS281" i="14"/>
  <c r="AS209" i="14"/>
  <c r="AS47" i="14"/>
  <c r="AS81" i="14"/>
  <c r="AS353" i="14"/>
  <c r="AS352" i="14"/>
  <c r="AS128" i="14"/>
  <c r="AS163" i="14"/>
  <c r="AS333" i="14"/>
  <c r="AS220" i="14"/>
  <c r="AS54" i="14"/>
  <c r="AS94" i="14"/>
  <c r="AS265" i="14"/>
  <c r="AS334" i="14"/>
  <c r="AS105" i="14"/>
  <c r="AS11" i="14"/>
  <c r="AS268" i="14"/>
  <c r="AS23" i="14"/>
  <c r="AS319" i="14"/>
  <c r="AS355" i="14"/>
  <c r="AS145" i="14"/>
  <c r="AS185" i="14"/>
  <c r="AS201" i="14"/>
  <c r="AS135" i="14"/>
  <c r="AS369" i="14"/>
  <c r="AS327" i="14"/>
  <c r="AS90" i="14"/>
  <c r="AS194" i="14"/>
  <c r="AS298" i="14"/>
  <c r="AS93" i="14"/>
  <c r="AS186" i="14"/>
  <c r="AS71" i="14"/>
  <c r="AS213" i="14"/>
  <c r="AS278" i="14"/>
  <c r="AS240" i="14"/>
  <c r="AS30" i="14"/>
  <c r="AS290" i="14"/>
  <c r="AS283" i="14"/>
  <c r="AS214" i="14"/>
  <c r="AS312" i="14"/>
  <c r="AS351" i="14"/>
  <c r="AS192" i="14"/>
  <c r="AS76" i="14"/>
  <c r="AS21" i="14"/>
  <c r="AS15" i="14"/>
  <c r="AS31" i="14"/>
  <c r="AS148" i="14"/>
  <c r="AS366" i="14"/>
  <c r="AS226" i="14"/>
  <c r="AS113" i="14"/>
  <c r="AS216" i="14"/>
  <c r="AS350" i="14"/>
  <c r="AS279" i="14"/>
  <c r="AS206" i="14"/>
  <c r="AS49" i="14"/>
  <c r="AS106" i="14"/>
  <c r="AS188" i="14"/>
  <c r="AS362" i="14"/>
  <c r="AS210" i="14"/>
  <c r="AS83" i="14"/>
  <c r="AB118" i="18" l="1"/>
  <c r="AS69" i="14"/>
  <c r="AS243" i="18"/>
  <c r="AS207" i="18"/>
  <c r="AS217" i="18"/>
  <c r="AS150" i="18"/>
  <c r="AS187" i="18"/>
  <c r="AR88" i="18"/>
  <c r="AS51" i="18"/>
  <c r="AB94" i="18"/>
  <c r="AS94" i="18" s="1"/>
  <c r="AR225" i="18"/>
  <c r="AR203" i="18"/>
  <c r="AR121" i="18"/>
  <c r="AR202" i="18"/>
  <c r="AS111" i="18"/>
  <c r="AS220" i="18"/>
  <c r="AS132" i="18"/>
  <c r="AB167" i="18"/>
  <c r="AS167" i="18" s="1"/>
  <c r="AB56" i="18"/>
  <c r="AS56" i="18" s="1"/>
  <c r="AB206" i="18"/>
  <c r="AR113" i="18"/>
  <c r="AS190" i="18"/>
  <c r="AR212" i="18"/>
  <c r="AR69" i="18"/>
  <c r="AS21" i="18"/>
  <c r="AB44" i="18"/>
  <c r="AR44" i="18" s="1"/>
  <c r="AB226" i="18"/>
  <c r="AR226" i="18" s="1"/>
  <c r="AS210" i="18"/>
  <c r="AS155" i="18"/>
  <c r="AR47" i="18"/>
  <c r="AR118" i="18"/>
  <c r="AB125" i="18"/>
  <c r="AR125" i="18" s="1"/>
  <c r="AB38" i="18"/>
  <c r="AS38" i="18" s="1"/>
  <c r="AR172" i="18"/>
  <c r="AS198" i="18"/>
  <c r="AR109" i="18"/>
  <c r="AB239" i="18"/>
  <c r="AS239" i="18" s="1"/>
  <c r="AS152" i="18"/>
  <c r="AR168" i="18"/>
  <c r="AS171" i="18"/>
  <c r="AS123" i="18"/>
  <c r="AS208" i="18"/>
  <c r="AB183" i="18"/>
  <c r="AR23" i="18"/>
  <c r="AS119" i="18"/>
  <c r="AS80" i="18"/>
  <c r="AB116" i="18"/>
  <c r="AS116" i="18" s="1"/>
  <c r="AB179" i="18"/>
  <c r="AR179" i="18" s="1"/>
  <c r="AB199" i="18"/>
  <c r="AR199" i="18" s="1"/>
  <c r="AB202" i="18"/>
  <c r="AS202" i="18" s="1"/>
  <c r="AT308" i="14"/>
  <c r="AB130" i="18"/>
  <c r="AS130" i="18" s="1"/>
  <c r="AR41" i="18"/>
  <c r="AR101" i="18"/>
  <c r="AS223" i="18"/>
  <c r="AS31" i="18"/>
  <c r="AS45" i="18"/>
  <c r="BA13" i="16"/>
  <c r="AZ12" i="16"/>
  <c r="BB12" i="16"/>
  <c r="AY13" i="16"/>
  <c r="AZ13" i="16"/>
  <c r="AY12" i="16"/>
  <c r="BA12" i="16"/>
  <c r="AX13" i="16"/>
  <c r="AX11" i="16"/>
  <c r="AX12" i="16"/>
  <c r="AZ11" i="16"/>
  <c r="BB11" i="16"/>
  <c r="BB13" i="16"/>
  <c r="AY11" i="16"/>
  <c r="BA11" i="16"/>
  <c r="AB30" i="18"/>
  <c r="AR30" i="18" s="1"/>
  <c r="AF7" i="16"/>
  <c r="AF34" i="16" s="1"/>
  <c r="BU41" i="16"/>
  <c r="AY10" i="16"/>
  <c r="BV41" i="16"/>
  <c r="BB8" i="16"/>
  <c r="Q43" i="16"/>
  <c r="Q42" i="16"/>
  <c r="V41" i="16"/>
  <c r="R42" i="16"/>
  <c r="BU42" i="16" s="1"/>
  <c r="R43" i="16"/>
  <c r="BU43" i="16" s="1"/>
  <c r="S43" i="16"/>
  <c r="BV43" i="16" s="1"/>
  <c r="S42" i="16"/>
  <c r="BV42" i="16" s="1"/>
  <c r="T43" i="16"/>
  <c r="T42" i="16"/>
  <c r="W41" i="16"/>
  <c r="U43" i="16"/>
  <c r="U42" i="16"/>
  <c r="F57" i="16"/>
  <c r="F59" i="16"/>
  <c r="F61" i="16"/>
  <c r="F63" i="16"/>
  <c r="F56" i="16"/>
  <c r="F58" i="16"/>
  <c r="F60" i="16"/>
  <c r="F62" i="16"/>
  <c r="F55" i="16"/>
  <c r="AX7" i="16"/>
  <c r="AX8" i="16" s="1"/>
  <c r="BC7" i="16"/>
  <c r="BA7" i="16"/>
  <c r="BA8" i="16" s="1"/>
  <c r="BD7" i="16"/>
  <c r="BC10" i="16"/>
  <c r="BE9" i="16"/>
  <c r="CA9" i="16" s="1"/>
  <c r="BF8" i="16"/>
  <c r="CB8" i="16" s="1"/>
  <c r="BD9" i="16"/>
  <c r="BE8" i="16"/>
  <c r="CA8" i="16" s="1"/>
  <c r="BC9" i="16"/>
  <c r="BD8" i="16"/>
  <c r="BC8" i="16"/>
  <c r="BF10" i="16"/>
  <c r="CB10" i="16" s="1"/>
  <c r="BE10" i="16"/>
  <c r="CA10" i="16" s="1"/>
  <c r="BB10" i="16"/>
  <c r="R11" i="1" a="1"/>
  <c r="R11" i="1" s="1"/>
  <c r="AS151" i="18"/>
  <c r="AA8" i="1" a="1"/>
  <c r="AA8" i="1" s="1"/>
  <c r="AS63" i="18"/>
  <c r="AM44" i="16"/>
  <c r="AM8" i="16"/>
  <c r="AR195" i="18"/>
  <c r="AR209" i="18"/>
  <c r="AR19" i="18"/>
  <c r="AR120" i="18"/>
  <c r="AS166" i="18"/>
  <c r="AR200" i="18"/>
  <c r="AR5" i="18"/>
  <c r="AS84" i="18"/>
  <c r="AS175" i="18"/>
  <c r="AR158" i="18"/>
  <c r="AR170" i="18"/>
  <c r="AR227" i="18"/>
  <c r="AS99" i="18"/>
  <c r="AR25" i="18"/>
  <c r="AS156" i="18"/>
  <c r="AR141" i="18"/>
  <c r="AR64" i="18"/>
  <c r="AR143" i="18"/>
  <c r="AR66" i="18"/>
  <c r="AR235" i="18"/>
  <c r="AR114" i="18"/>
  <c r="AR191" i="18"/>
  <c r="AS32" i="18"/>
  <c r="AS24" i="18"/>
  <c r="AR52" i="18"/>
  <c r="AS14" i="18"/>
  <c r="AS7" i="18"/>
  <c r="AS50" i="18"/>
  <c r="AR163" i="18"/>
  <c r="AR213" i="18"/>
  <c r="AS216" i="18"/>
  <c r="AS110" i="18"/>
  <c r="AR183" i="18"/>
  <c r="AS10" i="18"/>
  <c r="AR36" i="18"/>
  <c r="AR204" i="18"/>
  <c r="AS201" i="18"/>
  <c r="AS104" i="18"/>
  <c r="AS68" i="18"/>
  <c r="AR176" i="18"/>
  <c r="AR224" i="18"/>
  <c r="AR60" i="18"/>
  <c r="AR157" i="18"/>
  <c r="AS8" i="18"/>
  <c r="AS46" i="18"/>
  <c r="AS153" i="18"/>
  <c r="AS135" i="18"/>
  <c r="AR139" i="18"/>
  <c r="AS17" i="18"/>
  <c r="AS188" i="18"/>
  <c r="AS77" i="18"/>
  <c r="AS165" i="18"/>
  <c r="AS100" i="18"/>
  <c r="AR95" i="18"/>
  <c r="AR27" i="18"/>
  <c r="AR93" i="18"/>
  <c r="AR222" i="18"/>
  <c r="AR72" i="18"/>
  <c r="AS142" i="18"/>
  <c r="AS137" i="18"/>
  <c r="AR122" i="18"/>
  <c r="AS35" i="18"/>
  <c r="AR211" i="18"/>
  <c r="AS197" i="18"/>
  <c r="AR112" i="18"/>
  <c r="AR148" i="18"/>
  <c r="AS126" i="18"/>
  <c r="AS89" i="18"/>
  <c r="AS85" i="18"/>
  <c r="AS58" i="18"/>
  <c r="AS40" i="18"/>
  <c r="AR238" i="18"/>
  <c r="AS192" i="18"/>
  <c r="AR90" i="18"/>
  <c r="AS161" i="18"/>
  <c r="AS219" i="18"/>
  <c r="AR53" i="18"/>
  <c r="AR128" i="18"/>
  <c r="AR116" i="18"/>
  <c r="AS231" i="18"/>
  <c r="AS215" i="18"/>
  <c r="AR92" i="18"/>
  <c r="AR160" i="18"/>
  <c r="AS82" i="18"/>
  <c r="AR86" i="18"/>
  <c r="AR49" i="18"/>
  <c r="AS173" i="18"/>
  <c r="AR133" i="18"/>
  <c r="AS108" i="18"/>
  <c r="AS174" i="18"/>
  <c r="AR181" i="18"/>
  <c r="AS22" i="18"/>
  <c r="AR177" i="18"/>
  <c r="AS138" i="18"/>
  <c r="AR76" i="18"/>
  <c r="AS13" i="18"/>
  <c r="AS144" i="18"/>
  <c r="AR169" i="18"/>
  <c r="AS134" i="18"/>
  <c r="AS206" i="18"/>
  <c r="AR147" i="18"/>
  <c r="AS52" i="18"/>
  <c r="AS141" i="18"/>
  <c r="AR210" i="18"/>
  <c r="AR215" i="18"/>
  <c r="AS244" i="18"/>
  <c r="AR78" i="18"/>
  <c r="AR129" i="18"/>
  <c r="AR207" i="18"/>
  <c r="AS183" i="18"/>
  <c r="AR197" i="18"/>
  <c r="AR140" i="18"/>
  <c r="AS105" i="18"/>
  <c r="AR124" i="18"/>
  <c r="AR162" i="18"/>
  <c r="AR100" i="18"/>
  <c r="AR201" i="18"/>
  <c r="AS131" i="18"/>
  <c r="AR194" i="18"/>
  <c r="AS158" i="18"/>
  <c r="AS92" i="18"/>
  <c r="AS41" i="18"/>
  <c r="AS109" i="18"/>
  <c r="AS65" i="18"/>
  <c r="AS4" i="18"/>
  <c r="AS15" i="18"/>
  <c r="AS75" i="18"/>
  <c r="AS157" i="18"/>
  <c r="AR220" i="18"/>
  <c r="AR182" i="18"/>
  <c r="AS36" i="18"/>
  <c r="AR228" i="18"/>
  <c r="AR153" i="18"/>
  <c r="AR26" i="18"/>
  <c r="AR171" i="18"/>
  <c r="AS195" i="18"/>
  <c r="AR166" i="18"/>
  <c r="AR8" i="18"/>
  <c r="AR57" i="18"/>
  <c r="AR59" i="18"/>
  <c r="AR187" i="18"/>
  <c r="AR144" i="18"/>
  <c r="AR230" i="18"/>
  <c r="AR7" i="18"/>
  <c r="AS53" i="18"/>
  <c r="AS211" i="18"/>
  <c r="AS213" i="18"/>
  <c r="AS19" i="18"/>
  <c r="AS240" i="18"/>
  <c r="AS160" i="18"/>
  <c r="AS112" i="18"/>
  <c r="AS168" i="18"/>
  <c r="AS101" i="18"/>
  <c r="AR96" i="18"/>
  <c r="AR14" i="18"/>
  <c r="AR186" i="18"/>
  <c r="AR198" i="18"/>
  <c r="AR242" i="18"/>
  <c r="AR117" i="18"/>
  <c r="AR108" i="18"/>
  <c r="AR219" i="18"/>
  <c r="AS133" i="18"/>
  <c r="AR38" i="18"/>
  <c r="AR231" i="18"/>
  <c r="AR3" i="18"/>
  <c r="AR70" i="18"/>
  <c r="AR138" i="18"/>
  <c r="AS163" i="18"/>
  <c r="AS147" i="18"/>
  <c r="AS227" i="18"/>
  <c r="AS170" i="18"/>
  <c r="AR123" i="18"/>
  <c r="AR37" i="18"/>
  <c r="AS164" i="18"/>
  <c r="AS103" i="18"/>
  <c r="AR152" i="18"/>
  <c r="AR193" i="18"/>
  <c r="AR184" i="18"/>
  <c r="AR161" i="18"/>
  <c r="AR136" i="18"/>
  <c r="AR34" i="18"/>
  <c r="AS191" i="18"/>
  <c r="AR77" i="18"/>
  <c r="AR232" i="18"/>
  <c r="AR97" i="18"/>
  <c r="AR119" i="18"/>
  <c r="AS236" i="18"/>
  <c r="AS61" i="18"/>
  <c r="AR150" i="18"/>
  <c r="AS67" i="18"/>
  <c r="AS49" i="18"/>
  <c r="AR40" i="18"/>
  <c r="AS66" i="18"/>
  <c r="AR87" i="18"/>
  <c r="AR208" i="18"/>
  <c r="AR243" i="18"/>
  <c r="AS93" i="18"/>
  <c r="AR104" i="18"/>
  <c r="AR135" i="18"/>
  <c r="AR51" i="18"/>
  <c r="AS222" i="18"/>
  <c r="AS48" i="18"/>
  <c r="AR12" i="18"/>
  <c r="AS69" i="18"/>
  <c r="AS200" i="18"/>
  <c r="AR221" i="18"/>
  <c r="AS28" i="18"/>
  <c r="AR217" i="18"/>
  <c r="AR45" i="18"/>
  <c r="AR73" i="18"/>
  <c r="AS83" i="18"/>
  <c r="AS122" i="18"/>
  <c r="AR42" i="18"/>
  <c r="AS79" i="18"/>
  <c r="AS25" i="18"/>
  <c r="AS96" i="18"/>
  <c r="AR173" i="18"/>
  <c r="AR126" i="18"/>
  <c r="AR151" i="18"/>
  <c r="AR68" i="18"/>
  <c r="AS204" i="18"/>
  <c r="AR29" i="18"/>
  <c r="AS98" i="18"/>
  <c r="AR10" i="18"/>
  <c r="AR24" i="18"/>
  <c r="AR58" i="18"/>
  <c r="AS143" i="18"/>
  <c r="AS27" i="18"/>
  <c r="AR155" i="18"/>
  <c r="AS118" i="18"/>
  <c r="AS5" i="18"/>
  <c r="AS33" i="18"/>
  <c r="AS106" i="18"/>
  <c r="AR80" i="18"/>
  <c r="AR216" i="18"/>
  <c r="AS20" i="18"/>
  <c r="AR74" i="18"/>
  <c r="AR99" i="18"/>
  <c r="AR39" i="18"/>
  <c r="AR107" i="18"/>
  <c r="AR9" i="18"/>
  <c r="AR84" i="18"/>
  <c r="AR132" i="18"/>
  <c r="AS177" i="18"/>
  <c r="AS6" i="18"/>
  <c r="AS76" i="18"/>
  <c r="AS224" i="18"/>
  <c r="AS235" i="18"/>
  <c r="AS234" i="18"/>
  <c r="AS189" i="18"/>
  <c r="AS54" i="18"/>
  <c r="AS47" i="18"/>
  <c r="AR223" i="18"/>
  <c r="AS121" i="18"/>
  <c r="AS86" i="18"/>
  <c r="AR175" i="18"/>
  <c r="AS181" i="18"/>
  <c r="AR145" i="18"/>
  <c r="AR35" i="18"/>
  <c r="AR190" i="18"/>
  <c r="AR85" i="18"/>
  <c r="AS95" i="18"/>
  <c r="AR185" i="18"/>
  <c r="AS176" i="18"/>
  <c r="AS238" i="18"/>
  <c r="AR196" i="18"/>
  <c r="AS90" i="18"/>
  <c r="AS43" i="18"/>
  <c r="AS55" i="18"/>
  <c r="AS218" i="18"/>
  <c r="AR110" i="18"/>
  <c r="AR188" i="18"/>
  <c r="AS212" i="18"/>
  <c r="AR189" i="18"/>
  <c r="AS205" i="18"/>
  <c r="AR63" i="18"/>
  <c r="AR154" i="18"/>
  <c r="AR174" i="18"/>
  <c r="AS127" i="18"/>
  <c r="AS229" i="18"/>
  <c r="AS60" i="18"/>
  <c r="AS172" i="18"/>
  <c r="AS115" i="18"/>
  <c r="AS169" i="18"/>
  <c r="AS72" i="18"/>
  <c r="AR17" i="18"/>
  <c r="AS23" i="18"/>
  <c r="AS114" i="18"/>
  <c r="AR22" i="18"/>
  <c r="AR159" i="18"/>
  <c r="AR46" i="18"/>
  <c r="AR13" i="18"/>
  <c r="AS113" i="18"/>
  <c r="AR178" i="18"/>
  <c r="AR89" i="18"/>
  <c r="AR102" i="18"/>
  <c r="AS139" i="18"/>
  <c r="AS81" i="18"/>
  <c r="AS128" i="18"/>
  <c r="AR137" i="18"/>
  <c r="AR241" i="18"/>
  <c r="AS88" i="18"/>
  <c r="AS62" i="18"/>
  <c r="AR142" i="18"/>
  <c r="AS180" i="18"/>
  <c r="AS209" i="18"/>
  <c r="AS30" i="18"/>
  <c r="AS146" i="18"/>
  <c r="AS120" i="18"/>
  <c r="AR233" i="18"/>
  <c r="AS16" i="18"/>
  <c r="AR82" i="18"/>
  <c r="AR50" i="18"/>
  <c r="AR214" i="18"/>
  <c r="AR156" i="18"/>
  <c r="AR11" i="18"/>
  <c r="AR111" i="18"/>
  <c r="AS199" i="18"/>
  <c r="AS233" i="18"/>
  <c r="AR206" i="18"/>
  <c r="AS148" i="18"/>
  <c r="AS33" i="14"/>
  <c r="AR18" i="18"/>
  <c r="AR54" i="18"/>
  <c r="AR32" i="18"/>
  <c r="AR149" i="18"/>
  <c r="AS225" i="18"/>
  <c r="AR134" i="18"/>
  <c r="AR91" i="18"/>
  <c r="AS64" i="18"/>
  <c r="AS71" i="18"/>
  <c r="AR192" i="18"/>
  <c r="AR237" i="18"/>
  <c r="AR165" i="18"/>
  <c r="AS203" i="18"/>
  <c r="AR31" i="18"/>
  <c r="AR21" i="18"/>
  <c r="J21" i="16"/>
  <c r="J27" i="16"/>
  <c r="J44" i="16"/>
  <c r="J26" i="16"/>
  <c r="J38" i="16"/>
  <c r="J37" i="16"/>
  <c r="J36" i="16"/>
  <c r="J39" i="16"/>
  <c r="J16" i="16"/>
  <c r="J11" i="16"/>
  <c r="J59" i="16" s="1"/>
  <c r="BX59" i="16" s="1"/>
  <c r="J23" i="16"/>
  <c r="J29" i="16"/>
  <c r="J49" i="16"/>
  <c r="J9" i="16"/>
  <c r="J57" i="16" s="1"/>
  <c r="BX57" i="16" s="1"/>
  <c r="J18" i="16"/>
  <c r="J46" i="16"/>
  <c r="J41" i="16"/>
  <c r="BX41" i="16" s="1"/>
  <c r="J40" i="16"/>
  <c r="J13" i="16"/>
  <c r="J61" i="16" s="1"/>
  <c r="BX61" i="16" s="1"/>
  <c r="J12" i="16"/>
  <c r="J60" i="16" s="1"/>
  <c r="BX60" i="16" s="1"/>
  <c r="J15" i="16"/>
  <c r="J63" i="16" s="1"/>
  <c r="BX63" i="16" s="1"/>
  <c r="J42" i="16"/>
  <c r="J28" i="16"/>
  <c r="J48" i="16"/>
  <c r="J17" i="16"/>
  <c r="J25" i="16"/>
  <c r="J14" i="16"/>
  <c r="J62" i="16" s="1"/>
  <c r="BX62" i="16" s="1"/>
  <c r="J33" i="16"/>
  <c r="J34" i="16"/>
  <c r="J50" i="16"/>
  <c r="J8" i="16"/>
  <c r="J56" i="16" s="1"/>
  <c r="BX56" i="16" s="1"/>
  <c r="J43" i="16"/>
  <c r="J31" i="16"/>
  <c r="J20" i="16"/>
  <c r="J19" i="16"/>
  <c r="J52" i="16"/>
  <c r="J30" i="16"/>
  <c r="J10" i="16"/>
  <c r="J58" i="16" s="1"/>
  <c r="BX58" i="16" s="1"/>
  <c r="J35" i="16"/>
  <c r="J45" i="16"/>
  <c r="J22" i="16"/>
  <c r="J32" i="16"/>
  <c r="J24" i="16"/>
  <c r="AC11" i="16"/>
  <c r="AC25" i="16"/>
  <c r="AC39" i="16"/>
  <c r="AC20" i="16"/>
  <c r="AC30" i="16"/>
  <c r="AC48" i="16"/>
  <c r="AC12" i="16"/>
  <c r="AC35" i="16"/>
  <c r="AC40" i="16"/>
  <c r="AC17" i="16"/>
  <c r="AC22" i="16"/>
  <c r="AC27" i="16"/>
  <c r="AC45" i="16"/>
  <c r="AC50" i="16"/>
  <c r="AC32" i="16"/>
  <c r="AC9" i="16"/>
  <c r="AC14" i="16"/>
  <c r="AC37" i="16"/>
  <c r="AC19" i="16"/>
  <c r="AC24" i="16"/>
  <c r="AC29" i="16"/>
  <c r="AC47" i="16"/>
  <c r="AC52" i="16"/>
  <c r="AC8" i="16"/>
  <c r="AC16" i="16"/>
  <c r="AC34" i="16"/>
  <c r="AC44" i="16"/>
  <c r="AC21" i="16"/>
  <c r="AC26" i="16"/>
  <c r="AC49" i="16"/>
  <c r="AC10" i="16"/>
  <c r="AC15" i="16"/>
  <c r="AC33" i="16"/>
  <c r="AC38" i="16"/>
  <c r="AC18" i="16"/>
  <c r="AC23" i="16"/>
  <c r="AC36" i="16"/>
  <c r="AC28" i="16"/>
  <c r="AC46" i="16"/>
  <c r="AC13" i="16"/>
  <c r="AC31" i="16"/>
  <c r="AE7" i="16"/>
  <c r="AH7" i="16"/>
  <c r="AB7" i="16"/>
  <c r="AG7" i="16"/>
  <c r="AF20" i="16"/>
  <c r="AF30" i="16"/>
  <c r="AF8" i="16"/>
  <c r="AF12" i="16"/>
  <c r="AF45" i="16"/>
  <c r="X36" i="1"/>
  <c r="AA36" i="1" s="1"/>
  <c r="AQ36" i="1" s="1"/>
  <c r="AP23" i="16"/>
  <c r="AP37" i="16"/>
  <c r="AP52" i="16"/>
  <c r="AP9" i="16"/>
  <c r="AP7" i="16"/>
  <c r="AS7" i="16" s="1"/>
  <c r="AP40" i="16"/>
  <c r="AP46" i="16"/>
  <c r="AP49" i="16"/>
  <c r="AP13" i="16"/>
  <c r="AP16" i="16"/>
  <c r="AP19" i="16"/>
  <c r="AP22" i="16"/>
  <c r="AP25" i="16"/>
  <c r="AP28" i="16"/>
  <c r="AP31" i="16"/>
  <c r="AP34" i="16"/>
  <c r="AP10" i="16"/>
  <c r="AP26" i="16"/>
  <c r="AP29" i="16"/>
  <c r="AP32" i="16"/>
  <c r="AP35" i="16"/>
  <c r="AP38" i="16"/>
  <c r="AP44" i="16"/>
  <c r="AP47" i="16"/>
  <c r="AP50" i="16"/>
  <c r="AP11" i="16"/>
  <c r="AP14" i="16"/>
  <c r="AP17" i="16"/>
  <c r="AP20" i="16"/>
  <c r="AP33" i="16"/>
  <c r="AP48" i="16"/>
  <c r="AP45" i="16"/>
  <c r="AP21" i="16"/>
  <c r="AP36" i="16"/>
  <c r="AP24" i="16"/>
  <c r="AP39" i="16"/>
  <c r="AP12" i="16"/>
  <c r="AP27" i="16"/>
  <c r="AP15" i="16"/>
  <c r="AP30" i="16"/>
  <c r="AP18" i="16"/>
  <c r="X37" i="1"/>
  <c r="AA37" i="1" s="1"/>
  <c r="AQ37" i="1" s="1"/>
  <c r="AO12" i="16"/>
  <c r="AO26" i="16"/>
  <c r="AO40" i="16"/>
  <c r="AO46" i="16"/>
  <c r="AO49" i="16"/>
  <c r="AO13" i="16"/>
  <c r="AO16" i="16"/>
  <c r="AO19" i="16"/>
  <c r="AO22" i="16"/>
  <c r="AO25" i="16"/>
  <c r="AO28" i="16"/>
  <c r="AO31" i="16"/>
  <c r="AO34" i="16"/>
  <c r="AO37" i="16"/>
  <c r="AO7" i="16"/>
  <c r="AO10" i="16"/>
  <c r="AO29" i="16"/>
  <c r="AO32" i="16"/>
  <c r="AO35" i="16"/>
  <c r="AO38" i="16"/>
  <c r="AO44" i="16"/>
  <c r="AO47" i="16"/>
  <c r="AO50" i="16"/>
  <c r="AO11" i="16"/>
  <c r="AO14" i="16"/>
  <c r="AO17" i="16"/>
  <c r="AO20" i="16"/>
  <c r="AO23" i="16"/>
  <c r="AO8" i="16"/>
  <c r="AO9" i="16"/>
  <c r="AO48" i="16"/>
  <c r="AO21" i="16"/>
  <c r="AO45" i="16"/>
  <c r="AO36" i="16"/>
  <c r="AO52" i="16"/>
  <c r="AO24" i="16"/>
  <c r="AO39" i="16"/>
  <c r="AO15" i="16"/>
  <c r="AO30" i="16"/>
  <c r="AO27" i="16"/>
  <c r="AO18" i="16"/>
  <c r="AO33" i="16"/>
  <c r="X38" i="1"/>
  <c r="AA38" i="1" s="1"/>
  <c r="AQ38" i="1" s="1"/>
  <c r="AM18" i="16"/>
  <c r="AM32" i="16"/>
  <c r="AM46" i="16"/>
  <c r="AM9" i="16"/>
  <c r="AM35" i="16"/>
  <c r="AM38" i="16"/>
  <c r="AM47" i="16"/>
  <c r="AM50" i="16"/>
  <c r="AM7" i="16"/>
  <c r="AM11" i="16"/>
  <c r="AM14" i="16"/>
  <c r="AM17" i="16"/>
  <c r="AM20" i="16"/>
  <c r="AM23" i="16"/>
  <c r="AM26" i="16"/>
  <c r="AM29" i="16"/>
  <c r="AM21" i="16"/>
  <c r="AM24" i="16"/>
  <c r="AM27" i="16"/>
  <c r="AM30" i="16"/>
  <c r="AM33" i="16"/>
  <c r="AM36" i="16"/>
  <c r="AM39" i="16"/>
  <c r="AM45" i="16"/>
  <c r="AM48" i="16"/>
  <c r="AM52" i="16"/>
  <c r="AM12" i="16"/>
  <c r="AM15" i="16"/>
  <c r="AM13" i="16"/>
  <c r="AM16" i="16"/>
  <c r="AM19" i="16"/>
  <c r="AM22" i="16"/>
  <c r="AM25" i="16"/>
  <c r="AM28" i="16"/>
  <c r="AM31" i="16"/>
  <c r="AM34" i="16"/>
  <c r="AM37" i="16"/>
  <c r="AM40" i="16"/>
  <c r="AM49" i="16"/>
  <c r="AM10" i="16"/>
  <c r="X39" i="1"/>
  <c r="AA39" i="1" s="1"/>
  <c r="AQ39" i="1" s="1"/>
  <c r="AQ20" i="16"/>
  <c r="AQ34" i="16"/>
  <c r="AQ48" i="16"/>
  <c r="AQ9" i="16"/>
  <c r="AQ37" i="16"/>
  <c r="AQ40" i="16"/>
  <c r="AQ46" i="16"/>
  <c r="AQ49" i="16"/>
  <c r="AQ13" i="16"/>
  <c r="AQ16" i="16"/>
  <c r="AQ19" i="16"/>
  <c r="AQ22" i="16"/>
  <c r="AQ25" i="16"/>
  <c r="AQ28" i="16"/>
  <c r="AQ31" i="16"/>
  <c r="AQ10" i="16"/>
  <c r="AQ8" i="16"/>
  <c r="AS8" i="16" s="1"/>
  <c r="AQ23" i="16"/>
  <c r="AQ26" i="16"/>
  <c r="AQ29" i="16"/>
  <c r="AQ32" i="16"/>
  <c r="AQ35" i="16"/>
  <c r="AQ38" i="16"/>
  <c r="AQ44" i="16"/>
  <c r="AQ47" i="16"/>
  <c r="AQ50" i="16"/>
  <c r="AQ11" i="16"/>
  <c r="AQ14" i="16"/>
  <c r="AQ17" i="16"/>
  <c r="AQ18" i="16"/>
  <c r="AQ33" i="16"/>
  <c r="AQ21" i="16"/>
  <c r="AQ36" i="16"/>
  <c r="AQ52" i="16"/>
  <c r="AQ15" i="16"/>
  <c r="AQ30" i="16"/>
  <c r="AQ24" i="16"/>
  <c r="AQ27" i="16"/>
  <c r="AQ39" i="16"/>
  <c r="AQ12" i="16"/>
  <c r="AQ45" i="16"/>
  <c r="AD14" i="16"/>
  <c r="AD28" i="16"/>
  <c r="AD10" i="16"/>
  <c r="AD15" i="16"/>
  <c r="AD33" i="16"/>
  <c r="AD38" i="16"/>
  <c r="AD25" i="16"/>
  <c r="AD20" i="16"/>
  <c r="AD30" i="16"/>
  <c r="AD48" i="16"/>
  <c r="AD12" i="16"/>
  <c r="AD35" i="16"/>
  <c r="AD40" i="16"/>
  <c r="AD17" i="16"/>
  <c r="AD22" i="16"/>
  <c r="AD27" i="16"/>
  <c r="AD45" i="16"/>
  <c r="AD50" i="16"/>
  <c r="AD32" i="16"/>
  <c r="AD9" i="16"/>
  <c r="AD37" i="16"/>
  <c r="AD8" i="16"/>
  <c r="AD19" i="16"/>
  <c r="AD24" i="16"/>
  <c r="AD29" i="16"/>
  <c r="AD47" i="16"/>
  <c r="AD52" i="16"/>
  <c r="AD11" i="16"/>
  <c r="AD39" i="16"/>
  <c r="AD16" i="16"/>
  <c r="AD34" i="16"/>
  <c r="AD44" i="16"/>
  <c r="AD23" i="16"/>
  <c r="AD31" i="16"/>
  <c r="AD36" i="16"/>
  <c r="AD26" i="16"/>
  <c r="AD49" i="16"/>
  <c r="AD46" i="16"/>
  <c r="AD21" i="16"/>
  <c r="AD13" i="16"/>
  <c r="AD18" i="16"/>
  <c r="AN15" i="16"/>
  <c r="AN29" i="16"/>
  <c r="AN13" i="16"/>
  <c r="AN16" i="16"/>
  <c r="AN19" i="16"/>
  <c r="AN22" i="16"/>
  <c r="AN25" i="16"/>
  <c r="AN28" i="16"/>
  <c r="AN31" i="16"/>
  <c r="AN34" i="16"/>
  <c r="AN37" i="16"/>
  <c r="AN40" i="16"/>
  <c r="AN10" i="16"/>
  <c r="AN7" i="16"/>
  <c r="AN32" i="16"/>
  <c r="AN35" i="16"/>
  <c r="AN38" i="16"/>
  <c r="AN44" i="16"/>
  <c r="AN47" i="16"/>
  <c r="AN50" i="16"/>
  <c r="AN11" i="16"/>
  <c r="AN14" i="16"/>
  <c r="AN17" i="16"/>
  <c r="AN20" i="16"/>
  <c r="AN23" i="16"/>
  <c r="AN26" i="16"/>
  <c r="AN18" i="16"/>
  <c r="AN21" i="16"/>
  <c r="AN24" i="16"/>
  <c r="AN27" i="16"/>
  <c r="AN30" i="16"/>
  <c r="AN33" i="16"/>
  <c r="AN36" i="16"/>
  <c r="AN39" i="16"/>
  <c r="AN45" i="16"/>
  <c r="AN48" i="16"/>
  <c r="AN52" i="16"/>
  <c r="AN46" i="16"/>
  <c r="AN49" i="16"/>
  <c r="AN9" i="16"/>
  <c r="AN12" i="16"/>
  <c r="I21" i="16"/>
  <c r="I36" i="16"/>
  <c r="I49" i="16"/>
  <c r="I8" i="16"/>
  <c r="I56" i="16" s="1"/>
  <c r="BW56" i="16" s="1"/>
  <c r="I19" i="16"/>
  <c r="I34" i="16"/>
  <c r="I47" i="16"/>
  <c r="I17" i="16"/>
  <c r="I32" i="16"/>
  <c r="I45" i="16"/>
  <c r="I15" i="16"/>
  <c r="I63" i="16" s="1"/>
  <c r="BW63" i="16" s="1"/>
  <c r="I30" i="16"/>
  <c r="I43" i="16"/>
  <c r="I13" i="16"/>
  <c r="I61" i="16" s="1"/>
  <c r="BW61" i="16" s="1"/>
  <c r="I28" i="16"/>
  <c r="I41" i="16"/>
  <c r="BW41" i="16" s="1"/>
  <c r="I11" i="16"/>
  <c r="I59" i="16" s="1"/>
  <c r="BW59" i="16" s="1"/>
  <c r="I26" i="16"/>
  <c r="I39" i="16"/>
  <c r="I9" i="16"/>
  <c r="I57" i="16" s="1"/>
  <c r="BW57" i="16" s="1"/>
  <c r="I24" i="16"/>
  <c r="I37" i="16"/>
  <c r="I22" i="16"/>
  <c r="I35" i="16"/>
  <c r="I50" i="16"/>
  <c r="I52" i="16"/>
  <c r="I20" i="16"/>
  <c r="I33" i="16"/>
  <c r="I48" i="16"/>
  <c r="I18" i="16"/>
  <c r="I31" i="16"/>
  <c r="I46" i="16"/>
  <c r="I10" i="16"/>
  <c r="I58" i="16" s="1"/>
  <c r="BW58" i="16" s="1"/>
  <c r="I23" i="16"/>
  <c r="I38" i="16"/>
  <c r="I16" i="16"/>
  <c r="I25" i="16"/>
  <c r="I27" i="16"/>
  <c r="I29" i="16"/>
  <c r="I42" i="16"/>
  <c r="I12" i="16"/>
  <c r="I60" i="16" s="1"/>
  <c r="BW60" i="16" s="1"/>
  <c r="I40" i="16"/>
  <c r="I44" i="16"/>
  <c r="I14" i="16"/>
  <c r="I62" i="16" s="1"/>
  <c r="BW62" i="16" s="1"/>
  <c r="L14" i="16"/>
  <c r="L62" i="16" s="1"/>
  <c r="BZ62" i="16" s="1"/>
  <c r="L27" i="16"/>
  <c r="L42" i="16"/>
  <c r="L12" i="16"/>
  <c r="L60" i="16" s="1"/>
  <c r="BZ60" i="16" s="1"/>
  <c r="L25" i="16"/>
  <c r="L40" i="16"/>
  <c r="L10" i="16"/>
  <c r="L58" i="16" s="1"/>
  <c r="BZ58" i="16" s="1"/>
  <c r="L23" i="16"/>
  <c r="L38" i="16"/>
  <c r="L21" i="16"/>
  <c r="L36" i="16"/>
  <c r="L49" i="16"/>
  <c r="L19" i="16"/>
  <c r="L34" i="16"/>
  <c r="L47" i="16"/>
  <c r="L17" i="16"/>
  <c r="L32" i="16"/>
  <c r="L45" i="16"/>
  <c r="L15" i="16"/>
  <c r="L63" i="16" s="1"/>
  <c r="BZ63" i="16" s="1"/>
  <c r="L30" i="16"/>
  <c r="L43" i="16"/>
  <c r="L13" i="16"/>
  <c r="L61" i="16" s="1"/>
  <c r="BZ61" i="16" s="1"/>
  <c r="L28" i="16"/>
  <c r="L41" i="16"/>
  <c r="L11" i="16"/>
  <c r="L59" i="16" s="1"/>
  <c r="BZ59" i="16" s="1"/>
  <c r="L26" i="16"/>
  <c r="L39" i="16"/>
  <c r="L9" i="16"/>
  <c r="L57" i="16" s="1"/>
  <c r="BZ57" i="16" s="1"/>
  <c r="L24" i="16"/>
  <c r="L37" i="16"/>
  <c r="L16" i="16"/>
  <c r="L29" i="16"/>
  <c r="L44" i="16"/>
  <c r="L46" i="16"/>
  <c r="L48" i="16"/>
  <c r="L18" i="16"/>
  <c r="L22" i="16"/>
  <c r="L31" i="16"/>
  <c r="L52" i="16"/>
  <c r="L8" i="16"/>
  <c r="L56" i="16" s="1"/>
  <c r="BZ56" i="16" s="1"/>
  <c r="L33" i="16"/>
  <c r="L50" i="16"/>
  <c r="L20" i="16"/>
  <c r="L35" i="16"/>
  <c r="K12" i="16"/>
  <c r="K60" i="16" s="1"/>
  <c r="K25" i="16"/>
  <c r="K40" i="16"/>
  <c r="K10" i="16"/>
  <c r="K58" i="16" s="1"/>
  <c r="K23" i="16"/>
  <c r="K38" i="16"/>
  <c r="K21" i="16"/>
  <c r="K36" i="16"/>
  <c r="K49" i="16"/>
  <c r="K19" i="16"/>
  <c r="K34" i="16"/>
  <c r="K47" i="16"/>
  <c r="K17" i="16"/>
  <c r="K32" i="16"/>
  <c r="K45" i="16"/>
  <c r="K15" i="16"/>
  <c r="K63" i="16" s="1"/>
  <c r="K30" i="16"/>
  <c r="K43" i="16"/>
  <c r="K13" i="16"/>
  <c r="K61" i="16" s="1"/>
  <c r="K28" i="16"/>
  <c r="K41" i="16"/>
  <c r="K11" i="16"/>
  <c r="K59" i="16" s="1"/>
  <c r="K26" i="16"/>
  <c r="K39" i="16"/>
  <c r="K9" i="16"/>
  <c r="K57" i="16" s="1"/>
  <c r="K24" i="16"/>
  <c r="K37" i="16"/>
  <c r="K22" i="16"/>
  <c r="K35" i="16"/>
  <c r="K50" i="16"/>
  <c r="K52" i="16"/>
  <c r="K14" i="16"/>
  <c r="K62" i="16" s="1"/>
  <c r="K27" i="16"/>
  <c r="K42" i="16"/>
  <c r="K46" i="16"/>
  <c r="K16" i="16"/>
  <c r="K48" i="16"/>
  <c r="K18" i="16"/>
  <c r="K20" i="16"/>
  <c r="K29" i="16"/>
  <c r="K31" i="16"/>
  <c r="K33" i="16"/>
  <c r="K8" i="16"/>
  <c r="K56" i="16" s="1"/>
  <c r="K44" i="16"/>
  <c r="F17" i="16"/>
  <c r="F30" i="16"/>
  <c r="F45" i="16"/>
  <c r="F15" i="16"/>
  <c r="F28" i="16"/>
  <c r="F43" i="16"/>
  <c r="F13" i="16"/>
  <c r="F26" i="16"/>
  <c r="F41" i="16"/>
  <c r="BT41" i="16" s="1"/>
  <c r="F11" i="16"/>
  <c r="F24" i="16"/>
  <c r="F39" i="16"/>
  <c r="F8" i="16"/>
  <c r="F9" i="16"/>
  <c r="F22" i="16"/>
  <c r="F37" i="16"/>
  <c r="F50" i="16"/>
  <c r="F52" i="16"/>
  <c r="F20" i="16"/>
  <c r="F35" i="16"/>
  <c r="F48" i="16"/>
  <c r="F18" i="16"/>
  <c r="F33" i="16"/>
  <c r="F46" i="16"/>
  <c r="F16" i="16"/>
  <c r="F31" i="16"/>
  <c r="F44" i="16"/>
  <c r="F14" i="16"/>
  <c r="F29" i="16"/>
  <c r="F42" i="16"/>
  <c r="F12" i="16"/>
  <c r="F27" i="16"/>
  <c r="F40" i="16"/>
  <c r="F19" i="16"/>
  <c r="F32" i="16"/>
  <c r="F47" i="16"/>
  <c r="F36" i="16"/>
  <c r="F38" i="16"/>
  <c r="F10" i="16"/>
  <c r="F49" i="16"/>
  <c r="F23" i="16"/>
  <c r="F25" i="16"/>
  <c r="F21" i="16"/>
  <c r="F34" i="16"/>
  <c r="P30" i="1"/>
  <c r="P29" i="1"/>
  <c r="P26" i="1"/>
  <c r="P25" i="1"/>
  <c r="P28" i="1"/>
  <c r="P27" i="1"/>
  <c r="P23" i="1"/>
  <c r="AA9" i="1" a="1"/>
  <c r="AA9" i="1" s="1"/>
  <c r="AA13" i="1" a="1"/>
  <c r="AA13" i="1" s="1"/>
  <c r="AA11" i="1" a="1"/>
  <c r="AA11" i="1" s="1"/>
  <c r="AA6" i="1" a="1"/>
  <c r="AA6" i="1" s="1"/>
  <c r="AA10" i="1" a="1"/>
  <c r="AA10" i="1" s="1"/>
  <c r="AQ10" i="1" s="1"/>
  <c r="AA12" i="1" a="1"/>
  <c r="AA12" i="1" s="1"/>
  <c r="AA5" i="1" a="1"/>
  <c r="AA5" i="1" s="1"/>
  <c r="AA7" i="1" a="1"/>
  <c r="AA7" i="1" s="1"/>
  <c r="P22" i="1"/>
  <c r="P21" i="1"/>
  <c r="R7" i="1" a="1"/>
  <c r="R7" i="1" s="1"/>
  <c r="S7" i="16" s="1"/>
  <c r="R8" i="1" a="1"/>
  <c r="R8" i="1" s="1"/>
  <c r="T7" i="16" s="1"/>
  <c r="R9" i="1" a="1"/>
  <c r="R9" i="1" s="1"/>
  <c r="R12" i="1" a="1"/>
  <c r="R12" i="1" s="1"/>
  <c r="R6" i="1" a="1"/>
  <c r="R6" i="1" s="1"/>
  <c r="R7" i="16" s="1"/>
  <c r="R5" i="1" a="1"/>
  <c r="R5" i="1" s="1"/>
  <c r="R13" i="1" a="1"/>
  <c r="R13" i="1" s="1"/>
  <c r="AS308" i="14"/>
  <c r="AR167" i="18" l="1"/>
  <c r="AS226" i="18"/>
  <c r="AS179" i="18"/>
  <c r="AS125" i="18"/>
  <c r="AS44" i="18"/>
  <c r="AF44" i="16"/>
  <c r="AF19" i="16"/>
  <c r="AF22" i="16"/>
  <c r="AR239" i="18"/>
  <c r="AR56" i="18"/>
  <c r="AR94" i="18"/>
  <c r="AR130" i="18"/>
  <c r="AF21" i="16"/>
  <c r="AF39" i="16"/>
  <c r="BZ41" i="16"/>
  <c r="AF11" i="16"/>
  <c r="AF10" i="16"/>
  <c r="AF31" i="16"/>
  <c r="AF25" i="16"/>
  <c r="AF36" i="16"/>
  <c r="AF23" i="16"/>
  <c r="AF29" i="16"/>
  <c r="AF46" i="16"/>
  <c r="AF24" i="16"/>
  <c r="AF28" i="16"/>
  <c r="AF37" i="16"/>
  <c r="AF50" i="16"/>
  <c r="AF27" i="16"/>
  <c r="BX43" i="16"/>
  <c r="AF49" i="16"/>
  <c r="AF9" i="16"/>
  <c r="AF38" i="16"/>
  <c r="AF16" i="16"/>
  <c r="AF32" i="16"/>
  <c r="AF33" i="16"/>
  <c r="AF26" i="16"/>
  <c r="AF14" i="16"/>
  <c r="AF15" i="16"/>
  <c r="AF13" i="16"/>
  <c r="AF40" i="16"/>
  <c r="AF18" i="16"/>
  <c r="AF52" i="16"/>
  <c r="AF35" i="16"/>
  <c r="AF48" i="16"/>
  <c r="AF47" i="16"/>
  <c r="AF17" i="16"/>
  <c r="BT43" i="16"/>
  <c r="BY41" i="16"/>
  <c r="AX9" i="16"/>
  <c r="AX10" i="16"/>
  <c r="BT42" i="16"/>
  <c r="BA10" i="16"/>
  <c r="BA9" i="16"/>
  <c r="BX42" i="16"/>
  <c r="W43" i="16"/>
  <c r="BZ43" i="16" s="1"/>
  <c r="W42" i="16"/>
  <c r="BZ42" i="16" s="1"/>
  <c r="BW43" i="16"/>
  <c r="BW42" i="16"/>
  <c r="V43" i="16"/>
  <c r="BY43" i="16" s="1"/>
  <c r="V42" i="16"/>
  <c r="BY42" i="16" s="1"/>
  <c r="AQ9" i="1"/>
  <c r="AS17" i="16"/>
  <c r="AS28" i="16"/>
  <c r="AS18" i="16"/>
  <c r="AS14" i="16"/>
  <c r="AS25" i="16"/>
  <c r="AS30" i="16"/>
  <c r="AS11" i="16"/>
  <c r="AS22" i="16"/>
  <c r="AS15" i="16"/>
  <c r="AS50" i="16"/>
  <c r="AS19" i="16"/>
  <c r="AS27" i="16"/>
  <c r="AS47" i="16"/>
  <c r="AS16" i="16"/>
  <c r="AS12" i="16"/>
  <c r="AS44" i="16"/>
  <c r="AS13" i="16"/>
  <c r="AS39" i="16"/>
  <c r="AS38" i="16"/>
  <c r="AS49" i="16"/>
  <c r="AS24" i="16"/>
  <c r="AS35" i="16"/>
  <c r="AS46" i="16"/>
  <c r="AS36" i="16"/>
  <c r="AS32" i="16"/>
  <c r="AS40" i="16"/>
  <c r="AS21" i="16"/>
  <c r="AS29" i="16"/>
  <c r="AS45" i="16"/>
  <c r="AS26" i="16"/>
  <c r="AS9" i="16"/>
  <c r="AS48" i="16"/>
  <c r="AS10" i="16"/>
  <c r="AS33" i="16"/>
  <c r="AS34" i="16"/>
  <c r="AS37" i="16"/>
  <c r="AS20" i="16"/>
  <c r="AS31" i="16"/>
  <c r="AS23" i="16"/>
  <c r="AQ5" i="1"/>
  <c r="BT7" i="16" s="1"/>
  <c r="CE7" i="16" s="1"/>
  <c r="F7" i="19" s="1"/>
  <c r="AR44" i="16"/>
  <c r="AR25" i="16"/>
  <c r="AR22" i="16"/>
  <c r="AR19" i="16"/>
  <c r="AR24" i="16"/>
  <c r="AR46" i="16"/>
  <c r="AR16" i="16"/>
  <c r="AR10" i="16"/>
  <c r="AR52" i="16"/>
  <c r="AR17" i="16"/>
  <c r="AR11" i="16"/>
  <c r="AR27" i="16"/>
  <c r="AR35" i="16"/>
  <c r="AR9" i="16"/>
  <c r="AR29" i="16"/>
  <c r="AR21" i="16"/>
  <c r="AR32" i="16"/>
  <c r="AR13" i="16"/>
  <c r="AR26" i="16"/>
  <c r="AR18" i="16"/>
  <c r="AR15" i="16"/>
  <c r="AR23" i="16"/>
  <c r="AR8" i="16"/>
  <c r="AR12" i="16"/>
  <c r="AR20" i="16"/>
  <c r="AR49" i="16"/>
  <c r="AR48" i="16"/>
  <c r="AR14" i="16"/>
  <c r="AR40" i="16"/>
  <c r="AR45" i="16"/>
  <c r="AR37" i="16"/>
  <c r="AR39" i="16"/>
  <c r="AR7" i="16"/>
  <c r="AR34" i="16"/>
  <c r="AR36" i="16"/>
  <c r="AR50" i="16"/>
  <c r="AR31" i="16"/>
  <c r="AR33" i="16"/>
  <c r="AR47" i="16"/>
  <c r="AR28" i="16"/>
  <c r="AR30" i="16"/>
  <c r="AR38" i="16"/>
  <c r="AQ12" i="1"/>
  <c r="Q7" i="16"/>
  <c r="V7" i="16"/>
  <c r="R17" i="16"/>
  <c r="BU17" i="16" s="1"/>
  <c r="R32" i="16"/>
  <c r="BU32" i="16" s="1"/>
  <c r="R45" i="16"/>
  <c r="BU45" i="16" s="1"/>
  <c r="R15" i="16"/>
  <c r="BU15" i="16" s="1"/>
  <c r="R30" i="16"/>
  <c r="BU30" i="16" s="1"/>
  <c r="R13" i="16"/>
  <c r="BU13" i="16" s="1"/>
  <c r="R28" i="16"/>
  <c r="BU28" i="16" s="1"/>
  <c r="R8" i="16"/>
  <c r="BU8" i="16" s="1"/>
  <c r="R11" i="16"/>
  <c r="BU11" i="16" s="1"/>
  <c r="R26" i="16"/>
  <c r="BU26" i="16" s="1"/>
  <c r="R39" i="16"/>
  <c r="BU39" i="16" s="1"/>
  <c r="R9" i="16"/>
  <c r="BU9" i="16" s="1"/>
  <c r="R24" i="16"/>
  <c r="BU24" i="16" s="1"/>
  <c r="R37" i="16"/>
  <c r="BU37" i="16" s="1"/>
  <c r="R52" i="16"/>
  <c r="BU52" i="16" s="1"/>
  <c r="R22" i="16"/>
  <c r="BU22" i="16" s="1"/>
  <c r="R35" i="16"/>
  <c r="BU35" i="16" s="1"/>
  <c r="R50" i="16"/>
  <c r="BU50" i="16" s="1"/>
  <c r="R20" i="16"/>
  <c r="BU20" i="16" s="1"/>
  <c r="R33" i="16"/>
  <c r="BU33" i="16" s="1"/>
  <c r="R48" i="16"/>
  <c r="BU48" i="16" s="1"/>
  <c r="R18" i="16"/>
  <c r="BU18" i="16" s="1"/>
  <c r="R31" i="16"/>
  <c r="BU31" i="16" s="1"/>
  <c r="R46" i="16"/>
  <c r="BU46" i="16" s="1"/>
  <c r="R16" i="16"/>
  <c r="BU16" i="16" s="1"/>
  <c r="R29" i="16"/>
  <c r="BU29" i="16" s="1"/>
  <c r="R44" i="16"/>
  <c r="BU44" i="16" s="1"/>
  <c r="R14" i="16"/>
  <c r="BU14" i="16" s="1"/>
  <c r="R27" i="16"/>
  <c r="BU27" i="16" s="1"/>
  <c r="R19" i="16"/>
  <c r="BU19" i="16" s="1"/>
  <c r="R34" i="16"/>
  <c r="BU34" i="16" s="1"/>
  <c r="R47" i="16"/>
  <c r="BU47" i="16" s="1"/>
  <c r="R12" i="16"/>
  <c r="BU12" i="16" s="1"/>
  <c r="R21" i="16"/>
  <c r="BU21" i="16" s="1"/>
  <c r="R23" i="16"/>
  <c r="BU23" i="16" s="1"/>
  <c r="R25" i="16"/>
  <c r="BU25" i="16" s="1"/>
  <c r="R38" i="16"/>
  <c r="BU38" i="16" s="1"/>
  <c r="R49" i="16"/>
  <c r="BU49" i="16" s="1"/>
  <c r="R36" i="16"/>
  <c r="BU36" i="16" s="1"/>
  <c r="R40" i="16"/>
  <c r="BU40" i="16" s="1"/>
  <c r="R10" i="16"/>
  <c r="BU10" i="16" s="1"/>
  <c r="U7" i="16"/>
  <c r="BX7" i="16" s="1"/>
  <c r="CI61" i="16" s="1"/>
  <c r="W7" i="16"/>
  <c r="BZ7" i="16" s="1"/>
  <c r="T21" i="16"/>
  <c r="T36" i="16"/>
  <c r="T49" i="16"/>
  <c r="T8" i="16"/>
  <c r="T19" i="16"/>
  <c r="T34" i="16"/>
  <c r="T47" i="16"/>
  <c r="T17" i="16"/>
  <c r="T32" i="16"/>
  <c r="T45" i="16"/>
  <c r="T15" i="16"/>
  <c r="T30" i="16"/>
  <c r="T13" i="16"/>
  <c r="T28" i="16"/>
  <c r="T11" i="16"/>
  <c r="T26" i="16"/>
  <c r="T39" i="16"/>
  <c r="T9" i="16"/>
  <c r="T24" i="16"/>
  <c r="T37" i="16"/>
  <c r="T52" i="16"/>
  <c r="T22" i="16"/>
  <c r="T35" i="16"/>
  <c r="T50" i="16"/>
  <c r="T20" i="16"/>
  <c r="T33" i="16"/>
  <c r="T48" i="16"/>
  <c r="T18" i="16"/>
  <c r="T31" i="16"/>
  <c r="T46" i="16"/>
  <c r="T10" i="16"/>
  <c r="T23" i="16"/>
  <c r="T38" i="16"/>
  <c r="T40" i="16"/>
  <c r="T12" i="16"/>
  <c r="T44" i="16"/>
  <c r="T14" i="16"/>
  <c r="T27" i="16"/>
  <c r="T16" i="16"/>
  <c r="T25" i="16"/>
  <c r="T29" i="16"/>
  <c r="S19" i="16"/>
  <c r="BV19" i="16" s="1"/>
  <c r="S34" i="16"/>
  <c r="BV34" i="16" s="1"/>
  <c r="S47" i="16"/>
  <c r="BV47" i="16" s="1"/>
  <c r="S17" i="16"/>
  <c r="BV17" i="16" s="1"/>
  <c r="S32" i="16"/>
  <c r="BV32" i="16" s="1"/>
  <c r="S45" i="16"/>
  <c r="BV45" i="16" s="1"/>
  <c r="S8" i="16"/>
  <c r="BV8" i="16" s="1"/>
  <c r="S15" i="16"/>
  <c r="BV15" i="16" s="1"/>
  <c r="S30" i="16"/>
  <c r="BV30" i="16" s="1"/>
  <c r="S13" i="16"/>
  <c r="BV13" i="16" s="1"/>
  <c r="S28" i="16"/>
  <c r="BV28" i="16" s="1"/>
  <c r="S11" i="16"/>
  <c r="BV11" i="16" s="1"/>
  <c r="S26" i="16"/>
  <c r="BV26" i="16" s="1"/>
  <c r="S39" i="16"/>
  <c r="BV39" i="16" s="1"/>
  <c r="S9" i="16"/>
  <c r="BV9" i="16" s="1"/>
  <c r="S24" i="16"/>
  <c r="BV24" i="16" s="1"/>
  <c r="S37" i="16"/>
  <c r="BV37" i="16" s="1"/>
  <c r="S52" i="16"/>
  <c r="BV52" i="16" s="1"/>
  <c r="S22" i="16"/>
  <c r="BV22" i="16" s="1"/>
  <c r="S35" i="16"/>
  <c r="BV35" i="16" s="1"/>
  <c r="S50" i="16"/>
  <c r="BV50" i="16" s="1"/>
  <c r="S20" i="16"/>
  <c r="BV20" i="16" s="1"/>
  <c r="S33" i="16"/>
  <c r="BV33" i="16" s="1"/>
  <c r="S48" i="16"/>
  <c r="BV48" i="16" s="1"/>
  <c r="S18" i="16"/>
  <c r="BV18" i="16" s="1"/>
  <c r="S31" i="16"/>
  <c r="BV31" i="16" s="1"/>
  <c r="S46" i="16"/>
  <c r="BV46" i="16" s="1"/>
  <c r="S16" i="16"/>
  <c r="BV16" i="16" s="1"/>
  <c r="S29" i="16"/>
  <c r="BV29" i="16" s="1"/>
  <c r="S44" i="16"/>
  <c r="BV44" i="16" s="1"/>
  <c r="S21" i="16"/>
  <c r="BV21" i="16" s="1"/>
  <c r="S36" i="16"/>
  <c r="BV36" i="16" s="1"/>
  <c r="S49" i="16"/>
  <c r="BV49" i="16" s="1"/>
  <c r="S10" i="16"/>
  <c r="BV10" i="16" s="1"/>
  <c r="S12" i="16"/>
  <c r="BV12" i="16" s="1"/>
  <c r="S14" i="16"/>
  <c r="BV14" i="16" s="1"/>
  <c r="S23" i="16"/>
  <c r="BV23" i="16" s="1"/>
  <c r="S25" i="16"/>
  <c r="BV25" i="16" s="1"/>
  <c r="S27" i="16"/>
  <c r="BV27" i="16" s="1"/>
  <c r="S38" i="16"/>
  <c r="BV38" i="16" s="1"/>
  <c r="S40" i="16"/>
  <c r="BV40" i="16" s="1"/>
  <c r="AG9" i="16"/>
  <c r="AG23" i="16"/>
  <c r="AG37" i="16"/>
  <c r="AG13" i="16"/>
  <c r="AG36" i="16"/>
  <c r="AG18" i="16"/>
  <c r="AG28" i="16"/>
  <c r="AG46" i="16"/>
  <c r="AG10" i="16"/>
  <c r="AG15" i="16"/>
  <c r="AG33" i="16"/>
  <c r="AG38" i="16"/>
  <c r="AG8" i="16"/>
  <c r="AG20" i="16"/>
  <c r="AG25" i="16"/>
  <c r="AG48" i="16"/>
  <c r="AG30" i="16"/>
  <c r="AG12" i="16"/>
  <c r="AG17" i="16"/>
  <c r="AG35" i="16"/>
  <c r="AG40" i="16"/>
  <c r="AG45" i="16"/>
  <c r="AG22" i="16"/>
  <c r="AG27" i="16"/>
  <c r="AG50" i="16"/>
  <c r="AG14" i="16"/>
  <c r="AG32" i="16"/>
  <c r="AG21" i="16"/>
  <c r="AG26" i="16"/>
  <c r="AG31" i="16"/>
  <c r="AG49" i="16"/>
  <c r="AG11" i="16"/>
  <c r="AG19" i="16"/>
  <c r="AG52" i="16"/>
  <c r="AG34" i="16"/>
  <c r="AG44" i="16"/>
  <c r="AG24" i="16"/>
  <c r="AG16" i="16"/>
  <c r="AG29" i="16"/>
  <c r="AG39" i="16"/>
  <c r="AG47" i="16"/>
  <c r="AB22" i="16"/>
  <c r="AB36" i="16"/>
  <c r="AB50" i="16"/>
  <c r="AB20" i="16"/>
  <c r="AB25" i="16"/>
  <c r="AB30" i="16"/>
  <c r="AB48" i="16"/>
  <c r="AB12" i="16"/>
  <c r="AB35" i="16"/>
  <c r="AB40" i="16"/>
  <c r="AB17" i="16"/>
  <c r="AB27" i="16"/>
  <c r="AB45" i="16"/>
  <c r="AB32" i="16"/>
  <c r="AB9" i="16"/>
  <c r="AB14" i="16"/>
  <c r="AB37" i="16"/>
  <c r="AB19" i="16"/>
  <c r="AB24" i="16"/>
  <c r="AB29" i="16"/>
  <c r="AB47" i="16"/>
  <c r="AB52" i="16"/>
  <c r="AB11" i="16"/>
  <c r="AB16" i="16"/>
  <c r="AB34" i="16"/>
  <c r="AB39" i="16"/>
  <c r="AB44" i="16"/>
  <c r="AB21" i="16"/>
  <c r="AB26" i="16"/>
  <c r="AB49" i="16"/>
  <c r="AB8" i="16"/>
  <c r="AB13" i="16"/>
  <c r="AB31" i="16"/>
  <c r="AB15" i="16"/>
  <c r="AB23" i="16"/>
  <c r="AB28" i="16"/>
  <c r="AB38" i="16"/>
  <c r="AB33" i="16"/>
  <c r="AB18" i="16"/>
  <c r="AB10" i="16"/>
  <c r="AB46" i="16"/>
  <c r="AH12" i="16"/>
  <c r="AH26" i="16"/>
  <c r="AH40" i="16"/>
  <c r="AH21" i="16"/>
  <c r="AH31" i="16"/>
  <c r="AH49" i="16"/>
  <c r="AH13" i="16"/>
  <c r="AH36" i="16"/>
  <c r="AH18" i="16"/>
  <c r="AH23" i="16"/>
  <c r="AH28" i="16"/>
  <c r="AH46" i="16"/>
  <c r="AH8" i="16"/>
  <c r="AH10" i="16"/>
  <c r="AH15" i="16"/>
  <c r="AH33" i="16"/>
  <c r="AH38" i="16"/>
  <c r="AH20" i="16"/>
  <c r="AH25" i="16"/>
  <c r="AH48" i="16"/>
  <c r="AH30" i="16"/>
  <c r="AH17" i="16"/>
  <c r="AH35" i="16"/>
  <c r="AH45" i="16"/>
  <c r="AH22" i="16"/>
  <c r="AH27" i="16"/>
  <c r="AH50" i="16"/>
  <c r="AH9" i="16"/>
  <c r="AH14" i="16"/>
  <c r="AH32" i="16"/>
  <c r="AH37" i="16"/>
  <c r="AH16" i="16"/>
  <c r="AH44" i="16"/>
  <c r="AH39" i="16"/>
  <c r="AH47" i="16"/>
  <c r="AH11" i="16"/>
  <c r="AH19" i="16"/>
  <c r="AH34" i="16"/>
  <c r="AH52" i="16"/>
  <c r="AH24" i="16"/>
  <c r="AH29" i="16"/>
  <c r="AE17" i="16"/>
  <c r="AE31" i="16"/>
  <c r="AE45" i="16"/>
  <c r="AE23" i="16"/>
  <c r="AE10" i="16"/>
  <c r="AE15" i="16"/>
  <c r="AE33" i="16"/>
  <c r="AE38" i="16"/>
  <c r="AE25" i="16"/>
  <c r="AE20" i="16"/>
  <c r="AE30" i="16"/>
  <c r="AE48" i="16"/>
  <c r="AE12" i="16"/>
  <c r="AE35" i="16"/>
  <c r="AE40" i="16"/>
  <c r="AE22" i="16"/>
  <c r="AE27" i="16"/>
  <c r="AE50" i="16"/>
  <c r="AE8" i="16"/>
  <c r="AE14" i="16"/>
  <c r="AE32" i="16"/>
  <c r="AE9" i="16"/>
  <c r="AE37" i="16"/>
  <c r="AE19" i="16"/>
  <c r="AE24" i="16"/>
  <c r="AE29" i="16"/>
  <c r="AE47" i="16"/>
  <c r="AE52" i="16"/>
  <c r="AE11" i="16"/>
  <c r="AE39" i="16"/>
  <c r="AE18" i="16"/>
  <c r="AE28" i="16"/>
  <c r="AE46" i="16"/>
  <c r="AE44" i="16"/>
  <c r="AE16" i="16"/>
  <c r="AE13" i="16"/>
  <c r="AE26" i="16"/>
  <c r="AE36" i="16"/>
  <c r="AE49" i="16"/>
  <c r="AE34" i="16"/>
  <c r="AE21" i="16"/>
  <c r="AQ11" i="1"/>
  <c r="AQ13" i="1"/>
  <c r="R28" i="1"/>
  <c r="AQ28" i="1" s="1"/>
  <c r="R27" i="1"/>
  <c r="AQ27" i="1" s="1"/>
  <c r="R22" i="1"/>
  <c r="AQ22" i="1" s="1"/>
  <c r="R21" i="1"/>
  <c r="AQ21" i="1" s="1"/>
  <c r="AQ6" i="1"/>
  <c r="BU7" i="16" s="1"/>
  <c r="R24" i="1"/>
  <c r="AQ24" i="1" s="1"/>
  <c r="R23" i="1"/>
  <c r="AQ23" i="1" s="1"/>
  <c r="R30" i="1"/>
  <c r="AQ30" i="1" s="1"/>
  <c r="R29" i="1"/>
  <c r="AQ29" i="1" s="1"/>
  <c r="AQ7" i="1"/>
  <c r="BV7" i="16" s="1"/>
  <c r="R26" i="1"/>
  <c r="AQ26" i="1" s="1"/>
  <c r="R25" i="1"/>
  <c r="AQ25" i="1" s="1"/>
  <c r="AR5" i="1"/>
  <c r="AQ8" i="1"/>
  <c r="BW7" i="16" s="1"/>
  <c r="CH63" i="16" s="1"/>
  <c r="AR8" i="1"/>
  <c r="AR9" i="1"/>
  <c r="AR6" i="1"/>
  <c r="AR13" i="1"/>
  <c r="AR10" i="1"/>
  <c r="AR12" i="1"/>
  <c r="AR11" i="1"/>
  <c r="AR7" i="1"/>
  <c r="CK41" i="16" l="1"/>
  <c r="L41" i="19" s="1"/>
  <c r="CG23" i="16"/>
  <c r="H23" i="19" s="1"/>
  <c r="CG20" i="16"/>
  <c r="H20" i="19" s="1"/>
  <c r="CG14" i="16"/>
  <c r="H14" i="19" s="1"/>
  <c r="CI59" i="16"/>
  <c r="CI58" i="16"/>
  <c r="CI62" i="16"/>
  <c r="CH7" i="16"/>
  <c r="I7" i="19" s="1"/>
  <c r="CH55" i="16"/>
  <c r="CH62" i="16"/>
  <c r="CI57" i="16"/>
  <c r="CH60" i="16"/>
  <c r="CH61" i="16"/>
  <c r="CI56" i="16"/>
  <c r="CH59" i="16"/>
  <c r="CI41" i="16"/>
  <c r="J41" i="19" s="1"/>
  <c r="CI55" i="16"/>
  <c r="CH56" i="16"/>
  <c r="CI63" i="16"/>
  <c r="CI60" i="16"/>
  <c r="CH57" i="16"/>
  <c r="CH58" i="16"/>
  <c r="CH42" i="16"/>
  <c r="I42" i="19" s="1"/>
  <c r="CE43" i="16"/>
  <c r="F43" i="19" s="1"/>
  <c r="CH43" i="16"/>
  <c r="I43" i="19" s="1"/>
  <c r="CK43" i="16"/>
  <c r="L43" i="19" s="1"/>
  <c r="CK42" i="16"/>
  <c r="L42" i="19" s="1"/>
  <c r="CI43" i="16"/>
  <c r="J43" i="19" s="1"/>
  <c r="CI42" i="16"/>
  <c r="J42" i="19" s="1"/>
  <c r="CG33" i="16"/>
  <c r="H33" i="19" s="1"/>
  <c r="CG30" i="16"/>
  <c r="H30" i="19" s="1"/>
  <c r="CF38" i="16"/>
  <c r="G38" i="19" s="1"/>
  <c r="CF31" i="16"/>
  <c r="G31" i="19" s="1"/>
  <c r="CF11" i="16"/>
  <c r="G11" i="19" s="1"/>
  <c r="CE42" i="16"/>
  <c r="F42" i="19" s="1"/>
  <c r="CF7" i="16"/>
  <c r="G7" i="19" s="1"/>
  <c r="CF41" i="16"/>
  <c r="G41" i="19" s="1"/>
  <c r="CG15" i="16"/>
  <c r="H15" i="19" s="1"/>
  <c r="CF18" i="16"/>
  <c r="G18" i="19" s="1"/>
  <c r="CH41" i="16"/>
  <c r="I41" i="19" s="1"/>
  <c r="CG7" i="16"/>
  <c r="H7" i="19" s="1"/>
  <c r="CG41" i="16"/>
  <c r="H41" i="19" s="1"/>
  <c r="CF23" i="16"/>
  <c r="G23" i="19" s="1"/>
  <c r="CF48" i="16"/>
  <c r="G48" i="19" s="1"/>
  <c r="CF28" i="16"/>
  <c r="G28" i="19" s="1"/>
  <c r="CF42" i="16"/>
  <c r="G42" i="19" s="1"/>
  <c r="CF21" i="16"/>
  <c r="G21" i="19" s="1"/>
  <c r="CF33" i="16"/>
  <c r="G33" i="19" s="1"/>
  <c r="CF13" i="16"/>
  <c r="G13" i="19" s="1"/>
  <c r="CF43" i="16"/>
  <c r="G43" i="19" s="1"/>
  <c r="BY7" i="16"/>
  <c r="CJ41" i="16" s="1"/>
  <c r="K41" i="19" s="1"/>
  <c r="CG43" i="16"/>
  <c r="H43" i="19" s="1"/>
  <c r="CF25" i="16"/>
  <c r="G25" i="19" s="1"/>
  <c r="CE41" i="16"/>
  <c r="F41" i="19" s="1"/>
  <c r="CG42" i="16"/>
  <c r="H42" i="19" s="1"/>
  <c r="CG25" i="16"/>
  <c r="H25" i="19" s="1"/>
  <c r="CG48" i="16"/>
  <c r="H48" i="19" s="1"/>
  <c r="CG13" i="16"/>
  <c r="H13" i="19" s="1"/>
  <c r="CF49" i="16"/>
  <c r="G49" i="19" s="1"/>
  <c r="CF46" i="16"/>
  <c r="G46" i="19" s="1"/>
  <c r="CF26" i="16"/>
  <c r="G26" i="19" s="1"/>
  <c r="CG10" i="16"/>
  <c r="H10" i="19" s="1"/>
  <c r="CG45" i="16"/>
  <c r="H45" i="19" s="1"/>
  <c r="CG49" i="16"/>
  <c r="H49" i="19" s="1"/>
  <c r="CG22" i="16"/>
  <c r="H22" i="19" s="1"/>
  <c r="CG32" i="16"/>
  <c r="H32" i="19" s="1"/>
  <c r="CF12" i="16"/>
  <c r="G12" i="19" s="1"/>
  <c r="CF20" i="16"/>
  <c r="G20" i="19" s="1"/>
  <c r="CF30" i="16"/>
  <c r="G30" i="19" s="1"/>
  <c r="CG36" i="16"/>
  <c r="H36" i="19" s="1"/>
  <c r="CG17" i="16"/>
  <c r="H17" i="19" s="1"/>
  <c r="CF47" i="16"/>
  <c r="G47" i="19" s="1"/>
  <c r="CF50" i="16"/>
  <c r="G50" i="19" s="1"/>
  <c r="CF15" i="16"/>
  <c r="G15" i="19" s="1"/>
  <c r="CG12" i="16"/>
  <c r="H12" i="19" s="1"/>
  <c r="CG21" i="16"/>
  <c r="H21" i="19" s="1"/>
  <c r="CG37" i="16"/>
  <c r="H37" i="19" s="1"/>
  <c r="CG47" i="16"/>
  <c r="H47" i="19" s="1"/>
  <c r="CF34" i="16"/>
  <c r="G34" i="19" s="1"/>
  <c r="CF35" i="16"/>
  <c r="G35" i="19" s="1"/>
  <c r="CF45" i="16"/>
  <c r="G45" i="19" s="1"/>
  <c r="CG50" i="16"/>
  <c r="H50" i="19" s="1"/>
  <c r="CG44" i="16"/>
  <c r="H44" i="19" s="1"/>
  <c r="CG24" i="16"/>
  <c r="H24" i="19" s="1"/>
  <c r="CG34" i="16"/>
  <c r="H34" i="19" s="1"/>
  <c r="CF19" i="16"/>
  <c r="G19" i="19" s="1"/>
  <c r="CF22" i="16"/>
  <c r="G22" i="19" s="1"/>
  <c r="CF32" i="16"/>
  <c r="G32" i="19" s="1"/>
  <c r="CG29" i="16"/>
  <c r="H29" i="19" s="1"/>
  <c r="CG9" i="16"/>
  <c r="H9" i="19" s="1"/>
  <c r="CG19" i="16"/>
  <c r="H19" i="19" s="1"/>
  <c r="CF27" i="16"/>
  <c r="G27" i="19" s="1"/>
  <c r="CF17" i="16"/>
  <c r="G17" i="19" s="1"/>
  <c r="CG16" i="16"/>
  <c r="H16" i="19" s="1"/>
  <c r="CG39" i="16"/>
  <c r="H39" i="19" s="1"/>
  <c r="CF14" i="16"/>
  <c r="G14" i="19" s="1"/>
  <c r="CF37" i="16"/>
  <c r="G37" i="19" s="1"/>
  <c r="CG40" i="16"/>
  <c r="H40" i="19" s="1"/>
  <c r="CG46" i="16"/>
  <c r="H46" i="19" s="1"/>
  <c r="CG26" i="16"/>
  <c r="H26" i="19" s="1"/>
  <c r="CF10" i="16"/>
  <c r="G10" i="19" s="1"/>
  <c r="CF44" i="16"/>
  <c r="G44" i="19" s="1"/>
  <c r="CF24" i="16"/>
  <c r="G24" i="19" s="1"/>
  <c r="CG35" i="16"/>
  <c r="H35" i="19" s="1"/>
  <c r="CG31" i="16"/>
  <c r="H31" i="19" s="1"/>
  <c r="CG11" i="16"/>
  <c r="H11" i="19" s="1"/>
  <c r="CF40" i="16"/>
  <c r="G40" i="19" s="1"/>
  <c r="CF29" i="16"/>
  <c r="G29" i="19" s="1"/>
  <c r="CF9" i="16"/>
  <c r="G9" i="19" s="1"/>
  <c r="CG38" i="16"/>
  <c r="H38" i="19" s="1"/>
  <c r="CG27" i="16"/>
  <c r="H27" i="19" s="1"/>
  <c r="CG18" i="16"/>
  <c r="H18" i="19" s="1"/>
  <c r="CG28" i="16"/>
  <c r="H28" i="19" s="1"/>
  <c r="CF36" i="16"/>
  <c r="G36" i="19" s="1"/>
  <c r="CF16" i="16"/>
  <c r="G16" i="19" s="1"/>
  <c r="CF39" i="16"/>
  <c r="G39" i="19" s="1"/>
  <c r="BW24" i="16"/>
  <c r="CH24" i="16" s="1"/>
  <c r="I24" i="19" s="1"/>
  <c r="CF8" i="16"/>
  <c r="G8" i="19" s="1"/>
  <c r="CG8" i="16"/>
  <c r="H8" i="19" s="1"/>
  <c r="BW38" i="16"/>
  <c r="CH38" i="16" s="1"/>
  <c r="I38" i="19" s="1"/>
  <c r="BW37" i="16"/>
  <c r="CH37" i="16" s="1"/>
  <c r="I37" i="19" s="1"/>
  <c r="BW34" i="16"/>
  <c r="CH34" i="16" s="1"/>
  <c r="I34" i="19" s="1"/>
  <c r="BW23" i="16"/>
  <c r="CH23" i="16" s="1"/>
  <c r="I23" i="19" s="1"/>
  <c r="BW29" i="16"/>
  <c r="CH29" i="16" s="1"/>
  <c r="I29" i="19" s="1"/>
  <c r="BW48" i="16"/>
  <c r="CH48" i="16" s="1"/>
  <c r="I48" i="19" s="1"/>
  <c r="BW25" i="16"/>
  <c r="CH25" i="16" s="1"/>
  <c r="I25" i="19" s="1"/>
  <c r="BW30" i="16"/>
  <c r="CH30" i="16" s="1"/>
  <c r="I30" i="19" s="1"/>
  <c r="BW20" i="16"/>
  <c r="CH20" i="16" s="1"/>
  <c r="I20" i="19" s="1"/>
  <c r="BW17" i="16"/>
  <c r="CH17" i="16" s="1"/>
  <c r="I17" i="19" s="1"/>
  <c r="BW47" i="16"/>
  <c r="CH47" i="16" s="1"/>
  <c r="I47" i="19" s="1"/>
  <c r="BW9" i="16"/>
  <c r="CH9" i="16" s="1"/>
  <c r="I9" i="19" s="1"/>
  <c r="BW10" i="16"/>
  <c r="CH10" i="16" s="1"/>
  <c r="I10" i="19" s="1"/>
  <c r="BW39" i="16"/>
  <c r="CH39" i="16" s="1"/>
  <c r="I39" i="19" s="1"/>
  <c r="BW49" i="16"/>
  <c r="CH49" i="16" s="1"/>
  <c r="I49" i="19" s="1"/>
  <c r="BW32" i="16"/>
  <c r="CH32" i="16" s="1"/>
  <c r="I32" i="19" s="1"/>
  <c r="BW46" i="16"/>
  <c r="CH46" i="16" s="1"/>
  <c r="I46" i="19" s="1"/>
  <c r="BW26" i="16"/>
  <c r="CH26" i="16" s="1"/>
  <c r="I26" i="19" s="1"/>
  <c r="BW36" i="16"/>
  <c r="CH36" i="16" s="1"/>
  <c r="I36" i="19" s="1"/>
  <c r="BW31" i="16"/>
  <c r="CH31" i="16" s="1"/>
  <c r="I31" i="19" s="1"/>
  <c r="BW11" i="16"/>
  <c r="CH11" i="16" s="1"/>
  <c r="I11" i="19" s="1"/>
  <c r="BW21" i="16"/>
  <c r="CH21" i="16" s="1"/>
  <c r="I21" i="19" s="1"/>
  <c r="BW18" i="16"/>
  <c r="CH18" i="16" s="1"/>
  <c r="I18" i="19" s="1"/>
  <c r="BW28" i="16"/>
  <c r="CH28" i="16" s="1"/>
  <c r="I28" i="19" s="1"/>
  <c r="BW33" i="16"/>
  <c r="CH33" i="16" s="1"/>
  <c r="I33" i="19" s="1"/>
  <c r="BW50" i="16"/>
  <c r="CH50" i="16" s="1"/>
  <c r="I50" i="19" s="1"/>
  <c r="BW35" i="16"/>
  <c r="CH35" i="16" s="1"/>
  <c r="I35" i="19" s="1"/>
  <c r="BW44" i="16"/>
  <c r="CH44" i="16" s="1"/>
  <c r="I44" i="19" s="1"/>
  <c r="BW22" i="16"/>
  <c r="CH22" i="16" s="1"/>
  <c r="I22" i="19" s="1"/>
  <c r="BW12" i="16"/>
  <c r="CH12" i="16" s="1"/>
  <c r="I12" i="19" s="1"/>
  <c r="BW52" i="16"/>
  <c r="BW13" i="16"/>
  <c r="CH13" i="16" s="1"/>
  <c r="I13" i="19" s="1"/>
  <c r="BW15" i="16"/>
  <c r="CH15" i="16" s="1"/>
  <c r="I15" i="19" s="1"/>
  <c r="BW27" i="16"/>
  <c r="CH27" i="16" s="1"/>
  <c r="I27" i="19" s="1"/>
  <c r="BW19" i="16"/>
  <c r="CH19" i="16" s="1"/>
  <c r="I19" i="19" s="1"/>
  <c r="BW16" i="16"/>
  <c r="CH16" i="16" s="1"/>
  <c r="I16" i="19" s="1"/>
  <c r="BW45" i="16"/>
  <c r="CH45" i="16" s="1"/>
  <c r="I45" i="19" s="1"/>
  <c r="BW14" i="16"/>
  <c r="CH14" i="16" s="1"/>
  <c r="I14" i="19" s="1"/>
  <c r="BW40" i="16"/>
  <c r="CH40" i="16" s="1"/>
  <c r="I40" i="19" s="1"/>
  <c r="BW8" i="16"/>
  <c r="CH8" i="16" s="1"/>
  <c r="I8" i="19" s="1"/>
  <c r="W12" i="16"/>
  <c r="BZ12" i="16" s="1"/>
  <c r="CK12" i="16" s="1"/>
  <c r="L12" i="19" s="1"/>
  <c r="W27" i="16"/>
  <c r="BZ27" i="16" s="1"/>
  <c r="CK27" i="16" s="1"/>
  <c r="L27" i="19" s="1"/>
  <c r="W40" i="16"/>
  <c r="BZ40" i="16" s="1"/>
  <c r="CK40" i="16" s="1"/>
  <c r="L40" i="19" s="1"/>
  <c r="W10" i="16"/>
  <c r="BZ10" i="16" s="1"/>
  <c r="CK10" i="16" s="1"/>
  <c r="L10" i="19" s="1"/>
  <c r="W25" i="16"/>
  <c r="BZ25" i="16" s="1"/>
  <c r="CK25" i="16" s="1"/>
  <c r="L25" i="19" s="1"/>
  <c r="W38" i="16"/>
  <c r="BZ38" i="16" s="1"/>
  <c r="CK38" i="16" s="1"/>
  <c r="L38" i="19" s="1"/>
  <c r="W23" i="16"/>
  <c r="BZ23" i="16" s="1"/>
  <c r="CK23" i="16" s="1"/>
  <c r="L23" i="19" s="1"/>
  <c r="W36" i="16"/>
  <c r="BZ36" i="16" s="1"/>
  <c r="CK36" i="16" s="1"/>
  <c r="L36" i="19" s="1"/>
  <c r="W21" i="16"/>
  <c r="BZ21" i="16" s="1"/>
  <c r="CK21" i="16" s="1"/>
  <c r="L21" i="19" s="1"/>
  <c r="W34" i="16"/>
  <c r="BZ34" i="16" s="1"/>
  <c r="CK34" i="16" s="1"/>
  <c r="L34" i="19" s="1"/>
  <c r="W49" i="16"/>
  <c r="BZ49" i="16" s="1"/>
  <c r="CK49" i="16" s="1"/>
  <c r="L49" i="19" s="1"/>
  <c r="W19" i="16"/>
  <c r="BZ19" i="16" s="1"/>
  <c r="CK19" i="16" s="1"/>
  <c r="L19" i="19" s="1"/>
  <c r="W32" i="16"/>
  <c r="BZ32" i="16" s="1"/>
  <c r="CK32" i="16" s="1"/>
  <c r="L32" i="19" s="1"/>
  <c r="W47" i="16"/>
  <c r="BZ47" i="16" s="1"/>
  <c r="CK47" i="16" s="1"/>
  <c r="L47" i="19" s="1"/>
  <c r="W17" i="16"/>
  <c r="BZ17" i="16" s="1"/>
  <c r="CK17" i="16" s="1"/>
  <c r="L17" i="19" s="1"/>
  <c r="W30" i="16"/>
  <c r="BZ30" i="16" s="1"/>
  <c r="CK30" i="16" s="1"/>
  <c r="L30" i="19" s="1"/>
  <c r="W45" i="16"/>
  <c r="BZ45" i="16" s="1"/>
  <c r="CK45" i="16" s="1"/>
  <c r="L45" i="19" s="1"/>
  <c r="W15" i="16"/>
  <c r="BZ15" i="16" s="1"/>
  <c r="CK15" i="16" s="1"/>
  <c r="L15" i="19" s="1"/>
  <c r="W28" i="16"/>
  <c r="BZ28" i="16" s="1"/>
  <c r="CK28" i="16" s="1"/>
  <c r="L28" i="19" s="1"/>
  <c r="W13" i="16"/>
  <c r="BZ13" i="16" s="1"/>
  <c r="CK13" i="16" s="1"/>
  <c r="L13" i="19" s="1"/>
  <c r="W26" i="16"/>
  <c r="BZ26" i="16" s="1"/>
  <c r="CK26" i="16" s="1"/>
  <c r="L26" i="19" s="1"/>
  <c r="W11" i="16"/>
  <c r="BZ11" i="16" s="1"/>
  <c r="CK11" i="16" s="1"/>
  <c r="L11" i="19" s="1"/>
  <c r="W24" i="16"/>
  <c r="BZ24" i="16" s="1"/>
  <c r="CK24" i="16" s="1"/>
  <c r="L24" i="19" s="1"/>
  <c r="W39" i="16"/>
  <c r="BZ39" i="16" s="1"/>
  <c r="CK39" i="16" s="1"/>
  <c r="L39" i="19" s="1"/>
  <c r="W52" i="16"/>
  <c r="BZ52" i="16" s="1"/>
  <c r="W9" i="16"/>
  <c r="BZ9" i="16" s="1"/>
  <c r="CK9" i="16" s="1"/>
  <c r="L9" i="19" s="1"/>
  <c r="W22" i="16"/>
  <c r="BZ22" i="16" s="1"/>
  <c r="CK22" i="16" s="1"/>
  <c r="L22" i="19" s="1"/>
  <c r="W37" i="16"/>
  <c r="BZ37" i="16" s="1"/>
  <c r="CK37" i="16" s="1"/>
  <c r="L37" i="19" s="1"/>
  <c r="W50" i="16"/>
  <c r="BZ50" i="16" s="1"/>
  <c r="CK50" i="16" s="1"/>
  <c r="L50" i="19" s="1"/>
  <c r="W14" i="16"/>
  <c r="BZ14" i="16" s="1"/>
  <c r="CK14" i="16" s="1"/>
  <c r="L14" i="19" s="1"/>
  <c r="W29" i="16"/>
  <c r="BZ29" i="16" s="1"/>
  <c r="CK29" i="16" s="1"/>
  <c r="L29" i="19" s="1"/>
  <c r="W31" i="16"/>
  <c r="BZ31" i="16" s="1"/>
  <c r="CK31" i="16" s="1"/>
  <c r="L31" i="19" s="1"/>
  <c r="W8" i="16"/>
  <c r="BZ8" i="16" s="1"/>
  <c r="CK8" i="16" s="1"/>
  <c r="L8" i="19" s="1"/>
  <c r="W33" i="16"/>
  <c r="BZ33" i="16" s="1"/>
  <c r="CK33" i="16" s="1"/>
  <c r="L33" i="19" s="1"/>
  <c r="W16" i="16"/>
  <c r="BZ16" i="16" s="1"/>
  <c r="CK16" i="16" s="1"/>
  <c r="L16" i="19" s="1"/>
  <c r="W35" i="16"/>
  <c r="BZ35" i="16" s="1"/>
  <c r="CK35" i="16" s="1"/>
  <c r="L35" i="19" s="1"/>
  <c r="W44" i="16"/>
  <c r="BZ44" i="16" s="1"/>
  <c r="CK44" i="16" s="1"/>
  <c r="L44" i="19" s="1"/>
  <c r="W48" i="16"/>
  <c r="BZ48" i="16" s="1"/>
  <c r="CK48" i="16" s="1"/>
  <c r="L48" i="19" s="1"/>
  <c r="W46" i="16"/>
  <c r="BZ46" i="16" s="1"/>
  <c r="CK46" i="16" s="1"/>
  <c r="L46" i="19" s="1"/>
  <c r="W18" i="16"/>
  <c r="BZ18" i="16" s="1"/>
  <c r="CK18" i="16" s="1"/>
  <c r="L18" i="19" s="1"/>
  <c r="W20" i="16"/>
  <c r="BZ20" i="16" s="1"/>
  <c r="CK20" i="16" s="1"/>
  <c r="L20" i="19" s="1"/>
  <c r="U10" i="16"/>
  <c r="BX10" i="16" s="1"/>
  <c r="CI10" i="16" s="1"/>
  <c r="J10" i="19" s="1"/>
  <c r="U12" i="16"/>
  <c r="BX12" i="16" s="1"/>
  <c r="CI12" i="16" s="1"/>
  <c r="J12" i="19" s="1"/>
  <c r="U14" i="16"/>
  <c r="BX14" i="16" s="1"/>
  <c r="CI14" i="16" s="1"/>
  <c r="J14" i="19" s="1"/>
  <c r="U16" i="16"/>
  <c r="BX16" i="16" s="1"/>
  <c r="CI16" i="16" s="1"/>
  <c r="J16" i="19" s="1"/>
  <c r="U18" i="16"/>
  <c r="BX18" i="16" s="1"/>
  <c r="CI18" i="16" s="1"/>
  <c r="J18" i="19" s="1"/>
  <c r="U20" i="16"/>
  <c r="BX20" i="16" s="1"/>
  <c r="CI20" i="16" s="1"/>
  <c r="J20" i="19" s="1"/>
  <c r="U22" i="16"/>
  <c r="BX22" i="16" s="1"/>
  <c r="CI22" i="16" s="1"/>
  <c r="J22" i="19" s="1"/>
  <c r="U24" i="16"/>
  <c r="BX24" i="16" s="1"/>
  <c r="CI24" i="16" s="1"/>
  <c r="J24" i="19" s="1"/>
  <c r="U26" i="16"/>
  <c r="BX26" i="16" s="1"/>
  <c r="CI26" i="16" s="1"/>
  <c r="J26" i="19" s="1"/>
  <c r="U28" i="16"/>
  <c r="BX28" i="16" s="1"/>
  <c r="CI28" i="16" s="1"/>
  <c r="J28" i="19" s="1"/>
  <c r="U30" i="16"/>
  <c r="BX30" i="16" s="1"/>
  <c r="CI30" i="16" s="1"/>
  <c r="J30" i="19" s="1"/>
  <c r="U32" i="16"/>
  <c r="BX32" i="16" s="1"/>
  <c r="CI32" i="16" s="1"/>
  <c r="J32" i="19" s="1"/>
  <c r="U34" i="16"/>
  <c r="BX34" i="16" s="1"/>
  <c r="CI34" i="16" s="1"/>
  <c r="J34" i="19" s="1"/>
  <c r="U36" i="16"/>
  <c r="BX36" i="16" s="1"/>
  <c r="CI36" i="16" s="1"/>
  <c r="J36" i="19" s="1"/>
  <c r="U38" i="16"/>
  <c r="BX38" i="16" s="1"/>
  <c r="CI38" i="16" s="1"/>
  <c r="J38" i="19" s="1"/>
  <c r="U40" i="16"/>
  <c r="BX40" i="16" s="1"/>
  <c r="CI40" i="16" s="1"/>
  <c r="J40" i="19" s="1"/>
  <c r="U44" i="16"/>
  <c r="BX44" i="16" s="1"/>
  <c r="CI44" i="16" s="1"/>
  <c r="J44" i="19" s="1"/>
  <c r="U46" i="16"/>
  <c r="BX46" i="16" s="1"/>
  <c r="CI46" i="16" s="1"/>
  <c r="J46" i="19" s="1"/>
  <c r="U48" i="16"/>
  <c r="BX48" i="16" s="1"/>
  <c r="CI48" i="16" s="1"/>
  <c r="J48" i="19" s="1"/>
  <c r="U50" i="16"/>
  <c r="BX50" i="16" s="1"/>
  <c r="CI50" i="16" s="1"/>
  <c r="J50" i="19" s="1"/>
  <c r="U52" i="16"/>
  <c r="BX52" i="16" s="1"/>
  <c r="U23" i="16"/>
  <c r="BX23" i="16" s="1"/>
  <c r="CI23" i="16" s="1"/>
  <c r="J23" i="19" s="1"/>
  <c r="U21" i="16"/>
  <c r="BX21" i="16" s="1"/>
  <c r="CI21" i="16" s="1"/>
  <c r="J21" i="19" s="1"/>
  <c r="U49" i="16"/>
  <c r="BX49" i="16" s="1"/>
  <c r="CI49" i="16" s="1"/>
  <c r="J49" i="19" s="1"/>
  <c r="U19" i="16"/>
  <c r="BX19" i="16" s="1"/>
  <c r="CI19" i="16" s="1"/>
  <c r="J19" i="19" s="1"/>
  <c r="U47" i="16"/>
  <c r="BX47" i="16" s="1"/>
  <c r="CI47" i="16" s="1"/>
  <c r="J47" i="19" s="1"/>
  <c r="U17" i="16"/>
  <c r="BX17" i="16" s="1"/>
  <c r="CI17" i="16" s="1"/>
  <c r="J17" i="19" s="1"/>
  <c r="U45" i="16"/>
  <c r="BX45" i="16" s="1"/>
  <c r="CI45" i="16" s="1"/>
  <c r="J45" i="19" s="1"/>
  <c r="U15" i="16"/>
  <c r="BX15" i="16" s="1"/>
  <c r="CI15" i="16" s="1"/>
  <c r="J15" i="19" s="1"/>
  <c r="U13" i="16"/>
  <c r="BX13" i="16" s="1"/>
  <c r="CI13" i="16" s="1"/>
  <c r="J13" i="19" s="1"/>
  <c r="U11" i="16"/>
  <c r="BX11" i="16" s="1"/>
  <c r="CI11" i="16" s="1"/>
  <c r="J11" i="19" s="1"/>
  <c r="U39" i="16"/>
  <c r="BX39" i="16" s="1"/>
  <c r="CI39" i="16" s="1"/>
  <c r="J39" i="19" s="1"/>
  <c r="U9" i="16"/>
  <c r="BX9" i="16" s="1"/>
  <c r="CI9" i="16" s="1"/>
  <c r="J9" i="19" s="1"/>
  <c r="U37" i="16"/>
  <c r="BX37" i="16" s="1"/>
  <c r="CI37" i="16" s="1"/>
  <c r="J37" i="19" s="1"/>
  <c r="U35" i="16"/>
  <c r="BX35" i="16" s="1"/>
  <c r="CI35" i="16" s="1"/>
  <c r="J35" i="19" s="1"/>
  <c r="U33" i="16"/>
  <c r="BX33" i="16" s="1"/>
  <c r="CI33" i="16" s="1"/>
  <c r="J33" i="19" s="1"/>
  <c r="U25" i="16"/>
  <c r="BX25" i="16" s="1"/>
  <c r="CI25" i="16" s="1"/>
  <c r="J25" i="19" s="1"/>
  <c r="U8" i="16"/>
  <c r="U31" i="16"/>
  <c r="BX31" i="16" s="1"/>
  <c r="CI31" i="16" s="1"/>
  <c r="J31" i="19" s="1"/>
  <c r="U27" i="16"/>
  <c r="BX27" i="16" s="1"/>
  <c r="CI27" i="16" s="1"/>
  <c r="J27" i="19" s="1"/>
  <c r="U29" i="16"/>
  <c r="BX29" i="16" s="1"/>
  <c r="CI29" i="16" s="1"/>
  <c r="J29" i="19" s="1"/>
  <c r="V10" i="16"/>
  <c r="BY10" i="16" s="1"/>
  <c r="V25" i="16"/>
  <c r="BY25" i="16" s="1"/>
  <c r="V38" i="16"/>
  <c r="BY38" i="16" s="1"/>
  <c r="V23" i="16"/>
  <c r="BY23" i="16" s="1"/>
  <c r="V36" i="16"/>
  <c r="BY36" i="16" s="1"/>
  <c r="V21" i="16"/>
  <c r="BY21" i="16" s="1"/>
  <c r="V34" i="16"/>
  <c r="BY34" i="16" s="1"/>
  <c r="V49" i="16"/>
  <c r="BY49" i="16" s="1"/>
  <c r="V19" i="16"/>
  <c r="BY19" i="16" s="1"/>
  <c r="V32" i="16"/>
  <c r="BY32" i="16" s="1"/>
  <c r="V47" i="16"/>
  <c r="BY47" i="16" s="1"/>
  <c r="V17" i="16"/>
  <c r="BY17" i="16" s="1"/>
  <c r="V30" i="16"/>
  <c r="BY30" i="16" s="1"/>
  <c r="V45" i="16"/>
  <c r="BY45" i="16" s="1"/>
  <c r="V15" i="16"/>
  <c r="BY15" i="16" s="1"/>
  <c r="V28" i="16"/>
  <c r="BY28" i="16" s="1"/>
  <c r="V13" i="16"/>
  <c r="BY13" i="16" s="1"/>
  <c r="V26" i="16"/>
  <c r="BY26" i="16" s="1"/>
  <c r="V11" i="16"/>
  <c r="BY11" i="16" s="1"/>
  <c r="V24" i="16"/>
  <c r="BY24" i="16" s="1"/>
  <c r="V39" i="16"/>
  <c r="BY39" i="16" s="1"/>
  <c r="V52" i="16"/>
  <c r="BY52" i="16" s="1"/>
  <c r="V9" i="16"/>
  <c r="BY9" i="16" s="1"/>
  <c r="V22" i="16"/>
  <c r="BY22" i="16" s="1"/>
  <c r="V37" i="16"/>
  <c r="BY37" i="16" s="1"/>
  <c r="V50" i="16"/>
  <c r="BY50" i="16" s="1"/>
  <c r="V20" i="16"/>
  <c r="BY20" i="16" s="1"/>
  <c r="V35" i="16"/>
  <c r="BY35" i="16" s="1"/>
  <c r="V48" i="16"/>
  <c r="BY48" i="16" s="1"/>
  <c r="V8" i="16"/>
  <c r="BY8" i="16" s="1"/>
  <c r="V12" i="16"/>
  <c r="BY12" i="16" s="1"/>
  <c r="V27" i="16"/>
  <c r="BY27" i="16" s="1"/>
  <c r="V40" i="16"/>
  <c r="BY40" i="16" s="1"/>
  <c r="V31" i="16"/>
  <c r="BY31" i="16" s="1"/>
  <c r="V33" i="16"/>
  <c r="BY33" i="16" s="1"/>
  <c r="V44" i="16"/>
  <c r="BY44" i="16" s="1"/>
  <c r="V18" i="16"/>
  <c r="BY18" i="16" s="1"/>
  <c r="V14" i="16"/>
  <c r="BY14" i="16" s="1"/>
  <c r="V46" i="16"/>
  <c r="BY46" i="16" s="1"/>
  <c r="V16" i="16"/>
  <c r="BY16" i="16" s="1"/>
  <c r="V29" i="16"/>
  <c r="BY29" i="16" s="1"/>
  <c r="Q15" i="16"/>
  <c r="BT15" i="16" s="1"/>
  <c r="CE15" i="16" s="1"/>
  <c r="F15" i="19" s="1"/>
  <c r="Q30" i="16"/>
  <c r="BT30" i="16" s="1"/>
  <c r="CE30" i="16" s="1"/>
  <c r="F30" i="19" s="1"/>
  <c r="Q13" i="16"/>
  <c r="BT13" i="16" s="1"/>
  <c r="CE13" i="16" s="1"/>
  <c r="F13" i="19" s="1"/>
  <c r="Q28" i="16"/>
  <c r="BT28" i="16" s="1"/>
  <c r="CE28" i="16" s="1"/>
  <c r="F28" i="19" s="1"/>
  <c r="Q11" i="16"/>
  <c r="BT11" i="16" s="1"/>
  <c r="CE11" i="16" s="1"/>
  <c r="F11" i="19" s="1"/>
  <c r="Q26" i="16"/>
  <c r="BT26" i="16" s="1"/>
  <c r="CE26" i="16" s="1"/>
  <c r="F26" i="19" s="1"/>
  <c r="Q39" i="16"/>
  <c r="BT39" i="16" s="1"/>
  <c r="CE39" i="16" s="1"/>
  <c r="F39" i="19" s="1"/>
  <c r="Q9" i="16"/>
  <c r="BT9" i="16" s="1"/>
  <c r="CE9" i="16" s="1"/>
  <c r="F9" i="19" s="1"/>
  <c r="Q24" i="16"/>
  <c r="BT24" i="16" s="1"/>
  <c r="CE24" i="16" s="1"/>
  <c r="F24" i="19" s="1"/>
  <c r="Q37" i="16"/>
  <c r="BT37" i="16" s="1"/>
  <c r="CE37" i="16" s="1"/>
  <c r="F37" i="19" s="1"/>
  <c r="Q52" i="16"/>
  <c r="BT52" i="16" s="1"/>
  <c r="Q8" i="16"/>
  <c r="BT8" i="16" s="1"/>
  <c r="CE8" i="16" s="1"/>
  <c r="F8" i="19" s="1"/>
  <c r="Q22" i="16"/>
  <c r="BT22" i="16" s="1"/>
  <c r="CE22" i="16" s="1"/>
  <c r="F22" i="19" s="1"/>
  <c r="Q35" i="16"/>
  <c r="BT35" i="16" s="1"/>
  <c r="CE35" i="16" s="1"/>
  <c r="F35" i="19" s="1"/>
  <c r="Q50" i="16"/>
  <c r="BT50" i="16" s="1"/>
  <c r="CE50" i="16" s="1"/>
  <c r="F50" i="19" s="1"/>
  <c r="Q20" i="16"/>
  <c r="BT20" i="16" s="1"/>
  <c r="CE20" i="16" s="1"/>
  <c r="F20" i="19" s="1"/>
  <c r="Q33" i="16"/>
  <c r="BT33" i="16" s="1"/>
  <c r="CE33" i="16" s="1"/>
  <c r="F33" i="19" s="1"/>
  <c r="Q48" i="16"/>
  <c r="BT48" i="16" s="1"/>
  <c r="CE48" i="16" s="1"/>
  <c r="F48" i="19" s="1"/>
  <c r="Q18" i="16"/>
  <c r="BT18" i="16" s="1"/>
  <c r="CE18" i="16" s="1"/>
  <c r="F18" i="19" s="1"/>
  <c r="Q31" i="16"/>
  <c r="BT31" i="16" s="1"/>
  <c r="CE31" i="16" s="1"/>
  <c r="F31" i="19" s="1"/>
  <c r="Q46" i="16"/>
  <c r="BT46" i="16" s="1"/>
  <c r="CE46" i="16" s="1"/>
  <c r="F46" i="19" s="1"/>
  <c r="Q16" i="16"/>
  <c r="BT16" i="16" s="1"/>
  <c r="CE16" i="16" s="1"/>
  <c r="F16" i="19" s="1"/>
  <c r="Q29" i="16"/>
  <c r="BT29" i="16" s="1"/>
  <c r="CE29" i="16" s="1"/>
  <c r="F29" i="19" s="1"/>
  <c r="Q44" i="16"/>
  <c r="BT44" i="16" s="1"/>
  <c r="CE44" i="16" s="1"/>
  <c r="F44" i="19" s="1"/>
  <c r="Q14" i="16"/>
  <c r="BT14" i="16" s="1"/>
  <c r="CE14" i="16" s="1"/>
  <c r="F14" i="19" s="1"/>
  <c r="Q27" i="16"/>
  <c r="BT27" i="16" s="1"/>
  <c r="CE27" i="16" s="1"/>
  <c r="F27" i="19" s="1"/>
  <c r="Q12" i="16"/>
  <c r="BT12" i="16" s="1"/>
  <c r="CE12" i="16" s="1"/>
  <c r="F12" i="19" s="1"/>
  <c r="Q25" i="16"/>
  <c r="BT25" i="16" s="1"/>
  <c r="CE25" i="16" s="1"/>
  <c r="F25" i="19" s="1"/>
  <c r="Q40" i="16"/>
  <c r="BT40" i="16" s="1"/>
  <c r="CE40" i="16" s="1"/>
  <c r="F40" i="19" s="1"/>
  <c r="Q17" i="16"/>
  <c r="BT17" i="16" s="1"/>
  <c r="CE17" i="16" s="1"/>
  <c r="F17" i="19" s="1"/>
  <c r="Q32" i="16"/>
  <c r="BT32" i="16" s="1"/>
  <c r="CE32" i="16" s="1"/>
  <c r="F32" i="19" s="1"/>
  <c r="Q45" i="16"/>
  <c r="BT45" i="16" s="1"/>
  <c r="CE45" i="16" s="1"/>
  <c r="F45" i="19" s="1"/>
  <c r="Q21" i="16"/>
  <c r="BT21" i="16" s="1"/>
  <c r="CE21" i="16" s="1"/>
  <c r="F21" i="19" s="1"/>
  <c r="Q23" i="16"/>
  <c r="BT23" i="16" s="1"/>
  <c r="CE23" i="16" s="1"/>
  <c r="F23" i="19" s="1"/>
  <c r="Q34" i="16"/>
  <c r="BT34" i="16" s="1"/>
  <c r="CE34" i="16" s="1"/>
  <c r="F34" i="19" s="1"/>
  <c r="Q38" i="16"/>
  <c r="BT38" i="16" s="1"/>
  <c r="CE38" i="16" s="1"/>
  <c r="F38" i="19" s="1"/>
  <c r="Q47" i="16"/>
  <c r="BT47" i="16" s="1"/>
  <c r="CE47" i="16" s="1"/>
  <c r="F47" i="19" s="1"/>
  <c r="Q10" i="16"/>
  <c r="BT10" i="16" s="1"/>
  <c r="CE10" i="16" s="1"/>
  <c r="F10" i="19" s="1"/>
  <c r="Q36" i="16"/>
  <c r="BT36" i="16" s="1"/>
  <c r="CE36" i="16" s="1"/>
  <c r="F36" i="19" s="1"/>
  <c r="Q49" i="16"/>
  <c r="BT49" i="16" s="1"/>
  <c r="CE49" i="16" s="1"/>
  <c r="F49" i="19" s="1"/>
  <c r="Q19" i="16"/>
  <c r="BT19" i="16" s="1"/>
  <c r="CE19" i="16" s="1"/>
  <c r="F19" i="19" s="1"/>
  <c r="CJ31" i="16" l="1"/>
  <c r="K31" i="19" s="1"/>
  <c r="CJ21" i="16"/>
  <c r="K21" i="19" s="1"/>
  <c r="CJ33" i="16"/>
  <c r="K33" i="19" s="1"/>
  <c r="CJ39" i="16"/>
  <c r="K39" i="19" s="1"/>
  <c r="CJ24" i="16"/>
  <c r="K24" i="19" s="1"/>
  <c r="CJ34" i="16"/>
  <c r="K34" i="19" s="1"/>
  <c r="CJ23" i="16"/>
  <c r="K23" i="19" s="1"/>
  <c r="CJ35" i="16"/>
  <c r="K35" i="19" s="1"/>
  <c r="CJ45" i="16"/>
  <c r="K45" i="19" s="1"/>
  <c r="CJ11" i="16"/>
  <c r="K11" i="19" s="1"/>
  <c r="CJ10" i="16"/>
  <c r="K10" i="19" s="1"/>
  <c r="CJ30" i="16"/>
  <c r="K30" i="19" s="1"/>
  <c r="CJ16" i="16"/>
  <c r="K16" i="19" s="1"/>
  <c r="CJ50" i="16"/>
  <c r="K50" i="19" s="1"/>
  <c r="CJ17" i="16"/>
  <c r="K17" i="19" s="1"/>
  <c r="CJ43" i="16"/>
  <c r="K43" i="19" s="1"/>
  <c r="CJ38" i="16"/>
  <c r="K38" i="19" s="1"/>
  <c r="CJ25" i="16"/>
  <c r="K25" i="19" s="1"/>
  <c r="CJ40" i="16"/>
  <c r="K40" i="19" s="1"/>
  <c r="CJ26" i="16"/>
  <c r="K26" i="19" s="1"/>
  <c r="CJ12" i="16"/>
  <c r="K12" i="19" s="1"/>
  <c r="CJ28" i="16"/>
  <c r="K28" i="19" s="1"/>
  <c r="CJ15" i="16"/>
  <c r="K15" i="19" s="1"/>
  <c r="CJ29" i="16"/>
  <c r="K29" i="19" s="1"/>
  <c r="CJ47" i="16"/>
  <c r="K47" i="19" s="1"/>
  <c r="CJ14" i="16"/>
  <c r="K14" i="19" s="1"/>
  <c r="CJ22" i="16"/>
  <c r="K22" i="19" s="1"/>
  <c r="CJ32" i="16"/>
  <c r="K32" i="19" s="1"/>
  <c r="CJ36" i="16"/>
  <c r="K36" i="19" s="1"/>
  <c r="CJ27" i="16"/>
  <c r="K27" i="19" s="1"/>
  <c r="CJ20" i="16"/>
  <c r="K20" i="19" s="1"/>
  <c r="CJ46" i="16"/>
  <c r="K46" i="19" s="1"/>
  <c r="CJ18" i="16"/>
  <c r="K18" i="19" s="1"/>
  <c r="CJ19" i="16"/>
  <c r="K19" i="19" s="1"/>
  <c r="CJ13" i="16"/>
  <c r="K13" i="19" s="1"/>
  <c r="CJ8" i="16"/>
  <c r="K8" i="19" s="1"/>
  <c r="CJ48" i="16"/>
  <c r="K48" i="19" s="1"/>
  <c r="CJ37" i="16"/>
  <c r="K37" i="19" s="1"/>
  <c r="CJ9" i="16"/>
  <c r="K9" i="19" s="1"/>
  <c r="CJ44" i="16"/>
  <c r="K44" i="19" s="1"/>
  <c r="CJ49" i="16"/>
  <c r="K49" i="19" s="1"/>
  <c r="CJ42" i="16"/>
  <c r="K42" i="19" s="1"/>
  <c r="BX8" i="16"/>
  <c r="CI8" i="16" s="1"/>
  <c r="J8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SQUILLACI, Jonathan (USA Cotton)</author>
    <author>tc={AD1B716E-3CFB-4412-AC2C-9D0383A4E1DD}</author>
  </authors>
  <commentList>
    <comment ref="K4" authorId="0" shapeId="0" xr:uid="{D3414C15-4DBA-4BE6-8204-D5F5F8B0400E}">
      <text>
        <r>
          <rPr>
            <b/>
            <sz val="9"/>
            <color indexed="81"/>
            <rFont val="Tahoma"/>
            <family val="2"/>
          </rPr>
          <t>SQUILLACI, Jonathan (USA Cotton):</t>
        </r>
        <r>
          <rPr>
            <sz val="9"/>
            <color indexed="81"/>
            <rFont val="Tahoma"/>
            <family val="2"/>
          </rPr>
          <t xml:space="preserve">
1 Month Storage per Bale
</t>
        </r>
      </text>
    </comment>
    <comment ref="A52" authorId="1" shapeId="0" xr:uid="{AD1B716E-3CFB-4412-AC2C-9D0383A4E1DD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add Docs Costs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tc={CE81BDF8-1D3D-4C40-9E53-A59DAB406577}</author>
  </authors>
  <commentList>
    <comment ref="A52" authorId="0" shapeId="0" xr:uid="{CE81BDF8-1D3D-4C40-9E53-A59DAB406577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add Docs Costs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SQUILLACI, Jonathan (USA Cotton)</author>
    <author>tc={117203B1-0F6E-4AAB-9262-3515030C79B1}</author>
    <author>tc={006934F2-5FBD-4736-8EA9-998421F077BB}</author>
  </authors>
  <commentList>
    <comment ref="AN1" authorId="0" shapeId="0" xr:uid="{3D0A23D9-EC75-4653-8DE9-BF599210FA5F}">
      <text>
        <r>
          <rPr>
            <b/>
            <sz val="9"/>
            <color indexed="81"/>
            <rFont val="Tahoma"/>
            <family val="2"/>
          </rPr>
          <t>SQUILLACI, Jonathan (USA Cotton):</t>
        </r>
        <r>
          <rPr>
            <sz val="9"/>
            <color indexed="81"/>
            <rFont val="Tahoma"/>
            <family val="2"/>
          </rPr>
          <t xml:space="preserve">
1 Month Storage per Bale
</t>
        </r>
      </text>
    </comment>
    <comment ref="AC12" authorId="0" shapeId="0" xr:uid="{3D13A471-B5F2-4D7F-B8B9-86A055722159}">
      <text>
        <r>
          <rPr>
            <sz val="9"/>
            <color indexed="81"/>
            <rFont val="Tahoma"/>
            <family val="2"/>
          </rPr>
          <t>All in price. Port to Port
SCM Tariff Rate</t>
        </r>
      </text>
    </comment>
    <comment ref="AC14" authorId="0" shapeId="0" xr:uid="{9C9D6B8C-8399-4602-A35A-64B7079AC0E3}">
      <text>
        <r>
          <rPr>
            <sz val="9"/>
            <color indexed="81"/>
            <rFont val="Tahoma"/>
            <family val="2"/>
          </rPr>
          <t xml:space="preserve">All in price. Port to Port
SCM Tariff Rate
</t>
        </r>
      </text>
    </comment>
    <comment ref="W19" authorId="0" shapeId="0" xr:uid="{18B667C3-7139-4DC1-9771-7009941C3100}">
      <text>
        <r>
          <rPr>
            <b/>
            <sz val="9"/>
            <color indexed="81"/>
            <rFont val="Tahoma"/>
            <family val="2"/>
          </rPr>
          <t xml:space="preserve">Break In 1.35 Out 5.00 per bale
</t>
        </r>
      </text>
    </comment>
    <comment ref="A25" authorId="1" shapeId="0" xr:uid="{117203B1-0F6E-4AAB-9262-3515030C79B1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add Docs Costs</t>
      </text>
    </comment>
    <comment ref="A50" authorId="2" shapeId="0" xr:uid="{006934F2-5FBD-4736-8EA9-998421F077BB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add Docs Costs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SQUILLACI, Jonathan (USA Cotton)</author>
  </authors>
  <commentList>
    <comment ref="N2" authorId="0" shapeId="0" xr:uid="{8F951E35-B377-4FFD-AE1F-362054770845}">
      <text>
        <r>
          <rPr>
            <b/>
            <sz val="9"/>
            <color indexed="81"/>
            <rFont val="Tahoma"/>
            <family val="2"/>
          </rPr>
          <t>SQUILLACI, Jonathan (USA Cotton):</t>
        </r>
        <r>
          <rPr>
            <sz val="9"/>
            <color indexed="81"/>
            <rFont val="Tahoma"/>
            <family val="2"/>
          </rPr>
          <t xml:space="preserve">
1 Month Storage per Bale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SQUILLACI, Jonathan (USA Cotton)</author>
  </authors>
  <commentList>
    <comment ref="N2" authorId="0" shapeId="0" xr:uid="{ED60633F-C944-438D-92DD-03F803559050}">
      <text>
        <r>
          <rPr>
            <b/>
            <sz val="9"/>
            <color indexed="81"/>
            <rFont val="Tahoma"/>
            <family val="2"/>
          </rPr>
          <t>SQUILLACI, Jonathan (USA Cotton):</t>
        </r>
        <r>
          <rPr>
            <sz val="9"/>
            <color indexed="81"/>
            <rFont val="Tahoma"/>
            <family val="2"/>
          </rPr>
          <t xml:space="preserve">
1 Month Storage per Bale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SQUILLACI, Jonathan (USA Cotton)</author>
    <author>Jonathan Squillaci</author>
  </authors>
  <commentList>
    <comment ref="E69" authorId="0" shapeId="0" xr:uid="{93F0667A-CE36-48FB-9D5B-DD12F74F724E}">
      <text>
        <r>
          <rPr>
            <sz val="9"/>
            <color indexed="81"/>
            <rFont val="Tahoma"/>
            <family val="2"/>
          </rPr>
          <t>CIF FE COSTINGS (QINGDAO)</t>
        </r>
      </text>
    </comment>
    <comment ref="G88" authorId="1" shapeId="0" xr:uid="{2D8F34BB-A8DD-4A09-9A68-8BF651043FC1}">
      <text>
        <r>
          <rPr>
            <sz val="10"/>
            <rFont val="Arial"/>
            <family val="2"/>
          </rPr>
          <t xml:space="preserve">Jonathan Squillaci:
Fumigation per container
</t>
        </r>
      </text>
    </comment>
    <comment ref="E209" authorId="0" shapeId="0" xr:uid="{5CBB7E9A-061C-478B-834E-7BD96B8F0742}">
      <text>
        <r>
          <rPr>
            <b/>
            <sz val="9"/>
            <color indexed="81"/>
            <rFont val="Tahoma"/>
            <family val="2"/>
          </rPr>
          <t>SQUILLACI, Jonathan (USA Cotton):</t>
        </r>
        <r>
          <rPr>
            <sz val="9"/>
            <color indexed="81"/>
            <rFont val="Tahoma"/>
            <family val="2"/>
          </rPr>
          <t xml:space="preserve">
CIF FE COSTINGS (QINGDAO)</t>
        </r>
      </text>
    </comment>
    <comment ref="E252" authorId="0" shapeId="0" xr:uid="{62D1EC77-3654-4EC3-920F-5705463713F9}">
      <text>
        <r>
          <rPr>
            <b/>
            <sz val="9"/>
            <color indexed="81"/>
            <rFont val="Tahoma"/>
            <family val="2"/>
          </rPr>
          <t>SQUILLACI, Jonathan (USA Cotton):</t>
        </r>
        <r>
          <rPr>
            <sz val="9"/>
            <color indexed="81"/>
            <rFont val="Tahoma"/>
            <family val="2"/>
          </rPr>
          <t xml:space="preserve">
CIF FE COSTINGS (QINGDAO)</t>
        </r>
      </text>
    </comment>
    <comment ref="E310" authorId="0" shapeId="0" xr:uid="{F56963C0-9D42-4079-BCD8-0405C17ABEC1}">
      <text>
        <r>
          <rPr>
            <b/>
            <sz val="9"/>
            <color indexed="81"/>
            <rFont val="Tahoma"/>
            <family val="2"/>
          </rPr>
          <t>SQUILLACI, Jonathan (USA Cotton):</t>
        </r>
        <r>
          <rPr>
            <sz val="9"/>
            <color indexed="81"/>
            <rFont val="Tahoma"/>
            <family val="2"/>
          </rPr>
          <t xml:space="preserve">
CIF FE COSTINGS (QINGDAO)</t>
        </r>
      </text>
    </comment>
    <comment ref="G362" authorId="1" shapeId="0" xr:uid="{AAB6360A-7389-41AD-939E-E13D434CB8BB}">
      <text>
        <r>
          <rPr>
            <sz val="10"/>
            <rFont val="Arial"/>
            <family val="2"/>
          </rPr>
          <t xml:space="preserve">Jonathan Squillaci:
Container Fumigation
</t>
        </r>
      </text>
    </comment>
    <comment ref="G377" authorId="1" shapeId="0" xr:uid="{72044CA4-953B-4CEA-9FA1-07B83A11A339}">
      <text>
        <r>
          <rPr>
            <sz val="10"/>
            <rFont val="Arial"/>
            <family val="2"/>
          </rPr>
          <t xml:space="preserve">Jonathan Squillaci:
Container Fumigation
</t>
        </r>
      </text>
    </comment>
    <comment ref="G433" authorId="1" shapeId="0" xr:uid="{7DAFFDBD-2BDB-45C9-9828-8E67A20F4337}">
      <text>
        <r>
          <rPr>
            <sz val="10"/>
            <rFont val="Arial"/>
            <family val="2"/>
          </rPr>
          <t xml:space="preserve">Jonathan Squillaci:
Container Fumigation
</t>
        </r>
      </text>
    </comment>
    <comment ref="E488" authorId="0" shapeId="0" xr:uid="{A31CB9F2-A972-446F-AF60-FA473FBA61E8}">
      <text>
        <r>
          <rPr>
            <b/>
            <sz val="9"/>
            <color indexed="81"/>
            <rFont val="Tahoma"/>
            <family val="2"/>
          </rPr>
          <t>SQUILLACI, Jonathan (USA Cotton):</t>
        </r>
        <r>
          <rPr>
            <sz val="9"/>
            <color indexed="81"/>
            <rFont val="Tahoma"/>
            <family val="2"/>
          </rPr>
          <t xml:space="preserve">
CIF FE COSTINGS (QINGDAO)</t>
        </r>
      </text>
    </comment>
    <comment ref="E601" authorId="0" shapeId="0" xr:uid="{542047E3-42A4-4891-BC8D-339AAF86CCE1}">
      <text>
        <r>
          <rPr>
            <b/>
            <sz val="9"/>
            <color indexed="81"/>
            <rFont val="Tahoma"/>
            <family val="2"/>
          </rPr>
          <t>SQUILLACI, Jonathan (USA Cotton):</t>
        </r>
        <r>
          <rPr>
            <sz val="9"/>
            <color indexed="81"/>
            <rFont val="Tahoma"/>
            <family val="2"/>
          </rPr>
          <t xml:space="preserve">
CIF FE COSTINGS (QINGDAO)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tc={5ADCE895-D8A0-4740-9004-334346CDD16B}</author>
  </authors>
  <commentList>
    <comment ref="B7" authorId="0" shapeId="0" xr:uid="{5ADCE895-D8A0-4740-9004-334346CDD16B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quotes from bank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tc={56287997-A11F-4ED5-9AFB-8C2925117AD6}</author>
  </authors>
  <commentList>
    <comment ref="A30" authorId="0" shapeId="0" xr:uid="{56287997-A11F-4ED5-9AFB-8C2925117AD6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1 entry for JP, fix formula as now it is giving error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<sst xmlns="http://schemas.openxmlformats.org/spreadsheetml/2006/main" count="17008" uniqueCount="2216">
  <si>
    <t>Origin Warehouse</t>
  </si>
  <si>
    <t>Inland Logistics</t>
  </si>
  <si>
    <t>Consolidation</t>
  </si>
  <si>
    <t>Outbound Logistics</t>
  </si>
  <si>
    <t>Documentation</t>
  </si>
  <si>
    <t>CIF</t>
  </si>
  <si>
    <t>Weslaco</t>
  </si>
  <si>
    <t>Warehouse</t>
  </si>
  <si>
    <t>Name</t>
  </si>
  <si>
    <t>City</t>
  </si>
  <si>
    <t>State</t>
  </si>
  <si>
    <t>Region</t>
  </si>
  <si>
    <t>Export</t>
  </si>
  <si>
    <t>Port</t>
  </si>
  <si>
    <t>Terms</t>
  </si>
  <si>
    <t>Receiving</t>
  </si>
  <si>
    <t>Load Out</t>
  </si>
  <si>
    <t>Compression</t>
  </si>
  <si>
    <t>Class</t>
  </si>
  <si>
    <t>Marking</t>
  </si>
  <si>
    <t>Storage</t>
  </si>
  <si>
    <t>Origin Comm</t>
  </si>
  <si>
    <t>Total Origin</t>
  </si>
  <si>
    <t>Flatbed</t>
  </si>
  <si>
    <t>Late Loading</t>
  </si>
  <si>
    <t>Transit Truck</t>
  </si>
  <si>
    <t>Total Transit</t>
  </si>
  <si>
    <t>Block Handling</t>
  </si>
  <si>
    <t>Interest</t>
  </si>
  <si>
    <t>Total Consol</t>
  </si>
  <si>
    <t>Dray</t>
  </si>
  <si>
    <t>Ocean</t>
  </si>
  <si>
    <t>Total Out</t>
  </si>
  <si>
    <t>Sight LC</t>
  </si>
  <si>
    <t>Forwarding</t>
  </si>
  <si>
    <t>Controlling</t>
  </si>
  <si>
    <t>Insurance</t>
  </si>
  <si>
    <t>Total Doc</t>
  </si>
  <si>
    <t>Dest Comission</t>
  </si>
  <si>
    <t>Qclaim</t>
  </si>
  <si>
    <t>Total CIF</t>
  </si>
  <si>
    <t>County</t>
  </si>
  <si>
    <t>Verified</t>
  </si>
  <si>
    <t>Points</t>
  </si>
  <si>
    <t>Recv</t>
  </si>
  <si>
    <t>Strg</t>
  </si>
  <si>
    <t>Load</t>
  </si>
  <si>
    <t>Compr</t>
  </si>
  <si>
    <t>Mark</t>
  </si>
  <si>
    <t>EffDate</t>
  </si>
  <si>
    <t>Rail</t>
  </si>
  <si>
    <t>ICE Ref</t>
  </si>
  <si>
    <t>Capacity</t>
  </si>
  <si>
    <t>CertLoad</t>
  </si>
  <si>
    <t>CertCompr</t>
  </si>
  <si>
    <t>CertMark</t>
  </si>
  <si>
    <t>CertRecv</t>
  </si>
  <si>
    <t>CertStrg</t>
  </si>
  <si>
    <t>CertClass</t>
  </si>
  <si>
    <t>Min Storage</t>
  </si>
  <si>
    <t>Basis Adj.</t>
  </si>
  <si>
    <t>First Month Storage</t>
  </si>
  <si>
    <t>Updated"9/22/2025</t>
  </si>
  <si>
    <t>Moseley Intl. Inc.</t>
  </si>
  <si>
    <t>Abbeville</t>
  </si>
  <si>
    <t>AL</t>
  </si>
  <si>
    <t xml:space="preserve">Henry                </t>
  </si>
  <si>
    <t>No</t>
  </si>
  <si>
    <t>no</t>
  </si>
  <si>
    <t>City Gin Cotton Warehouse, LLC</t>
  </si>
  <si>
    <t>Abernathy</t>
  </si>
  <si>
    <t>TX</t>
  </si>
  <si>
    <t xml:space="preserve">Hale                 </t>
  </si>
  <si>
    <t>Yes</t>
  </si>
  <si>
    <t>McCleskey Cotton Company</t>
  </si>
  <si>
    <t>Albany</t>
  </si>
  <si>
    <t>GA</t>
  </si>
  <si>
    <t xml:space="preserve">Dougherty            </t>
  </si>
  <si>
    <t>Cotton Storage Inc</t>
  </si>
  <si>
    <t>Alexandria</t>
  </si>
  <si>
    <t>LA</t>
  </si>
  <si>
    <t xml:space="preserve">Rapides              </t>
  </si>
  <si>
    <t>yes</t>
  </si>
  <si>
    <t>Plains Cotton Cooperative Association</t>
  </si>
  <si>
    <t>Altus</t>
  </si>
  <si>
    <t>OK</t>
  </si>
  <si>
    <t xml:space="preserve">Jackson              </t>
  </si>
  <si>
    <t>FCC-High Plains Division Amarillo</t>
  </si>
  <si>
    <t>Amarillo</t>
  </si>
  <si>
    <t xml:space="preserve">Randall              </t>
  </si>
  <si>
    <t>Amarillo Cotton Warehouse</t>
  </si>
  <si>
    <t>Sumter County Producers Gin Warehouse</t>
  </si>
  <si>
    <t>Americus</t>
  </si>
  <si>
    <t xml:space="preserve">Sumter               </t>
  </si>
  <si>
    <t>Covington Gin Company</t>
  </si>
  <si>
    <t>Andalusia</t>
  </si>
  <si>
    <t xml:space="preserve">Covington            </t>
  </si>
  <si>
    <t>Sunshine Warehouse</t>
  </si>
  <si>
    <t>Arlington</t>
  </si>
  <si>
    <t xml:space="preserve">Calhoun              </t>
  </si>
  <si>
    <t>Associated Growers Gin &amp; Whse-Athens</t>
  </si>
  <si>
    <t>Athens</t>
  </si>
  <si>
    <t xml:space="preserve">Limestone            </t>
  </si>
  <si>
    <t>Decatur Gin Warehouse</t>
  </si>
  <si>
    <t>Bainbridge</t>
  </si>
  <si>
    <t xml:space="preserve">Decatur              </t>
  </si>
  <si>
    <t>Bakersfield Cotton Warehouse</t>
  </si>
  <si>
    <t>Bakersfield</t>
  </si>
  <si>
    <t>CA</t>
  </si>
  <si>
    <t xml:space="preserve">Kern                 </t>
  </si>
  <si>
    <t>Calcot LTD Warehouse</t>
  </si>
  <si>
    <t>Prime West Shipping Inc</t>
  </si>
  <si>
    <t xml:space="preserve">Ballinger Cotton Warehouse Co. </t>
  </si>
  <si>
    <t>Ballinger</t>
  </si>
  <si>
    <t xml:space="preserve">Runnels              </t>
  </si>
  <si>
    <t>Bryant's, Inc.</t>
  </si>
  <si>
    <t>Bartow</t>
  </si>
  <si>
    <t xml:space="preserve">Jefferson            </t>
  </si>
  <si>
    <t>South Ga Cotton-Baxley</t>
  </si>
  <si>
    <t>Baxley</t>
  </si>
  <si>
    <t xml:space="preserve">Appling              </t>
  </si>
  <si>
    <t>Cargill Cotton Baytown</t>
  </si>
  <si>
    <t>Baytown</t>
  </si>
  <si>
    <t xml:space="preserve">Chambers             </t>
  </si>
  <si>
    <t>South Limestone Coop</t>
  </si>
  <si>
    <t>Belle Mina</t>
  </si>
  <si>
    <t>FCW- Belzoni</t>
  </si>
  <si>
    <t>Belzoni</t>
  </si>
  <si>
    <t>MS</t>
  </si>
  <si>
    <t xml:space="preserve">Humphreys            </t>
  </si>
  <si>
    <t>General Warehouse and Storage Co</t>
  </si>
  <si>
    <t>Bennettsville</t>
  </si>
  <si>
    <t>SC</t>
  </si>
  <si>
    <t xml:space="preserve">Marlboro             </t>
  </si>
  <si>
    <t>Pitt County Gin and Cotton Co.</t>
  </si>
  <si>
    <t>Bethel</t>
  </si>
  <si>
    <t>NC</t>
  </si>
  <si>
    <t xml:space="preserve">Pitt                 </t>
  </si>
  <si>
    <t>Plains Cotton Cooperative Assoc</t>
  </si>
  <si>
    <t xml:space="preserve">Big Spring </t>
  </si>
  <si>
    <t xml:space="preserve">Howard               </t>
  </si>
  <si>
    <t>Cotton Growers Warehouse Inc</t>
  </si>
  <si>
    <t>Bishopville</t>
  </si>
  <si>
    <t xml:space="preserve">Lee                  </t>
  </si>
  <si>
    <t>Early County Gin Company</t>
  </si>
  <si>
    <t>Blakely</t>
  </si>
  <si>
    <t xml:space="preserve">Early                </t>
  </si>
  <si>
    <t>Caruthersville Cotton Warehouse</t>
  </si>
  <si>
    <t>Blytheville</t>
  </si>
  <si>
    <t>AR</t>
  </si>
  <si>
    <t xml:space="preserve">Mississippi          </t>
  </si>
  <si>
    <t>FCW- Blytheville</t>
  </si>
  <si>
    <t>Staplcotn Compress and Warehouse-Blytheville</t>
  </si>
  <si>
    <t xml:space="preserve">Blytheville </t>
  </si>
  <si>
    <t>Boston Gin Company</t>
  </si>
  <si>
    <t>Boston</t>
  </si>
  <si>
    <t xml:space="preserve">Thomas               </t>
  </si>
  <si>
    <t>McCleskey Cotton Company, LLC</t>
  </si>
  <si>
    <t>Bronwood</t>
  </si>
  <si>
    <t xml:space="preserve">Terrell              </t>
  </si>
  <si>
    <t>Bulloch Gin Inc</t>
  </si>
  <si>
    <t>Brooklet</t>
  </si>
  <si>
    <t xml:space="preserve">Bulloch              </t>
  </si>
  <si>
    <t>Brownfield Compress</t>
  </si>
  <si>
    <t>Brownfield</t>
  </si>
  <si>
    <t xml:space="preserve">Terry                </t>
  </si>
  <si>
    <t>Ginners Whse LLC- Brownsville-was Federal Compress</t>
  </si>
  <si>
    <t>Brownsville</t>
  </si>
  <si>
    <t>TN</t>
  </si>
  <si>
    <t xml:space="preserve">Haywood              </t>
  </si>
  <si>
    <t>Hughes Warehouse</t>
  </si>
  <si>
    <t>Two Way Warehouse</t>
  </si>
  <si>
    <t>Taylor Compress #2 Bryan</t>
  </si>
  <si>
    <t>Bryan</t>
  </si>
  <si>
    <t xml:space="preserve">Brazos               </t>
  </si>
  <si>
    <t>Dooly County Gin LLC</t>
  </si>
  <si>
    <t>Buena Vista</t>
  </si>
  <si>
    <t xml:space="preserve">Marion               </t>
  </si>
  <si>
    <t>WSB Gin and Warehouse</t>
  </si>
  <si>
    <t>Byromville</t>
  </si>
  <si>
    <t xml:space="preserve">Dooly                </t>
  </si>
  <si>
    <t>Marianna Warehousing, LLC</t>
  </si>
  <si>
    <t>Caldwell</t>
  </si>
  <si>
    <t xml:space="preserve">St francis           </t>
  </si>
  <si>
    <t>Cameron Cotton and Seed Co</t>
  </si>
  <si>
    <t xml:space="preserve">Cameron </t>
  </si>
  <si>
    <t>Pinecliff Planters Warehouse</t>
  </si>
  <si>
    <t>Camilla</t>
  </si>
  <si>
    <t xml:space="preserve">Mitchell             </t>
  </si>
  <si>
    <t>Caruthersville</t>
  </si>
  <si>
    <t>MO</t>
  </si>
  <si>
    <t xml:space="preserve">Pemiscot             </t>
  </si>
  <si>
    <t>Plaza Cotton Storage, LLC</t>
  </si>
  <si>
    <t>Centre</t>
  </si>
  <si>
    <t xml:space="preserve">Cherokee             </t>
  </si>
  <si>
    <t>Cotton Growers Warehouses Inc</t>
  </si>
  <si>
    <t>Chocowinity</t>
  </si>
  <si>
    <t xml:space="preserve">Beaufort             </t>
  </si>
  <si>
    <t>North Delta Compress and Warehouse Company</t>
  </si>
  <si>
    <t>Clarksdale</t>
  </si>
  <si>
    <t xml:space="preserve">Coahoma              </t>
  </si>
  <si>
    <t>Clarkton Bonded Warehouse</t>
  </si>
  <si>
    <t>Clarkton</t>
  </si>
  <si>
    <t xml:space="preserve">Bladen               </t>
  </si>
  <si>
    <t>Clearwater</t>
  </si>
  <si>
    <t>KS</t>
  </si>
  <si>
    <t xml:space="preserve">Sedgwick             </t>
  </si>
  <si>
    <t>Sowega Cotton, Inc.</t>
  </si>
  <si>
    <t>Climax</t>
  </si>
  <si>
    <t>McInnis Bonded Warehouse</t>
  </si>
  <si>
    <t>Clio</t>
  </si>
  <si>
    <t>Miller County Warehouse Company, Inc.</t>
  </si>
  <si>
    <t>Colquitt</t>
  </si>
  <si>
    <t xml:space="preserve">Miller               </t>
  </si>
  <si>
    <t xml:space="preserve">PPF Gin and Warehouse, LLC, Cooper, TX </t>
  </si>
  <si>
    <t>Cooper</t>
  </si>
  <si>
    <t xml:space="preserve">Delta                </t>
  </si>
  <si>
    <t>McCay Gin and Warehouse Co., Inc.</t>
  </si>
  <si>
    <t>Cordele</t>
  </si>
  <si>
    <t xml:space="preserve">Crisp                </t>
  </si>
  <si>
    <t>Union Comp/Cordele</t>
  </si>
  <si>
    <t>Gulf Compress #1</t>
  </si>
  <si>
    <t>Corpus Christi</t>
  </si>
  <si>
    <t xml:space="preserve">Nueces               </t>
  </si>
  <si>
    <t>Gulf Compress #2</t>
  </si>
  <si>
    <t>Servico Warehouse</t>
  </si>
  <si>
    <t>Courtland</t>
  </si>
  <si>
    <t xml:space="preserve">Lawrence             </t>
  </si>
  <si>
    <t>Kelcot Warehouses LLC</t>
  </si>
  <si>
    <t>Covington</t>
  </si>
  <si>
    <t xml:space="preserve">Tipton               </t>
  </si>
  <si>
    <t>Green Point Ag- was Tn Gin</t>
  </si>
  <si>
    <t>Crittenden Gin Bonded Warehouse</t>
  </si>
  <si>
    <t>Crawfordsville</t>
  </si>
  <si>
    <t xml:space="preserve">Crittenden           </t>
  </si>
  <si>
    <t>CRITTN</t>
  </si>
  <si>
    <t>Cotton Fortunes Inc</t>
  </si>
  <si>
    <t>Cuthbert</t>
  </si>
  <si>
    <t xml:space="preserve">Randolph             </t>
  </si>
  <si>
    <t>The Peoples Warehouse-Cuthbert</t>
  </si>
  <si>
    <t>Olam dba Anderson Clayton - Dallas TX Warehouse #1</t>
  </si>
  <si>
    <t>Dallas</t>
  </si>
  <si>
    <t xml:space="preserve">Dallas               </t>
  </si>
  <si>
    <t>Holtville Gin and Warehouse</t>
  </si>
  <si>
    <t>Deatsville</t>
  </si>
  <si>
    <t xml:space="preserve">Elmore               </t>
  </si>
  <si>
    <t>Union Comp/Decatur</t>
  </si>
  <si>
    <t>Decatur</t>
  </si>
  <si>
    <t xml:space="preserve">Morgan               </t>
  </si>
  <si>
    <t>Farmers First Gin Company</t>
  </si>
  <si>
    <t>Dell</t>
  </si>
  <si>
    <t>Deming Bonded Warehouse</t>
  </si>
  <si>
    <t>Deming</t>
  </si>
  <si>
    <t>NM</t>
  </si>
  <si>
    <t xml:space="preserve">Luna                 </t>
  </si>
  <si>
    <t>Suncot Warehouse, LLC</t>
  </si>
  <si>
    <t>Denver City</t>
  </si>
  <si>
    <t xml:space="preserve">Yoakum               </t>
  </si>
  <si>
    <t xml:space="preserve">PPF Gin and Warehouse, LLC </t>
  </si>
  <si>
    <t>Deport</t>
  </si>
  <si>
    <t xml:space="preserve">Lamar                </t>
  </si>
  <si>
    <t>The Gin House, LLC (TGH)</t>
  </si>
  <si>
    <t>Dermott</t>
  </si>
  <si>
    <t xml:space="preserve">Chicot               </t>
  </si>
  <si>
    <t>Supply Chain Management- Desoto</t>
  </si>
  <si>
    <t>Desoto</t>
  </si>
  <si>
    <t>East Centre Park Cotton Warehouse</t>
  </si>
  <si>
    <t>Dexter Bonded Warehouse</t>
  </si>
  <si>
    <t>Dexter</t>
  </si>
  <si>
    <t xml:space="preserve">Laurens              </t>
  </si>
  <si>
    <t>Minturn Bnd Cotton Warehouse</t>
  </si>
  <si>
    <t>Dillion</t>
  </si>
  <si>
    <t xml:space="preserve">Dillon               </t>
  </si>
  <si>
    <t>Mobley Gin Company</t>
  </si>
  <si>
    <t>Doerun</t>
  </si>
  <si>
    <t xml:space="preserve">Colquitt             </t>
  </si>
  <si>
    <t>Doerun Gin Company Warehouse</t>
  </si>
  <si>
    <t>Cloverleaf Warehouse Inc</t>
  </si>
  <si>
    <t>Donalsonville</t>
  </si>
  <si>
    <t xml:space="preserve">Seminole             </t>
  </si>
  <si>
    <t>5-Lock Gin</t>
  </si>
  <si>
    <t>Dothan</t>
  </si>
  <si>
    <t xml:space="preserve">Houston              </t>
  </si>
  <si>
    <t>Tri County Gin Inc</t>
  </si>
  <si>
    <t>Douglas</t>
  </si>
  <si>
    <t xml:space="preserve">Coffee               </t>
  </si>
  <si>
    <t>Coffee County Gin Whse</t>
  </si>
  <si>
    <t xml:space="preserve">Douglas </t>
  </si>
  <si>
    <t>Roche Farm and Garden Warehouse</t>
  </si>
  <si>
    <t>Dublin</t>
  </si>
  <si>
    <t>Dumas Cotton Warehouse Inc</t>
  </si>
  <si>
    <t>Dumas</t>
  </si>
  <si>
    <t xml:space="preserve">Desha                </t>
  </si>
  <si>
    <t>Quality Bonded Warehouse, LLC</t>
  </si>
  <si>
    <t>Dunn</t>
  </si>
  <si>
    <t xml:space="preserve">Harnet  </t>
  </si>
  <si>
    <t>Rabbit Ridge Gin and Warehouse, LLC</t>
  </si>
  <si>
    <t>Dyess</t>
  </si>
  <si>
    <t>Fuller Warehouse and Gin</t>
  </si>
  <si>
    <t>Eclectic</t>
  </si>
  <si>
    <t>Staplcotn- Edenton 2-3090</t>
  </si>
  <si>
    <t>Edenton</t>
  </si>
  <si>
    <t xml:space="preserve">Chowan               </t>
  </si>
  <si>
    <t>Albemarle Cotton Growers</t>
  </si>
  <si>
    <t>United Agricultural Cooperative, Inc. Cotton Warehouse</t>
  </si>
  <si>
    <t>El Campo</t>
  </si>
  <si>
    <t xml:space="preserve">Wharton              </t>
  </si>
  <si>
    <t>Elloree Gin Company, Inc.</t>
  </si>
  <si>
    <t>Elloree</t>
  </si>
  <si>
    <t xml:space="preserve">Orangeburg           </t>
  </si>
  <si>
    <t>Elm City Warehouse</t>
  </si>
  <si>
    <t>Elm City</t>
  </si>
  <si>
    <t xml:space="preserve">Wilson               </t>
  </si>
  <si>
    <t>Silver Lake Bale Storage 1</t>
  </si>
  <si>
    <t>Elora Gin Warehouse</t>
  </si>
  <si>
    <t>Elora</t>
  </si>
  <si>
    <t xml:space="preserve">Lincoln              </t>
  </si>
  <si>
    <t>Anderson Clayton Warehouse</t>
  </si>
  <si>
    <t>Eloy</t>
  </si>
  <si>
    <t>AZ</t>
  </si>
  <si>
    <t xml:space="preserve">Pinal                </t>
  </si>
  <si>
    <t>Federal Compress Pichaco</t>
  </si>
  <si>
    <t>Hawkins Bonded Warehouse</t>
  </si>
  <si>
    <t>Emporia</t>
  </si>
  <si>
    <t>VA</t>
  </si>
  <si>
    <t xml:space="preserve">Greensville          </t>
  </si>
  <si>
    <t>Mid-Atlantic Warehouse and Gin</t>
  </si>
  <si>
    <t xml:space="preserve">Southampton          </t>
  </si>
  <si>
    <t>Enfield Bonded Warehouse</t>
  </si>
  <si>
    <t>Enfield</t>
  </si>
  <si>
    <t xml:space="preserve">Halifax              </t>
  </si>
  <si>
    <t>Dixon Gin Company</t>
  </si>
  <si>
    <t>Enigma</t>
  </si>
  <si>
    <t xml:space="preserve">Berrien              </t>
  </si>
  <si>
    <t>South Central GA Warehouse, Inc.</t>
  </si>
  <si>
    <t xml:space="preserve">Enigma </t>
  </si>
  <si>
    <t>Coffee Gin Co LLC Whse</t>
  </si>
  <si>
    <t>Enterprise</t>
  </si>
  <si>
    <t>Staplcotn Compress Warehouse</t>
  </si>
  <si>
    <t>Erwin</t>
  </si>
  <si>
    <t xml:space="preserve">Martin               </t>
  </si>
  <si>
    <t>Roanoke Tar Cotton Warehouse</t>
  </si>
  <si>
    <t>Everetts</t>
  </si>
  <si>
    <t>Roanoke Tar Cotton Warehouse-2-3083</t>
  </si>
  <si>
    <t>Fabens</t>
  </si>
  <si>
    <t xml:space="preserve">El paso              </t>
  </si>
  <si>
    <t>Cotton Warehouse of Concordia</t>
  </si>
  <si>
    <t>Ferriday</t>
  </si>
  <si>
    <t xml:space="preserve">Concordia            </t>
  </si>
  <si>
    <t>Oakland Gin Co.</t>
  </si>
  <si>
    <t>Florence</t>
  </si>
  <si>
    <t xml:space="preserve">Lauderdale           </t>
  </si>
  <si>
    <t>Scruggs and Vaden Warehouse, LLC</t>
  </si>
  <si>
    <t xml:space="preserve">Florence </t>
  </si>
  <si>
    <t>Marianna Warehousing LLC</t>
  </si>
  <si>
    <t>Forrest City</t>
  </si>
  <si>
    <t>Fambro Warehouse Company</t>
  </si>
  <si>
    <t>Fresno</t>
  </si>
  <si>
    <t xml:space="preserve">Fresno               </t>
  </si>
  <si>
    <t>Ft Worth Commodity Warehouse</t>
  </si>
  <si>
    <t xml:space="preserve">Ft Worth </t>
  </si>
  <si>
    <t xml:space="preserve">Tarrant              </t>
  </si>
  <si>
    <t>Funston Gin Co</t>
  </si>
  <si>
    <t>Funston</t>
  </si>
  <si>
    <t>Moody Compress and Warehouse #1</t>
  </si>
  <si>
    <t>Galveston</t>
  </si>
  <si>
    <t xml:space="preserve">Galveston            </t>
  </si>
  <si>
    <t>MOODCM</t>
  </si>
  <si>
    <t>Moody Compress and Warehouse #2</t>
  </si>
  <si>
    <t>MOOD#2</t>
  </si>
  <si>
    <t>Moody Compress and Warehouse #3</t>
  </si>
  <si>
    <t>MOOD#3</t>
  </si>
  <si>
    <t>Moody Compress and Warehouse #4</t>
  </si>
  <si>
    <t>MOOD#9</t>
  </si>
  <si>
    <t>Southern Comp and Warehouse Co.</t>
  </si>
  <si>
    <t>SOUTCM</t>
  </si>
  <si>
    <t>Glasscock County Co-Op Cotton Warehouses</t>
  </si>
  <si>
    <t xml:space="preserve">Garden City </t>
  </si>
  <si>
    <t xml:space="preserve">Glasscock            </t>
  </si>
  <si>
    <t>Gaston Cooperative Inc</t>
  </si>
  <si>
    <t>Garysburg</t>
  </si>
  <si>
    <t xml:space="preserve">Gaston and lincoln   </t>
  </si>
  <si>
    <t>P and M - Avon Bonded Warehouse</t>
  </si>
  <si>
    <t>Gastonia</t>
  </si>
  <si>
    <t>Broad Street Bonded Warehouse</t>
  </si>
  <si>
    <t>Gates Cotton Gin Warehouse</t>
  </si>
  <si>
    <t>Gates</t>
  </si>
  <si>
    <t xml:space="preserve">Gates                </t>
  </si>
  <si>
    <t>Ward &amp; Nixon Warehouse</t>
  </si>
  <si>
    <t>Gatesville</t>
  </si>
  <si>
    <t xml:space="preserve">Calcot LTD Warehouse </t>
  </si>
  <si>
    <t>Glendale</t>
  </si>
  <si>
    <t xml:space="preserve">Maricopa             </t>
  </si>
  <si>
    <t>Dallas Warehouse Company, LLC</t>
  </si>
  <si>
    <t>Grand Prairie</t>
  </si>
  <si>
    <t>FCW- Greenwood #1</t>
  </si>
  <si>
    <t>Greenwood</t>
  </si>
  <si>
    <t xml:space="preserve">Leflore              </t>
  </si>
  <si>
    <t>Staplcotn/Rising Sun</t>
  </si>
  <si>
    <t>Federal Compress Greenwood #2</t>
  </si>
  <si>
    <t xml:space="preserve">Greenwood </t>
  </si>
  <si>
    <t>Staple Cotton Cooperative Association</t>
  </si>
  <si>
    <t>Greer</t>
  </si>
  <si>
    <t xml:space="preserve">Greenville           </t>
  </si>
  <si>
    <t>Federal Compress Grenada</t>
  </si>
  <si>
    <t>Grenada</t>
  </si>
  <si>
    <t xml:space="preserve">Grenada              </t>
  </si>
  <si>
    <t>Halls Gin Co Inc</t>
  </si>
  <si>
    <t xml:space="preserve">Halls </t>
  </si>
  <si>
    <t>Harlingen Compress Company</t>
  </si>
  <si>
    <t>Harlingen</t>
  </si>
  <si>
    <t xml:space="preserve">Cameron              </t>
  </si>
  <si>
    <t>Valley Compress Company</t>
  </si>
  <si>
    <t>Sowega Cotton</t>
  </si>
  <si>
    <t>Hartford</t>
  </si>
  <si>
    <t xml:space="preserve">Geneva               </t>
  </si>
  <si>
    <t>Humphrey Coker Seed Co., Inc</t>
  </si>
  <si>
    <t>Hartsville</t>
  </si>
  <si>
    <t xml:space="preserve">Darlington           </t>
  </si>
  <si>
    <t>Heart of Georgia Gin</t>
  </si>
  <si>
    <t>Hawkinsville</t>
  </si>
  <si>
    <t xml:space="preserve">Pulaski              </t>
  </si>
  <si>
    <t>Federal Compress Hayti</t>
  </si>
  <si>
    <t>Hayti</t>
  </si>
  <si>
    <t>South Ga Coton -Hazelhurst</t>
  </si>
  <si>
    <t>Hazelhurst</t>
  </si>
  <si>
    <t xml:space="preserve">Jeff davis           </t>
  </si>
  <si>
    <t>South Georgia Cotton Whse., Inc.</t>
  </si>
  <si>
    <t>Hazlehurst</t>
  </si>
  <si>
    <t>Henry County Gin</t>
  </si>
  <si>
    <t>Headland</t>
  </si>
  <si>
    <t>Stallings Farms Agribusiness</t>
  </si>
  <si>
    <t>Herford</t>
  </si>
  <si>
    <t xml:space="preserve">Perquimans           </t>
  </si>
  <si>
    <t>Hillsboro Gin Company Inc</t>
  </si>
  <si>
    <t>Hillsboro</t>
  </si>
  <si>
    <t>Davis Bonded Warehouse</t>
  </si>
  <si>
    <t>Hobgood</t>
  </si>
  <si>
    <t>Moody Compress and Warehouse #6</t>
  </si>
  <si>
    <t>Houston</t>
  </si>
  <si>
    <t xml:space="preserve">Harris               </t>
  </si>
  <si>
    <t>Houston Commodity Warehouse</t>
  </si>
  <si>
    <t>SUNBHO</t>
  </si>
  <si>
    <t>Houston Commodity Warehouse #2</t>
  </si>
  <si>
    <t>Humboldt Cotton Warehouse</t>
  </si>
  <si>
    <t xml:space="preserve">Humboldt </t>
  </si>
  <si>
    <t xml:space="preserve">Gibson               </t>
  </si>
  <si>
    <t>Staplcotn/Indianola</t>
  </si>
  <si>
    <t>Indianola</t>
  </si>
  <si>
    <t xml:space="preserve">Sunflower            </t>
  </si>
  <si>
    <t>Federal Compress Inverness #1</t>
  </si>
  <si>
    <t>Inverness</t>
  </si>
  <si>
    <t>Federal Compress Inverness #2</t>
  </si>
  <si>
    <t xml:space="preserve">Adams                </t>
  </si>
  <si>
    <t>Jackson</t>
  </si>
  <si>
    <t xml:space="preserve">Northampton          </t>
  </si>
  <si>
    <t>West Tennessee Warehouse Bemis</t>
  </si>
  <si>
    <t xml:space="preserve">Madison              </t>
  </si>
  <si>
    <t>West Tennessee Warehouse</t>
  </si>
  <si>
    <t>Burkhead Warehouse</t>
  </si>
  <si>
    <t>Jay</t>
  </si>
  <si>
    <t>FL</t>
  </si>
  <si>
    <t xml:space="preserve">Santa rosa           </t>
  </si>
  <si>
    <t>Golden Gin and Warehouse</t>
  </si>
  <si>
    <t>Bohannon Warehouse</t>
  </si>
  <si>
    <t>Kinston</t>
  </si>
  <si>
    <t xml:space="preserve">Lenoir               </t>
  </si>
  <si>
    <t>Harvey Gin and Cotton Company</t>
  </si>
  <si>
    <t>Humphrey Coker Seed Co-lake City Whse</t>
  </si>
  <si>
    <t>Lake City</t>
  </si>
  <si>
    <t xml:space="preserve">Florence             </t>
  </si>
  <si>
    <t>Southeast Cotton Inc</t>
  </si>
  <si>
    <t>Hollybrook Warehouse</t>
  </si>
  <si>
    <t>Lake Providence</t>
  </si>
  <si>
    <t xml:space="preserve">East carroll         </t>
  </si>
  <si>
    <t>Lamesa Warehouse</t>
  </si>
  <si>
    <t>Lamesa</t>
  </si>
  <si>
    <t xml:space="preserve">Dawson               </t>
  </si>
  <si>
    <t>Mallory Alexander International Logistics-Laredo</t>
  </si>
  <si>
    <t>Laredo</t>
  </si>
  <si>
    <t xml:space="preserve">Webb                 </t>
  </si>
  <si>
    <t>Cotton Producers Coop Town Creek</t>
  </si>
  <si>
    <t>Leighton</t>
  </si>
  <si>
    <t>Irwin County Warehouse, LLC- Lenox</t>
  </si>
  <si>
    <t>Lenox</t>
  </si>
  <si>
    <t xml:space="preserve">Cook                 </t>
  </si>
  <si>
    <t>FCC-Levelland Plant</t>
  </si>
  <si>
    <t>Levelland</t>
  </si>
  <si>
    <t xml:space="preserve">Hockley              </t>
  </si>
  <si>
    <t>Liberal</t>
  </si>
  <si>
    <t xml:space="preserve">Seward               </t>
  </si>
  <si>
    <t>HCC-Lockney Warehouse</t>
  </si>
  <si>
    <t>Lockney</t>
  </si>
  <si>
    <t xml:space="preserve">Floyd                </t>
  </si>
  <si>
    <t>Lovington</t>
  </si>
  <si>
    <t xml:space="preserve">Lea                  </t>
  </si>
  <si>
    <t>Loxley Warehouses, LLC</t>
  </si>
  <si>
    <t>Loxley</t>
  </si>
  <si>
    <t xml:space="preserve">Baldwin              </t>
  </si>
  <si>
    <t>Farmers Cooperative Compress</t>
  </si>
  <si>
    <t>Lubbock</t>
  </si>
  <si>
    <t xml:space="preserve">Lubbock              </t>
  </si>
  <si>
    <t>Farmers Compress Coop #2</t>
  </si>
  <si>
    <t>Farmers Coop Compress #3</t>
  </si>
  <si>
    <t>Farmers Coop Compress #4</t>
  </si>
  <si>
    <t>Farmers Coop Compress #5</t>
  </si>
  <si>
    <t>Lubbock Compress</t>
  </si>
  <si>
    <t>Lov-Cot Warehouse, L.P.</t>
  </si>
  <si>
    <t>Lumberton</t>
  </si>
  <si>
    <t xml:space="preserve">Robeson              </t>
  </si>
  <si>
    <t>Bostwick Gin Warehouse</t>
  </si>
  <si>
    <t>Madison</t>
  </si>
  <si>
    <t>Sandy Ridge Cotton Warehouse</t>
  </si>
  <si>
    <t>Malden</t>
  </si>
  <si>
    <t xml:space="preserve">Dunklin              </t>
  </si>
  <si>
    <t>Bernie Farmers Gin Warehouse</t>
  </si>
  <si>
    <t>Federal Warehouse</t>
  </si>
  <si>
    <t>Manila</t>
  </si>
  <si>
    <t>United Bonded Warehouse</t>
  </si>
  <si>
    <t>Manning</t>
  </si>
  <si>
    <t xml:space="preserve">Clarendon            </t>
  </si>
  <si>
    <t>Marianna Warehouse</t>
  </si>
  <si>
    <t>Marianna</t>
  </si>
  <si>
    <t>Marianna Warehousing, LLC-Plant No. 2</t>
  </si>
  <si>
    <t>Longtown Warehouse</t>
  </si>
  <si>
    <t>Mason</t>
  </si>
  <si>
    <t xml:space="preserve">Fayette              </t>
  </si>
  <si>
    <t>McCullough Bonded Warehouse</t>
  </si>
  <si>
    <t>McCullough</t>
  </si>
  <si>
    <t xml:space="preserve">Escambia             </t>
  </si>
  <si>
    <t>Duncot Warehouse</t>
  </si>
  <si>
    <t>McFarland</t>
  </si>
  <si>
    <t>Federal Compress McGhee</t>
  </si>
  <si>
    <t>McGehee</t>
  </si>
  <si>
    <t>Four Corners Gin Co Inc</t>
  </si>
  <si>
    <t>Meigs</t>
  </si>
  <si>
    <t>Mallory Cotton Warehouse Division-Memphis</t>
  </si>
  <si>
    <t>Memphis</t>
  </si>
  <si>
    <t xml:space="preserve">Shelby               </t>
  </si>
  <si>
    <t>Viterra USA-Cotton#1</t>
  </si>
  <si>
    <t>Viterra USA LLC Cotton #2</t>
  </si>
  <si>
    <t xml:space="preserve">Anderson             </t>
  </si>
  <si>
    <t>Cotton Trade Warehouse (Cargill Whse-Memphis)</t>
  </si>
  <si>
    <t>CTRWHE</t>
  </si>
  <si>
    <t>Memphis Compress Warehouse</t>
  </si>
  <si>
    <t>MEMCOM</t>
  </si>
  <si>
    <t>Producers Warehouse #1</t>
  </si>
  <si>
    <t>PROD#1</t>
  </si>
  <si>
    <t>Producers Warehouse #3</t>
  </si>
  <si>
    <t>PROD#3</t>
  </si>
  <si>
    <t>Producers Warehouse #2</t>
  </si>
  <si>
    <t>PROD#2</t>
  </si>
  <si>
    <t>The Distribution Center</t>
  </si>
  <si>
    <t>DIST#1</t>
  </si>
  <si>
    <t>River CityWarehouse</t>
  </si>
  <si>
    <t>Total Commodity Warehouse</t>
  </si>
  <si>
    <t>SUNBTC</t>
  </si>
  <si>
    <t>International Cotton Depots Plant 4</t>
  </si>
  <si>
    <t>ICD # 4</t>
  </si>
  <si>
    <t>Candler Gin and Warehouse</t>
  </si>
  <si>
    <t>Metter</t>
  </si>
  <si>
    <t xml:space="preserve">Candler              </t>
  </si>
  <si>
    <t>Growers Cotton Warehouse, Inc.</t>
  </si>
  <si>
    <t>Midville Warehouse, Inc.</t>
  </si>
  <si>
    <t>Midville</t>
  </si>
  <si>
    <t xml:space="preserve">Burke                </t>
  </si>
  <si>
    <t>Riverside Gin and Storage</t>
  </si>
  <si>
    <t>Milan Compress Warehouse</t>
  </si>
  <si>
    <t>Milan</t>
  </si>
  <si>
    <t>Mundy, Inc.</t>
  </si>
  <si>
    <t>Millen</t>
  </si>
  <si>
    <t xml:space="preserve">Jenkins              </t>
  </si>
  <si>
    <t>Childress Warehouse</t>
  </si>
  <si>
    <t>Monette</t>
  </si>
  <si>
    <t xml:space="preserve">Craighead            </t>
  </si>
  <si>
    <t>Moultrie Warehouse and Storage LLC</t>
  </si>
  <si>
    <t>Moultrie</t>
  </si>
  <si>
    <t>B.C.T. Gin Company Inc</t>
  </si>
  <si>
    <t>Farmers Gin and Peanut Warehouse</t>
  </si>
  <si>
    <t>Producers Gin Bonded Warehouse</t>
  </si>
  <si>
    <t>Murfreesboro</t>
  </si>
  <si>
    <t xml:space="preserve">Hertford             </t>
  </si>
  <si>
    <t>Rolling Hills Bonded Warehouse</t>
  </si>
  <si>
    <t>New London</t>
  </si>
  <si>
    <t xml:space="preserve">Stanly               </t>
  </si>
  <si>
    <t>Bootheel Cotton Warehouse</t>
  </si>
  <si>
    <t>New Madrid</t>
  </si>
  <si>
    <t xml:space="preserve">New madrid        </t>
  </si>
  <si>
    <t>Cotton Growers Coop Inc - New Market</t>
  </si>
  <si>
    <t xml:space="preserve">New Market </t>
  </si>
  <si>
    <t>The Kearney Companies, Inc.</t>
  </si>
  <si>
    <t>New Orleans</t>
  </si>
  <si>
    <t xml:space="preserve">Orleans              </t>
  </si>
  <si>
    <t>The Kearney Company</t>
  </si>
  <si>
    <t>Sampson Gin Company, Inc.</t>
  </si>
  <si>
    <t xml:space="preserve">Newton Grove </t>
  </si>
  <si>
    <t xml:space="preserve">Sampson              </t>
  </si>
  <si>
    <t>Norman Park Gin and Warehouse</t>
  </si>
  <si>
    <t>Norman Park</t>
  </si>
  <si>
    <t>Culler Holstein Gin</t>
  </si>
  <si>
    <t>North</t>
  </si>
  <si>
    <t>Osceola Cotton Company LLC E 1st st</t>
  </si>
  <si>
    <t>Ocilla</t>
  </si>
  <si>
    <t xml:space="preserve">Irwin                </t>
  </si>
  <si>
    <t>Osceola Cotton Warehouse</t>
  </si>
  <si>
    <t xml:space="preserve">Ocilla </t>
  </si>
  <si>
    <t>O'Donnell Warehouse</t>
  </si>
  <si>
    <t>O'donnell</t>
  </si>
  <si>
    <t xml:space="preserve">Lynn                 </t>
  </si>
  <si>
    <t>Anderson Clayton Desoto Warehouse</t>
  </si>
  <si>
    <t>Olive Branch</t>
  </si>
  <si>
    <t xml:space="preserve">Desoto               </t>
  </si>
  <si>
    <t>Irwin County Warehouse, LLC- Omega</t>
  </si>
  <si>
    <t xml:space="preserve">Omega </t>
  </si>
  <si>
    <t xml:space="preserve">Tift                 </t>
  </si>
  <si>
    <t>Panhandle Compress Co.</t>
  </si>
  <si>
    <t>Paducah</t>
  </si>
  <si>
    <t xml:space="preserve">Cottle               </t>
  </si>
  <si>
    <t>Coastal Carolina Gin</t>
  </si>
  <si>
    <t>Pantego</t>
  </si>
  <si>
    <t>Supply Chain Management LLC.</t>
  </si>
  <si>
    <t>Pasadena</t>
  </si>
  <si>
    <t>The Southern Gin Co, Inc</t>
  </si>
  <si>
    <t>Pelham</t>
  </si>
  <si>
    <t xml:space="preserve">Baker                </t>
  </si>
  <si>
    <t>Pinecliff Peanut and Grain Inc</t>
  </si>
  <si>
    <t>Updike Distribution Logistics</t>
  </si>
  <si>
    <t xml:space="preserve">Phoenix </t>
  </si>
  <si>
    <t>Planters Warehouse/Pinehurst</t>
  </si>
  <si>
    <t>Pinehurst</t>
  </si>
  <si>
    <t>Panhandle Compress</t>
  </si>
  <si>
    <t>Plainview</t>
  </si>
  <si>
    <t>Plainview Cooperative Compress #7</t>
  </si>
  <si>
    <t>Plainview Cooperative Compress #6</t>
  </si>
  <si>
    <t>HCC-Plainview</t>
  </si>
  <si>
    <t>Supply Chain Management, LLC-Savannah Whse</t>
  </si>
  <si>
    <t>Pooler</t>
  </si>
  <si>
    <t xml:space="preserve">Chatham              </t>
  </si>
  <si>
    <t>Savannah Distribution Center</t>
  </si>
  <si>
    <t>Port Wentworth</t>
  </si>
  <si>
    <t>Federal Compress Portageville</t>
  </si>
  <si>
    <t>Portageville</t>
  </si>
  <si>
    <t>Missouri Cotton Warehouse</t>
  </si>
  <si>
    <t>GPS Bonded Warehouse</t>
  </si>
  <si>
    <t>Portland</t>
  </si>
  <si>
    <t xml:space="preserve">Ashley               </t>
  </si>
  <si>
    <t>Portland Compress and Warehouse, Inc.</t>
  </si>
  <si>
    <t>Portland Gin  and Warehouse, Inc.</t>
  </si>
  <si>
    <t>Gulf Compress Unit #4</t>
  </si>
  <si>
    <t xml:space="preserve">San patricio         </t>
  </si>
  <si>
    <t xml:space="preserve">Post </t>
  </si>
  <si>
    <t xml:space="preserve">Garza                </t>
  </si>
  <si>
    <t>Panhandle Comp Quanah</t>
  </si>
  <si>
    <t xml:space="preserve">Quanah </t>
  </si>
  <si>
    <t xml:space="preserve">Hardeman             </t>
  </si>
  <si>
    <t>Hoke Cotton Warehouse and Storage</t>
  </si>
  <si>
    <t>Raeford</t>
  </si>
  <si>
    <t xml:space="preserve">Hoke                 </t>
  </si>
  <si>
    <t>Ralls Compress and Warehouse</t>
  </si>
  <si>
    <t>Ralls</t>
  </si>
  <si>
    <t xml:space="preserve">Crosby               </t>
  </si>
  <si>
    <t>Gulf Compress #5</t>
  </si>
  <si>
    <t>Raymondville</t>
  </si>
  <si>
    <t xml:space="preserve">Willacy              </t>
  </si>
  <si>
    <t>Gulf Compress #6</t>
  </si>
  <si>
    <t>Gulf Compress (North Plant#7)</t>
  </si>
  <si>
    <t>Staplcotn/Rayville</t>
  </si>
  <si>
    <t>Rayville</t>
  </si>
  <si>
    <t xml:space="preserve">Richland             </t>
  </si>
  <si>
    <t>Supply chain Management-Rincon</t>
  </si>
  <si>
    <t>Rincon</t>
  </si>
  <si>
    <t xml:space="preserve">Effingham            </t>
  </si>
  <si>
    <t>Rosemary Bonded Warehouse</t>
  </si>
  <si>
    <t>Roanoke Rapids</t>
  </si>
  <si>
    <t>Rule</t>
  </si>
  <si>
    <t xml:space="preserve">Haskell              </t>
  </si>
  <si>
    <t>Scruggs Farm Warehouse</t>
  </si>
  <si>
    <t>Saltillo</t>
  </si>
  <si>
    <t>Ballinger Cotton Warehouse Co.</t>
  </si>
  <si>
    <t xml:space="preserve">San Angelo </t>
  </si>
  <si>
    <t xml:space="preserve">Tom green            </t>
  </si>
  <si>
    <t>Staplcotn/Savannah</t>
  </si>
  <si>
    <t>Savannah</t>
  </si>
  <si>
    <t>Edwards Bonded Warehouse</t>
  </si>
  <si>
    <t>Scotland Neck</t>
  </si>
  <si>
    <t>Farmers Peanut Bonded Warehouse</t>
  </si>
  <si>
    <t>Seaboard</t>
  </si>
  <si>
    <t>Seagraves Compress</t>
  </si>
  <si>
    <t>Seagraves</t>
  </si>
  <si>
    <t xml:space="preserve">Gaines               </t>
  </si>
  <si>
    <t>Willacy Cotton Warehouse</t>
  </si>
  <si>
    <t>Sebastian</t>
  </si>
  <si>
    <t>Black Belt Gin Inc.</t>
  </si>
  <si>
    <t>SELMA</t>
  </si>
  <si>
    <t xml:space="preserve">Autauga              </t>
  </si>
  <si>
    <t>Oasis Warehouse LLC</t>
  </si>
  <si>
    <t>Seminole</t>
  </si>
  <si>
    <t>Royster PandM Warehouse</t>
  </si>
  <si>
    <t>Shelby</t>
  </si>
  <si>
    <t xml:space="preserve">Cleveland            </t>
  </si>
  <si>
    <t>The Peoples Warehouse</t>
  </si>
  <si>
    <t>Shellman</t>
  </si>
  <si>
    <t>Ballinger Cotton Warehouse Co. - Plant 3</t>
  </si>
  <si>
    <t>Snyder</t>
  </si>
  <si>
    <t xml:space="preserve">Scurry               </t>
  </si>
  <si>
    <t>Oak Grove Gin and Warehouse LLC</t>
  </si>
  <si>
    <t>Somerville</t>
  </si>
  <si>
    <t>Tensas Warehouse, Inc.</t>
  </si>
  <si>
    <t>St. Joseph</t>
  </si>
  <si>
    <t xml:space="preserve">Tensas               </t>
  </si>
  <si>
    <t>Middling Cotton Co., Inc.</t>
  </si>
  <si>
    <t>St. Matthews</t>
  </si>
  <si>
    <t>Haskell Cotton Warehouse</t>
  </si>
  <si>
    <t>Stamford</t>
  </si>
  <si>
    <t>Stanton Compress and Warehouse</t>
  </si>
  <si>
    <t>Stanton</t>
  </si>
  <si>
    <t>Coffee County Gin co -Statesboro</t>
  </si>
  <si>
    <t>Statesboro</t>
  </si>
  <si>
    <t>Southern States Coop</t>
  </si>
  <si>
    <t>FCC-Sudan</t>
  </si>
  <si>
    <t>Sudan</t>
  </si>
  <si>
    <t xml:space="preserve">Lamb                 </t>
  </si>
  <si>
    <t>Suffolk Cotton Gin Warehouse</t>
  </si>
  <si>
    <t>Suffolk</t>
  </si>
  <si>
    <t>Southeastern Gin, Inc.</t>
  </si>
  <si>
    <t>Surrency</t>
  </si>
  <si>
    <t>Marengo Warehouse, Inc.</t>
  </si>
  <si>
    <t>Sweet Water</t>
  </si>
  <si>
    <t xml:space="preserve">Marengo and choctaw  </t>
  </si>
  <si>
    <t>Gulf Compress</t>
  </si>
  <si>
    <t>Sweetwa-GULF</t>
  </si>
  <si>
    <t xml:space="preserve">Nolan                </t>
  </si>
  <si>
    <t>Sweetwater</t>
  </si>
  <si>
    <t>Sconyers Gin and Warehouse</t>
  </si>
  <si>
    <t>Sycamore</t>
  </si>
  <si>
    <t xml:space="preserve">Turner               </t>
  </si>
  <si>
    <t>Screven Gin Co.</t>
  </si>
  <si>
    <t>Sylvania</t>
  </si>
  <si>
    <t xml:space="preserve">Screven              </t>
  </si>
  <si>
    <t>Worth Gin &amp; Whse, Inc</t>
  </si>
  <si>
    <t>Sylvester</t>
  </si>
  <si>
    <t xml:space="preserve">Worth                </t>
  </si>
  <si>
    <t>Tahoka Warehouse</t>
  </si>
  <si>
    <t>Tahoka</t>
  </si>
  <si>
    <t>Taylor Gin and Tallassee Whse.</t>
  </si>
  <si>
    <t>Tallassee</t>
  </si>
  <si>
    <t>Staplcotn/Tallulah Comp Warehouse</t>
  </si>
  <si>
    <t>Tallulah</t>
  </si>
  <si>
    <t>Edgecombe Bond Warehouse</t>
  </si>
  <si>
    <t>Tarboro</t>
  </si>
  <si>
    <t xml:space="preserve">Edgecombe            </t>
  </si>
  <si>
    <t>Gulf Compress #10</t>
  </si>
  <si>
    <t>Taylor</t>
  </si>
  <si>
    <t xml:space="preserve">Williamson           </t>
  </si>
  <si>
    <t>Taylor Compress</t>
  </si>
  <si>
    <t>Taylor Compress Plant #3</t>
  </si>
  <si>
    <t>Tri County Gin Company</t>
  </si>
  <si>
    <t>Taylorsville</t>
  </si>
  <si>
    <t xml:space="preserve">Bartow               </t>
  </si>
  <si>
    <t>Irwin County Whse, LLC - Tifton</t>
  </si>
  <si>
    <t>Tifton</t>
  </si>
  <si>
    <t>Valley Gin Company</t>
  </si>
  <si>
    <t>Tornillo</t>
  </si>
  <si>
    <t>Jones County Cotton Gin Inc</t>
  </si>
  <si>
    <t>Trenton</t>
  </si>
  <si>
    <t>Amarillo Cotton Warehouse Tulia</t>
  </si>
  <si>
    <t>Tulia</t>
  </si>
  <si>
    <t>Tulia Cotton Warehouse</t>
  </si>
  <si>
    <t xml:space="preserve">Swisher              </t>
  </si>
  <si>
    <t>Staplcotn/Tunica</t>
  </si>
  <si>
    <t>Tunica</t>
  </si>
  <si>
    <t xml:space="preserve">Tunica               </t>
  </si>
  <si>
    <t>Edenton Bonded Warehouse</t>
  </si>
  <si>
    <t>Tyner</t>
  </si>
  <si>
    <t>Trico Gin and Peanut Inc</t>
  </si>
  <si>
    <t>Unadilla</t>
  </si>
  <si>
    <t xml:space="preserve">Macon                </t>
  </si>
  <si>
    <t>Monroe County Gin Co., Inc.</t>
  </si>
  <si>
    <t>Uriah</t>
  </si>
  <si>
    <t xml:space="preserve">Monroe               </t>
  </si>
  <si>
    <t>Mesa Farmers Cooperative Inc</t>
  </si>
  <si>
    <t>Vado</t>
  </si>
  <si>
    <t xml:space="preserve">Dona ana             </t>
  </si>
  <si>
    <t>Vernon Compress Company</t>
  </si>
  <si>
    <t>Vernon</t>
  </si>
  <si>
    <t xml:space="preserve">Wilbarger            </t>
  </si>
  <si>
    <t>Planters Warehouse-Vienna</t>
  </si>
  <si>
    <t>Vienna</t>
  </si>
  <si>
    <t>Vienna Cotton Co Inc</t>
  </si>
  <si>
    <t>West Bonded Warehouse/Dooly Gin</t>
  </si>
  <si>
    <t>Farmers Gin and Stg Co</t>
  </si>
  <si>
    <t>Wadley</t>
  </si>
  <si>
    <t>West Florida Gin and Warehouse</t>
  </si>
  <si>
    <t>Walnut Hill</t>
  </si>
  <si>
    <t>Collins Bonded Warehouse, Inc.</t>
  </si>
  <si>
    <t>Waynesboro</t>
  </si>
  <si>
    <t>Roanoke Ag Bonded Warehouse</t>
  </si>
  <si>
    <t>Weldon</t>
  </si>
  <si>
    <t>CIL- Prev-Colimar Inc</t>
  </si>
  <si>
    <t xml:space="preserve">Hidalgo              </t>
  </si>
  <si>
    <t>Marion Distribution Center</t>
  </si>
  <si>
    <t>West Memphis</t>
  </si>
  <si>
    <t>Union Comp/W Memphis</t>
  </si>
  <si>
    <t>UNCOMP</t>
  </si>
  <si>
    <t>Staplcotn/W. Memphis</t>
  </si>
  <si>
    <t>STWHSE</t>
  </si>
  <si>
    <t>Riverbend Warehouse</t>
  </si>
  <si>
    <t>RIVBEN</t>
  </si>
  <si>
    <t>CIL Warehouse</t>
  </si>
  <si>
    <t>Willacy County</t>
  </si>
  <si>
    <t>Paxton Bonded Storage Firestone</t>
  </si>
  <si>
    <t>Wilson</t>
  </si>
  <si>
    <t>Paxton Bonded Warehouse</t>
  </si>
  <si>
    <t>Commonwealth Cotton Warehouse</t>
  </si>
  <si>
    <t>Windsor</t>
  </si>
  <si>
    <t xml:space="preserve">Isle of wight        </t>
  </si>
  <si>
    <t>Franklin Cotton Warehouse</t>
  </si>
  <si>
    <t>Winnsboro</t>
  </si>
  <si>
    <t xml:space="preserve">Franklin             </t>
  </si>
  <si>
    <t>Cert Loc</t>
  </si>
  <si>
    <t>Greenville</t>
  </si>
  <si>
    <t>Mexico</t>
  </si>
  <si>
    <t>Delivery Storage (months)</t>
  </si>
  <si>
    <t>Stopping Storage (months)</t>
  </si>
  <si>
    <t>Per Bale</t>
  </si>
  <si>
    <t>Total Carry</t>
  </si>
  <si>
    <t>Cash</t>
  </si>
  <si>
    <t>Equity</t>
  </si>
  <si>
    <t>ESO</t>
  </si>
  <si>
    <t>Flat Bed Fees</t>
  </si>
  <si>
    <t>Late Fees</t>
  </si>
  <si>
    <t>Transportation Adjust</t>
  </si>
  <si>
    <t>Misc  Fees</t>
  </si>
  <si>
    <t>Grace Period</t>
  </si>
  <si>
    <t>24 hrs</t>
  </si>
  <si>
    <t>3 days</t>
  </si>
  <si>
    <t>Origin State</t>
  </si>
  <si>
    <t>Dest City</t>
  </si>
  <si>
    <t>Dest State</t>
  </si>
  <si>
    <t>Specific Freight Look Up</t>
  </si>
  <si>
    <t>Jonny Sheet Look Up</t>
  </si>
  <si>
    <t>LH</t>
  </si>
  <si>
    <t>FSC</t>
  </si>
  <si>
    <t>Buffer</t>
  </si>
  <si>
    <t>Final</t>
  </si>
  <si>
    <t>PTS</t>
  </si>
  <si>
    <t>Garden City</t>
  </si>
  <si>
    <t>GARDEN CITY</t>
  </si>
  <si>
    <t>ABBEVILLEALGARDEN CITYGA</t>
  </si>
  <si>
    <t>ALBANYGAGARDEN CITYGA</t>
  </si>
  <si>
    <t>ALBEMARLENCGARDEN CITYGA</t>
  </si>
  <si>
    <t>AMERICUSGAGARDEN CITYGA</t>
  </si>
  <si>
    <t>ANDALUSIAALGARDEN CITYGA</t>
  </si>
  <si>
    <t>ARLINGTONGAGARDEN CITYGA</t>
  </si>
  <si>
    <t>ATHENSALGARDEN CITYGA</t>
  </si>
  <si>
    <t>BAINBRIDGEGAGARDEN CITYGA</t>
  </si>
  <si>
    <t>BARTOWGAGARDEN CITYGA</t>
  </si>
  <si>
    <t>BAXLEYGAGARDEN CITYGA</t>
  </si>
  <si>
    <t>BELLE MINAALGARDEN CITYGA</t>
  </si>
  <si>
    <t>BENNETTSVILLESCGARDEN CITYGA</t>
  </si>
  <si>
    <t>BETHELNCGARDEN CITYGA</t>
  </si>
  <si>
    <t>BISHOPVILLESCGARDEN CITYGA</t>
  </si>
  <si>
    <t>BLAKELYGAGARDEN CITYGA</t>
  </si>
  <si>
    <t>BLYTHEVILLEARGARDEN CITYGA</t>
  </si>
  <si>
    <t>BOSTONGAGARDEN CITYGA</t>
  </si>
  <si>
    <t>BOSTWICKGAGARDEN CITYGA</t>
  </si>
  <si>
    <t>BRONWOODGAGARDEN CITYGA</t>
  </si>
  <si>
    <t>BROOKFIELDGAGARDEN CITYGA</t>
  </si>
  <si>
    <t>BROOKLETGAGARDEN CITYGA</t>
  </si>
  <si>
    <t>BROWNSVILLETNGARDEN CITYGA</t>
  </si>
  <si>
    <t>BUENA VISTAGAGARDEN CITYGA</t>
  </si>
  <si>
    <t>BYROMVILLEGAGARDEN CITYGA</t>
  </si>
  <si>
    <t>CAMERONSCGARDEN CITYGA</t>
  </si>
  <si>
    <t>CAMILLAGAGARDEN CITYGA</t>
  </si>
  <si>
    <t>CENTREALGARDEN CITYGA</t>
  </si>
  <si>
    <t>CHARLESTONSCGARDEN CITYGA</t>
  </si>
  <si>
    <t>CHOCOWINITYNCGARDEN CITYGA</t>
  </si>
  <si>
    <t>CLARKTONNCGARDEN CITYGA</t>
  </si>
  <si>
    <t>CLIMAXGAGARDEN CITYGA</t>
  </si>
  <si>
    <t>CLIOSCGARDEN CITYGA</t>
  </si>
  <si>
    <t>COCHRANGAGARDEN CITYGA</t>
  </si>
  <si>
    <t>COLQUITTGAGARDEN CITYGA</t>
  </si>
  <si>
    <t>COMMERCEGAGARDEN CITYGA</t>
  </si>
  <si>
    <t>CORDELEGAGARDEN CITYGA</t>
  </si>
  <si>
    <t>COURTLANDALGARDEN CITYGA</t>
  </si>
  <si>
    <t>CUTHBERTGAGARDEN CITYGA</t>
  </si>
  <si>
    <t>DARLINGTONSCGARDEN CITYGA</t>
  </si>
  <si>
    <t>DEATSVILLEALGARDEN CITYGA</t>
  </si>
  <si>
    <t>DECATURALGARDEN CITYGA</t>
  </si>
  <si>
    <t>DEXTERGAGARDEN CITYGA</t>
  </si>
  <si>
    <t>DILLONSCGARDEN CITYGA</t>
  </si>
  <si>
    <t>DOERUNGAGARDEN CITYGA</t>
  </si>
  <si>
    <t>DONALSONVILLEGAGARDEN CITYGA</t>
  </si>
  <si>
    <t>DOREUNGAGARDEN CITYGA</t>
  </si>
  <si>
    <t>DOTHANALGARDEN CITYGA</t>
  </si>
  <si>
    <t>DOUGLASGAGARDEN CITYGA</t>
  </si>
  <si>
    <t>DUBLINGAGARDEN CITYGA</t>
  </si>
  <si>
    <t>DUDLEYGAGARDEN CITYGA</t>
  </si>
  <si>
    <t>DUNNNCGARDEN CITYGA</t>
  </si>
  <si>
    <t>ECLECTICALGARDEN CITYGA</t>
  </si>
  <si>
    <t>EDENTONNCGARDEN CITYGA</t>
  </si>
  <si>
    <t>EDISONGAGARDEN CITYGA</t>
  </si>
  <si>
    <t>ELLOREESCGARDEN CITYGA</t>
  </si>
  <si>
    <t>ELM CITYNCGARDEN CITYGA</t>
  </si>
  <si>
    <t>EMPORIAVAGARDEN CITYGA</t>
  </si>
  <si>
    <t>ENFIELDNCGARDEN CITYGA</t>
  </si>
  <si>
    <t>ENIGMAGAGARDEN CITYGA</t>
  </si>
  <si>
    <t>ENTERPRISEALGARDEN CITYGA</t>
  </si>
  <si>
    <t>ERWINNCGARDEN CITYGA</t>
  </si>
  <si>
    <t>EVERETTSNCGARDEN CITYGA</t>
  </si>
  <si>
    <t>FITZGERALDGAGARDEN CITYGA</t>
  </si>
  <si>
    <t>FLORENCEALGARDEN CITYGA</t>
  </si>
  <si>
    <t>FUNSTONGAGARDEN CITYGA</t>
  </si>
  <si>
    <t>GARDEN CITYGAGARDEN CITYGA</t>
  </si>
  <si>
    <t>GARYSBURGNCGARDEN CITYGA</t>
  </si>
  <si>
    <t>GASTONIANCGARDEN CITYGA</t>
  </si>
  <si>
    <t>GATESNCGARDEN CITYGA</t>
  </si>
  <si>
    <t>GATESVILLENCGARDEN CITYGA</t>
  </si>
  <si>
    <t>GOLDSBORONCGARDEN CITYGA</t>
  </si>
  <si>
    <t>GREENVILLESCGARDEN CITYGA</t>
  </si>
  <si>
    <t>GREERSCGARDEN CITYGA</t>
  </si>
  <si>
    <t>HARTFORDALGARDEN CITYGA</t>
  </si>
  <si>
    <t>HARTSVILLESCGARDEN CITYGA</t>
  </si>
  <si>
    <t>HAWKINSVILLEGAGARDEN CITYGA</t>
  </si>
  <si>
    <t>HAZELHURSTGAGARDEN CITYGA</t>
  </si>
  <si>
    <t>HAZLEHURSTGAGARDEN CITYGA</t>
  </si>
  <si>
    <t>HEADLANDALGARDEN CITYGA</t>
  </si>
  <si>
    <t>HERTFORDNCGARDEN CITYGA</t>
  </si>
  <si>
    <t>HILLSBOROALGARDEN CITYGA</t>
  </si>
  <si>
    <t>HOBGOODNCGARDEN CITYGA</t>
  </si>
  <si>
    <t>HUMBOLDTTNGARDEN CITYGA</t>
  </si>
  <si>
    <t>HUNTSVILLEALGARDEN CITYGA</t>
  </si>
  <si>
    <t>INVERNESSMSGARDEN CITYGA</t>
  </si>
  <si>
    <t>JACKSONNCGARDEN CITYGA</t>
  </si>
  <si>
    <t>JACKSONTNGARDEN CITYGA</t>
  </si>
  <si>
    <t>JAYFLGARDEN CITYGA</t>
  </si>
  <si>
    <t>KINSTONNCGARDEN CITYGA</t>
  </si>
  <si>
    <t>LA GRANGENCGARDEN CITYGA</t>
  </si>
  <si>
    <t>LAKE CITYSCGARDEN CITYGA</t>
  </si>
  <si>
    <t>LAKE PROVIDENCELAGARDEN CITYGA</t>
  </si>
  <si>
    <t>LAKECITYSCGARDEN CITYGA</t>
  </si>
  <si>
    <t>LAMARSCGARDEN CITYGA</t>
  </si>
  <si>
    <t>LAUREL HILLNCGARDEN CITYGA</t>
  </si>
  <si>
    <t>LAURINBURGNCGARDEN CITYGA</t>
  </si>
  <si>
    <t>LEIGHTONALGARDEN CITYGA</t>
  </si>
  <si>
    <t>LENOXGAGARDEN CITYGA</t>
  </si>
  <si>
    <t>LOWELLNCGARDEN CITYGA</t>
  </si>
  <si>
    <t>LOXLEYALGARDEN CITYGA</t>
  </si>
  <si>
    <t>LUMBERTONNCGARDEN CITYGA</t>
  </si>
  <si>
    <t>LYNCHBURGSCGARDEN CITYGA</t>
  </si>
  <si>
    <t>MADISONGAGARDEN CITYGA</t>
  </si>
  <si>
    <t>MALDENMOGARDEN CITYGA</t>
  </si>
  <si>
    <t>MANNINGSCGARDEN CITYGA</t>
  </si>
  <si>
    <t>MARIANNAARGARDEN CITYGA</t>
  </si>
  <si>
    <t>MCCULLOUGHALGARDEN CITYGA</t>
  </si>
  <si>
    <t>MEIGSGAGARDEN CITYGA</t>
  </si>
  <si>
    <t>MEMPHISTNGARDEN CITYGA</t>
  </si>
  <si>
    <t>METTERGAGARDEN CITYGA</t>
  </si>
  <si>
    <t>MIDVILLEGAGARDEN CITYGA</t>
  </si>
  <si>
    <t>MILANTNGARDEN CITYGA</t>
  </si>
  <si>
    <t>MILLENGAGARDEN CITYGA</t>
  </si>
  <si>
    <t>MINTURNSCGARDEN CITYGA</t>
  </si>
  <si>
    <t>MONETTEARGARDEN CITYGA</t>
  </si>
  <si>
    <t>MONROEGAGARDEN CITYGA</t>
  </si>
  <si>
    <t>MOULTRIEGAGARDEN CITYGA</t>
  </si>
  <si>
    <t>MOUNT PLEASANTSCGARDEN CITYGA</t>
  </si>
  <si>
    <t>MURFREESBORONCGARDEN CITYGA</t>
  </si>
  <si>
    <t>NEW ALBANYMSGARDEN CITYGA</t>
  </si>
  <si>
    <t>NEW LONDONNCGARDEN CITYGA</t>
  </si>
  <si>
    <t>NEW MARKETALGARDEN CITYGA</t>
  </si>
  <si>
    <t>NEWTON GROVENCGARDEN CITYGA</t>
  </si>
  <si>
    <t>NORMAN PARKGAGARDEN CITYGA</t>
  </si>
  <si>
    <t>NORTHSCGARDEN CITYGA</t>
  </si>
  <si>
    <t>OCILLAGAGARDEN CITYGA</t>
  </si>
  <si>
    <t>OMEGAGAGARDEN CITYGA</t>
  </si>
  <si>
    <t>PANTEGONCGARDEN CITYGA</t>
  </si>
  <si>
    <t>PELHAMGAGARDEN CITYGA</t>
  </si>
  <si>
    <t>PIEDMONTALGARDEN CITYGA</t>
  </si>
  <si>
    <t>PINEHURSTGAGARDEN CITYGA</t>
  </si>
  <si>
    <t>PITTSGAGARDEN CITYGA</t>
  </si>
  <si>
    <t>PORT WENTWORTHGAGARDEN CITYGA</t>
  </si>
  <si>
    <t>PORTLANDARGARDEN CITYGA</t>
  </si>
  <si>
    <t>QUITMANGAGARDEN CITYGA</t>
  </si>
  <si>
    <t>RAEFORDNCGARDEN CITYGA</t>
  </si>
  <si>
    <t>RINCONGAGARDEN CITYGA</t>
  </si>
  <si>
    <t>ROANOKE RAPIDSNCGARDEN CITYGA</t>
  </si>
  <si>
    <t>ROCHELLEGAGARDEN CITYGA</t>
  </si>
  <si>
    <t>SAINT MATTHEWSSCGARDEN CITYGA</t>
  </si>
  <si>
    <t>SALTILLOMSGARDEN CITYGA</t>
  </si>
  <si>
    <t>SANFORDNCGARDEN CITYGA</t>
  </si>
  <si>
    <t>SAVANNAHGAGARDEN CITYGA</t>
  </si>
  <si>
    <t>SCOTLAND NECKNCGARDEN CITYGA</t>
  </si>
  <si>
    <t>SEABOARDNCGARDEN CITYGA</t>
  </si>
  <si>
    <t>SELMAALGARDEN CITYGA</t>
  </si>
  <si>
    <t>SHELBYNCGARDEN CITYGA</t>
  </si>
  <si>
    <t>SHELLMANGAGARDEN CITYGA</t>
  </si>
  <si>
    <t>SOMERVILLETNGARDEN CITYGA</t>
  </si>
  <si>
    <t>SPARTANBURGSCGARDEN CITYGA</t>
  </si>
  <si>
    <t>ST. MATTHEWSSCGARDEN CITYGA</t>
  </si>
  <si>
    <t>ST.MATTHEWSSCGARDEN CITYGA</t>
  </si>
  <si>
    <t>STATESBOROGAGARDEN CITYGA</t>
  </si>
  <si>
    <t>SUFFOLKVAGARDEN CITYGA</t>
  </si>
  <si>
    <t>SUMTERSCGARDEN CITYGA</t>
  </si>
  <si>
    <t>SURRENCYGAGARDEN CITYGA</t>
  </si>
  <si>
    <t>SWEET WATERALGARDEN CITYGA</t>
  </si>
  <si>
    <t>SYCAMOREGAGARDEN CITYGA</t>
  </si>
  <si>
    <t>SYLVANIAGAGARDEN CITYGA</t>
  </si>
  <si>
    <t>SYLVESTERGAGARDEN CITYGA</t>
  </si>
  <si>
    <t>TALLASSEEALGARDEN CITYGA</t>
  </si>
  <si>
    <t>TARBORONCGARDEN CITYGA</t>
  </si>
  <si>
    <t>TAYLORSSCGARDEN CITYGA</t>
  </si>
  <si>
    <t>TAYLORSVILLEGAGARDEN CITYGA</t>
  </si>
  <si>
    <t>THEODOREALGARDEN CITYGA</t>
  </si>
  <si>
    <t>THOMASVILLEGAGARDEN CITYGA</t>
  </si>
  <si>
    <t>TIFTONGAGARDEN CITYGA</t>
  </si>
  <si>
    <t>TOWN CREEKALGARDEN CITYGA</t>
  </si>
  <si>
    <t>TRENTONNCGARDEN CITYGA</t>
  </si>
  <si>
    <t>TYNERNCGARDEN CITYGA</t>
  </si>
  <si>
    <t>UNADILLAGAGARDEN CITYGA</t>
  </si>
  <si>
    <t>URIAHALGARDEN CITYGA</t>
  </si>
  <si>
    <t>VALDOSTAGAGARDEN CITYGA</t>
  </si>
  <si>
    <t>VIENNAGAGARDEN CITYGA</t>
  </si>
  <si>
    <t>WADESBORONCGARDEN CITYGA</t>
  </si>
  <si>
    <t>WADLEYGAGARDEN CITYGA</t>
  </si>
  <si>
    <t>WALNUT HILLFLGARDEN CITYGA</t>
  </si>
  <si>
    <t>WAYNESBOROGAGARDEN CITYGA</t>
  </si>
  <si>
    <t>WELDONNCGARDEN CITYGA</t>
  </si>
  <si>
    <t>WESTONGAGARDEN CITYGA</t>
  </si>
  <si>
    <t>WILLIAMSTONNCGARDEN CITYGA</t>
  </si>
  <si>
    <t>WILSONNCGARDEN CITYGA</t>
  </si>
  <si>
    <t>WINDSORVAGARDEN CITYGA</t>
  </si>
  <si>
    <t>WINSTON SALEMNCGARDEN CITYGA</t>
  </si>
  <si>
    <t>WRIGHTSVILLEGAGARDEN CITYGA</t>
  </si>
  <si>
    <t>MEMPHIS</t>
  </si>
  <si>
    <t>ABBEVILLEALMEMPHISTN</t>
  </si>
  <si>
    <t>ABERDEENMSMEMPHISTN</t>
  </si>
  <si>
    <t>ABERNATHYTXMEMPHISTN</t>
  </si>
  <si>
    <t>ALBANYGAMEMPHISTN</t>
  </si>
  <si>
    <t>ALBEMARLENCMEMPHISTN</t>
  </si>
  <si>
    <t>ALEXANDRIALAMEMPHISTN</t>
  </si>
  <si>
    <t>ALTUSOKMEMPHISTN</t>
  </si>
  <si>
    <t>AMARILLOTXMEMPHISTN</t>
  </si>
  <si>
    <t>AMERICUSGAMEMPHISTN</t>
  </si>
  <si>
    <t>ANDALUSIAALMEMPHISTN</t>
  </si>
  <si>
    <t>ARBYRDMOMEMPHISTN</t>
  </si>
  <si>
    <t>ARLINGTONGAMEMPHISTN</t>
  </si>
  <si>
    <t>ATHENSALMEMPHISTN</t>
  </si>
  <si>
    <t>BAINBRIDGEGAMEMPHISTN</t>
  </si>
  <si>
    <t>BALLINGERTXMEMPHISTN</t>
  </si>
  <si>
    <t>BARTOWGAMEMPHISTN</t>
  </si>
  <si>
    <t>BATESVILLEMSMEMPHISTN</t>
  </si>
  <si>
    <t>BAXLEYGAMEMPHISTN</t>
  </si>
  <si>
    <t>BELDENMSMEMPHISTN</t>
  </si>
  <si>
    <t>BELLE MINAALMEMPHISTN</t>
  </si>
  <si>
    <t>BELZONIARMEMPHISMS</t>
  </si>
  <si>
    <t>BELZONIMSMEMPHISTN</t>
  </si>
  <si>
    <t>BEMISTNMEMPHISTN</t>
  </si>
  <si>
    <t>BENNETTSVILLESCMEMPHISTN</t>
  </si>
  <si>
    <t>BISHOPVILLESCMEMPHISTN</t>
  </si>
  <si>
    <t>BLAKELYGAMEMPHISTN</t>
  </si>
  <si>
    <t>BLYTHEVILLEARMEMPHISTN</t>
  </si>
  <si>
    <t>BOSTONGAMEMPHISTN</t>
  </si>
  <si>
    <t>BRADLEYARMEMPHISTN</t>
  </si>
  <si>
    <t>BRINKLEYARMEMPHISTN</t>
  </si>
  <si>
    <t>BRONWOODGAMEMPHISTN</t>
  </si>
  <si>
    <t>BROOKLETGAMEMPHISTN</t>
  </si>
  <si>
    <t>BROWNSVILLETNMEMPHISTN</t>
  </si>
  <si>
    <t>BUENA VISTAGAMEMPHISTN</t>
  </si>
  <si>
    <t>BURLISONTNMEMPHISTN</t>
  </si>
  <si>
    <t>BYROMVILLEGAMEMPHISTN</t>
  </si>
  <si>
    <t>CALDWELLARMEMPHISTN</t>
  </si>
  <si>
    <t>CAMERONSCMEMPHISTN</t>
  </si>
  <si>
    <t>CAMILLAGAMEMPHISTN</t>
  </si>
  <si>
    <t>CANTONMSMEMPHISTN</t>
  </si>
  <si>
    <t>CARUTHERSVILLEMOMEMPHISTN</t>
  </si>
  <si>
    <t>CENTREALMEMPHISTN</t>
  </si>
  <si>
    <t>CLARKSDALEMSMEMPHISTN</t>
  </si>
  <si>
    <t>CLARKTONNCMEMPHISTN</t>
  </si>
  <si>
    <t>CLEVELANDMSMEMPHISTN</t>
  </si>
  <si>
    <t>CLIMAXGAMEMPHISTN</t>
  </si>
  <si>
    <t>CLIOSCMEMPHISTN</t>
  </si>
  <si>
    <t>COCHRANGAMEMPHISTN</t>
  </si>
  <si>
    <t>COLQUITTGAMEMPHISTN</t>
  </si>
  <si>
    <t>COOTERMOMEMPHISTN</t>
  </si>
  <si>
    <t>CORDELEGAMEMPHISTN</t>
  </si>
  <si>
    <t>COURTLANDALMEMPHISTN</t>
  </si>
  <si>
    <t>COVINGTONTNMEMPHISTN</t>
  </si>
  <si>
    <t>CRAWFORDSVILLEARMEMPHISTN</t>
  </si>
  <si>
    <t>CUTHBERTGAMEMPHISTN</t>
  </si>
  <si>
    <t>DEATSVILLEALMEMPHISTN</t>
  </si>
  <si>
    <t>DECATURALMEMPHISTN</t>
  </si>
  <si>
    <t>DELLARMEMPHISTN</t>
  </si>
  <si>
    <t>DERMOTTARMEMPHISTN</t>
  </si>
  <si>
    <t>DEXTERGAMEMPHISTN</t>
  </si>
  <si>
    <t>DILLONSCMEMPHISTN</t>
  </si>
  <si>
    <t>DOERUNGAMEMPHISTN</t>
  </si>
  <si>
    <t>DONALSONVILLEGAMEMPHISTN</t>
  </si>
  <si>
    <t>DOTHANALMEMPHISTN</t>
  </si>
  <si>
    <t>DOUGLASGAMEMPHISTN</t>
  </si>
  <si>
    <t>DREWMSMEMPHISTN</t>
  </si>
  <si>
    <t>DUBLINGAMEMPHISTN</t>
  </si>
  <si>
    <t>DUDLEYGAMEMPHISTN</t>
  </si>
  <si>
    <t>DUMASARMEMPHISTN</t>
  </si>
  <si>
    <t>DUNNNCMEMPHISTN</t>
  </si>
  <si>
    <t>DYERSBURGTNMEMPHISTN</t>
  </si>
  <si>
    <t>DYESSARMEMPHISTN</t>
  </si>
  <si>
    <t>ECLECTICALMEMPHISTN</t>
  </si>
  <si>
    <t>EDENTONNCMEMPHISTN</t>
  </si>
  <si>
    <t>ELAINEARMEMPHISTN</t>
  </si>
  <si>
    <t>ELLOREESCMEMPHISTN</t>
  </si>
  <si>
    <t>ELORATNMEMPHISTN</t>
  </si>
  <si>
    <t>EMPORIAVAMEMPHISTN</t>
  </si>
  <si>
    <t>ENFIELDNCMEMPHISTN</t>
  </si>
  <si>
    <t>ENGLANDARMEMPHISTN</t>
  </si>
  <si>
    <t>ENIGMAGAMEMPHISTN</t>
  </si>
  <si>
    <t>ENTERPRISEALMEMPHISTN</t>
  </si>
  <si>
    <t>ERWINNCMEMPHISTN</t>
  </si>
  <si>
    <t>EUDORAARMEMPHISTN</t>
  </si>
  <si>
    <t>EVADALEARMEMPHISTN</t>
  </si>
  <si>
    <t>EVERETTSNCMEMPHISTN</t>
  </si>
  <si>
    <t>FERRIDAYLAMEMPHISTN</t>
  </si>
  <si>
    <t>FLORAMSMEMPHISTN</t>
  </si>
  <si>
    <t>FLORENCEALMEMPHISTN</t>
  </si>
  <si>
    <t>FORREST CITYARMEMPHISTN</t>
  </si>
  <si>
    <t>FUNSTONGAMEMPHISTN</t>
  </si>
  <si>
    <t>GARDEN CITYGAMEMPHISTN</t>
  </si>
  <si>
    <t>GARYSBURGNCMEMPHISTN</t>
  </si>
  <si>
    <t>GASTONIANCMEMPHISTN</t>
  </si>
  <si>
    <t>GATESNCMEMPHISTN</t>
  </si>
  <si>
    <t>GATESVILLENCMEMPHISTN</t>
  </si>
  <si>
    <t>GIDEONMOMEMPHISTN</t>
  </si>
  <si>
    <t>GREENVILLEMSMEMPHISTN</t>
  </si>
  <si>
    <t>GREENWOODMSMEMPHISTN</t>
  </si>
  <si>
    <t>GREERSCMEMPHISTN</t>
  </si>
  <si>
    <t>GRENADAMSMEMPHISTN</t>
  </si>
  <si>
    <t>HALLSTNMEMPHISTN</t>
  </si>
  <si>
    <t>HARTFORDALMEMPHISTN</t>
  </si>
  <si>
    <t>HARTSVILLESCMEMPHISTN</t>
  </si>
  <si>
    <t>HAWKINSVILLEGAMEMPHISTN</t>
  </si>
  <si>
    <t>HAYTIMOMEMPHISTN</t>
  </si>
  <si>
    <t>HAZLEHURSTGAMEMPHISTN</t>
  </si>
  <si>
    <t>HEADLANDALMEMPHISTN</t>
  </si>
  <si>
    <t>HELENAARMEMPHISTN</t>
  </si>
  <si>
    <t>HILLSBOROALMEMPHISTN</t>
  </si>
  <si>
    <t>HOLLANDALEMSMEMPHISTN</t>
  </si>
  <si>
    <t>HOLLANDMOMEMPHISTN</t>
  </si>
  <si>
    <t>HOLLY BLUFFMSMEMPHISTN</t>
  </si>
  <si>
    <t>HOLLY SPRINGSMSMEMPHISTN</t>
  </si>
  <si>
    <t>HORN LAKEMSMEMPHISTN</t>
  </si>
  <si>
    <t>HORNERSVILLEMOMEMPHISTN</t>
  </si>
  <si>
    <t>HOUSTONMSMEMPHISTN</t>
  </si>
  <si>
    <t>HUMBOLDTTNMEMPHISAR</t>
  </si>
  <si>
    <t>HUMBOLDTTNMEMPHISTN</t>
  </si>
  <si>
    <t>HUNTSVILLEALMEMPHISTN</t>
  </si>
  <si>
    <t>INDIANOLAMSMEMPHISTN</t>
  </si>
  <si>
    <t>INVERNESSMSMEMPHISTN</t>
  </si>
  <si>
    <t>ITTA BENAMSMEMPHISTN</t>
  </si>
  <si>
    <t>ITTABENAMSMEMPHISTN</t>
  </si>
  <si>
    <t>JACKSONMSMEMPHISTN</t>
  </si>
  <si>
    <t>JACKSONTNMEMPHISTN</t>
  </si>
  <si>
    <t>JAYFLMEMPHISTN</t>
  </si>
  <si>
    <t>JONESBOROARMEMPHISTN</t>
  </si>
  <si>
    <t>JONESVILLELAMEMPHISTN</t>
  </si>
  <si>
    <t>KENNETTMOMEMPHISTN</t>
  </si>
  <si>
    <t>KOSCIUSKOMSMEMPHISTN</t>
  </si>
  <si>
    <t>LAKE PROVIDENCELAMEMPHISTN</t>
  </si>
  <si>
    <t>LEIGHTONALMEMPHISTN</t>
  </si>
  <si>
    <t>LELANDMSMEMPHISTN</t>
  </si>
  <si>
    <t>LENOXGAMEMPHISTN</t>
  </si>
  <si>
    <t>LIBERALKSMEMPHISTN</t>
  </si>
  <si>
    <t>LOCKNEYTXMEMPHISTN</t>
  </si>
  <si>
    <t>LOXLEYALMEMPHISTN</t>
  </si>
  <si>
    <t>LUBBOCKTXMEMPHISTN</t>
  </si>
  <si>
    <t>LUNDELLARMEMPHISTN</t>
  </si>
  <si>
    <t>LYNCHBURGSCMEMPHISTN</t>
  </si>
  <si>
    <t>MACONMSMEMPHISTN</t>
  </si>
  <si>
    <t>MADISONGAMEMPHISTN</t>
  </si>
  <si>
    <t>MALDENMOMEMPHISTN</t>
  </si>
  <si>
    <t>MANILAARMEMPHISTN</t>
  </si>
  <si>
    <t>MARIANNAARMEMPHISTN</t>
  </si>
  <si>
    <t>MASONTNMEMPHISTN</t>
  </si>
  <si>
    <t>MCCULLOUGHALMEMPHISTN</t>
  </si>
  <si>
    <t>MCGEHEEARMEMPHISTN</t>
  </si>
  <si>
    <t>MEIGSGAMEMPHISTN</t>
  </si>
  <si>
    <t>MEMPHISTNMEMPHISTN</t>
  </si>
  <si>
    <t>MEMPHISTXMEMPHISTN</t>
  </si>
  <si>
    <t>METTERGAMEMPHISTN</t>
  </si>
  <si>
    <t>MIDVILLEGAMEMPHISTN</t>
  </si>
  <si>
    <t>MILANTNMEMPHISTN</t>
  </si>
  <si>
    <t>MILLENGAMEMPHISTN</t>
  </si>
  <si>
    <t>MILLINGTONTNMEMPHISTN</t>
  </si>
  <si>
    <t>MISSIONTXMEMPHISTN</t>
  </si>
  <si>
    <t>MONETTEARMEMPHISTN</t>
  </si>
  <si>
    <t>MONROELAMEMPHISTN</t>
  </si>
  <si>
    <t>MOTETTEARMEMPHISTN</t>
  </si>
  <si>
    <t>MOULTRIEGAMEMPHISTN</t>
  </si>
  <si>
    <t>MURFREESBORONCMEMPHISTN</t>
  </si>
  <si>
    <t>NEW ALBANYMSMEMPHISTN</t>
  </si>
  <si>
    <t>NEW MADRIDMOMEMPHISTN</t>
  </si>
  <si>
    <t>NEW MARKETALMEMPHISTN</t>
  </si>
  <si>
    <t>NEW ORLEANSLAMEMPHISTN</t>
  </si>
  <si>
    <t>NEWTON GROVENCMEMPHISTN</t>
  </si>
  <si>
    <t>NORMAN PARKGAMEMPHISTN</t>
  </si>
  <si>
    <t>OAK GROVELAMEMPHISTN</t>
  </si>
  <si>
    <t>OCILLAGAMEMPHISTN</t>
  </si>
  <si>
    <t>OLIVE BRANCHMSMEMPHISTN</t>
  </si>
  <si>
    <t>OMEGAGAMEMPHISTN</t>
  </si>
  <si>
    <t>PARMAMOMEMPHISTN</t>
  </si>
  <si>
    <t>PELHAMGAMEMPHISTN</t>
  </si>
  <si>
    <t>PINEHURSTGAMEMPHISTN</t>
  </si>
  <si>
    <t>PITTSGAMEMPHISTN</t>
  </si>
  <si>
    <t>PLAINVIEWTXMEMPHISTN</t>
  </si>
  <si>
    <t>PORT WENTWORTHGAMEMPHISTN</t>
  </si>
  <si>
    <t>PORTAGEVILLEMOMEMPHISTN</t>
  </si>
  <si>
    <t>PORTLANDARMEMPHISTN</t>
  </si>
  <si>
    <t>PORTLANDMOMEMPHISTN</t>
  </si>
  <si>
    <t>PRAIRIEMSMEMPHISTN</t>
  </si>
  <si>
    <t>QUITMANMSMEMPHISTN</t>
  </si>
  <si>
    <t>RAEFORDNCMEMPHISTN</t>
  </si>
  <si>
    <t>RAYVILLELAMEMPHISTN</t>
  </si>
  <si>
    <t>RINCONGAMEMPHISTN</t>
  </si>
  <si>
    <t>RIPLEYTNMEMPHISTN</t>
  </si>
  <si>
    <t>ROANOKE RAPIDSNCMEMPHISTN</t>
  </si>
  <si>
    <t>ROLLING FORKMSMEMPHISTN</t>
  </si>
  <si>
    <t>SAINT MATTHEWSSCMEMPHISTN</t>
  </si>
  <si>
    <t>SALTILLOMSMEMPHISTN</t>
  </si>
  <si>
    <t>SAVANNAHGAMEMPHISTN</t>
  </si>
  <si>
    <t>SEABOARDNCMEMPHISTN</t>
  </si>
  <si>
    <t>SELMAALMEMPHISTN</t>
  </si>
  <si>
    <t>SENATHMOMEMPHISTN</t>
  </si>
  <si>
    <t>SHAWMSMEMPHISTN</t>
  </si>
  <si>
    <t>SHELBYMSMEMPHISTN</t>
  </si>
  <si>
    <t>SHELBYNCMEMPHISTN</t>
  </si>
  <si>
    <t>SHELLMANGAMEMPHISTN</t>
  </si>
  <si>
    <t>SOMERVILLETNMEMPHISTN</t>
  </si>
  <si>
    <t>ST JOSEPHLAMEMPHISTN</t>
  </si>
  <si>
    <t>ST MATTHEWSSCMEMPHISTN</t>
  </si>
  <si>
    <t>ST.JOSEPHLAMEMPHISTN</t>
  </si>
  <si>
    <t>STATESBOROGAMEMPHISTN</t>
  </si>
  <si>
    <t>STEELEMOMEMPHISTN</t>
  </si>
  <si>
    <t>SUDANTXMEMPHISTN</t>
  </si>
  <si>
    <t>SUFFOLKVAMEMPHISTN</t>
  </si>
  <si>
    <t>SURRENCYGAMEMPHISTN</t>
  </si>
  <si>
    <t>SWEET WATERALMEMPHISTN</t>
  </si>
  <si>
    <t>SWEETWATERTXMEMPHISTN</t>
  </si>
  <si>
    <t>SYCAMOREGAMEMPHISTN</t>
  </si>
  <si>
    <t>SYLVANIAGAMEMPHISTN</t>
  </si>
  <si>
    <t>SYLVESTERGAMEMPHISTN</t>
  </si>
  <si>
    <t>TALLASSEEALMEMPHISTN</t>
  </si>
  <si>
    <t>TALLULAHLAMEMPHISTN</t>
  </si>
  <si>
    <t>TARBORONCMEMPHISTN</t>
  </si>
  <si>
    <t>TAYLORSVILLEGAMEMPHISTN</t>
  </si>
  <si>
    <t>TCHULAMSMEMPHISTN</t>
  </si>
  <si>
    <t>THEODOREALMEMPHISTN</t>
  </si>
  <si>
    <t>TIFTONGAMEMPHISTN</t>
  </si>
  <si>
    <t>TOWN CREEKALMEMPHISTN</t>
  </si>
  <si>
    <t>TRENTONNCMEMPHISTN</t>
  </si>
  <si>
    <t>TRUMANNARMEMPHISTN</t>
  </si>
  <si>
    <t>TULIATXMEMPHISTN</t>
  </si>
  <si>
    <t>TUNICAMSMEMPHISTN</t>
  </si>
  <si>
    <t>TUPELOMSMEMPHISTN</t>
  </si>
  <si>
    <t>UNADILLAGAMEMPHISTN</t>
  </si>
  <si>
    <t>URIAHALMEMPHISTN</t>
  </si>
  <si>
    <t>VERNONTXMEMPHISTN</t>
  </si>
  <si>
    <t>VICKSBURGMSMEMPHISTN</t>
  </si>
  <si>
    <t>VIENNAGAMEMPHISTN</t>
  </si>
  <si>
    <t>WADLEYGAMEMPHISTN</t>
  </si>
  <si>
    <t>WALNUT HILLFLMEMPHISTN</t>
  </si>
  <si>
    <t>WAYNESBOROGAMEMPHISTN</t>
  </si>
  <si>
    <t>WESLACOTXMEMPHISTN</t>
  </si>
  <si>
    <t>WEST MEMPHISARMEMPHISTN</t>
  </si>
  <si>
    <t>WILSONNCMEMPHISTN</t>
  </si>
  <si>
    <t>WINNSBOROLAMEMPHISTN</t>
  </si>
  <si>
    <t>YAZOO CITYMSMEMPHISTN</t>
  </si>
  <si>
    <t>WESLACO</t>
  </si>
  <si>
    <t>SHELBY</t>
  </si>
  <si>
    <t>MINERAL SPRINGS</t>
  </si>
  <si>
    <t>RABUN GAP</t>
  </si>
  <si>
    <t>WALNUT COVE</t>
  </si>
  <si>
    <t>SANFORD</t>
  </si>
  <si>
    <t>LEXINGTON</t>
  </si>
  <si>
    <t>HILLSVILLE</t>
  </si>
  <si>
    <t>SPARTA</t>
  </si>
  <si>
    <t>GAFFNEY</t>
  </si>
  <si>
    <t>SALISBURY</t>
  </si>
  <si>
    <t>EDEN</t>
  </si>
  <si>
    <t>MAYODAN</t>
  </si>
  <si>
    <t>Origin City</t>
  </si>
  <si>
    <t>ABBEVILLE</t>
  </si>
  <si>
    <t>ALBANY</t>
  </si>
  <si>
    <t>ALBEMARLE</t>
  </si>
  <si>
    <t>AMERICUS</t>
  </si>
  <si>
    <t>ANDALUSIA</t>
  </si>
  <si>
    <t>ARLINGTON</t>
  </si>
  <si>
    <t>ATHENS</t>
  </si>
  <si>
    <t>BAINBRIDGE</t>
  </si>
  <si>
    <t>BARTOW</t>
  </si>
  <si>
    <t>BAXLEY</t>
  </si>
  <si>
    <t>BELLE MINA</t>
  </si>
  <si>
    <t>BENNETTSVILLE</t>
  </si>
  <si>
    <t>BETHEL</t>
  </si>
  <si>
    <t>BISHOPVILLE</t>
  </si>
  <si>
    <t>BLAKELY</t>
  </si>
  <si>
    <t>BLYTHEVILLE</t>
  </si>
  <si>
    <t>BOSTON</t>
  </si>
  <si>
    <t>BOSTWICK</t>
  </si>
  <si>
    <t>BRONWOOD</t>
  </si>
  <si>
    <t>BROOKFIELD</t>
  </si>
  <si>
    <t>BROOKLET</t>
  </si>
  <si>
    <t>BROWNSVILLE</t>
  </si>
  <si>
    <t>BUENA VISTA</t>
  </si>
  <si>
    <t>BYROMVILLE</t>
  </si>
  <si>
    <t>CAMERON</t>
  </si>
  <si>
    <t>CAMILLA</t>
  </si>
  <si>
    <t>CENTRE</t>
  </si>
  <si>
    <t>CHARLESTON</t>
  </si>
  <si>
    <t>CHOCOWINITY</t>
  </si>
  <si>
    <t>CLARKTON</t>
  </si>
  <si>
    <t>CLIMAX</t>
  </si>
  <si>
    <t>CLIO</t>
  </si>
  <si>
    <t>COCHRAN</t>
  </si>
  <si>
    <t>COLQUITT</t>
  </si>
  <si>
    <t>COMMERCE</t>
  </si>
  <si>
    <t>CORDELE</t>
  </si>
  <si>
    <t>COURTLAND</t>
  </si>
  <si>
    <t>CUTHBERT</t>
  </si>
  <si>
    <t>DARLINGTON</t>
  </si>
  <si>
    <t>DEATSVILLE</t>
  </si>
  <si>
    <t>DECATUR</t>
  </si>
  <si>
    <t>DEXTER</t>
  </si>
  <si>
    <t>DILLON</t>
  </si>
  <si>
    <t>DOERUN</t>
  </si>
  <si>
    <t>DONALSONVILLE</t>
  </si>
  <si>
    <t>DOREUN</t>
  </si>
  <si>
    <t>DOTHAN</t>
  </si>
  <si>
    <t>DOUGLAS</t>
  </si>
  <si>
    <t>DUBLIN</t>
  </si>
  <si>
    <t>DUDLEY</t>
  </si>
  <si>
    <t>DUNN</t>
  </si>
  <si>
    <t>ECLECTIC</t>
  </si>
  <si>
    <t>EDENTON</t>
  </si>
  <si>
    <t>EDISON</t>
  </si>
  <si>
    <t>ELLOREE</t>
  </si>
  <si>
    <t>ELM CITY</t>
  </si>
  <si>
    <t>EMPORIA</t>
  </si>
  <si>
    <t>ENFIELD</t>
  </si>
  <si>
    <t>ENIGMA</t>
  </si>
  <si>
    <t>ENTERPRISE</t>
  </si>
  <si>
    <t>ERWIN</t>
  </si>
  <si>
    <t>EVERETTS</t>
  </si>
  <si>
    <t>FITZGERALD</t>
  </si>
  <si>
    <t>FLORENCE</t>
  </si>
  <si>
    <t>FUNSTON</t>
  </si>
  <si>
    <t>GARYSBURG</t>
  </si>
  <si>
    <t>GASTONIA</t>
  </si>
  <si>
    <t>GATES</t>
  </si>
  <si>
    <t>GATESVILLE</t>
  </si>
  <si>
    <t>GOLDSBORO</t>
  </si>
  <si>
    <t>GREENVILLE</t>
  </si>
  <si>
    <t>GREENWOOD</t>
  </si>
  <si>
    <t>GREER</t>
  </si>
  <si>
    <t>HARTFORD</t>
  </si>
  <si>
    <t>HARTSVILLE</t>
  </si>
  <si>
    <t>HAWKINSVILLE</t>
  </si>
  <si>
    <t>HAZELHURST</t>
  </si>
  <si>
    <t>HAZLEHURST</t>
  </si>
  <si>
    <t>HEADLAND</t>
  </si>
  <si>
    <t>HERTFORD</t>
  </si>
  <si>
    <t>HILLSBORO</t>
  </si>
  <si>
    <t>HOBGOOD</t>
  </si>
  <si>
    <t>HUMBOLDT</t>
  </si>
  <si>
    <t>HUNTSVILLE</t>
  </si>
  <si>
    <t>INVERNESS</t>
  </si>
  <si>
    <t>JACKSON</t>
  </si>
  <si>
    <t>JAY</t>
  </si>
  <si>
    <t>KINSTON</t>
  </si>
  <si>
    <t>LA GRANGE</t>
  </si>
  <si>
    <t>LAKE CITY</t>
  </si>
  <si>
    <t>LAKE PROVIDENCE</t>
  </si>
  <si>
    <t>LAKECITY</t>
  </si>
  <si>
    <t>LAMAR</t>
  </si>
  <si>
    <t>LAUREL HILL</t>
  </si>
  <si>
    <t>LAURINBURG</t>
  </si>
  <si>
    <t>LEIGHTON</t>
  </si>
  <si>
    <t>LENOX</t>
  </si>
  <si>
    <t>LOWELL</t>
  </si>
  <si>
    <t>LOXLEY</t>
  </si>
  <si>
    <t>LUMBERTON</t>
  </si>
  <si>
    <t>LYNCHBURG</t>
  </si>
  <si>
    <t>MADISON</t>
  </si>
  <si>
    <t>MALDEN</t>
  </si>
  <si>
    <t>MANNING</t>
  </si>
  <si>
    <t>MARIANNA</t>
  </si>
  <si>
    <t>MCCULLOUGH</t>
  </si>
  <si>
    <t>MEIGS</t>
  </si>
  <si>
    <t>METTER</t>
  </si>
  <si>
    <t>MIDVILLE</t>
  </si>
  <si>
    <t>MILAN</t>
  </si>
  <si>
    <t>MILLEN</t>
  </si>
  <si>
    <t>MINTURN</t>
  </si>
  <si>
    <t>MONETTE</t>
  </si>
  <si>
    <t>MONROE</t>
  </si>
  <si>
    <t>MOULTRIE</t>
  </si>
  <si>
    <t>MOUNT PLEASANT</t>
  </si>
  <si>
    <t>MURFREESBORO</t>
  </si>
  <si>
    <t>NEW ALBANY</t>
  </si>
  <si>
    <t>NEW LONDON</t>
  </si>
  <si>
    <t>NEW MARKET</t>
  </si>
  <si>
    <t>NEWTON GROVE</t>
  </si>
  <si>
    <t>NORMAN PARK</t>
  </si>
  <si>
    <t>NORTH</t>
  </si>
  <si>
    <t>OCILLA</t>
  </si>
  <si>
    <t>OMEGA</t>
  </si>
  <si>
    <t>ORANGEBURG</t>
  </si>
  <si>
    <t>PANTEGO</t>
  </si>
  <si>
    <t>PELHAM</t>
  </si>
  <si>
    <t>PIEDMONT</t>
  </si>
  <si>
    <t>PINEHURST</t>
  </si>
  <si>
    <t>PITTS</t>
  </si>
  <si>
    <t>PORT WENTWORTH</t>
  </si>
  <si>
    <t>PORTLAND</t>
  </si>
  <si>
    <t>QUITMAN</t>
  </si>
  <si>
    <t>RAEFORD</t>
  </si>
  <si>
    <t>RINCON</t>
  </si>
  <si>
    <t>ROANOKE RAPIDS</t>
  </si>
  <si>
    <t>ROCHELLE</t>
  </si>
  <si>
    <t>SAINT MATTHEWS</t>
  </si>
  <si>
    <t>SALTILLO</t>
  </si>
  <si>
    <t>SAVANNAH</t>
  </si>
  <si>
    <t>SCOTLAND NECK</t>
  </si>
  <si>
    <t>SEABOARD</t>
  </si>
  <si>
    <t>SHELLMAN</t>
  </si>
  <si>
    <t>SOMERVILLE</t>
  </si>
  <si>
    <t>SPARTANBURG</t>
  </si>
  <si>
    <t>ST. MATTHEWS</t>
  </si>
  <si>
    <t>ST.MATTHEWS</t>
  </si>
  <si>
    <t>STATESBORO</t>
  </si>
  <si>
    <t>SUFFOLK</t>
  </si>
  <si>
    <t>SUMTER</t>
  </si>
  <si>
    <t>SURRENCY</t>
  </si>
  <si>
    <t>SWEET WATER</t>
  </si>
  <si>
    <t>SYCAMORE</t>
  </si>
  <si>
    <t>SYLVANIA</t>
  </si>
  <si>
    <t>SYLVESTER</t>
  </si>
  <si>
    <t>TALLASSEE</t>
  </si>
  <si>
    <t>TARBORO</t>
  </si>
  <si>
    <t>TAYLORS</t>
  </si>
  <si>
    <t>TAYLORSVILLE</t>
  </si>
  <si>
    <t>THEODORE</t>
  </si>
  <si>
    <t>THOMASVILLE</t>
  </si>
  <si>
    <t>TIFTON</t>
  </si>
  <si>
    <t>TOWN CREEK</t>
  </si>
  <si>
    <t>TRENTON</t>
  </si>
  <si>
    <t>TURKEY</t>
  </si>
  <si>
    <t>TYNER</t>
  </si>
  <si>
    <t>UNADILLA</t>
  </si>
  <si>
    <t>URIAH</t>
  </si>
  <si>
    <t>VALDOSTA</t>
  </si>
  <si>
    <t>VIENNA</t>
  </si>
  <si>
    <t>WADESBORO</t>
  </si>
  <si>
    <t>WADLEY</t>
  </si>
  <si>
    <t>WALNUT HILL</t>
  </si>
  <si>
    <t>WAYNESBORO</t>
  </si>
  <si>
    <t>WELDON</t>
  </si>
  <si>
    <t>WESTON</t>
  </si>
  <si>
    <t>WILLIAMSTON</t>
  </si>
  <si>
    <t>WILSON</t>
  </si>
  <si>
    <t>WINDSOR</t>
  </si>
  <si>
    <t>WINSTON SALEM</t>
  </si>
  <si>
    <t>WRIGHTSVILLE</t>
  </si>
  <si>
    <t>ABERDEEN</t>
  </si>
  <si>
    <t>ABERNATHY</t>
  </si>
  <si>
    <t>ALEXANDRIA</t>
  </si>
  <si>
    <t>ALTUS</t>
  </si>
  <si>
    <t>AMARILLO</t>
  </si>
  <si>
    <t>ARBYRD</t>
  </si>
  <si>
    <t>BALLINGER</t>
  </si>
  <si>
    <t>BATESVILLE</t>
  </si>
  <si>
    <t>BELDEN</t>
  </si>
  <si>
    <t>BELZONI</t>
  </si>
  <si>
    <t>BEMIS</t>
  </si>
  <si>
    <t>BRADLEY</t>
  </si>
  <si>
    <t>BRINKLEY</t>
  </si>
  <si>
    <t>BURLISON</t>
  </si>
  <si>
    <t>CALDWELL</t>
  </si>
  <si>
    <t>CANTON</t>
  </si>
  <si>
    <t>CARUTHERSVILLE</t>
  </si>
  <si>
    <t>CLARKSDALE</t>
  </si>
  <si>
    <t>CLEVELAND</t>
  </si>
  <si>
    <t>COOTER</t>
  </si>
  <si>
    <t>COVINGTON</t>
  </si>
  <si>
    <t>CRAWFORDSVILLE</t>
  </si>
  <si>
    <t>DELL</t>
  </si>
  <si>
    <t>DERMOTT</t>
  </si>
  <si>
    <t>DREW</t>
  </si>
  <si>
    <t>DUMAS</t>
  </si>
  <si>
    <t>DYERSBURG</t>
  </si>
  <si>
    <t>DYESS</t>
  </si>
  <si>
    <t>ELAINE</t>
  </si>
  <si>
    <t>ELORA</t>
  </si>
  <si>
    <t>ENGLAND</t>
  </si>
  <si>
    <t>EUDORA</t>
  </si>
  <si>
    <t>EVADALE</t>
  </si>
  <si>
    <t>FERRIDAY</t>
  </si>
  <si>
    <t>FLORA</t>
  </si>
  <si>
    <t>FORREST CITY</t>
  </si>
  <si>
    <t>GIDEON</t>
  </si>
  <si>
    <t>GRENADA</t>
  </si>
  <si>
    <t>HALLS</t>
  </si>
  <si>
    <t>HAYTI</t>
  </si>
  <si>
    <t>HELENA</t>
  </si>
  <si>
    <t>HOLLANDALE</t>
  </si>
  <si>
    <t>HOLLAND</t>
  </si>
  <si>
    <t>HOLLY BLUFF</t>
  </si>
  <si>
    <t>HOLLY SPRINGS</t>
  </si>
  <si>
    <t>HORN LAKE</t>
  </si>
  <si>
    <t>HORNERSVILLE</t>
  </si>
  <si>
    <t>HOUSTON</t>
  </si>
  <si>
    <t>INDIANOLA</t>
  </si>
  <si>
    <t>ITTA BENA</t>
  </si>
  <si>
    <t>ITTABENA</t>
  </si>
  <si>
    <t>JONESBORO</t>
  </si>
  <si>
    <t>JONESVILLE</t>
  </si>
  <si>
    <t>KENNETT</t>
  </si>
  <si>
    <t>KOSCIUSKO</t>
  </si>
  <si>
    <t>LELAND</t>
  </si>
  <si>
    <t>LIBERAL</t>
  </si>
  <si>
    <t>LOCKNEY</t>
  </si>
  <si>
    <t>LUBBOCK</t>
  </si>
  <si>
    <t>LUNDELL</t>
  </si>
  <si>
    <t>MACON</t>
  </si>
  <si>
    <t>MANILA</t>
  </si>
  <si>
    <t>MASON</t>
  </si>
  <si>
    <t>MCGEHEE</t>
  </si>
  <si>
    <t>MILLINGTON</t>
  </si>
  <si>
    <t>MISSION</t>
  </si>
  <si>
    <t>MOTETTE</t>
  </si>
  <si>
    <t>NEW MADRID</t>
  </si>
  <si>
    <t>NEW ORLEANS</t>
  </si>
  <si>
    <t>OAK GROVE</t>
  </si>
  <si>
    <t>OLIVE BRANCH</t>
  </si>
  <si>
    <t>PARMA</t>
  </si>
  <si>
    <t>PLAINVIEW</t>
  </si>
  <si>
    <t>PORTAGEVILLE</t>
  </si>
  <si>
    <t>PRAIRIE</t>
  </si>
  <si>
    <t>RAYVILLE</t>
  </si>
  <si>
    <t>RIPLEY</t>
  </si>
  <si>
    <t>ROLLING FORK</t>
  </si>
  <si>
    <t>SENATH</t>
  </si>
  <si>
    <t>SHAW</t>
  </si>
  <si>
    <t>ST JOSEPH</t>
  </si>
  <si>
    <t>ST MATTHEWS</t>
  </si>
  <si>
    <t>ST.JOSEPH</t>
  </si>
  <si>
    <t>STEELE</t>
  </si>
  <si>
    <t>SUDAN</t>
  </si>
  <si>
    <t>SWEETWATER</t>
  </si>
  <si>
    <t>TALLULAH</t>
  </si>
  <si>
    <t>TCHULA</t>
  </si>
  <si>
    <t>TRUMANN</t>
  </si>
  <si>
    <t>TULIA</t>
  </si>
  <si>
    <t>TUNICA</t>
  </si>
  <si>
    <t>TUPELO</t>
  </si>
  <si>
    <t>VERNON</t>
  </si>
  <si>
    <t>VICKSBURG</t>
  </si>
  <si>
    <t>WEST MEMPHIS</t>
  </si>
  <si>
    <t>WINNSBORO</t>
  </si>
  <si>
    <t>YAZOO CITY</t>
  </si>
  <si>
    <t>PONTOTOC</t>
  </si>
  <si>
    <t>ABILENE</t>
  </si>
  <si>
    <t>BAYTOWN</t>
  </si>
  <si>
    <t>BROWNFIELD</t>
  </si>
  <si>
    <t>BRYAN</t>
  </si>
  <si>
    <t>CORPUS CHRISTI</t>
  </si>
  <si>
    <t>DALLAS</t>
  </si>
  <si>
    <t>EL CAMPO</t>
  </si>
  <si>
    <t>EL PASO</t>
  </si>
  <si>
    <t>FT WORTH</t>
  </si>
  <si>
    <t>GRAND PRAIRIE</t>
  </si>
  <si>
    <t>HASKELL</t>
  </si>
  <si>
    <t>LAMESA</t>
  </si>
  <si>
    <t>ODEM</t>
  </si>
  <si>
    <t>PADUCAH</t>
  </si>
  <si>
    <t>PASADENA</t>
  </si>
  <si>
    <t>POST</t>
  </si>
  <si>
    <t>QUANAH</t>
  </si>
  <si>
    <t>RALLS</t>
  </si>
  <si>
    <t>ROSENBERG</t>
  </si>
  <si>
    <t>RULE</t>
  </si>
  <si>
    <t>SAN ANGELO</t>
  </si>
  <si>
    <t>SEABROOK</t>
  </si>
  <si>
    <t>SEAGRAVES</t>
  </si>
  <si>
    <t>SEMINOLE</t>
  </si>
  <si>
    <t>SNYDER</t>
  </si>
  <si>
    <t>STANTON</t>
  </si>
  <si>
    <t>TAHOKA</t>
  </si>
  <si>
    <t>TAYLOR</t>
  </si>
  <si>
    <t>CLEARWATER</t>
  </si>
  <si>
    <t>LOVINGTON</t>
  </si>
  <si>
    <t>BIG SPRING</t>
  </si>
  <si>
    <t>COOPER</t>
  </si>
  <si>
    <t>DEPORT</t>
  </si>
  <si>
    <t>FORT WORTH</t>
  </si>
  <si>
    <t>GALVESTON</t>
  </si>
  <si>
    <t>HARLINGEN</t>
  </si>
  <si>
    <t>HASLET</t>
  </si>
  <si>
    <t>LAREDO</t>
  </si>
  <si>
    <t>LEVELLAND</t>
  </si>
  <si>
    <t>ODONNELL</t>
  </si>
  <si>
    <t>STAMFORD</t>
  </si>
  <si>
    <t>TORNILLO</t>
  </si>
  <si>
    <t>ALEXIANDRIA</t>
  </si>
  <si>
    <t>ST. JOSEPH</t>
  </si>
  <si>
    <t>DESOTO</t>
  </si>
  <si>
    <t>LANCASTER</t>
  </si>
  <si>
    <t>RAYMONDVILLE</t>
  </si>
  <si>
    <t>SEBASTIAN</t>
  </si>
  <si>
    <t>Warehouse Terms</t>
  </si>
  <si>
    <t>UNITED STATES</t>
  </si>
  <si>
    <t>BRAZIL</t>
  </si>
  <si>
    <t>AUSSIE</t>
  </si>
  <si>
    <t>Interest rate</t>
  </si>
  <si>
    <t>Ocean CIF FE</t>
  </si>
  <si>
    <t>Eastern Rule 5</t>
  </si>
  <si>
    <t>x</t>
  </si>
  <si>
    <t>Av Purch price ($/lb)</t>
  </si>
  <si>
    <t>$/Container</t>
  </si>
  <si>
    <t>$/bale</t>
  </si>
  <si>
    <t>Updated</t>
  </si>
  <si>
    <t>Memphis Rule 5</t>
  </si>
  <si>
    <t>LC</t>
  </si>
  <si>
    <t>INS</t>
  </si>
  <si>
    <t>COM</t>
  </si>
  <si>
    <t>COF</t>
  </si>
  <si>
    <t>CIQ QC</t>
  </si>
  <si>
    <t>CONT</t>
  </si>
  <si>
    <t>CIF FE</t>
  </si>
  <si>
    <t>GA 30 Days</t>
  </si>
  <si>
    <t>China</t>
  </si>
  <si>
    <t>CN</t>
  </si>
  <si>
    <t>FOB Cars</t>
  </si>
  <si>
    <t>Vietnam</t>
  </si>
  <si>
    <t>VN</t>
  </si>
  <si>
    <t>$/Bale of interst</t>
  </si>
  <si>
    <t>FOB Whse</t>
  </si>
  <si>
    <t>Korea</t>
  </si>
  <si>
    <t>KO</t>
  </si>
  <si>
    <t>Japan</t>
  </si>
  <si>
    <t>JP</t>
  </si>
  <si>
    <t>Malaysia</t>
  </si>
  <si>
    <t>MA</t>
  </si>
  <si>
    <t>Origin Commission</t>
  </si>
  <si>
    <t>Drayage</t>
  </si>
  <si>
    <t>Taiwan</t>
  </si>
  <si>
    <t>TW</t>
  </si>
  <si>
    <t>USD</t>
  </si>
  <si>
    <t>Line Haul</t>
  </si>
  <si>
    <t>Chas/Split</t>
  </si>
  <si>
    <t>$/Bale</t>
  </si>
  <si>
    <t>Indonesia</t>
  </si>
  <si>
    <t>ID</t>
  </si>
  <si>
    <t>Thailand</t>
  </si>
  <si>
    <t>TH</t>
  </si>
  <si>
    <t>--</t>
  </si>
  <si>
    <t>Incl</t>
  </si>
  <si>
    <t>Bangladesh</t>
  </si>
  <si>
    <t>BD</t>
  </si>
  <si>
    <t>Pakistan</t>
  </si>
  <si>
    <t>PK</t>
  </si>
  <si>
    <t>India</t>
  </si>
  <si>
    <t>IN</t>
  </si>
  <si>
    <t>Turkey</t>
  </si>
  <si>
    <t>TR</t>
  </si>
  <si>
    <t>Days Stge</t>
  </si>
  <si>
    <t>Weeks</t>
  </si>
  <si>
    <t>MX</t>
  </si>
  <si>
    <t>Location</t>
  </si>
  <si>
    <t>Storage per Mark</t>
  </si>
  <si>
    <t>Peru</t>
  </si>
  <si>
    <t>PE</t>
  </si>
  <si>
    <t>Guatemala</t>
  </si>
  <si>
    <t>GU</t>
  </si>
  <si>
    <t>Honduras</t>
  </si>
  <si>
    <t>HO</t>
  </si>
  <si>
    <t>Spain</t>
  </si>
  <si>
    <t>ES</t>
  </si>
  <si>
    <t>CERTIFICATION COSTS</t>
  </si>
  <si>
    <t>ITALY</t>
  </si>
  <si>
    <t>IT</t>
  </si>
  <si>
    <t>USDA</t>
  </si>
  <si>
    <t>Other</t>
  </si>
  <si>
    <t>OT</t>
  </si>
  <si>
    <t xml:space="preserve">Board </t>
  </si>
  <si>
    <t>CIL (MX)</t>
  </si>
  <si>
    <t>RE-Receipt Break</t>
  </si>
  <si>
    <t>Mexico Forwarding Costs</t>
  </si>
  <si>
    <t>Document</t>
  </si>
  <si>
    <t>FUEL SURCHARGE</t>
  </si>
  <si>
    <t>OTR Buffer (USD)</t>
  </si>
  <si>
    <t>MX Customs</t>
  </si>
  <si>
    <t>Ocean Buffer (USD)</t>
  </si>
  <si>
    <t>Mexico Expense</t>
  </si>
  <si>
    <t>Dray Buffer (USD)</t>
  </si>
  <si>
    <t>Phyto</t>
  </si>
  <si>
    <t>TOTAL (USD)</t>
  </si>
  <si>
    <t>GPS Track</t>
  </si>
  <si>
    <t>TOTAL (PTS)</t>
  </si>
  <si>
    <t>Per Pedimento</t>
  </si>
  <si>
    <t>Sagarpa</t>
  </si>
  <si>
    <t>Validation</t>
  </si>
  <si>
    <t>Yellow Box Indicates - Change field to update</t>
  </si>
  <si>
    <t>Total</t>
  </si>
  <si>
    <t>Intensive Inspection</t>
  </si>
  <si>
    <t>Inland destination / Port</t>
  </si>
  <si>
    <t>Delivery</t>
  </si>
  <si>
    <t>Country</t>
  </si>
  <si>
    <t>Delivery Type</t>
  </si>
  <si>
    <t>Code</t>
  </si>
  <si>
    <t>Ocean Freight</t>
  </si>
  <si>
    <t>Adjust.</t>
  </si>
  <si>
    <t>Ocean Total</t>
  </si>
  <si>
    <t>Total pts</t>
  </si>
  <si>
    <t>Ocean Previous</t>
  </si>
  <si>
    <t>Diff</t>
  </si>
  <si>
    <t xml:space="preserve">Destinations </t>
  </si>
  <si>
    <t>AUS</t>
  </si>
  <si>
    <t>Nhava Sheva</t>
  </si>
  <si>
    <t>Mundra</t>
  </si>
  <si>
    <t>Tuticorin</t>
  </si>
  <si>
    <t>Shanghai</t>
  </si>
  <si>
    <t>Qingdao</t>
  </si>
  <si>
    <t>Xingang</t>
  </si>
  <si>
    <t>Zhangjiagang</t>
  </si>
  <si>
    <t>Ningbo</t>
  </si>
  <si>
    <t>Xiamen</t>
  </si>
  <si>
    <t>Nantong</t>
  </si>
  <si>
    <t>Chittagong</t>
  </si>
  <si>
    <t>Busan</t>
  </si>
  <si>
    <t>Kwangyang</t>
  </si>
  <si>
    <t>Port Qasim/Karachi</t>
  </si>
  <si>
    <t>Ho chi minh</t>
  </si>
  <si>
    <t>Haiphong</t>
  </si>
  <si>
    <t>Danang</t>
  </si>
  <si>
    <t>Port Klang</t>
  </si>
  <si>
    <t>Bangkok</t>
  </si>
  <si>
    <t>Laem Chabang</t>
  </si>
  <si>
    <t>Lat Krabang</t>
  </si>
  <si>
    <t>Jakarta</t>
  </si>
  <si>
    <t>Semarang</t>
  </si>
  <si>
    <t>Surabaya</t>
  </si>
  <si>
    <t>Kobe</t>
  </si>
  <si>
    <t>Iskenderun</t>
  </si>
  <si>
    <t>Mersin</t>
  </si>
  <si>
    <t>Keelung</t>
  </si>
  <si>
    <t>BRZ</t>
  </si>
  <si>
    <t>Mandideep</t>
  </si>
  <si>
    <t>Ludhiana</t>
  </si>
  <si>
    <t>Tihi</t>
  </si>
  <si>
    <t>Tianjinxingang</t>
  </si>
  <si>
    <t>Shekou</t>
  </si>
  <si>
    <t>Dalian</t>
  </si>
  <si>
    <t>Yantian</t>
  </si>
  <si>
    <t>Anqing</t>
  </si>
  <si>
    <t>Jiujiang</t>
  </si>
  <si>
    <t>Wuhan</t>
  </si>
  <si>
    <t>Chongqing</t>
  </si>
  <si>
    <t>Dafeng</t>
  </si>
  <si>
    <t>Huangpu New Port</t>
  </si>
  <si>
    <t>Huangpu Old Port</t>
  </si>
  <si>
    <t>Lianyungang</t>
  </si>
  <si>
    <t>Wuzhou</t>
  </si>
  <si>
    <t>Yue Yang</t>
  </si>
  <si>
    <t>Alexandria Dekheila</t>
  </si>
  <si>
    <t>Egypt</t>
  </si>
  <si>
    <t>Alexandria Old Port</t>
  </si>
  <si>
    <t>Cikarang</t>
  </si>
  <si>
    <t>Tanjung Pelepas</t>
  </si>
  <si>
    <t>Pasir Gudang</t>
  </si>
  <si>
    <t>Port Louis</t>
  </si>
  <si>
    <t>Mauritius</t>
  </si>
  <si>
    <t>Qasim</t>
  </si>
  <si>
    <t>Kaohsiung</t>
  </si>
  <si>
    <t>Taichung</t>
  </si>
  <si>
    <t>Aliaga</t>
  </si>
  <si>
    <t>Izmir</t>
  </si>
  <si>
    <t>Evyap</t>
  </si>
  <si>
    <t>Vung Tau</t>
  </si>
  <si>
    <t>Penang</t>
  </si>
  <si>
    <t>Nagoya</t>
  </si>
  <si>
    <t>Charleston</t>
  </si>
  <si>
    <t>Tlaxcala</t>
  </si>
  <si>
    <t>Zhuhai</t>
  </si>
  <si>
    <t>Zhanjiang</t>
  </si>
  <si>
    <t>Xinhui</t>
  </si>
  <si>
    <t>NA</t>
  </si>
  <si>
    <t>Shanghai/Qingdao/Xiamen/Ningbo/Xingang</t>
  </si>
  <si>
    <t>Qinzhou</t>
  </si>
  <si>
    <t>Osaka</t>
  </si>
  <si>
    <t>Phillipines</t>
  </si>
  <si>
    <t>Tao Yuan</t>
  </si>
  <si>
    <t>Huangpu</t>
  </si>
  <si>
    <t>Hong Kong</t>
  </si>
  <si>
    <t>Ho Chi Minh</t>
  </si>
  <si>
    <t>Fangcheng</t>
  </si>
  <si>
    <t>DaNang</t>
  </si>
  <si>
    <t>Changzhou</t>
  </si>
  <si>
    <t>Gazzaniga</t>
  </si>
  <si>
    <t>Nagoya/Kobe</t>
  </si>
  <si>
    <t>Trieste</t>
  </si>
  <si>
    <t>Chennai</t>
  </si>
  <si>
    <t>Barcelona</t>
  </si>
  <si>
    <t>Taizhou</t>
  </si>
  <si>
    <t>No Rate</t>
  </si>
  <si>
    <t>Sohar Oman</t>
  </si>
  <si>
    <t>Oman</t>
  </si>
  <si>
    <t>Guatemala City</t>
  </si>
  <si>
    <t>No Rates</t>
  </si>
  <si>
    <t>Cartegena</t>
  </si>
  <si>
    <t>Columbia</t>
  </si>
  <si>
    <t>Gemlik</t>
  </si>
  <si>
    <t>Eden</t>
  </si>
  <si>
    <t>Suape</t>
  </si>
  <si>
    <t>Salvatierra</t>
  </si>
  <si>
    <t>Tlalnepantla</t>
  </si>
  <si>
    <t>Cofradia</t>
  </si>
  <si>
    <t>Cochin</t>
  </si>
  <si>
    <t>Pipavav</t>
  </si>
  <si>
    <t xml:space="preserve">India </t>
  </si>
  <si>
    <t>Vitoria</t>
  </si>
  <si>
    <t>Tunis</t>
  </si>
  <si>
    <t>Tunisia</t>
  </si>
  <si>
    <t>Italy</t>
  </si>
  <si>
    <t>Brazil</t>
  </si>
  <si>
    <t>Salerno</t>
  </si>
  <si>
    <t>Puerto Limon</t>
  </si>
  <si>
    <t>Costa Rica</t>
  </si>
  <si>
    <t>Puerto Barrios, Guatemala</t>
  </si>
  <si>
    <t>Pecem</t>
  </si>
  <si>
    <t>Palin</t>
  </si>
  <si>
    <t>Managua, Nicaragua</t>
  </si>
  <si>
    <t>Nicaragua</t>
  </si>
  <si>
    <t>Guayaquil</t>
  </si>
  <si>
    <t>Ecuador</t>
  </si>
  <si>
    <t>Gadino</t>
  </si>
  <si>
    <t xml:space="preserve">No Rate </t>
  </si>
  <si>
    <t>Durban</t>
  </si>
  <si>
    <t>South Africa</t>
  </si>
  <si>
    <t>Djibouti</t>
  </si>
  <si>
    <t>East Africa</t>
  </si>
  <si>
    <t>Damietta</t>
  </si>
  <si>
    <t>Puerto Cortes, Honduras</t>
  </si>
  <si>
    <t>Cartago</t>
  </si>
  <si>
    <t>Callao</t>
  </si>
  <si>
    <t>Caldera</t>
  </si>
  <si>
    <t>Chile</t>
  </si>
  <si>
    <t>Buccino</t>
  </si>
  <si>
    <t>Bergamo</t>
  </si>
  <si>
    <t>Bahrain</t>
  </si>
  <si>
    <t>Amatitlan</t>
  </si>
  <si>
    <t>Algiers</t>
  </si>
  <si>
    <t>Algeria</t>
  </si>
  <si>
    <t>Alexandria Egypt</t>
  </si>
  <si>
    <t>Santa Barbara</t>
  </si>
  <si>
    <t>Naco</t>
  </si>
  <si>
    <t>Lerma</t>
  </si>
  <si>
    <t>Busan/Kwangyang</t>
  </si>
  <si>
    <t>Buenos Aires/Montevideo/La Guaria</t>
  </si>
  <si>
    <t>Agentina</t>
  </si>
  <si>
    <t>CD Victoria</t>
  </si>
  <si>
    <t>Mocksville</t>
  </si>
  <si>
    <t>Puebla</t>
  </si>
  <si>
    <t>Tepeji</t>
  </si>
  <si>
    <t>Mexico City</t>
  </si>
  <si>
    <t>Parras</t>
  </si>
  <si>
    <t>TOLUCA</t>
  </si>
  <si>
    <t>Tizayuca</t>
  </si>
  <si>
    <t>Toltepec</t>
  </si>
  <si>
    <t>Cuautitlan</t>
  </si>
  <si>
    <t>CD Obregon</t>
  </si>
  <si>
    <t>Huejotzingo</t>
  </si>
  <si>
    <t>Yecapixtla</t>
  </si>
  <si>
    <t>Gomez Palacios</t>
  </si>
  <si>
    <t>Bremen</t>
  </si>
  <si>
    <t>Germany</t>
  </si>
  <si>
    <t xml:space="preserve">No rates </t>
  </si>
  <si>
    <t>Norfolk</t>
  </si>
  <si>
    <t xml:space="preserve">NA </t>
  </si>
  <si>
    <t>Mayodan</t>
  </si>
  <si>
    <t>Salisbury</t>
  </si>
  <si>
    <t>Sanford</t>
  </si>
  <si>
    <t>N/A</t>
  </si>
  <si>
    <t>Semarang/Surabaya</t>
  </si>
  <si>
    <t xml:space="preserve">No Rates </t>
  </si>
  <si>
    <t>Mersin / Izmir</t>
  </si>
  <si>
    <t>Rabun Gap</t>
  </si>
  <si>
    <t>Penang/Pasir Gudang / Tanjung Pelepas</t>
  </si>
  <si>
    <t>Nhava Sheva / Mundra</t>
  </si>
  <si>
    <t>Indian Land</t>
  </si>
  <si>
    <t>Gaffney</t>
  </si>
  <si>
    <t>Bangkok/Laem Chabang/Lat Krabang</t>
  </si>
  <si>
    <t>Bangkok(Siam Container Terminal)</t>
  </si>
  <si>
    <t>*USD/Bale</t>
  </si>
  <si>
    <t>SGS</t>
  </si>
  <si>
    <t>Robertson Int</t>
  </si>
  <si>
    <t>WIS</t>
  </si>
  <si>
    <t>Cargo Control</t>
  </si>
  <si>
    <t>INTERTEK</t>
  </si>
  <si>
    <t>TRANSGLOBAL</t>
  </si>
  <si>
    <t>RIGAL</t>
  </si>
  <si>
    <t>Alfred H kaigh</t>
  </si>
  <si>
    <t/>
  </si>
  <si>
    <t>USD/Bale</t>
  </si>
  <si>
    <t>Pts/lb</t>
  </si>
  <si>
    <t>Base</t>
  </si>
  <si>
    <t>COUNTRY</t>
  </si>
  <si>
    <t>Weighing</t>
  </si>
  <si>
    <t>SDT inc.</t>
  </si>
  <si>
    <t>Min Charge</t>
  </si>
  <si>
    <t>SDT inc</t>
  </si>
  <si>
    <t>SDT inc,</t>
  </si>
  <si>
    <t>Min Charg</t>
  </si>
  <si>
    <t>S/D/T lac</t>
  </si>
  <si>
    <t>Country Abrev</t>
  </si>
  <si>
    <t>ALGERIA</t>
  </si>
  <si>
    <t>$450 minimum per day, plus T&amp;S</t>
  </si>
  <si>
    <t>BAHRAIN</t>
  </si>
  <si>
    <t>BANGLADESH</t>
  </si>
  <si>
    <t>Includes SDT, $225 minimum per order</t>
  </si>
  <si>
    <t>150.00 (excl. travel/coujours)</t>
  </si>
  <si>
    <t>BR</t>
  </si>
  <si>
    <t>BENIN</t>
  </si>
  <si>
    <t>BREMEN</t>
  </si>
  <si>
    <t>BURKINA FASO</t>
  </si>
  <si>
    <t>CAMEROON</t>
  </si>
  <si>
    <t>CHILE</t>
  </si>
  <si>
    <t>CL</t>
  </si>
  <si>
    <t>CHINA</t>
  </si>
  <si>
    <t>300usd
+usd0.1/bale
if supervision sampling during weighing **</t>
  </si>
  <si>
    <t>Includes SDT at any time, $225 minimum per order</t>
  </si>
  <si>
    <t>CH-Dalian</t>
  </si>
  <si>
    <t>CH-Other Port</t>
  </si>
  <si>
    <t>COLOMBIA</t>
  </si>
  <si>
    <t xml:space="preserve">$350 minimum per day, plus T&amp;S </t>
  </si>
  <si>
    <t>CO</t>
  </si>
  <si>
    <t>ECUADOR</t>
  </si>
  <si>
    <t>$450 minimum per day. Plus, T&amp;S if outside 20 KM radius</t>
  </si>
  <si>
    <t>EC</t>
  </si>
  <si>
    <t>EGYPT</t>
  </si>
  <si>
    <t>Services at mill plus T&amp;S, $225 minimum per order</t>
  </si>
  <si>
    <t>EG</t>
  </si>
  <si>
    <t>EL SALVADOR</t>
  </si>
  <si>
    <t>ETHIOPIA</t>
  </si>
  <si>
    <t>$350 minimum per day, plus T&amp;S if outside Addis Ababa</t>
  </si>
  <si>
    <t>GERMANY</t>
  </si>
  <si>
    <t>1.35 (Bremen only)</t>
  </si>
  <si>
    <t>GINEA-BISSAU</t>
  </si>
  <si>
    <t>GUATEMALA</t>
  </si>
  <si>
    <t>$375 minimum per day</t>
  </si>
  <si>
    <t>HONDURAS</t>
  </si>
  <si>
    <t>*</t>
  </si>
  <si>
    <t>HONGKONG</t>
  </si>
  <si>
    <t>HK</t>
  </si>
  <si>
    <t>INDIA</t>
  </si>
  <si>
    <t>INDONESIA</t>
  </si>
  <si>
    <t>$600 minimum per day. Rates apply to Genoa otherlocations on request.</t>
  </si>
  <si>
    <t>755/ Man-Day</t>
  </si>
  <si>
    <t>$600 minimum per day. Rates apply to Genoa other locations on request.</t>
  </si>
  <si>
    <t>on request</t>
  </si>
  <si>
    <t>IVORY COAST</t>
  </si>
  <si>
    <t>IC</t>
  </si>
  <si>
    <t>JAPAN</t>
  </si>
  <si>
    <t>KOREA</t>
  </si>
  <si>
    <t>4/01 Man-Day</t>
  </si>
  <si>
    <t>upon request</t>
  </si>
  <si>
    <t>$650 minimum per day, plus T&amp;S</t>
  </si>
  <si>
    <t>MALAYSIA</t>
  </si>
  <si>
    <t>$550 minimum per day, plus T&amp;S</t>
  </si>
  <si>
    <t>MAURITANIA</t>
  </si>
  <si>
    <t>MAURITUS</t>
  </si>
  <si>
    <t>$350 minimum per day, plus T&amp;S</t>
  </si>
  <si>
    <t>MEXICO</t>
  </si>
  <si>
    <t>MOROCCO</t>
  </si>
  <si>
    <t>$350 minimum per day</t>
  </si>
  <si>
    <t>NICARAGUA</t>
  </si>
  <si>
    <t>OMAN</t>
  </si>
  <si>
    <t>PAKISTAN</t>
  </si>
  <si>
    <t>Includes SDT at time of weighing, $225 minimum per order</t>
  </si>
  <si>
    <t>PERU</t>
  </si>
  <si>
    <t>$250 minimum per day. T&amp;S may apply</t>
  </si>
  <si>
    <t>trov charged out peru</t>
  </si>
  <si>
    <t>PHILIPPINE</t>
  </si>
  <si>
    <t>PH</t>
  </si>
  <si>
    <t>PORTUGAL</t>
  </si>
  <si>
    <t>$450 minimum per day. T&amp;S may apply</t>
  </si>
  <si>
    <t>SENEGAL</t>
  </si>
  <si>
    <t>SINGAPORE</t>
  </si>
  <si>
    <t>SOUTH AFRICA</t>
  </si>
  <si>
    <t>$450 minimum per day</t>
  </si>
  <si>
    <t>ZA</t>
  </si>
  <si>
    <t>Asia Average</t>
  </si>
  <si>
    <t>ASIA</t>
  </si>
  <si>
    <t>avg(except CN and sub Indian continent)</t>
  </si>
  <si>
    <t>SRILANKA</t>
  </si>
  <si>
    <t>LK</t>
  </si>
  <si>
    <t>TAIWAN</t>
  </si>
  <si>
    <t>Includes SDT, $350 minimum per day</t>
  </si>
  <si>
    <t>THAILAND</t>
  </si>
  <si>
    <t>TOGO</t>
  </si>
  <si>
    <t>TUNISIA</t>
  </si>
  <si>
    <t xml:space="preserve">*Valid services at port only </t>
  </si>
  <si>
    <t>$250 minimum per order. Services at mill plus T&amp;S.</t>
  </si>
  <si>
    <t>U.A.E</t>
  </si>
  <si>
    <t>VIETNAM</t>
  </si>
  <si>
    <t xml:space="preserve">SDT (Seal breaking/Devanning/Tally); </t>
  </si>
  <si>
    <t>S.O.W: Supervision of Weighing</t>
  </si>
  <si>
    <t xml:space="preserve">round up </t>
  </si>
  <si>
    <t>buffer</t>
  </si>
  <si>
    <t>Destination Control</t>
  </si>
  <si>
    <t>pts</t>
  </si>
  <si>
    <t>Allocation</t>
  </si>
  <si>
    <t>*Highest value in the range  on the quotes (bps) highligted the lowest 3 quotes</t>
  </si>
  <si>
    <t>Handling Fee</t>
  </si>
  <si>
    <t>settled+basis</t>
  </si>
  <si>
    <t>buffer?</t>
  </si>
  <si>
    <t>FAB</t>
  </si>
  <si>
    <t>Rabo</t>
  </si>
  <si>
    <t>Societe Generale</t>
  </si>
  <si>
    <t>Credit Agricole</t>
  </si>
  <si>
    <t>Citibank</t>
  </si>
  <si>
    <t>Natixis</t>
  </si>
  <si>
    <t>Lloyds</t>
  </si>
  <si>
    <t>CBD</t>
  </si>
  <si>
    <t>Mashreq</t>
  </si>
  <si>
    <t>Erste</t>
  </si>
  <si>
    <t>ING</t>
  </si>
  <si>
    <t>Raiffeisen</t>
  </si>
  <si>
    <t>UBS</t>
  </si>
  <si>
    <t>MUFG</t>
  </si>
  <si>
    <t>UniCredit</t>
  </si>
  <si>
    <t>Granti</t>
  </si>
  <si>
    <t>Arab Bank</t>
  </si>
  <si>
    <t>KBC</t>
  </si>
  <si>
    <t>Commerzbank</t>
  </si>
  <si>
    <t>Intesa</t>
  </si>
  <si>
    <t>BCP</t>
  </si>
  <si>
    <t>Nexentbank</t>
  </si>
  <si>
    <t>BBVA</t>
  </si>
  <si>
    <t>Standard Chartered</t>
  </si>
  <si>
    <t xml:space="preserve">BPS
Avg 3 lowest </t>
  </si>
  <si>
    <t>% of Price</t>
  </si>
  <si>
    <t>Pts</t>
  </si>
  <si>
    <t>*Yes to Silent confirmations</t>
  </si>
  <si>
    <t>2.5-27.5% pa</t>
  </si>
  <si>
    <t>TT</t>
  </si>
  <si>
    <t>FT</t>
  </si>
  <si>
    <t>Price</t>
  </si>
  <si>
    <t>USA</t>
  </si>
  <si>
    <t>CAD</t>
  </si>
  <si>
    <t>COA</t>
  </si>
  <si>
    <t>Days to get paid after BL date</t>
  </si>
  <si>
    <t>Cert Costs</t>
  </si>
  <si>
    <t>Total Inland</t>
  </si>
  <si>
    <t>Destination Comission</t>
  </si>
  <si>
    <t>High Seas</t>
  </si>
  <si>
    <t>ICE</t>
  </si>
  <si>
    <t>Total CERT</t>
  </si>
  <si>
    <t>Terms Total</t>
  </si>
  <si>
    <t>WTX</t>
  </si>
  <si>
    <t>WTXH</t>
  </si>
  <si>
    <t>STEX</t>
  </si>
  <si>
    <t>GA 30 Day</t>
  </si>
  <si>
    <t>WTEX Equity</t>
  </si>
  <si>
    <t>STEX Equity</t>
  </si>
  <si>
    <t>Memphis Equity</t>
  </si>
  <si>
    <t>WTX-Dallas Cert-Block Out</t>
  </si>
  <si>
    <t>WTX-Dallas Cert-Break Out</t>
  </si>
  <si>
    <t>WTX-Houston Cert-Block Out</t>
  </si>
  <si>
    <t>WTX- Houston Cert-Break Out</t>
  </si>
  <si>
    <t>STX-Houston Cert-Block Out</t>
  </si>
  <si>
    <t>STX-Houston Cert-Break Out</t>
  </si>
  <si>
    <t>ME-Memphis Cert-Block Out</t>
  </si>
  <si>
    <t>ME-Memphis Cert-Break Out</t>
  </si>
  <si>
    <t>*1 MONTHS OF STORAGE</t>
  </si>
  <si>
    <t>Cert Storage Costs</t>
  </si>
  <si>
    <t>Total Cert</t>
  </si>
  <si>
    <t>Memphis Stop</t>
  </si>
  <si>
    <t>Houston Stop</t>
  </si>
  <si>
    <t>Dallas Stop</t>
  </si>
  <si>
    <t>Savannah Stop</t>
  </si>
  <si>
    <t>PRICE</t>
  </si>
  <si>
    <t>WAF</t>
  </si>
  <si>
    <t>MR5</t>
  </si>
  <si>
    <t>STX</t>
  </si>
  <si>
    <t>ER5</t>
  </si>
  <si>
    <t>Los Angeles</t>
  </si>
  <si>
    <t>Southwest</t>
  </si>
  <si>
    <t>Gulf Compress - Sweetwater</t>
  </si>
  <si>
    <t>Late Fee</t>
  </si>
  <si>
    <t>Ecaudor</t>
  </si>
  <si>
    <t>USA FORWARDING COSTS</t>
  </si>
  <si>
    <t>COO</t>
  </si>
  <si>
    <t>PHYTOS</t>
  </si>
  <si>
    <t>Average Shipment</t>
  </si>
  <si>
    <t>Total Equity</t>
  </si>
  <si>
    <t>Total Terms</t>
  </si>
  <si>
    <t>CIF COSTS</t>
  </si>
  <si>
    <t>EDF Man Interest</t>
  </si>
  <si>
    <t>CCC Interest Rate</t>
  </si>
  <si>
    <t>Loan</t>
  </si>
  <si>
    <t>Non Loan</t>
  </si>
  <si>
    <t>Cert Interest Pts</t>
  </si>
  <si>
    <t>Futures</t>
  </si>
  <si>
    <t>PND</t>
  </si>
  <si>
    <t>Cert Interest</t>
  </si>
  <si>
    <t>Underlyng Price Only</t>
  </si>
  <si>
    <t>Underlying + Destination</t>
  </si>
  <si>
    <t>Destination Only</t>
  </si>
  <si>
    <t>Origin + Dest</t>
  </si>
  <si>
    <t>Annual Fixed</t>
  </si>
  <si>
    <t>Variable</t>
  </si>
  <si>
    <t>-</t>
  </si>
  <si>
    <t>Domestic</t>
  </si>
  <si>
    <t>OE</t>
  </si>
  <si>
    <t>RS</t>
  </si>
  <si>
    <t>MVS</t>
  </si>
  <si>
    <t>PD</t>
  </si>
  <si>
    <t>KEER</t>
  </si>
  <si>
    <t>---annual (season)---</t>
  </si>
  <si>
    <t xml:space="preserve">Origin </t>
  </si>
  <si>
    <t>Documentation/Execution</t>
  </si>
  <si>
    <t>TOTAL COSTINGS</t>
  </si>
  <si>
    <t>PREIMIUM AND DISCOUNTS</t>
  </si>
  <si>
    <t>EMOT</t>
  </si>
  <si>
    <t>ME</t>
  </si>
  <si>
    <t xml:space="preserve">HOU </t>
  </si>
  <si>
    <t>DAL</t>
  </si>
  <si>
    <t>---quartly---</t>
  </si>
  <si>
    <t>FREIGHT BUFFER COSTS</t>
  </si>
  <si>
    <t>---varies by desination only---</t>
  </si>
  <si>
    <t>---varies by desination &amp; underlying price---</t>
  </si>
  <si>
    <t>Quality Claim</t>
  </si>
  <si>
    <t>Where</t>
  </si>
  <si>
    <t>What</t>
  </si>
  <si>
    <t>How</t>
  </si>
  <si>
    <t>When</t>
  </si>
  <si>
    <t>The Seam Tariffs</t>
  </si>
  <si>
    <t>Warehouse Tariff published by September</t>
  </si>
  <si>
    <t>Frequency</t>
  </si>
  <si>
    <t>Yearly</t>
  </si>
  <si>
    <t>Refresh in September</t>
  </si>
  <si>
    <t>Download from The Seam</t>
  </si>
  <si>
    <t>Upgrade</t>
  </si>
  <si>
    <t>Cargosavings</t>
  </si>
  <si>
    <t>API to Cargo Savings</t>
  </si>
  <si>
    <t>Uploaded manually, currently will flag changes when new tariffs uploaded</t>
  </si>
  <si>
    <t>Operations Team</t>
  </si>
  <si>
    <t>RFP</t>
  </si>
  <si>
    <t>Invoices/Tariffs</t>
  </si>
  <si>
    <t>Spot Checked</t>
  </si>
  <si>
    <t>Seasonlly</t>
  </si>
  <si>
    <t>Sept/Jan/Mar/June</t>
  </si>
  <si>
    <t>Quarterly</t>
  </si>
  <si>
    <t>Completed</t>
  </si>
  <si>
    <t>Excel</t>
  </si>
  <si>
    <t>Tariffs/Agreements/lease</t>
  </si>
  <si>
    <t>Manually</t>
  </si>
  <si>
    <t>Once</t>
  </si>
  <si>
    <t>Manually Update</t>
  </si>
  <si>
    <t>Combine</t>
  </si>
  <si>
    <t>US</t>
  </si>
  <si>
    <t>Base Grade</t>
  </si>
  <si>
    <t>41-4-36</t>
  </si>
  <si>
    <t>31-36</t>
  </si>
  <si>
    <t>mali</t>
  </si>
  <si>
    <t>USE</t>
  </si>
  <si>
    <t>GROUP NAME</t>
  </si>
  <si>
    <t>Cotton Australian 3136 FOB Australia</t>
  </si>
  <si>
    <t>Cotton Brazil 3136 FOB Brazil</t>
  </si>
  <si>
    <t>Cotton Exp 3135 Fob Spain</t>
  </si>
  <si>
    <t>Cotton Greek 3136 Fob Greece</t>
  </si>
  <si>
    <t>Cotton India Shankar 6 FOB India</t>
  </si>
  <si>
    <t>Cotton Turkey 41436 Fob Turkey</t>
  </si>
  <si>
    <t>Cotton US 4134 CIF Far East</t>
  </si>
  <si>
    <t>Cotton WAF Mali Jul 30 FOB WAF</t>
  </si>
  <si>
    <t>Cost of Funds</t>
  </si>
  <si>
    <t>---varible by origin and destination---</t>
  </si>
  <si>
    <t>Last Updated</t>
  </si>
  <si>
    <t>SLC - MR5</t>
  </si>
  <si>
    <t>SLC - ER5</t>
  </si>
  <si>
    <t>PND TO MAP TO OFFER SHEET</t>
  </si>
  <si>
    <t>---total costings per destination---</t>
  </si>
  <si>
    <t>---pnd base cif---</t>
  </si>
  <si>
    <t>add mill lanes to OTR sheet</t>
  </si>
  <si>
    <t>Price direct to Mill from Mail Region Pts</t>
  </si>
  <si>
    <t>SOFR + 2%</t>
  </si>
  <si>
    <t>Monthly storage</t>
  </si>
  <si>
    <t>Full Cert</t>
  </si>
  <si>
    <t>Bales in storage</t>
  </si>
  <si>
    <t>Aus</t>
  </si>
  <si>
    <t>Daily Settle</t>
  </si>
  <si>
    <t>BRAZ</t>
  </si>
  <si>
    <t>FWD</t>
  </si>
  <si>
    <t>TOTAL</t>
  </si>
  <si>
    <t>Braz</t>
  </si>
  <si>
    <t>Big Spring</t>
  </si>
  <si>
    <t>Newton Grove</t>
  </si>
  <si>
    <t>Cameron</t>
  </si>
  <si>
    <t>Halls</t>
  </si>
  <si>
    <t>New Market</t>
  </si>
  <si>
    <t>Phoenix</t>
  </si>
  <si>
    <t>Omega</t>
  </si>
  <si>
    <t>Ft Worth</t>
  </si>
  <si>
    <t>Post</t>
  </si>
  <si>
    <t>Quanah</t>
  </si>
  <si>
    <t>San Angelo</t>
  </si>
  <si>
    <t>Odonnell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</si>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</sst>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_(&quot;$&quot;* #,##0_);_(&quot;$&quot;* \(#,##0\);_(&quot;$&quot;* &quot;-&quot;??_);_(@_)"/>
    <numFmt numFmtId="166" formatCode="0.0000"/>
    <numFmt numFmtId="167" formatCode="0.0"/>
    <numFmt numFmtId="168" formatCode="_(* #,##0_);_(* \(#,##0\);_(* &quot;-&quot;??_);_(@_)"/>
    <numFmt numFmtId="169" formatCode="0.000%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Aptos Narrow"/>
      <family val="2"/>
      <scheme val="minor"/>
    </font>
    <font>
      <strike/>
      <sz val="9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sz val="9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rgb="FF000000"/>
      <name val="Aptos Narrow"/>
      <family val="2"/>
    </font>
    <font>
      <sz val="9"/>
      <color rgb="FF000000"/>
      <name val="Aptos Narrow"/>
      <family val="2"/>
    </font>
    <font>
      <b/>
      <sz val="10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0" tint="-0.249977111117893"/>
      <name val="Aptos Narrow"/>
      <family val="2"/>
      <scheme val="minor"/>
    </font>
    <font>
      <sz val="9"/>
      <color theme="2" tint="-0.499984740745262"/>
      <name val="Aptos Narrow"/>
      <family val="2"/>
    </font>
    <font>
      <sz val="9"/>
      <name val="Aptos Narrow"/>
      <family val="2"/>
    </font>
    <font>
      <sz val="9"/>
      <color rgb="FF006100"/>
      <name val="Aptos Narrow"/>
      <family val="2"/>
      <scheme val="minor"/>
    </font>
    <font>
      <sz val="9"/>
      <color theme="1"/>
      <name val="Arial Unicode MS"/>
    </font>
    <font>
      <sz val="9"/>
      <color theme="0"/>
      <name val="Aptos Narrow"/>
      <family val="2"/>
      <scheme val="minor"/>
    </font>
    <font>
      <sz val="10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0"/>
      <color theme="1"/>
      <name val="Aptos Narrow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923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38">
    <xf numFmtId="0" fontId="0" fillId="0" borderId="0" xfId="0"/>
    <xf numFmtId="0" fontId="3" fillId="0" borderId="0" xfId="0" applyFont="1"/>
    <xf numFmtId="0" fontId="4" fillId="9" borderId="7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0" fontId="5" fillId="10" borderId="2" xfId="0" applyFont="1" applyFill="1" applyBorder="1" applyAlignment="1">
      <alignment horizontal="left"/>
    </xf>
    <xf numFmtId="0" fontId="5" fillId="16" borderId="0" xfId="0" applyFont="1" applyFill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9" fillId="17" borderId="7" xfId="0" applyFont="1" applyFill="1" applyBorder="1" applyAlignment="1">
      <alignment horizontal="left"/>
    </xf>
    <xf numFmtId="0" fontId="10" fillId="0" borderId="0" xfId="0" applyFont="1"/>
    <xf numFmtId="14" fontId="8" fillId="0" borderId="0" xfId="0" applyNumberFormat="1" applyFont="1"/>
    <xf numFmtId="0" fontId="8" fillId="0" borderId="0" xfId="0" applyFont="1" applyAlignment="1">
      <alignment horizontal="left"/>
    </xf>
    <xf numFmtId="2" fontId="8" fillId="0" borderId="0" xfId="0" applyNumberFormat="1" applyFont="1"/>
    <xf numFmtId="3" fontId="8" fillId="0" borderId="0" xfId="0" applyNumberFormat="1" applyFont="1"/>
    <xf numFmtId="0" fontId="8" fillId="14" borderId="0" xfId="0" applyFont="1" applyFill="1" applyAlignment="1">
      <alignment horizontal="left"/>
    </xf>
    <xf numFmtId="0" fontId="8" fillId="18" borderId="0" xfId="0" applyFont="1" applyFill="1"/>
    <xf numFmtId="14" fontId="8" fillId="18" borderId="0" xfId="0" applyNumberFormat="1" applyFont="1" applyFill="1"/>
    <xf numFmtId="3" fontId="8" fillId="18" borderId="0" xfId="0" applyNumberFormat="1" applyFont="1" applyFill="1"/>
    <xf numFmtId="0" fontId="8" fillId="18" borderId="0" xfId="0" applyFont="1" applyFill="1" applyAlignment="1">
      <alignment horizontal="left"/>
    </xf>
    <xf numFmtId="0" fontId="8" fillId="19" borderId="2" xfId="0" applyFont="1" applyFill="1" applyBorder="1"/>
    <xf numFmtId="0" fontId="8" fillId="20" borderId="0" xfId="0" applyFont="1" applyFill="1"/>
    <xf numFmtId="14" fontId="8" fillId="20" borderId="0" xfId="0" applyNumberFormat="1" applyFont="1" applyFill="1"/>
    <xf numFmtId="3" fontId="8" fillId="20" borderId="0" xfId="0" applyNumberFormat="1" applyFont="1" applyFill="1"/>
    <xf numFmtId="0" fontId="8" fillId="20" borderId="0" xfId="0" applyFont="1" applyFill="1" applyAlignment="1">
      <alignment horizontal="left"/>
    </xf>
    <xf numFmtId="0" fontId="8" fillId="21" borderId="0" xfId="0" applyFont="1" applyFill="1"/>
    <xf numFmtId="14" fontId="8" fillId="21" borderId="0" xfId="0" applyNumberFormat="1" applyFont="1" applyFill="1"/>
    <xf numFmtId="0" fontId="8" fillId="22" borderId="0" xfId="0" applyFont="1" applyFill="1"/>
    <xf numFmtId="14" fontId="8" fillId="22" borderId="0" xfId="0" applyNumberFormat="1" applyFont="1" applyFill="1"/>
    <xf numFmtId="0" fontId="8" fillId="22" borderId="0" xfId="0" applyFont="1" applyFill="1" applyAlignment="1">
      <alignment horizontal="left"/>
    </xf>
    <xf numFmtId="0" fontId="8" fillId="0" borderId="0" xfId="0" applyFont="1" applyAlignment="1">
      <alignment horizontal="right"/>
    </xf>
    <xf numFmtId="0" fontId="8" fillId="23" borderId="0" xfId="0" applyFont="1" applyFill="1" applyAlignment="1">
      <alignment horizontal="right"/>
    </xf>
    <xf numFmtId="0" fontId="11" fillId="0" borderId="0" xfId="0" applyFont="1"/>
    <xf numFmtId="0" fontId="12" fillId="0" borderId="0" xfId="0" applyFont="1"/>
    <xf numFmtId="2" fontId="12" fillId="0" borderId="0" xfId="0" applyNumberFormat="1" applyFont="1"/>
    <xf numFmtId="0" fontId="5" fillId="24" borderId="0" xfId="0" applyFont="1" applyFill="1"/>
    <xf numFmtId="1" fontId="3" fillId="0" borderId="0" xfId="0" applyNumberFormat="1" applyFont="1"/>
    <xf numFmtId="0" fontId="3" fillId="21" borderId="0" xfId="0" applyFont="1" applyFill="1"/>
    <xf numFmtId="0" fontId="3" fillId="12" borderId="0" xfId="0" applyFont="1" applyFill="1"/>
    <xf numFmtId="0" fontId="5" fillId="22" borderId="0" xfId="0" applyFont="1" applyFill="1"/>
    <xf numFmtId="0" fontId="4" fillId="0" borderId="8" xfId="0" applyFont="1" applyBorder="1"/>
    <xf numFmtId="0" fontId="5" fillId="11" borderId="9" xfId="0" applyFont="1" applyFill="1" applyBorder="1"/>
    <xf numFmtId="0" fontId="5" fillId="11" borderId="9" xfId="0" applyFont="1" applyFill="1" applyBorder="1" applyAlignment="1">
      <alignment horizontal="center"/>
    </xf>
    <xf numFmtId="0" fontId="5" fillId="11" borderId="10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right"/>
    </xf>
    <xf numFmtId="0" fontId="3" fillId="0" borderId="12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3" fillId="0" borderId="4" xfId="0" applyFont="1" applyBorder="1"/>
    <xf numFmtId="164" fontId="3" fillId="0" borderId="5" xfId="0" applyNumberFormat="1" applyFont="1" applyBorder="1"/>
    <xf numFmtId="0" fontId="3" fillId="0" borderId="6" xfId="0" applyFont="1" applyBorder="1"/>
    <xf numFmtId="0" fontId="3" fillId="0" borderId="14" xfId="0" applyFont="1" applyBorder="1" applyAlignment="1">
      <alignment horizontal="right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/>
    <xf numFmtId="10" fontId="3" fillId="0" borderId="0" xfId="3" applyNumberFormat="1" applyFont="1" applyFill="1" applyBorder="1"/>
    <xf numFmtId="0" fontId="3" fillId="0" borderId="18" xfId="0" applyFont="1" applyBorder="1"/>
    <xf numFmtId="0" fontId="3" fillId="0" borderId="17" xfId="0" applyFont="1" applyBorder="1" applyAlignment="1">
      <alignment horizontal="right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14" borderId="7" xfId="0" applyFont="1" applyFill="1" applyBorder="1" applyAlignment="1">
      <alignment horizontal="right"/>
    </xf>
    <xf numFmtId="0" fontId="3" fillId="0" borderId="5" xfId="0" applyFont="1" applyBorder="1"/>
    <xf numFmtId="0" fontId="5" fillId="24" borderId="7" xfId="0" applyFont="1" applyFill="1" applyBorder="1" applyAlignment="1">
      <alignment horizontal="right"/>
    </xf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 applyAlignment="1">
      <alignment horizontal="right"/>
    </xf>
    <xf numFmtId="0" fontId="3" fillId="0" borderId="24" xfId="0" applyFont="1" applyBorder="1"/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0" xfId="0" applyFont="1" applyBorder="1" applyAlignment="1">
      <alignment horizontal="right"/>
    </xf>
    <xf numFmtId="1" fontId="3" fillId="0" borderId="21" xfId="0" applyNumberFormat="1" applyFont="1" applyBorder="1" applyAlignment="1">
      <alignment horizontal="center"/>
    </xf>
    <xf numFmtId="2" fontId="3" fillId="0" borderId="2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4" fillId="0" borderId="5" xfId="0" applyFont="1" applyBorder="1"/>
    <xf numFmtId="0" fontId="4" fillId="0" borderId="6" xfId="0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4" fillId="0" borderId="0" xfId="0" applyFont="1"/>
    <xf numFmtId="0" fontId="4" fillId="25" borderId="7" xfId="0" applyFont="1" applyFill="1" applyBorder="1" applyAlignment="1">
      <alignment horizontal="right"/>
    </xf>
    <xf numFmtId="0" fontId="3" fillId="0" borderId="21" xfId="0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0" fontId="5" fillId="8" borderId="7" xfId="0" applyFont="1" applyFill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17" borderId="7" xfId="0" applyFont="1" applyFill="1" applyBorder="1" applyAlignment="1">
      <alignment horizontal="right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3" fillId="23" borderId="22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3" fillId="23" borderId="5" xfId="0" applyFont="1" applyFill="1" applyBorder="1"/>
    <xf numFmtId="2" fontId="3" fillId="0" borderId="6" xfId="0" applyNumberFormat="1" applyFont="1" applyBorder="1"/>
    <xf numFmtId="164" fontId="3" fillId="0" borderId="0" xfId="0" applyNumberFormat="1" applyFont="1" applyAlignment="1">
      <alignment horizontal="center" vertical="center"/>
    </xf>
    <xf numFmtId="0" fontId="5" fillId="9" borderId="7" xfId="0" applyFont="1" applyFill="1" applyBorder="1" applyAlignment="1">
      <alignment horizontal="right"/>
    </xf>
    <xf numFmtId="2" fontId="3" fillId="0" borderId="18" xfId="0" applyNumberFormat="1" applyFont="1" applyBorder="1"/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2" fontId="3" fillId="0" borderId="2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/>
    <xf numFmtId="1" fontId="3" fillId="0" borderId="18" xfId="0" applyNumberFormat="1" applyFont="1" applyBorder="1"/>
    <xf numFmtId="0" fontId="3" fillId="23" borderId="5" xfId="0" applyFont="1" applyFill="1" applyBorder="1" applyAlignment="1">
      <alignment horizontal="center"/>
    </xf>
    <xf numFmtId="0" fontId="3" fillId="23" borderId="0" xfId="0" applyFont="1" applyFill="1" applyAlignment="1">
      <alignment horizontal="center"/>
    </xf>
    <xf numFmtId="0" fontId="15" fillId="29" borderId="17" xfId="0" applyFont="1" applyFill="1" applyBorder="1" applyAlignment="1">
      <alignment horizontal="right"/>
    </xf>
    <xf numFmtId="0" fontId="15" fillId="29" borderId="0" xfId="0" applyFont="1" applyFill="1" applyAlignment="1">
      <alignment horizontal="center"/>
    </xf>
    <xf numFmtId="0" fontId="3" fillId="29" borderId="0" xfId="0" applyFont="1" applyFill="1"/>
    <xf numFmtId="0" fontId="3" fillId="29" borderId="18" xfId="0" applyFont="1" applyFill="1" applyBorder="1"/>
    <xf numFmtId="0" fontId="15" fillId="29" borderId="20" xfId="0" applyFont="1" applyFill="1" applyBorder="1" applyAlignment="1">
      <alignment horizontal="right"/>
    </xf>
    <xf numFmtId="1" fontId="15" fillId="29" borderId="21" xfId="0" applyNumberFormat="1" applyFont="1" applyFill="1" applyBorder="1" applyAlignment="1">
      <alignment horizontal="center"/>
    </xf>
    <xf numFmtId="0" fontId="3" fillId="29" borderId="21" xfId="0" applyFont="1" applyFill="1" applyBorder="1"/>
    <xf numFmtId="0" fontId="3" fillId="29" borderId="22" xfId="0" applyFont="1" applyFill="1" applyBorder="1"/>
    <xf numFmtId="0" fontId="4" fillId="0" borderId="17" xfId="0" applyFont="1" applyBorder="1" applyAlignment="1">
      <alignment horizontal="right"/>
    </xf>
    <xf numFmtId="0" fontId="4" fillId="23" borderId="0" xfId="0" applyFont="1" applyFill="1"/>
    <xf numFmtId="0" fontId="3" fillId="23" borderId="0" xfId="0" applyFont="1" applyFill="1"/>
    <xf numFmtId="0" fontId="4" fillId="0" borderId="0" xfId="0" applyFont="1"/>
    <xf numFmtId="1" fontId="4" fillId="0" borderId="18" xfId="0" applyNumberFormat="1" applyFont="1" applyBorder="1"/>
    <xf numFmtId="0" fontId="3" fillId="0" borderId="0" xfId="0" applyFont="1" applyAlignment="1">
      <alignment horizontal="left"/>
    </xf>
    <xf numFmtId="0" fontId="16" fillId="0" borderId="1" xfId="0" applyFont="1" applyBorder="1"/>
    <xf numFmtId="0" fontId="16" fillId="0" borderId="2" xfId="0" applyFont="1" applyBorder="1" applyAlignment="1">
      <alignment horizontal="left"/>
    </xf>
    <xf numFmtId="0" fontId="16" fillId="0" borderId="2" xfId="0" applyFont="1" applyBorder="1"/>
    <xf numFmtId="165" fontId="16" fillId="12" borderId="2" xfId="2" applyNumberFormat="1" applyFont="1" applyFill="1" applyBorder="1" applyAlignment="1">
      <alignment horizontal="center"/>
    </xf>
    <xf numFmtId="1" fontId="16" fillId="30" borderId="2" xfId="2" applyNumberFormat="1" applyFont="1" applyFill="1" applyBorder="1" applyAlignment="1">
      <alignment horizontal="left"/>
    </xf>
    <xf numFmtId="165" fontId="16" fillId="0" borderId="2" xfId="2" applyNumberFormat="1" applyFont="1" applyFill="1" applyBorder="1" applyAlignment="1">
      <alignment horizontal="center"/>
    </xf>
    <xf numFmtId="2" fontId="16" fillId="0" borderId="2" xfId="2" applyNumberFormat="1" applyFont="1" applyFill="1" applyBorder="1" applyAlignment="1">
      <alignment horizontal="center"/>
    </xf>
    <xf numFmtId="14" fontId="16" fillId="19" borderId="2" xfId="0" applyNumberFormat="1" applyFont="1" applyFill="1" applyBorder="1" applyAlignment="1">
      <alignment horizontal="center"/>
    </xf>
    <xf numFmtId="1" fontId="16" fillId="31" borderId="3" xfId="0" applyNumberFormat="1" applyFont="1" applyFill="1" applyBorder="1"/>
    <xf numFmtId="0" fontId="4" fillId="30" borderId="0" xfId="0" applyFont="1" applyFill="1"/>
    <xf numFmtId="0" fontId="16" fillId="0" borderId="0" xfId="0" applyFont="1"/>
    <xf numFmtId="1" fontId="16" fillId="0" borderId="0" xfId="2" applyNumberFormat="1" applyFont="1" applyFill="1" applyAlignment="1">
      <alignment horizontal="center"/>
    </xf>
    <xf numFmtId="165" fontId="16" fillId="0" borderId="0" xfId="2" applyNumberFormat="1" applyFont="1" applyFill="1" applyAlignment="1">
      <alignment horizontal="center"/>
    </xf>
    <xf numFmtId="2" fontId="16" fillId="0" borderId="0" xfId="2" applyNumberFormat="1" applyFont="1" applyFill="1" applyAlignment="1">
      <alignment horizontal="center"/>
    </xf>
    <xf numFmtId="14" fontId="3" fillId="0" borderId="0" xfId="0" applyNumberFormat="1" applyFont="1"/>
    <xf numFmtId="0" fontId="3" fillId="23" borderId="0" xfId="0" applyFont="1" applyFill="1" applyAlignment="1">
      <alignment horizontal="left"/>
    </xf>
    <xf numFmtId="0" fontId="16" fillId="23" borderId="0" xfId="0" applyFont="1" applyFill="1" applyAlignment="1">
      <alignment horizontal="left"/>
    </xf>
    <xf numFmtId="0" fontId="16" fillId="23" borderId="0" xfId="0" applyFont="1" applyFill="1"/>
    <xf numFmtId="165" fontId="16" fillId="23" borderId="0" xfId="2" applyNumberFormat="1" applyFont="1" applyFill="1" applyAlignment="1">
      <alignment horizontal="center"/>
    </xf>
    <xf numFmtId="2" fontId="16" fillId="23" borderId="0" xfId="2" applyNumberFormat="1" applyFont="1" applyFill="1" applyAlignment="1">
      <alignment horizontal="center"/>
    </xf>
    <xf numFmtId="14" fontId="3" fillId="23" borderId="0" xfId="0" applyNumberFormat="1" applyFont="1" applyFill="1"/>
    <xf numFmtId="1" fontId="3" fillId="23" borderId="0" xfId="0" applyNumberFormat="1" applyFont="1" applyFill="1"/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3" fontId="3" fillId="0" borderId="0" xfId="0" applyNumberFormat="1" applyFont="1" applyAlignment="1">
      <alignment horizontal="center" vertical="center"/>
    </xf>
    <xf numFmtId="14" fontId="16" fillId="0" borderId="0" xfId="2" applyNumberFormat="1" applyFont="1" applyFill="1" applyAlignment="1">
      <alignment horizontal="center"/>
    </xf>
    <xf numFmtId="0" fontId="3" fillId="23" borderId="0" xfId="0" applyFont="1" applyFill="1" applyAlignment="1">
      <alignment horizontal="left" vertical="center"/>
    </xf>
    <xf numFmtId="3" fontId="3" fillId="23" borderId="0" xfId="0" applyNumberFormat="1" applyFont="1" applyFill="1" applyAlignment="1">
      <alignment horizontal="center" vertical="center"/>
    </xf>
    <xf numFmtId="14" fontId="16" fillId="23" borderId="0" xfId="2" applyNumberFormat="1" applyFont="1" applyFill="1" applyAlignment="1">
      <alignment horizontal="center"/>
    </xf>
    <xf numFmtId="14" fontId="16" fillId="0" borderId="0" xfId="2" applyNumberFormat="1" applyFont="1" applyAlignment="1">
      <alignment horizontal="center"/>
    </xf>
    <xf numFmtId="165" fontId="16" fillId="29" borderId="0" xfId="2" applyNumberFormat="1" applyFont="1" applyFill="1" applyAlignment="1">
      <alignment horizontal="center"/>
    </xf>
    <xf numFmtId="165" fontId="16" fillId="23" borderId="0" xfId="2" applyNumberFormat="1" applyFont="1" applyFill="1" applyAlignment="1"/>
    <xf numFmtId="165" fontId="3" fillId="29" borderId="0" xfId="2" applyNumberFormat="1" applyFont="1" applyFill="1" applyAlignment="1">
      <alignment horizontal="center"/>
    </xf>
    <xf numFmtId="2" fontId="3" fillId="0" borderId="0" xfId="2" applyNumberFormat="1" applyFont="1" applyAlignment="1">
      <alignment horizontal="center"/>
    </xf>
    <xf numFmtId="165" fontId="3" fillId="0" borderId="0" xfId="2" applyNumberFormat="1" applyFont="1" applyFill="1" applyAlignment="1">
      <alignment horizontal="center"/>
    </xf>
    <xf numFmtId="165" fontId="16" fillId="0" borderId="0" xfId="2" applyNumberFormat="1" applyFont="1" applyAlignment="1">
      <alignment horizontal="center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" fontId="16" fillId="23" borderId="0" xfId="2" applyNumberFormat="1" applyFont="1" applyFill="1" applyAlignment="1">
      <alignment horizontal="center"/>
    </xf>
    <xf numFmtId="165" fontId="16" fillId="23" borderId="0" xfId="2" applyNumberFormat="1" applyFont="1" applyFill="1"/>
    <xf numFmtId="3" fontId="3" fillId="23" borderId="0" xfId="0" applyNumberFormat="1" applyFont="1" applyFill="1" applyAlignment="1">
      <alignment vertical="center"/>
    </xf>
    <xf numFmtId="0" fontId="0" fillId="0" borderId="18" xfId="0" applyBorder="1"/>
    <xf numFmtId="0" fontId="16" fillId="0" borderId="0" xfId="0" applyFont="1" applyAlignment="1">
      <alignment horizontal="right" wrapText="1"/>
    </xf>
    <xf numFmtId="0" fontId="9" fillId="0" borderId="0" xfId="0" applyFont="1" applyAlignment="1">
      <alignment horizontal="center"/>
    </xf>
    <xf numFmtId="0" fontId="21" fillId="14" borderId="0" xfId="0" applyFont="1" applyFill="1" applyAlignment="1">
      <alignment horizontal="right"/>
    </xf>
    <xf numFmtId="0" fontId="18" fillId="14" borderId="0" xfId="0" applyFont="1" applyFill="1" applyAlignment="1">
      <alignment horizontal="right"/>
    </xf>
    <xf numFmtId="0" fontId="21" fillId="33" borderId="0" xfId="0" applyFont="1" applyFill="1" applyAlignment="1">
      <alignment horizontal="right"/>
    </xf>
    <xf numFmtId="0" fontId="18" fillId="33" borderId="0" xfId="0" applyFont="1" applyFill="1" applyAlignment="1">
      <alignment horizontal="right"/>
    </xf>
    <xf numFmtId="0" fontId="21" fillId="31" borderId="0" xfId="0" applyFont="1" applyFill="1" applyAlignment="1">
      <alignment horizontal="right"/>
    </xf>
    <xf numFmtId="0" fontId="18" fillId="31" borderId="0" xfId="0" applyFont="1" applyFill="1"/>
    <xf numFmtId="0" fontId="18" fillId="31" borderId="0" xfId="0" applyFont="1" applyFill="1" applyAlignment="1">
      <alignment horizontal="right"/>
    </xf>
    <xf numFmtId="0" fontId="21" fillId="34" borderId="0" xfId="0" applyFont="1" applyFill="1" applyAlignment="1">
      <alignment horizontal="right"/>
    </xf>
    <xf numFmtId="0" fontId="18" fillId="34" borderId="0" xfId="0" applyFont="1" applyFill="1" applyAlignment="1">
      <alignment horizontal="right"/>
    </xf>
    <xf numFmtId="0" fontId="21" fillId="35" borderId="0" xfId="0" applyFont="1" applyFill="1" applyAlignment="1">
      <alignment horizontal="right"/>
    </xf>
    <xf numFmtId="0" fontId="18" fillId="35" borderId="0" xfId="0" applyFont="1" applyFill="1" applyAlignment="1">
      <alignment horizontal="right"/>
    </xf>
    <xf numFmtId="0" fontId="21" fillId="20" borderId="0" xfId="0" applyFont="1" applyFill="1" applyAlignment="1">
      <alignment horizontal="right"/>
    </xf>
    <xf numFmtId="0" fontId="22" fillId="0" borderId="7" xfId="0" applyFont="1" applyBorder="1" applyAlignment="1">
      <alignment horizontal="center" vertical="center"/>
    </xf>
    <xf numFmtId="0" fontId="5" fillId="32" borderId="4" xfId="0" applyFont="1" applyFill="1" applyBorder="1" applyAlignment="1">
      <alignment horizontal="center" vertical="center"/>
    </xf>
    <xf numFmtId="0" fontId="5" fillId="32" borderId="5" xfId="0" applyFont="1" applyFill="1" applyBorder="1" applyAlignment="1">
      <alignment horizontal="center" vertical="center"/>
    </xf>
    <xf numFmtId="0" fontId="5" fillId="3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32" borderId="0" xfId="0" applyFont="1" applyFill="1" applyAlignment="1">
      <alignment horizontal="center" vertical="center"/>
    </xf>
    <xf numFmtId="0" fontId="5" fillId="32" borderId="18" xfId="0" applyFont="1" applyFill="1" applyBorder="1" applyAlignment="1">
      <alignment horizontal="center" vertical="center"/>
    </xf>
    <xf numFmtId="0" fontId="5" fillId="32" borderId="17" xfId="0" applyFont="1" applyFill="1" applyBorder="1" applyAlignment="1">
      <alignment horizontal="center" vertical="center"/>
    </xf>
    <xf numFmtId="0" fontId="5" fillId="32" borderId="0" xfId="0" applyFont="1" applyFill="1" applyAlignment="1">
      <alignment horizontal="center" vertical="center" wrapText="1"/>
    </xf>
    <xf numFmtId="0" fontId="20" fillId="14" borderId="21" xfId="0" applyFont="1" applyFill="1" applyBorder="1" applyAlignment="1">
      <alignment horizontal="right" vertical="center"/>
    </xf>
    <xf numFmtId="0" fontId="20" fillId="0" borderId="21" xfId="0" applyFont="1" applyBorder="1" applyAlignment="1">
      <alignment horizontal="right" vertical="center"/>
    </xf>
    <xf numFmtId="0" fontId="22" fillId="14" borderId="0" xfId="0" applyFont="1" applyFill="1" applyAlignment="1">
      <alignment horizontal="right"/>
    </xf>
    <xf numFmtId="0" fontId="3" fillId="14" borderId="0" xfId="0" applyFont="1" applyFill="1" applyAlignment="1">
      <alignment horizontal="right"/>
    </xf>
    <xf numFmtId="164" fontId="20" fillId="0" borderId="0" xfId="0" applyNumberFormat="1" applyFont="1" applyAlignment="1">
      <alignment horizontal="center" vertical="center"/>
    </xf>
    <xf numFmtId="2" fontId="3" fillId="0" borderId="17" xfId="0" applyNumberFormat="1" applyFont="1" applyBorder="1"/>
    <xf numFmtId="0" fontId="20" fillId="33" borderId="0" xfId="0" applyFont="1" applyFill="1" applyAlignment="1">
      <alignment horizontal="right" vertical="center"/>
    </xf>
    <xf numFmtId="0" fontId="16" fillId="14" borderId="0" xfId="0" applyFont="1" applyFill="1" applyAlignment="1">
      <alignment horizontal="right"/>
    </xf>
    <xf numFmtId="0" fontId="3" fillId="31" borderId="0" xfId="0" applyFont="1" applyFill="1" applyAlignment="1">
      <alignment horizontal="center" vertical="center"/>
    </xf>
    <xf numFmtId="0" fontId="3" fillId="31" borderId="17" xfId="0" applyFont="1" applyFill="1" applyBorder="1" applyAlignment="1">
      <alignment horizontal="center" vertical="center"/>
    </xf>
    <xf numFmtId="0" fontId="3" fillId="31" borderId="18" xfId="0" applyFont="1" applyFill="1" applyBorder="1" applyAlignment="1">
      <alignment horizontal="center" vertical="center"/>
    </xf>
    <xf numFmtId="0" fontId="3" fillId="31" borderId="17" xfId="0" applyFont="1" applyFill="1" applyBorder="1"/>
    <xf numFmtId="0" fontId="3" fillId="31" borderId="0" xfId="0" applyFont="1" applyFill="1"/>
    <xf numFmtId="2" fontId="3" fillId="31" borderId="18" xfId="0" applyNumberFormat="1" applyFont="1" applyFill="1" applyBorder="1"/>
    <xf numFmtId="0" fontId="3" fillId="31" borderId="18" xfId="0" applyFont="1" applyFill="1" applyBorder="1"/>
    <xf numFmtId="164" fontId="3" fillId="0" borderId="0" xfId="0" applyNumberFormat="1" applyFont="1"/>
    <xf numFmtId="0" fontId="22" fillId="33" borderId="0" xfId="0" applyFont="1" applyFill="1" applyAlignment="1">
      <alignment horizontal="right"/>
    </xf>
    <xf numFmtId="0" fontId="3" fillId="33" borderId="0" xfId="0" applyFont="1" applyFill="1" applyAlignment="1">
      <alignment horizontal="right"/>
    </xf>
    <xf numFmtId="0" fontId="16" fillId="33" borderId="0" xfId="0" applyFont="1" applyFill="1" applyAlignment="1">
      <alignment horizontal="right"/>
    </xf>
    <xf numFmtId="0" fontId="20" fillId="33" borderId="21" xfId="0" applyFont="1" applyFill="1" applyBorder="1" applyAlignment="1">
      <alignment horizontal="right" vertical="center"/>
    </xf>
    <xf numFmtId="0" fontId="20" fillId="31" borderId="0" xfId="0" applyFont="1" applyFill="1" applyAlignment="1">
      <alignment horizontal="right" vertical="center"/>
    </xf>
    <xf numFmtId="0" fontId="3" fillId="31" borderId="18" xfId="0" applyFont="1" applyFill="1" applyBorder="1" applyAlignment="1">
      <alignment horizontal="center" vertical="center" wrapText="1"/>
    </xf>
    <xf numFmtId="2" fontId="3" fillId="31" borderId="17" xfId="0" applyNumberFormat="1" applyFont="1" applyFill="1" applyBorder="1"/>
    <xf numFmtId="0" fontId="20" fillId="31" borderId="21" xfId="0" applyFont="1" applyFill="1" applyBorder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0" fontId="20" fillId="34" borderId="21" xfId="0" applyFont="1" applyFill="1" applyBorder="1" applyAlignment="1">
      <alignment horizontal="right" vertical="center"/>
    </xf>
    <xf numFmtId="0" fontId="20" fillId="35" borderId="0" xfId="0" applyFont="1" applyFill="1" applyAlignment="1">
      <alignment horizontal="right" vertical="center"/>
    </xf>
    <xf numFmtId="0" fontId="20" fillId="35" borderId="21" xfId="0" applyFont="1" applyFill="1" applyBorder="1" applyAlignment="1">
      <alignment horizontal="right" vertical="center"/>
    </xf>
    <xf numFmtId="0" fontId="20" fillId="36" borderId="21" xfId="0" applyFont="1" applyFill="1" applyBorder="1" applyAlignment="1">
      <alignment horizontal="right" vertical="center"/>
    </xf>
    <xf numFmtId="0" fontId="22" fillId="31" borderId="0" xfId="0" applyFont="1" applyFill="1" applyAlignment="1">
      <alignment horizontal="right"/>
    </xf>
    <xf numFmtId="0" fontId="3" fillId="31" borderId="0" xfId="0" applyFont="1" applyFill="1" applyAlignment="1">
      <alignment horizontal="right"/>
    </xf>
    <xf numFmtId="0" fontId="16" fillId="31" borderId="0" xfId="0" applyFont="1" applyFill="1"/>
    <xf numFmtId="0" fontId="16" fillId="31" borderId="0" xfId="0" applyFont="1" applyFill="1" applyAlignment="1">
      <alignment horizontal="right"/>
    </xf>
    <xf numFmtId="0" fontId="22" fillId="34" borderId="0" xfId="0" applyFont="1" applyFill="1" applyAlignment="1">
      <alignment horizontal="right"/>
    </xf>
    <xf numFmtId="0" fontId="3" fillId="34" borderId="0" xfId="0" applyFont="1" applyFill="1" applyAlignment="1">
      <alignment horizontal="right"/>
    </xf>
    <xf numFmtId="0" fontId="16" fillId="34" borderId="0" xfId="0" applyFont="1" applyFill="1" applyAlignment="1">
      <alignment horizontal="right"/>
    </xf>
    <xf numFmtId="0" fontId="22" fillId="35" borderId="0" xfId="0" applyFont="1" applyFill="1" applyAlignment="1">
      <alignment horizontal="right"/>
    </xf>
    <xf numFmtId="0" fontId="3" fillId="35" borderId="0" xfId="0" applyFont="1" applyFill="1" applyAlignment="1">
      <alignment horizontal="right"/>
    </xf>
    <xf numFmtId="0" fontId="16" fillId="35" borderId="0" xfId="0" applyFont="1" applyFill="1" applyAlignment="1">
      <alignment horizontal="right"/>
    </xf>
    <xf numFmtId="1" fontId="20" fillId="0" borderId="0" xfId="0" applyNumberFormat="1" applyFont="1" applyAlignment="1">
      <alignment horizontal="center" vertical="center"/>
    </xf>
    <xf numFmtId="0" fontId="22" fillId="20" borderId="0" xfId="0" applyFont="1" applyFill="1" applyAlignment="1">
      <alignment horizontal="right"/>
    </xf>
    <xf numFmtId="0" fontId="3" fillId="20" borderId="0" xfId="0" applyFont="1" applyFill="1" applyAlignment="1">
      <alignment horizontal="right"/>
    </xf>
    <xf numFmtId="0" fontId="22" fillId="0" borderId="0" xfId="0" applyFont="1" applyAlignment="1">
      <alignment horizontal="center" vertical="center"/>
    </xf>
    <xf numFmtId="0" fontId="3" fillId="31" borderId="20" xfId="0" applyFont="1" applyFill="1" applyBorder="1" applyAlignment="1">
      <alignment horizontal="center" vertical="center"/>
    </xf>
    <xf numFmtId="0" fontId="3" fillId="31" borderId="21" xfId="0" applyFont="1" applyFill="1" applyBorder="1" applyAlignment="1">
      <alignment horizontal="center" vertical="center"/>
    </xf>
    <xf numFmtId="0" fontId="3" fillId="31" borderId="22" xfId="0" applyFont="1" applyFill="1" applyBorder="1" applyAlignment="1">
      <alignment horizontal="center" vertical="center"/>
    </xf>
    <xf numFmtId="0" fontId="3" fillId="31" borderId="20" xfId="0" applyFont="1" applyFill="1" applyBorder="1"/>
    <xf numFmtId="0" fontId="3" fillId="31" borderId="21" xfId="0" applyFont="1" applyFill="1" applyBorder="1"/>
    <xf numFmtId="2" fontId="3" fillId="31" borderId="20" xfId="0" applyNumberFormat="1" applyFont="1" applyFill="1" applyBorder="1"/>
    <xf numFmtId="2" fontId="3" fillId="31" borderId="22" xfId="0" applyNumberFormat="1" applyFont="1" applyFill="1" applyBorder="1"/>
    <xf numFmtId="0" fontId="3" fillId="0" borderId="0" xfId="0" applyFont="1" applyAlignment="1">
      <alignment horizontal="left" vertical="top"/>
    </xf>
    <xf numFmtId="0" fontId="3" fillId="0" borderId="15" xfId="0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0" fontId="23" fillId="31" borderId="8" xfId="0" applyFont="1" applyFill="1" applyBorder="1" applyAlignment="1">
      <alignment horizontal="center" vertical="center" wrapText="1"/>
    </xf>
    <xf numFmtId="1" fontId="3" fillId="31" borderId="3" xfId="0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19" fillId="0" borderId="0" xfId="0" applyFont="1"/>
    <xf numFmtId="0" fontId="22" fillId="0" borderId="0" xfId="0" applyFont="1" applyAlignment="1">
      <alignment horizontal="right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6" fillId="20" borderId="0" xfId="0" applyFont="1" applyFill="1" applyAlignment="1">
      <alignment horizontal="right"/>
    </xf>
    <xf numFmtId="0" fontId="16" fillId="39" borderId="0" xfId="0" applyFont="1" applyFill="1" applyAlignment="1">
      <alignment horizontal="right"/>
    </xf>
    <xf numFmtId="44" fontId="20" fillId="0" borderId="21" xfId="2" applyFont="1" applyBorder="1" applyAlignment="1">
      <alignment horizontal="right" vertical="center"/>
    </xf>
    <xf numFmtId="0" fontId="24" fillId="0" borderId="0" xfId="0" applyFont="1"/>
    <xf numFmtId="0" fontId="25" fillId="0" borderId="21" xfId="0" applyFont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4" fillId="0" borderId="21" xfId="0" applyFont="1" applyBorder="1" applyAlignment="1">
      <alignment horizontal="center" vertical="center" wrapText="1"/>
    </xf>
    <xf numFmtId="0" fontId="3" fillId="38" borderId="0" xfId="0" applyFont="1" applyFill="1"/>
    <xf numFmtId="0" fontId="20" fillId="0" borderId="2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7" fillId="2" borderId="0" xfId="4" applyFont="1" applyAlignment="1">
      <alignment vertical="center" wrapText="1"/>
    </xf>
    <xf numFmtId="0" fontId="3" fillId="38" borderId="0" xfId="0" applyFont="1" applyFill="1" applyAlignment="1">
      <alignment vertical="center" wrapText="1"/>
    </xf>
    <xf numFmtId="0" fontId="28" fillId="0" borderId="0" xfId="0" applyFont="1" applyAlignment="1">
      <alignment vertical="center"/>
    </xf>
    <xf numFmtId="10" fontId="3" fillId="0" borderId="0" xfId="3" applyNumberFormat="1" applyFont="1"/>
    <xf numFmtId="164" fontId="16" fillId="0" borderId="0" xfId="0" applyNumberFormat="1" applyFont="1"/>
    <xf numFmtId="166" fontId="16" fillId="0" borderId="0" xfId="0" applyNumberFormat="1" applyFont="1"/>
    <xf numFmtId="1" fontId="28" fillId="0" borderId="0" xfId="0" applyNumberFormat="1" applyFont="1" applyAlignment="1">
      <alignment vertical="center"/>
    </xf>
    <xf numFmtId="0" fontId="20" fillId="23" borderId="21" xfId="0" applyFont="1" applyFill="1" applyBorder="1" applyAlignment="1">
      <alignment horizontal="right" vertical="center"/>
    </xf>
    <xf numFmtId="0" fontId="16" fillId="39" borderId="0" xfId="0" applyFont="1" applyFill="1"/>
    <xf numFmtId="10" fontId="8" fillId="0" borderId="0" xfId="0" applyNumberFormat="1" applyFont="1"/>
    <xf numFmtId="0" fontId="8" fillId="0" borderId="15" xfId="0" applyFont="1" applyBorder="1"/>
    <xf numFmtId="0" fontId="9" fillId="0" borderId="15" xfId="0" applyFont="1" applyBorder="1" applyAlignment="1">
      <alignment horizontal="center"/>
    </xf>
    <xf numFmtId="0" fontId="19" fillId="14" borderId="15" xfId="0" applyFont="1" applyFill="1" applyBorder="1" applyAlignment="1">
      <alignment horizontal="right" vertical="center"/>
    </xf>
    <xf numFmtId="0" fontId="19" fillId="0" borderId="15" xfId="0" applyFont="1" applyBorder="1" applyAlignment="1">
      <alignment horizontal="right" vertical="center"/>
    </xf>
    <xf numFmtId="0" fontId="8" fillId="23" borderId="15" xfId="0" applyFont="1" applyFill="1" applyBorder="1"/>
    <xf numFmtId="0" fontId="19" fillId="33" borderId="15" xfId="0" applyFont="1" applyFill="1" applyBorder="1" applyAlignment="1">
      <alignment horizontal="right" vertical="center"/>
    </xf>
    <xf numFmtId="0" fontId="19" fillId="31" borderId="15" xfId="0" applyFont="1" applyFill="1" applyBorder="1" applyAlignment="1">
      <alignment horizontal="right" vertical="center"/>
    </xf>
    <xf numFmtId="0" fontId="19" fillId="34" borderId="15" xfId="0" applyFont="1" applyFill="1" applyBorder="1" applyAlignment="1">
      <alignment horizontal="right" vertical="center"/>
    </xf>
    <xf numFmtId="0" fontId="19" fillId="35" borderId="15" xfId="0" applyFont="1" applyFill="1" applyBorder="1" applyAlignment="1">
      <alignment horizontal="right" vertical="center"/>
    </xf>
    <xf numFmtId="0" fontId="19" fillId="36" borderId="15" xfId="0" applyFont="1" applyFill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167" fontId="8" fillId="0" borderId="15" xfId="0" applyNumberFormat="1" applyFont="1" applyBorder="1"/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167" fontId="8" fillId="0" borderId="0" xfId="0" applyNumberFormat="1" applyFont="1"/>
    <xf numFmtId="0" fontId="18" fillId="20" borderId="0" xfId="0" applyFont="1" applyFill="1" applyAlignment="1">
      <alignment horizontal="right"/>
    </xf>
    <xf numFmtId="0" fontId="4" fillId="0" borderId="4" xfId="0" applyFont="1" applyBorder="1" applyAlignment="1">
      <alignment horizontal="center"/>
    </xf>
    <xf numFmtId="16" fontId="3" fillId="0" borderId="18" xfId="0" applyNumberFormat="1" applyFont="1" applyBorder="1" applyAlignment="1">
      <alignment horizontal="center"/>
    </xf>
    <xf numFmtId="16" fontId="3" fillId="0" borderId="22" xfId="0" applyNumberFormat="1" applyFont="1" applyBorder="1" applyAlignment="1">
      <alignment horizontal="center"/>
    </xf>
    <xf numFmtId="0" fontId="3" fillId="23" borderId="0" xfId="0" quotePrefix="1" applyFont="1" applyFill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21" xfId="0" quotePrefix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8" fillId="0" borderId="4" xfId="0" applyFont="1" applyBorder="1" applyAlignment="1">
      <alignment horizontal="right"/>
    </xf>
    <xf numFmtId="0" fontId="18" fillId="0" borderId="5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68" fontId="9" fillId="0" borderId="5" xfId="1" applyNumberFormat="1" applyFont="1" applyBorder="1" applyAlignment="1">
      <alignment horizontal="center"/>
    </xf>
    <xf numFmtId="168" fontId="9" fillId="0" borderId="0" xfId="1" applyNumberFormat="1" applyFont="1" applyBorder="1" applyAlignment="1">
      <alignment horizontal="center"/>
    </xf>
    <xf numFmtId="0" fontId="18" fillId="0" borderId="17" xfId="0" applyFont="1" applyBorder="1" applyAlignment="1">
      <alignment horizontal="right"/>
    </xf>
    <xf numFmtId="0" fontId="8" fillId="0" borderId="0" xfId="0" applyFont="1" applyAlignment="1">
      <alignment horizontal="center"/>
    </xf>
    <xf numFmtId="0" fontId="18" fillId="0" borderId="20" xfId="0" applyFont="1" applyBorder="1" applyAlignment="1">
      <alignment horizontal="right"/>
    </xf>
    <xf numFmtId="0" fontId="18" fillId="0" borderId="21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168" fontId="9" fillId="0" borderId="21" xfId="1" applyNumberFormat="1" applyFont="1" applyBorder="1" applyAlignment="1">
      <alignment horizontal="center"/>
    </xf>
    <xf numFmtId="168" fontId="9" fillId="0" borderId="0" xfId="1" applyNumberFormat="1" applyFont="1" applyFill="1" applyBorder="1" applyAlignment="1">
      <alignment horizontal="center"/>
    </xf>
    <xf numFmtId="1" fontId="9" fillId="0" borderId="0" xfId="0" applyNumberFormat="1" applyFont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0" fontId="13" fillId="40" borderId="4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10" borderId="27" xfId="0" applyFont="1" applyFill="1" applyBorder="1" applyAlignment="1">
      <alignment horizontal="center"/>
    </xf>
    <xf numFmtId="0" fontId="13" fillId="13" borderId="0" xfId="0" applyFont="1" applyFill="1" applyAlignment="1">
      <alignment horizontal="center"/>
    </xf>
    <xf numFmtId="0" fontId="13" fillId="6" borderId="28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3" fillId="15" borderId="4" xfId="0" applyFont="1" applyFill="1" applyBorder="1" applyAlignment="1">
      <alignment horizontal="center"/>
    </xf>
    <xf numFmtId="0" fontId="13" fillId="8" borderId="27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8" fillId="0" borderId="4" xfId="0" applyFont="1" applyBorder="1" applyAlignment="1">
      <alignment horizontal="right"/>
    </xf>
    <xf numFmtId="0" fontId="8" fillId="0" borderId="5" xfId="0" applyFont="1" applyBorder="1" applyAlignment="1">
      <alignment horizontal="center"/>
    </xf>
    <xf numFmtId="168" fontId="9" fillId="0" borderId="5" xfId="1" applyNumberFormat="1" applyFont="1" applyBorder="1" applyAlignment="1">
      <alignment horizontal="right" vertical="center"/>
    </xf>
    <xf numFmtId="168" fontId="9" fillId="0" borderId="0" xfId="1" applyNumberFormat="1" applyFont="1" applyBorder="1" applyAlignment="1">
      <alignment horizontal="right" vertical="center"/>
    </xf>
    <xf numFmtId="0" fontId="8" fillId="0" borderId="17" xfId="0" applyFont="1" applyBorder="1" applyAlignment="1">
      <alignment horizontal="right"/>
    </xf>
    <xf numFmtId="0" fontId="8" fillId="0" borderId="20" xfId="0" applyFont="1" applyBorder="1" applyAlignment="1">
      <alignment horizontal="right"/>
    </xf>
    <xf numFmtId="168" fontId="9" fillId="0" borderId="21" xfId="1" applyNumberFormat="1" applyFont="1" applyBorder="1" applyAlignment="1">
      <alignment horizontal="right" vertical="center"/>
    </xf>
    <xf numFmtId="0" fontId="13" fillId="11" borderId="0" xfId="0" applyFont="1" applyFill="1" applyAlignment="1">
      <alignment horizontal="center"/>
    </xf>
    <xf numFmtId="0" fontId="13" fillId="12" borderId="4" xfId="0" applyFont="1" applyFill="1" applyBorder="1" applyAlignment="1">
      <alignment horizontal="center"/>
    </xf>
    <xf numFmtId="0" fontId="13" fillId="13" borderId="5" xfId="0" applyFont="1" applyFill="1" applyBorder="1" applyAlignment="1">
      <alignment horizontal="center"/>
    </xf>
    <xf numFmtId="0" fontId="13" fillId="6" borderId="27" xfId="0" applyFont="1" applyFill="1" applyBorder="1" applyAlignment="1">
      <alignment horizontal="center"/>
    </xf>
    <xf numFmtId="0" fontId="13" fillId="15" borderId="17" xfId="0" applyFont="1" applyFill="1" applyBorder="1" applyAlignment="1">
      <alignment horizontal="center"/>
    </xf>
    <xf numFmtId="0" fontId="13" fillId="8" borderId="17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27" xfId="0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8" fillId="0" borderId="5" xfId="0" applyFont="1" applyBorder="1"/>
    <xf numFmtId="0" fontId="8" fillId="0" borderId="21" xfId="0" applyFont="1" applyBorder="1"/>
    <xf numFmtId="0" fontId="9" fillId="0" borderId="27" xfId="0" applyFont="1" applyBorder="1" applyAlignment="1">
      <alignment horizontal="right"/>
    </xf>
    <xf numFmtId="0" fontId="13" fillId="11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14" borderId="5" xfId="0" applyFont="1" applyFill="1" applyBorder="1" applyAlignment="1">
      <alignment horizontal="center"/>
    </xf>
    <xf numFmtId="0" fontId="13" fillId="15" borderId="5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168" fontId="9" fillId="0" borderId="6" xfId="1" applyNumberFormat="1" applyFont="1" applyBorder="1" applyAlignment="1">
      <alignment horizontal="center"/>
    </xf>
    <xf numFmtId="168" fontId="9" fillId="0" borderId="18" xfId="1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" fontId="9" fillId="0" borderId="2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0" fontId="3" fillId="0" borderId="0" xfId="0" applyNumberFormat="1" applyFont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16" borderId="4" xfId="0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0" fontId="4" fillId="1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4" borderId="2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2" fontId="3" fillId="0" borderId="0" xfId="0" applyNumberFormat="1" applyFont="1"/>
    <xf numFmtId="0" fontId="4" fillId="14" borderId="1" xfId="0" applyFont="1" applyFill="1" applyBorder="1" applyAlignment="1">
      <alignment horizontal="right"/>
    </xf>
    <xf numFmtId="0" fontId="5" fillId="24" borderId="1" xfId="0" applyFont="1" applyFill="1" applyBorder="1" applyAlignment="1">
      <alignment horizontal="right"/>
    </xf>
    <xf numFmtId="0" fontId="4" fillId="25" borderId="20" xfId="0" applyFont="1" applyFill="1" applyBorder="1" applyAlignment="1">
      <alignment horizontal="right"/>
    </xf>
    <xf numFmtId="0" fontId="4" fillId="25" borderId="1" xfId="0" applyFont="1" applyFill="1" applyBorder="1" applyAlignment="1">
      <alignment horizontal="right"/>
    </xf>
    <xf numFmtId="0" fontId="5" fillId="8" borderId="1" xfId="0" applyFont="1" applyFill="1" applyBorder="1" applyAlignment="1">
      <alignment horizontal="right"/>
    </xf>
    <xf numFmtId="0" fontId="4" fillId="17" borderId="20" xfId="0" applyFont="1" applyFill="1" applyBorder="1" applyAlignment="1">
      <alignment horizontal="right"/>
    </xf>
    <xf numFmtId="0" fontId="4" fillId="17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6" fontId="3" fillId="23" borderId="5" xfId="0" applyNumberFormat="1" applyFont="1" applyFill="1" applyBorder="1" applyAlignment="1">
      <alignment horizontal="center"/>
    </xf>
    <xf numFmtId="6" fontId="3" fillId="23" borderId="0" xfId="0" applyNumberFormat="1" applyFont="1" applyFill="1" applyAlignment="1">
      <alignment horizontal="center"/>
    </xf>
    <xf numFmtId="0" fontId="3" fillId="23" borderId="2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10" borderId="3" xfId="0" applyFont="1" applyFill="1" applyBorder="1"/>
    <xf numFmtId="0" fontId="5" fillId="27" borderId="2" xfId="0" applyFont="1" applyFill="1" applyBorder="1" applyAlignment="1">
      <alignment horizontal="left"/>
    </xf>
    <xf numFmtId="0" fontId="5" fillId="42" borderId="2" xfId="0" applyFont="1" applyFill="1" applyBorder="1" applyAlignment="1">
      <alignment horizontal="center"/>
    </xf>
    <xf numFmtId="0" fontId="0" fillId="0" borderId="6" xfId="0" applyBorder="1"/>
    <xf numFmtId="0" fontId="0" fillId="0" borderId="22" xfId="0" applyBorder="1"/>
    <xf numFmtId="0" fontId="5" fillId="27" borderId="5" xfId="0" applyFont="1" applyFill="1" applyBorder="1" applyAlignment="1">
      <alignment horizontal="left"/>
    </xf>
    <xf numFmtId="0" fontId="5" fillId="10" borderId="6" xfId="0" applyFont="1" applyFill="1" applyBorder="1"/>
    <xf numFmtId="0" fontId="5" fillId="42" borderId="5" xfId="0" applyFont="1" applyFill="1" applyBorder="1" applyAlignment="1">
      <alignment horizontal="center"/>
    </xf>
    <xf numFmtId="168" fontId="9" fillId="0" borderId="0" xfId="1" applyNumberFormat="1" applyFont="1" applyBorder="1"/>
    <xf numFmtId="168" fontId="9" fillId="0" borderId="5" xfId="1" applyNumberFormat="1" applyFont="1" applyBorder="1"/>
    <xf numFmtId="168" fontId="9" fillId="0" borderId="21" xfId="1" applyNumberFormat="1" applyFont="1" applyBorder="1"/>
    <xf numFmtId="0" fontId="9" fillId="0" borderId="0" xfId="0" applyFont="1" applyAlignment="1">
      <alignment horizontal="left"/>
    </xf>
    <xf numFmtId="168" fontId="9" fillId="0" borderId="0" xfId="1" applyNumberFormat="1" applyFont="1" applyFill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13" fillId="40" borderId="4" xfId="0" applyFont="1" applyFill="1" applyBorder="1" applyAlignment="1">
      <alignment horizontal="left"/>
    </xf>
    <xf numFmtId="168" fontId="9" fillId="0" borderId="5" xfId="1" applyNumberFormat="1" applyFont="1" applyBorder="1" applyAlignment="1">
      <alignment horizontal="left"/>
    </xf>
    <xf numFmtId="168" fontId="9" fillId="0" borderId="0" xfId="1" applyNumberFormat="1" applyFont="1" applyBorder="1" applyAlignment="1">
      <alignment horizontal="left"/>
    </xf>
    <xf numFmtId="168" fontId="9" fillId="0" borderId="21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168" fontId="9" fillId="0" borderId="5" xfId="1" applyNumberFormat="1" applyFont="1" applyBorder="1" applyAlignment="1">
      <alignment horizontal="center" vertical="center"/>
    </xf>
    <xf numFmtId="0" fontId="13" fillId="40" borderId="27" xfId="0" applyFont="1" applyFill="1" applyBorder="1" applyAlignment="1">
      <alignment horizontal="left"/>
    </xf>
    <xf numFmtId="168" fontId="9" fillId="0" borderId="6" xfId="1" applyNumberFormat="1" applyFont="1" applyBorder="1" applyAlignment="1"/>
    <xf numFmtId="168" fontId="9" fillId="0" borderId="18" xfId="1" applyNumberFormat="1" applyFont="1" applyBorder="1" applyAlignment="1"/>
    <xf numFmtId="168" fontId="9" fillId="0" borderId="4" xfId="1" applyNumberFormat="1" applyFont="1" applyBorder="1" applyAlignment="1"/>
    <xf numFmtId="168" fontId="9" fillId="0" borderId="17" xfId="1" applyNumberFormat="1" applyFont="1" applyBorder="1" applyAlignment="1"/>
    <xf numFmtId="168" fontId="9" fillId="0" borderId="17" xfId="1" applyNumberFormat="1" applyFont="1" applyFill="1" applyBorder="1" applyAlignment="1">
      <alignment horizontal="center"/>
    </xf>
    <xf numFmtId="168" fontId="9" fillId="0" borderId="17" xfId="1" applyNumberFormat="1" applyFont="1" applyBorder="1" applyAlignment="1">
      <alignment horizontal="center"/>
    </xf>
    <xf numFmtId="1" fontId="9" fillId="0" borderId="20" xfId="0" applyNumberFormat="1" applyFont="1" applyBorder="1" applyAlignment="1">
      <alignment horizontal="center"/>
    </xf>
    <xf numFmtId="168" fontId="9" fillId="0" borderId="4" xfId="1" applyNumberFormat="1" applyFont="1" applyBorder="1" applyAlignment="1">
      <alignment horizontal="right" vertical="center"/>
    </xf>
    <xf numFmtId="168" fontId="9" fillId="0" borderId="17" xfId="1" applyNumberFormat="1" applyFont="1" applyBorder="1" applyAlignment="1">
      <alignment horizontal="right" vertical="center"/>
    </xf>
    <xf numFmtId="168" fontId="9" fillId="0" borderId="20" xfId="1" applyNumberFormat="1" applyFont="1" applyBorder="1" applyAlignment="1">
      <alignment horizontal="right" vertical="center"/>
    </xf>
    <xf numFmtId="1" fontId="8" fillId="0" borderId="21" xfId="0" applyNumberFormat="1" applyFont="1" applyBorder="1" applyAlignment="1">
      <alignment horizontal="center"/>
    </xf>
    <xf numFmtId="168" fontId="8" fillId="0" borderId="5" xfId="1" applyNumberFormat="1" applyFont="1" applyBorder="1" applyAlignment="1">
      <alignment horizontal="right" vertical="center"/>
    </xf>
    <xf numFmtId="168" fontId="8" fillId="0" borderId="0" xfId="1" applyNumberFormat="1" applyFont="1" applyBorder="1" applyAlignment="1">
      <alignment horizontal="right" vertical="center"/>
    </xf>
    <xf numFmtId="168" fontId="8" fillId="0" borderId="21" xfId="1" applyNumberFormat="1" applyFont="1" applyBorder="1" applyAlignment="1">
      <alignment horizontal="right" vertical="center"/>
    </xf>
    <xf numFmtId="168" fontId="8" fillId="0" borderId="5" xfId="1" applyNumberFormat="1" applyFont="1" applyBorder="1" applyAlignment="1">
      <alignment horizontal="center" vertical="center"/>
    </xf>
    <xf numFmtId="168" fontId="9" fillId="0" borderId="0" xfId="1" applyNumberFormat="1" applyFont="1" applyBorder="1" applyAlignment="1">
      <alignment horizontal="center" vertical="center"/>
    </xf>
    <xf numFmtId="168" fontId="8" fillId="0" borderId="0" xfId="1" applyNumberFormat="1" applyFont="1" applyBorder="1" applyAlignment="1">
      <alignment horizontal="center" vertical="center"/>
    </xf>
    <xf numFmtId="168" fontId="9" fillId="0" borderId="21" xfId="1" applyNumberFormat="1" applyFont="1" applyBorder="1" applyAlignment="1">
      <alignment horizontal="center" vertical="center"/>
    </xf>
    <xf numFmtId="168" fontId="8" fillId="0" borderId="21" xfId="1" applyNumberFormat="1" applyFont="1" applyBorder="1" applyAlignment="1">
      <alignment horizontal="center" vertical="center"/>
    </xf>
    <xf numFmtId="168" fontId="8" fillId="0" borderId="5" xfId="1" applyNumberFormat="1" applyFont="1" applyBorder="1" applyAlignment="1">
      <alignment horizontal="left" vertical="center"/>
    </xf>
    <xf numFmtId="168" fontId="8" fillId="0" borderId="0" xfId="1" applyNumberFormat="1" applyFont="1" applyBorder="1" applyAlignment="1">
      <alignment horizontal="left" vertical="center"/>
    </xf>
    <xf numFmtId="168" fontId="8" fillId="0" borderId="21" xfId="1" applyNumberFormat="1" applyFont="1" applyBorder="1" applyAlignment="1">
      <alignment horizontal="left" vertical="center"/>
    </xf>
    <xf numFmtId="2" fontId="3" fillId="23" borderId="0" xfId="0" applyNumberFormat="1" applyFont="1" applyFill="1" applyAlignment="1">
      <alignment horizontal="left"/>
    </xf>
    <xf numFmtId="0" fontId="3" fillId="17" borderId="0" xfId="0" applyFont="1" applyFill="1" applyAlignment="1">
      <alignment horizontal="left"/>
    </xf>
    <xf numFmtId="10" fontId="3" fillId="23" borderId="0" xfId="3" applyNumberFormat="1" applyFont="1" applyFill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23" borderId="0" xfId="0" applyNumberFormat="1" applyFont="1" applyFill="1"/>
    <xf numFmtId="168" fontId="9" fillId="0" borderId="22" xfId="1" applyNumberFormat="1" applyFont="1" applyBorder="1" applyAlignment="1">
      <alignment horizontal="center"/>
    </xf>
    <xf numFmtId="0" fontId="13" fillId="41" borderId="0" xfId="0" applyFont="1" applyFill="1" applyAlignment="1">
      <alignment horizontal="center"/>
    </xf>
    <xf numFmtId="0" fontId="4" fillId="14" borderId="20" xfId="0" applyFont="1" applyFill="1" applyBorder="1" applyAlignment="1">
      <alignment horizontal="right"/>
    </xf>
    <xf numFmtId="0" fontId="3" fillId="14" borderId="21" xfId="0" applyFont="1" applyFill="1" applyBorder="1" applyAlignment="1">
      <alignment horizontal="center"/>
    </xf>
    <xf numFmtId="0" fontId="3" fillId="14" borderId="22" xfId="0" applyFont="1" applyFill="1" applyBorder="1" applyAlignment="1">
      <alignment horizontal="center"/>
    </xf>
    <xf numFmtId="0" fontId="4" fillId="0" borderId="20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29" fillId="24" borderId="2" xfId="0" applyFont="1" applyFill="1" applyBorder="1" applyAlignment="1">
      <alignment horizontal="center"/>
    </xf>
    <xf numFmtId="0" fontId="29" fillId="24" borderId="3" xfId="0" applyFont="1" applyFill="1" applyBorder="1" applyAlignment="1">
      <alignment horizontal="center"/>
    </xf>
    <xf numFmtId="0" fontId="3" fillId="0" borderId="2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3" fillId="25" borderId="21" xfId="0" applyFont="1" applyFill="1" applyBorder="1" applyAlignment="1">
      <alignment horizontal="center"/>
    </xf>
    <xf numFmtId="0" fontId="3" fillId="25" borderId="22" xfId="0" applyFont="1" applyFill="1" applyBorder="1" applyAlignment="1">
      <alignment horizontal="center"/>
    </xf>
    <xf numFmtId="0" fontId="3" fillId="25" borderId="2" xfId="0" applyFont="1" applyFill="1" applyBorder="1" applyAlignment="1">
      <alignment horizontal="center"/>
    </xf>
    <xf numFmtId="0" fontId="3" fillId="25" borderId="3" xfId="0" applyFont="1" applyFill="1" applyBorder="1" applyAlignment="1">
      <alignment horizontal="center"/>
    </xf>
    <xf numFmtId="0" fontId="3" fillId="17" borderId="21" xfId="0" applyFont="1" applyFill="1" applyBorder="1" applyAlignment="1">
      <alignment horizontal="center"/>
    </xf>
    <xf numFmtId="0" fontId="3" fillId="17" borderId="22" xfId="0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3" fillId="17" borderId="3" xfId="0" applyFont="1" applyFill="1" applyBorder="1" applyAlignment="1">
      <alignment horizontal="center"/>
    </xf>
    <xf numFmtId="0" fontId="16" fillId="0" borderId="2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5" fillId="9" borderId="1" xfId="0" applyFont="1" applyFill="1" applyBorder="1" applyAlignment="1">
      <alignment horizontal="right"/>
    </xf>
    <xf numFmtId="0" fontId="3" fillId="0" borderId="2" xfId="0" quotePrefix="1" applyFont="1" applyBorder="1" applyAlignment="1">
      <alignment horizontal="center"/>
    </xf>
    <xf numFmtId="0" fontId="4" fillId="23" borderId="7" xfId="0" applyFont="1" applyFill="1" applyBorder="1"/>
    <xf numFmtId="0" fontId="4" fillId="0" borderId="1" xfId="0" applyFont="1" applyBorder="1"/>
    <xf numFmtId="0" fontId="4" fillId="37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1" fontId="5" fillId="45" borderId="2" xfId="0" applyNumberFormat="1" applyFont="1" applyFill="1" applyBorder="1" applyAlignment="1">
      <alignment horizontal="center"/>
    </xf>
    <xf numFmtId="0" fontId="3" fillId="45" borderId="2" xfId="0" applyFont="1" applyFill="1" applyBorder="1"/>
    <xf numFmtId="0" fontId="3" fillId="45" borderId="3" xfId="0" applyFont="1" applyFill="1" applyBorder="1"/>
    <xf numFmtId="0" fontId="5" fillId="45" borderId="1" xfId="0" applyFont="1" applyFill="1" applyBorder="1" applyAlignment="1">
      <alignment horizontal="right"/>
    </xf>
    <xf numFmtId="0" fontId="5" fillId="45" borderId="1" xfId="0" applyFont="1" applyFill="1" applyBorder="1" applyAlignment="1">
      <alignment horizontal="center"/>
    </xf>
    <xf numFmtId="0" fontId="29" fillId="45" borderId="2" xfId="0" applyFont="1" applyFill="1" applyBorder="1" applyAlignment="1">
      <alignment horizontal="center"/>
    </xf>
    <xf numFmtId="0" fontId="5" fillId="45" borderId="2" xfId="0" applyFont="1" applyFill="1" applyBorder="1" applyAlignment="1">
      <alignment horizontal="right"/>
    </xf>
    <xf numFmtId="0" fontId="5" fillId="12" borderId="1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left"/>
    </xf>
    <xf numFmtId="0" fontId="5" fillId="15" borderId="2" xfId="0" applyFont="1" applyFill="1" applyBorder="1" applyAlignment="1">
      <alignment horizontal="left"/>
    </xf>
    <xf numFmtId="0" fontId="5" fillId="15" borderId="3" xfId="0" applyFont="1" applyFill="1" applyBorder="1" applyAlignment="1">
      <alignment horizontal="left"/>
    </xf>
    <xf numFmtId="1" fontId="5" fillId="45" borderId="1" xfId="0" applyNumberFormat="1" applyFont="1" applyFill="1" applyBorder="1" applyAlignment="1">
      <alignment horizontal="center"/>
    </xf>
    <xf numFmtId="1" fontId="5" fillId="45" borderId="5" xfId="0" applyNumberFormat="1" applyFont="1" applyFill="1" applyBorder="1" applyAlignment="1">
      <alignment horizontal="center"/>
    </xf>
    <xf numFmtId="0" fontId="3" fillId="45" borderId="5" xfId="0" quotePrefix="1" applyFont="1" applyFill="1" applyBorder="1"/>
    <xf numFmtId="0" fontId="3" fillId="45" borderId="5" xfId="0" applyFont="1" applyFill="1" applyBorder="1"/>
    <xf numFmtId="0" fontId="5" fillId="11" borderId="3" xfId="0" applyFont="1" applyFill="1" applyBorder="1" applyAlignment="1">
      <alignment horizontal="left"/>
    </xf>
    <xf numFmtId="0" fontId="5" fillId="45" borderId="2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3" fillId="10" borderId="7" xfId="0" applyFont="1" applyFill="1" applyBorder="1" applyAlignment="1">
      <alignment horizontal="center"/>
    </xf>
    <xf numFmtId="0" fontId="13" fillId="6" borderId="19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3" fillId="40" borderId="1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13" borderId="21" xfId="0" applyFont="1" applyFill="1" applyBorder="1" applyAlignment="1">
      <alignment horizontal="center"/>
    </xf>
    <xf numFmtId="0" fontId="13" fillId="14" borderId="2" xfId="0" applyFont="1" applyFill="1" applyBorder="1" applyAlignment="1">
      <alignment horizontal="center"/>
    </xf>
    <xf numFmtId="0" fontId="13" fillId="14" borderId="1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13" fillId="8" borderId="7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13" fillId="40" borderId="7" xfId="0" applyFont="1" applyFill="1" applyBorder="1" applyAlignment="1">
      <alignment horizontal="left"/>
    </xf>
    <xf numFmtId="0" fontId="13" fillId="4" borderId="7" xfId="0" applyFont="1" applyFill="1" applyBorder="1" applyAlignment="1">
      <alignment horizontal="center"/>
    </xf>
    <xf numFmtId="0" fontId="13" fillId="13" borderId="2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3" fillId="42" borderId="2" xfId="0" applyFont="1" applyFill="1" applyBorder="1" applyAlignment="1">
      <alignment horizontal="center"/>
    </xf>
    <xf numFmtId="0" fontId="13" fillId="27" borderId="2" xfId="0" applyFont="1" applyFill="1" applyBorder="1" applyAlignment="1">
      <alignment horizontal="left"/>
    </xf>
    <xf numFmtId="0" fontId="13" fillId="10" borderId="3" xfId="0" applyFont="1" applyFill="1" applyBorder="1"/>
    <xf numFmtId="1" fontId="8" fillId="0" borderId="0" xfId="0" applyNumberFormat="1" applyFont="1"/>
    <xf numFmtId="0" fontId="8" fillId="0" borderId="6" xfId="0" applyFont="1" applyBorder="1"/>
    <xf numFmtId="0" fontId="8" fillId="0" borderId="18" xfId="0" applyFont="1" applyBorder="1"/>
    <xf numFmtId="0" fontId="8" fillId="0" borderId="22" xfId="0" applyFont="1" applyBorder="1"/>
    <xf numFmtId="0" fontId="8" fillId="0" borderId="4" xfId="0" applyFont="1" applyBorder="1"/>
    <xf numFmtId="0" fontId="8" fillId="0" borderId="17" xfId="0" applyFont="1" applyBorder="1"/>
    <xf numFmtId="0" fontId="8" fillId="0" borderId="20" xfId="0" applyFont="1" applyBorder="1"/>
    <xf numFmtId="0" fontId="30" fillId="2" borderId="0" xfId="4" applyFont="1" applyBorder="1"/>
    <xf numFmtId="1" fontId="3" fillId="0" borderId="6" xfId="0" applyNumberFormat="1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5" fillId="8" borderId="2" xfId="0" applyFont="1" applyFill="1" applyBorder="1" applyAlignment="1">
      <alignment horizontal="right"/>
    </xf>
    <xf numFmtId="0" fontId="29" fillId="8" borderId="2" xfId="0" applyFont="1" applyFill="1" applyBorder="1" applyAlignment="1">
      <alignment horizontal="center"/>
    </xf>
    <xf numFmtId="0" fontId="29" fillId="8" borderId="3" xfId="0" applyFont="1" applyFill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69" fontId="19" fillId="0" borderId="0" xfId="3" applyNumberFormat="1" applyFont="1"/>
    <xf numFmtId="0" fontId="22" fillId="23" borderId="0" xfId="0" applyFont="1" applyFill="1" applyAlignment="1">
      <alignment horizontal="right"/>
    </xf>
    <xf numFmtId="0" fontId="19" fillId="23" borderId="0" xfId="0" applyFont="1" applyFill="1"/>
    <xf numFmtId="0" fontId="8" fillId="23" borderId="0" xfId="0" applyFont="1" applyFill="1"/>
    <xf numFmtId="0" fontId="31" fillId="0" borderId="0" xfId="0" applyFont="1" applyAlignment="1">
      <alignment vertical="center"/>
    </xf>
    <xf numFmtId="0" fontId="0" fillId="0" borderId="0" xfId="0" applyAlignment="1">
      <alignment vertical="center"/>
    </xf>
    <xf numFmtId="2" fontId="8" fillId="0" borderId="15" xfId="0" applyNumberFormat="1" applyFont="1" applyBorder="1"/>
    <xf numFmtId="1" fontId="5" fillId="45" borderId="4" xfId="0" applyNumberFormat="1" applyFont="1" applyFill="1" applyBorder="1" applyAlignment="1">
      <alignment horizontal="center"/>
    </xf>
    <xf numFmtId="0" fontId="3" fillId="45" borderId="6" xfId="0" applyFont="1" applyFill="1" applyBorder="1"/>
    <xf numFmtId="0" fontId="4" fillId="0" borderId="0" xfId="0" applyFont="1" applyAlignment="1">
      <alignment horizontal="left"/>
    </xf>
    <xf numFmtId="0" fontId="4" fillId="47" borderId="7" xfId="0" applyFont="1" applyFill="1" applyBorder="1" applyAlignment="1">
      <alignment horizontal="center"/>
    </xf>
    <xf numFmtId="0" fontId="5" fillId="47" borderId="0" xfId="0" applyFont="1" applyFill="1" applyAlignment="1">
      <alignment horizontal="center"/>
    </xf>
    <xf numFmtId="1" fontId="3" fillId="48" borderId="17" xfId="0" applyNumberFormat="1" applyFont="1" applyFill="1" applyBorder="1" applyAlignment="1">
      <alignment horizontal="center"/>
    </xf>
    <xf numFmtId="1" fontId="3" fillId="48" borderId="0" xfId="0" applyNumberFormat="1" applyFont="1" applyFill="1" applyAlignment="1">
      <alignment horizontal="center"/>
    </xf>
    <xf numFmtId="0" fontId="3" fillId="48" borderId="0" xfId="0" applyFont="1" applyFill="1"/>
    <xf numFmtId="0" fontId="3" fillId="48" borderId="18" xfId="0" applyFont="1" applyFill="1" applyBorder="1"/>
    <xf numFmtId="1" fontId="3" fillId="48" borderId="18" xfId="0" applyNumberFormat="1" applyFont="1" applyFill="1" applyBorder="1" applyAlignment="1">
      <alignment horizontal="center"/>
    </xf>
    <xf numFmtId="2" fontId="3" fillId="48" borderId="0" xfId="0" applyNumberFormat="1" applyFont="1" applyFill="1" applyAlignment="1">
      <alignment horizontal="center"/>
    </xf>
    <xf numFmtId="0" fontId="3" fillId="49" borderId="0" xfId="0" applyFont="1" applyFill="1" applyAlignment="1">
      <alignment horizontal="center"/>
    </xf>
    <xf numFmtId="0" fontId="3" fillId="47" borderId="0" xfId="0" applyFont="1" applyFill="1" applyAlignment="1">
      <alignment horizontal="center"/>
    </xf>
    <xf numFmtId="1" fontId="3" fillId="31" borderId="5" xfId="0" applyNumberFormat="1" applyFont="1" applyFill="1" applyBorder="1" applyAlignment="1">
      <alignment horizontal="center"/>
    </xf>
    <xf numFmtId="0" fontId="5" fillId="45" borderId="3" xfId="0" applyFont="1" applyFill="1" applyBorder="1" applyAlignment="1">
      <alignment horizontal="right"/>
    </xf>
    <xf numFmtId="0" fontId="0" fillId="0" borderId="5" xfId="0" applyBorder="1"/>
    <xf numFmtId="0" fontId="0" fillId="0" borderId="21" xfId="0" applyBorder="1"/>
    <xf numFmtId="0" fontId="3" fillId="14" borderId="2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4" fillId="0" borderId="17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3" fillId="0" borderId="2" xfId="0" applyFont="1" applyBorder="1" applyAlignment="1">
      <alignment horizontal="right"/>
    </xf>
    <xf numFmtId="1" fontId="8" fillId="0" borderId="2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0" fontId="16" fillId="0" borderId="1" xfId="0" applyFont="1" applyBorder="1" applyAlignment="1">
      <alignment horizontal="right"/>
    </xf>
    <xf numFmtId="0" fontId="31" fillId="0" borderId="0" xfId="0" applyFont="1"/>
    <xf numFmtId="0" fontId="32" fillId="21" borderId="0" xfId="0" applyFont="1" applyFill="1" applyAlignment="1">
      <alignment horizontal="left"/>
    </xf>
    <xf numFmtId="0" fontId="32" fillId="0" borderId="0" xfId="0" applyFont="1"/>
    <xf numFmtId="0" fontId="32" fillId="0" borderId="0" xfId="0" applyFont="1" applyAlignment="1">
      <alignment horizontal="left"/>
    </xf>
    <xf numFmtId="2" fontId="19" fillId="0" borderId="0" xfId="0" applyNumberFormat="1" applyFont="1"/>
    <xf numFmtId="1" fontId="22" fillId="0" borderId="0" xfId="0" applyNumberFormat="1" applyFont="1" applyAlignment="1">
      <alignment horizontal="right"/>
    </xf>
    <xf numFmtId="2" fontId="22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17" xfId="0" applyNumberFormat="1" applyFont="1" applyBorder="1" applyAlignment="1">
      <alignment horizontal="center" vertical="center"/>
    </xf>
    <xf numFmtId="1" fontId="20" fillId="0" borderId="20" xfId="0" applyNumberFormat="1" applyFont="1" applyBorder="1" applyAlignment="1">
      <alignment horizontal="center" vertical="center"/>
    </xf>
    <xf numFmtId="0" fontId="20" fillId="14" borderId="20" xfId="0" applyFont="1" applyFill="1" applyBorder="1" applyAlignment="1">
      <alignment horizontal="right" vertical="center"/>
    </xf>
    <xf numFmtId="164" fontId="3" fillId="0" borderId="18" xfId="0" applyNumberFormat="1" applyFont="1" applyBorder="1" applyAlignment="1">
      <alignment horizontal="center" vertical="center"/>
    </xf>
    <xf numFmtId="0" fontId="20" fillId="33" borderId="17" xfId="0" applyFont="1" applyFill="1" applyBorder="1" applyAlignment="1">
      <alignment horizontal="right" vertical="center"/>
    </xf>
    <xf numFmtId="0" fontId="20" fillId="33" borderId="20" xfId="0" applyFont="1" applyFill="1" applyBorder="1" applyAlignment="1">
      <alignment horizontal="right" vertical="center"/>
    </xf>
    <xf numFmtId="0" fontId="20" fillId="31" borderId="17" xfId="0" applyFont="1" applyFill="1" applyBorder="1" applyAlignment="1">
      <alignment horizontal="right" vertical="center"/>
    </xf>
    <xf numFmtId="0" fontId="20" fillId="31" borderId="20" xfId="0" applyFont="1" applyFill="1" applyBorder="1" applyAlignment="1">
      <alignment horizontal="right" vertical="center"/>
    </xf>
    <xf numFmtId="0" fontId="20" fillId="34" borderId="20" xfId="0" applyFont="1" applyFill="1" applyBorder="1" applyAlignment="1">
      <alignment horizontal="right" vertical="center"/>
    </xf>
    <xf numFmtId="0" fontId="20" fillId="35" borderId="17" xfId="0" applyFont="1" applyFill="1" applyBorder="1" applyAlignment="1">
      <alignment horizontal="right" vertical="center"/>
    </xf>
    <xf numFmtId="0" fontId="20" fillId="35" borderId="20" xfId="0" applyFont="1" applyFill="1" applyBorder="1" applyAlignment="1">
      <alignment horizontal="right" vertical="center"/>
    </xf>
    <xf numFmtId="0" fontId="20" fillId="36" borderId="20" xfId="0" applyFont="1" applyFill="1" applyBorder="1" applyAlignment="1">
      <alignment horizontal="right" vertical="center"/>
    </xf>
    <xf numFmtId="164" fontId="3" fillId="0" borderId="22" xfId="0" applyNumberFormat="1" applyFont="1" applyBorder="1" applyAlignment="1">
      <alignment horizontal="center" vertical="center"/>
    </xf>
    <xf numFmtId="0" fontId="3" fillId="48" borderId="0" xfId="0" applyFont="1" applyFill="1" applyAlignment="1">
      <alignment horizontal="center"/>
    </xf>
    <xf numFmtId="0" fontId="5" fillId="45" borderId="3" xfId="0" applyFont="1" applyFill="1" applyBorder="1" applyAlignment="1">
      <alignment horizontal="center"/>
    </xf>
    <xf numFmtId="1" fontId="3" fillId="46" borderId="0" xfId="0" applyNumberFormat="1" applyFont="1" applyFill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9" borderId="2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41" borderId="1" xfId="0" applyFont="1" applyFill="1" applyBorder="1" applyAlignment="1">
      <alignment horizontal="center"/>
    </xf>
    <xf numFmtId="0" fontId="13" fillId="41" borderId="3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3" fillId="10" borderId="4" xfId="0" applyFont="1" applyFill="1" applyBorder="1" applyAlignment="1">
      <alignment horizontal="center"/>
    </xf>
    <xf numFmtId="0" fontId="13" fillId="10" borderId="5" xfId="0" applyFont="1" applyFill="1" applyBorder="1" applyAlignment="1">
      <alignment horizontal="center"/>
    </xf>
    <xf numFmtId="0" fontId="13" fillId="10" borderId="6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/>
    </xf>
    <xf numFmtId="0" fontId="3" fillId="0" borderId="21" xfId="0" quotePrefix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4" fillId="43" borderId="1" xfId="0" applyFont="1" applyFill="1" applyBorder="1" applyAlignment="1">
      <alignment horizontal="center"/>
    </xf>
    <xf numFmtId="0" fontId="4" fillId="43" borderId="2" xfId="0" applyFont="1" applyFill="1" applyBorder="1" applyAlignment="1">
      <alignment horizontal="center"/>
    </xf>
    <xf numFmtId="0" fontId="4" fillId="43" borderId="3" xfId="0" applyFont="1" applyFill="1" applyBorder="1" applyAlignment="1">
      <alignment horizontal="center"/>
    </xf>
    <xf numFmtId="0" fontId="4" fillId="44" borderId="1" xfId="0" applyFont="1" applyFill="1" applyBorder="1" applyAlignment="1">
      <alignment horizontal="center"/>
    </xf>
    <xf numFmtId="0" fontId="4" fillId="44" borderId="2" xfId="0" applyFont="1" applyFill="1" applyBorder="1" applyAlignment="1">
      <alignment horizontal="center"/>
    </xf>
    <xf numFmtId="0" fontId="4" fillId="44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26" borderId="4" xfId="0" applyFont="1" applyFill="1" applyBorder="1" applyAlignment="1">
      <alignment horizontal="center"/>
    </xf>
    <xf numFmtId="0" fontId="4" fillId="26" borderId="5" xfId="0" applyFont="1" applyFill="1" applyBorder="1" applyAlignment="1">
      <alignment horizontal="center"/>
    </xf>
    <xf numFmtId="0" fontId="4" fillId="26" borderId="6" xfId="0" applyFont="1" applyFill="1" applyBorder="1" applyAlignment="1">
      <alignment horizontal="center"/>
    </xf>
    <xf numFmtId="0" fontId="4" fillId="28" borderId="1" xfId="0" applyFont="1" applyFill="1" applyBorder="1" applyAlignment="1">
      <alignment horizontal="center"/>
    </xf>
    <xf numFmtId="0" fontId="4" fillId="28" borderId="2" xfId="0" applyFont="1" applyFill="1" applyBorder="1" applyAlignment="1">
      <alignment horizontal="center"/>
    </xf>
    <xf numFmtId="0" fontId="4" fillId="28" borderId="3" xfId="0" applyFont="1" applyFill="1" applyBorder="1" applyAlignment="1">
      <alignment horizontal="center"/>
    </xf>
    <xf numFmtId="0" fontId="5" fillId="27" borderId="1" xfId="0" applyFont="1" applyFill="1" applyBorder="1" applyAlignment="1">
      <alignment horizontal="center"/>
    </xf>
    <xf numFmtId="0" fontId="5" fillId="27" borderId="2" xfId="0" applyFont="1" applyFill="1" applyBorder="1" applyAlignment="1">
      <alignment horizontal="center"/>
    </xf>
    <xf numFmtId="0" fontId="5" fillId="27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7" xfId="0" applyFont="1" applyFill="1" applyBorder="1" applyAlignment="1">
      <alignment horizont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30" fillId="2" borderId="17" xfId="4" applyFont="1" applyBorder="1" applyAlignment="1">
      <alignment horizontal="center"/>
    </xf>
    <xf numFmtId="0" fontId="30" fillId="2" borderId="0" xfId="4" applyFont="1" applyAlignment="1">
      <alignment horizontal="center"/>
    </xf>
    <xf numFmtId="0" fontId="30" fillId="2" borderId="0" xfId="4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20" borderId="0" xfId="0" applyFont="1" applyFill="1" applyAlignment="1">
      <alignment horizontal="center"/>
    </xf>
    <xf numFmtId="0" fontId="9" fillId="18" borderId="0" xfId="0" applyFont="1" applyFill="1" applyAlignment="1">
      <alignment horizontal="center"/>
    </xf>
    <xf numFmtId="0" fontId="9" fillId="21" borderId="0" xfId="0" applyFont="1" applyFill="1" applyAlignment="1">
      <alignment horizontal="center"/>
    </xf>
    <xf numFmtId="0" fontId="9" fillId="22" borderId="0" xfId="0" applyFont="1" applyFill="1" applyAlignment="1">
      <alignment horizontal="center"/>
    </xf>
    <xf numFmtId="0" fontId="16" fillId="49" borderId="0" xfId="0" applyFont="1" applyFill="1" applyAlignment="1">
      <alignment horizontal="center"/>
    </xf>
    <xf numFmtId="0" fontId="3" fillId="51" borderId="0" xfId="0" applyFont="1" applyFill="1" applyAlignment="1">
      <alignment horizontal="center"/>
    </xf>
    <xf numFmtId="0" fontId="19" fillId="50" borderId="0" xfId="0" applyFont="1" applyFill="1" applyAlignment="1">
      <alignment horizontal="center"/>
    </xf>
    <xf numFmtId="0" fontId="5" fillId="32" borderId="4" xfId="0" applyFont="1" applyFill="1" applyBorder="1" applyAlignment="1">
      <alignment horizontal="center" vertical="center"/>
    </xf>
    <xf numFmtId="0" fontId="5" fillId="32" borderId="6" xfId="0" applyFont="1" applyFill="1" applyBorder="1" applyAlignment="1">
      <alignment horizontal="center" vertical="center"/>
    </xf>
    <xf numFmtId="0" fontId="5" fillId="32" borderId="5" xfId="0" applyFont="1" applyFill="1" applyBorder="1" applyAlignment="1">
      <alignment horizontal="center" vertical="center"/>
    </xf>
    <xf numFmtId="0" fontId="5" fillId="32" borderId="4" xfId="0" applyFont="1" applyFill="1" applyBorder="1" applyAlignment="1">
      <alignment horizontal="center"/>
    </xf>
    <xf numFmtId="0" fontId="5" fillId="32" borderId="5" xfId="0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</cellXfs>
  <cellStyles count="5">
    <cellStyle name="Comma" xfId="1" builtinId="3"/>
    <cellStyle name="Currency" xfId="2" builtinId="4"/>
    <cellStyle name="Good" xfId="4" builtinId="26"/>
    <cellStyle name="Normal" xfId="0" builtinId="0"/>
    <cellStyle name="Percent" xfId="3" builtinId="5"/>
  </cellStyles>
  <dxfs count="2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CCFF66"/>
      <color rgb="FF66FFFF"/>
      <color rgb="FFFFFFCC"/>
      <color rgb="FF00FF00"/>
      <color rgb="FF8080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Types" Target="richData/rdRichValueType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jonathan.squillaci/AppData/Local/Microsoft/Windows/INetCache/Content.Outlook/BSC74RVA/EDF%20Mann%20OTR%20Van%20Rates.xlsx" TargetMode="External"/><Relationship Id="rId2" Type="http://schemas.openxmlformats.org/officeDocument/2006/relationships/externalLinkPath" Target="file:///C:\Users\jonathan.squillaci\AppData\Local\Microsoft\Windows\INetCache\Content.Outlook\BSC74RVA\EDF%20Mann%20OTR%20Van%20Rates.xlsx" TargetMode="External"/><Relationship Id="rId1" Type="http://schemas.openxmlformats.org/officeDocument/2006/relationships/externalLinkPath" Target="/Users/jonathan.squillaci/AppData/Local/Microsoft/Windows/INetCache/Content.Outlook/BSC74RVA/EDF%20Mann%20OTR%20Van%20Rat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dfman.sharepoint.com/sites/CottonTrade-USA/Shared%20Documents/USA/Cotton/Master%20Offer%20Sheets/Master%20Offer%20Sheet%20Working%20Fi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>
        <row r="1">
          <cell r="E1" t="str">
            <v>Priced Agreed</v>
          </cell>
          <cell r="F1" t="str">
            <v>Line Haul Rate</v>
          </cell>
        </row>
        <row r="2">
          <cell r="E2" t="str">
            <v>ABERNATHYTXDallasTX</v>
          </cell>
          <cell r="F2">
            <v>659</v>
          </cell>
        </row>
        <row r="3">
          <cell r="E3" t="str">
            <v>ABERNATHYTXHoustonTX</v>
          </cell>
          <cell r="F3">
            <v>1160</v>
          </cell>
        </row>
        <row r="4">
          <cell r="E4" t="str">
            <v>ABERNATHYTXBaytownTX</v>
          </cell>
          <cell r="F4">
            <v>1189</v>
          </cell>
        </row>
        <row r="5">
          <cell r="E5" t="str">
            <v>ABERNATHYTXHASLETTX</v>
          </cell>
          <cell r="F5">
            <v>1391</v>
          </cell>
        </row>
        <row r="6">
          <cell r="E6" t="str">
            <v>ABERNATHYTXHOUSTONTX</v>
          </cell>
          <cell r="F6">
            <v>2766</v>
          </cell>
        </row>
        <row r="7">
          <cell r="E7" t="str">
            <v>ABERNATHYTXWILMERTX</v>
          </cell>
          <cell r="F7">
            <v>1494</v>
          </cell>
        </row>
        <row r="8">
          <cell r="E8" t="str">
            <v>ABERNATHYTXWYLIETX</v>
          </cell>
        </row>
        <row r="9">
          <cell r="E9" t="str">
            <v>ABERNATHYTXWESLACOTX</v>
          </cell>
          <cell r="F9">
            <v>1311</v>
          </cell>
        </row>
        <row r="10">
          <cell r="E10" t="str">
            <v>ABILENETXDallasTX</v>
          </cell>
          <cell r="F10">
            <v>501</v>
          </cell>
        </row>
        <row r="11">
          <cell r="E11" t="str">
            <v>ABILENETXHoustonTX</v>
          </cell>
          <cell r="F11">
            <v>695</v>
          </cell>
        </row>
        <row r="12">
          <cell r="E12" t="str">
            <v>ABILENETXBaytownTX</v>
          </cell>
          <cell r="F12">
            <v>721</v>
          </cell>
        </row>
        <row r="13">
          <cell r="E13" t="str">
            <v>ALBANYGAROCKFORDTN</v>
          </cell>
          <cell r="F13">
            <v>1060</v>
          </cell>
        </row>
        <row r="14">
          <cell r="E14" t="str">
            <v>ALBANYGAGASTONIANC</v>
          </cell>
          <cell r="F14">
            <v>1050</v>
          </cell>
        </row>
        <row r="15">
          <cell r="E15" t="str">
            <v>ALBANYGACHARLOTTENC</v>
          </cell>
          <cell r="F15">
            <v>1030</v>
          </cell>
        </row>
        <row r="16">
          <cell r="E16" t="str">
            <v>ALBANYGASPARTANC</v>
          </cell>
          <cell r="F16">
            <v>1260</v>
          </cell>
        </row>
        <row r="17">
          <cell r="E17" t="str">
            <v>ALBANYGASANFORDNC</v>
          </cell>
          <cell r="F17">
            <v>1190</v>
          </cell>
        </row>
        <row r="18">
          <cell r="E18" t="str">
            <v>ALBANYGAROCKINGHAMNC</v>
          </cell>
          <cell r="F18">
            <v>1070</v>
          </cell>
        </row>
        <row r="19">
          <cell r="E19" t="str">
            <v>ALBANYGASHELBYNC</v>
          </cell>
          <cell r="F19">
            <v>1020</v>
          </cell>
        </row>
        <row r="20">
          <cell r="E20" t="str">
            <v>ALBANYGAMAYODANNC</v>
          </cell>
          <cell r="F20">
            <v>1280</v>
          </cell>
        </row>
        <row r="21">
          <cell r="E21" t="str">
            <v>ALBANYGATUNICAMS</v>
          </cell>
          <cell r="F21">
            <v>1220</v>
          </cell>
        </row>
        <row r="22">
          <cell r="E22" t="str">
            <v>ALBANYGAHICKORYNC</v>
          </cell>
          <cell r="F22">
            <v>1130</v>
          </cell>
        </row>
        <row r="23">
          <cell r="E23" t="str">
            <v>ALBANYGAERWINNC</v>
          </cell>
          <cell r="F23">
            <v>1260</v>
          </cell>
        </row>
        <row r="24">
          <cell r="E24" t="str">
            <v>ALBANYGAMCCALLAAL</v>
          </cell>
          <cell r="F24">
            <v>700</v>
          </cell>
        </row>
        <row r="25">
          <cell r="E25" t="str">
            <v>ALBANYGASTONEVILLENC</v>
          </cell>
          <cell r="F25">
            <v>1290</v>
          </cell>
        </row>
        <row r="26">
          <cell r="E26" t="str">
            <v>ALBANYGAGREENWOODMS</v>
          </cell>
          <cell r="F26">
            <v>1140</v>
          </cell>
        </row>
        <row r="27">
          <cell r="E27" t="str">
            <v>ALBANYGAINDIAN LANDSC</v>
          </cell>
          <cell r="F27">
            <v>1010</v>
          </cell>
        </row>
        <row r="28">
          <cell r="E28" t="str">
            <v>ALBANYGATALLULAHLA</v>
          </cell>
          <cell r="F28">
            <v>1230</v>
          </cell>
        </row>
        <row r="29">
          <cell r="E29" t="str">
            <v>ALBANYGAGREENWOODSC</v>
          </cell>
          <cell r="F29">
            <v>730</v>
          </cell>
        </row>
        <row r="30">
          <cell r="E30" t="str">
            <v>ALBANYGAMEMPHISTN</v>
          </cell>
          <cell r="F30">
            <v>1190</v>
          </cell>
        </row>
        <row r="31">
          <cell r="E31" t="str">
            <v>ALBANYGATHOMASVILLENC</v>
          </cell>
          <cell r="F31">
            <v>1190</v>
          </cell>
        </row>
        <row r="32">
          <cell r="E32" t="str">
            <v>ALBANYGAMARIONAR</v>
          </cell>
          <cell r="F32">
            <v>1210</v>
          </cell>
        </row>
        <row r="33">
          <cell r="E33" t="str">
            <v>ALBANYGAMOCKSVILLENC</v>
          </cell>
          <cell r="F33">
            <v>1170</v>
          </cell>
        </row>
        <row r="34">
          <cell r="E34" t="str">
            <v>ALBANYGANORFOLKVA</v>
          </cell>
          <cell r="F34">
            <v>1710</v>
          </cell>
        </row>
        <row r="35">
          <cell r="E35" t="str">
            <v>ALBANYGACLARKTONNC</v>
          </cell>
          <cell r="F35">
            <v>1180</v>
          </cell>
        </row>
        <row r="36">
          <cell r="E36" t="str">
            <v>ALBANYGAWEST MEMPHISAR</v>
          </cell>
          <cell r="F36">
            <v>1200</v>
          </cell>
        </row>
        <row r="37">
          <cell r="E37" t="str">
            <v>ALBANYGANEW ORLEANSLA</v>
          </cell>
          <cell r="F37">
            <v>1090</v>
          </cell>
        </row>
        <row r="38">
          <cell r="E38" t="str">
            <v>ALBANYGAMONEYMS</v>
          </cell>
          <cell r="F38">
            <v>1180</v>
          </cell>
        </row>
        <row r="39">
          <cell r="E39" t="str">
            <v>ALBANYGAENOREESC</v>
          </cell>
          <cell r="F39">
            <v>830</v>
          </cell>
        </row>
        <row r="40">
          <cell r="E40" t="str">
            <v>ALBANYGACENTREAL</v>
          </cell>
          <cell r="F40">
            <v>690</v>
          </cell>
        </row>
        <row r="41">
          <cell r="E41" t="str">
            <v>ALBANYGAMOBILEAL</v>
          </cell>
          <cell r="F41">
            <v>770</v>
          </cell>
        </row>
        <row r="42">
          <cell r="E42" t="str">
            <v>ALBANYGACARTERSVILLEGA</v>
          </cell>
          <cell r="F42">
            <v>690</v>
          </cell>
        </row>
        <row r="43">
          <cell r="E43" t="str">
            <v>ALBANYGASALISBURYNC</v>
          </cell>
          <cell r="F43">
            <v>1130</v>
          </cell>
        </row>
        <row r="44">
          <cell r="E44" t="str">
            <v>ALBANYGALUMBERTONNC</v>
          </cell>
          <cell r="F44">
            <v>1130</v>
          </cell>
        </row>
        <row r="45">
          <cell r="E45" t="str">
            <v>ALBANYGADREWMS</v>
          </cell>
          <cell r="F45">
            <v>1220</v>
          </cell>
        </row>
        <row r="46">
          <cell r="E46" t="str">
            <v>ALBANYGARABUN GAPGA</v>
          </cell>
          <cell r="F46">
            <v>850</v>
          </cell>
        </row>
        <row r="47">
          <cell r="E47" t="str">
            <v>ALBANYGAKINSTONNC</v>
          </cell>
          <cell r="F47">
            <v>1410</v>
          </cell>
        </row>
        <row r="48">
          <cell r="E48" t="str">
            <v>ALBANYGAGREERSC</v>
          </cell>
          <cell r="F48">
            <v>900</v>
          </cell>
        </row>
        <row r="49">
          <cell r="E49" t="str">
            <v>ALBANYGAINDIANOLAMS</v>
          </cell>
          <cell r="F49">
            <v>1200</v>
          </cell>
        </row>
        <row r="50">
          <cell r="E50" t="str">
            <v>ALBANYGAGAFFNEYSC</v>
          </cell>
          <cell r="F50">
            <v>980</v>
          </cell>
        </row>
        <row r="51">
          <cell r="E51" t="str">
            <v>ALBANYGALEXINGTONNC</v>
          </cell>
          <cell r="F51">
            <v>1160</v>
          </cell>
        </row>
        <row r="52">
          <cell r="E52" t="str">
            <v>ALBANYGALOWELLNC</v>
          </cell>
          <cell r="F52">
            <v>1060</v>
          </cell>
        </row>
        <row r="53">
          <cell r="E53" t="str">
            <v>ALBANYGAMINERAL SPRINGSNC</v>
          </cell>
          <cell r="F53">
            <v>1010</v>
          </cell>
        </row>
        <row r="54">
          <cell r="E54" t="str">
            <v>ALBANYGARAYVILLELA</v>
          </cell>
          <cell r="F54">
            <v>1300</v>
          </cell>
        </row>
        <row r="55">
          <cell r="E55" t="str">
            <v>ALBANYGAPORTSMOUTHVA</v>
          </cell>
          <cell r="F55">
            <v>1680</v>
          </cell>
        </row>
        <row r="56">
          <cell r="E56" t="str">
            <v>ALBANYGAROSSVILLETN</v>
          </cell>
          <cell r="F56">
            <v>1170</v>
          </cell>
        </row>
        <row r="57">
          <cell r="E57" t="str">
            <v>ALBANYGAGAINESVILLEGA</v>
          </cell>
          <cell r="F57">
            <v>680</v>
          </cell>
        </row>
        <row r="58">
          <cell r="E58" t="str">
            <v>ALBANYGABELMONTNC</v>
          </cell>
          <cell r="F58">
            <v>1070</v>
          </cell>
        </row>
        <row r="59">
          <cell r="E59" t="str">
            <v>ALBANYGABLYTHEVILLEAR</v>
          </cell>
          <cell r="F59">
            <v>1330</v>
          </cell>
        </row>
        <row r="60">
          <cell r="E60" t="str">
            <v>ALBANYGAEDENTONNC</v>
          </cell>
          <cell r="F60">
            <v>1590</v>
          </cell>
        </row>
        <row r="61">
          <cell r="E61" t="str">
            <v>ALBANYGAGULFPORTMS</v>
          </cell>
          <cell r="F61">
            <v>1040</v>
          </cell>
        </row>
        <row r="62">
          <cell r="E62" t="str">
            <v>ALBANYGAGRIFTONNC</v>
          </cell>
          <cell r="F62">
            <v>1540</v>
          </cell>
        </row>
        <row r="63">
          <cell r="E63" t="str">
            <v>ALBANYGARINCONGA</v>
          </cell>
          <cell r="F63">
            <v>780</v>
          </cell>
        </row>
        <row r="64">
          <cell r="E64" t="str">
            <v>ALBANYGAGarden CityGA</v>
          </cell>
          <cell r="F64">
            <v>760</v>
          </cell>
        </row>
        <row r="65">
          <cell r="E65" t="str">
            <v>ALBANYGAECLECTICAL</v>
          </cell>
          <cell r="F65">
            <v>590</v>
          </cell>
        </row>
        <row r="66">
          <cell r="E66" t="str">
            <v>ALBANYGAPORT WENTWORTHGA</v>
          </cell>
          <cell r="F66">
            <v>770</v>
          </cell>
        </row>
        <row r="67">
          <cell r="E67" t="str">
            <v>ALBANYGADAWSONGA</v>
          </cell>
          <cell r="F67">
            <v>360</v>
          </cell>
        </row>
        <row r="68">
          <cell r="E68" t="str">
            <v>ALBANYGAJACKSONVILLEFL</v>
          </cell>
          <cell r="F68">
            <v>640</v>
          </cell>
        </row>
        <row r="69">
          <cell r="E69" t="str">
            <v>ALBANYGAWESLACOTX</v>
          </cell>
          <cell r="F69">
            <v>1654</v>
          </cell>
        </row>
        <row r="70">
          <cell r="E70" t="str">
            <v>ALBEMARLENCCARTERSVILLEGA</v>
          </cell>
          <cell r="F70">
            <v>870</v>
          </cell>
        </row>
        <row r="71">
          <cell r="E71" t="str">
            <v>ALBEMARLENCMONEYMS</v>
          </cell>
          <cell r="F71">
            <v>1660</v>
          </cell>
        </row>
        <row r="72">
          <cell r="E72" t="str">
            <v>ALBEMARLENCDREWMS</v>
          </cell>
          <cell r="F72">
            <v>1710</v>
          </cell>
        </row>
        <row r="73">
          <cell r="E73" t="str">
            <v>ALBEMARLENCROSSVILLETN</v>
          </cell>
          <cell r="F73">
            <v>1640</v>
          </cell>
        </row>
        <row r="74">
          <cell r="E74" t="str">
            <v>ALBEMARLENCMCCALLAAL</v>
          </cell>
          <cell r="F74">
            <v>1180</v>
          </cell>
        </row>
        <row r="75">
          <cell r="E75" t="str">
            <v>ALBEMARLENCRAYVILLELA</v>
          </cell>
          <cell r="F75">
            <v>1870</v>
          </cell>
        </row>
        <row r="76">
          <cell r="E76" t="str">
            <v>ALBEMARLENCWEST MEMPHISAR</v>
          </cell>
          <cell r="F76">
            <v>1650</v>
          </cell>
        </row>
        <row r="77">
          <cell r="E77" t="str">
            <v>ALBEMARLENCNEW ORLEANSLA</v>
          </cell>
          <cell r="F77">
            <v>1850</v>
          </cell>
        </row>
        <row r="78">
          <cell r="E78" t="str">
            <v>ALBEMARLENCMOBILEAL</v>
          </cell>
          <cell r="F78">
            <v>1540</v>
          </cell>
        </row>
        <row r="79">
          <cell r="E79" t="str">
            <v>ALBEMARLENCMARIONAR</v>
          </cell>
          <cell r="F79">
            <v>1660</v>
          </cell>
        </row>
        <row r="80">
          <cell r="E80" t="str">
            <v>ALBEMARLENCDAWSONGA</v>
          </cell>
          <cell r="F80">
            <v>1200</v>
          </cell>
        </row>
        <row r="81">
          <cell r="E81" t="str">
            <v>ALBEMARLENCJACKSONVILLEFL</v>
          </cell>
          <cell r="F81">
            <v>1050</v>
          </cell>
        </row>
        <row r="82">
          <cell r="E82" t="str">
            <v>ALBEMARLENCINDIANOLAMS</v>
          </cell>
          <cell r="F82">
            <v>1690</v>
          </cell>
        </row>
        <row r="83">
          <cell r="E83" t="str">
            <v>ALBEMARLENCECLECTICAL</v>
          </cell>
          <cell r="F83">
            <v>1160</v>
          </cell>
        </row>
        <row r="84">
          <cell r="E84" t="str">
            <v>ALBEMARLENCNORFOLKVA</v>
          </cell>
          <cell r="F84">
            <v>830</v>
          </cell>
        </row>
        <row r="85">
          <cell r="E85" t="str">
            <v>ALBEMARLENCCENTREAL</v>
          </cell>
          <cell r="F85">
            <v>990</v>
          </cell>
        </row>
        <row r="86">
          <cell r="E86" t="str">
            <v>ALBEMARLENCTALLULAHLA</v>
          </cell>
          <cell r="F86">
            <v>1790</v>
          </cell>
        </row>
        <row r="87">
          <cell r="E87" t="str">
            <v>ALBEMARLENCBLYTHEVILLEAR</v>
          </cell>
          <cell r="F87">
            <v>1660</v>
          </cell>
        </row>
        <row r="88">
          <cell r="E88" t="str">
            <v>ALBEMARLENCMEMPHISTN</v>
          </cell>
          <cell r="F88">
            <v>1660</v>
          </cell>
        </row>
        <row r="89">
          <cell r="E89" t="str">
            <v>ALBEMARLENCGREENWOODMS</v>
          </cell>
          <cell r="F89">
            <v>1620</v>
          </cell>
        </row>
        <row r="90">
          <cell r="E90" t="str">
            <v>ALBEMARLENCTUNICAMS</v>
          </cell>
          <cell r="F90">
            <v>1690</v>
          </cell>
        </row>
        <row r="91">
          <cell r="E91" t="str">
            <v>ALBEMARLENCKINSTONNC</v>
          </cell>
          <cell r="F91">
            <v>600</v>
          </cell>
        </row>
        <row r="92">
          <cell r="E92" t="str">
            <v>ALBEMARLENCPORT WENTWORTHGA</v>
          </cell>
          <cell r="F92">
            <v>850</v>
          </cell>
        </row>
        <row r="93">
          <cell r="E93" t="str">
            <v>ALBEMARLENCRABUN GAPGA</v>
          </cell>
          <cell r="F93">
            <v>710</v>
          </cell>
        </row>
        <row r="94">
          <cell r="E94" t="str">
            <v>ALBEMARLENCCLARKTONNC</v>
          </cell>
          <cell r="F94">
            <v>520</v>
          </cell>
        </row>
        <row r="95">
          <cell r="E95" t="str">
            <v>ALBEMARLENCERWINNC</v>
          </cell>
          <cell r="F95">
            <v>480</v>
          </cell>
        </row>
        <row r="96">
          <cell r="E96" t="str">
            <v>ALBEMARLENCSANFORDNC</v>
          </cell>
          <cell r="F96">
            <v>430</v>
          </cell>
        </row>
        <row r="97">
          <cell r="E97" t="str">
            <v>ALBEMARLENCRINCONGA</v>
          </cell>
          <cell r="F97">
            <v>860</v>
          </cell>
        </row>
        <row r="98">
          <cell r="E98" t="str">
            <v>ALBEMARLENCLOWELLNC</v>
          </cell>
          <cell r="F98">
            <v>410</v>
          </cell>
        </row>
        <row r="99">
          <cell r="E99" t="str">
            <v>ALBEMARLENCGarden CityGA</v>
          </cell>
          <cell r="F99">
            <v>850</v>
          </cell>
        </row>
        <row r="100">
          <cell r="E100" t="str">
            <v>ALBEMARLENCLUMBERTONNC</v>
          </cell>
          <cell r="F100">
            <v>480</v>
          </cell>
        </row>
        <row r="101">
          <cell r="E101" t="str">
            <v>ALBEMARLENCINDIAN LANDSC</v>
          </cell>
          <cell r="F101">
            <v>400</v>
          </cell>
        </row>
        <row r="102">
          <cell r="E102" t="str">
            <v>ALBEMARLENCGAFFNEYSC</v>
          </cell>
          <cell r="F102">
            <v>470</v>
          </cell>
        </row>
        <row r="103">
          <cell r="E103" t="str">
            <v>ALBEMARLENCGULFPORTMS</v>
          </cell>
          <cell r="F103">
            <v>1800</v>
          </cell>
        </row>
        <row r="104">
          <cell r="E104" t="str">
            <v>ALBEMARLENCLEXINGTONNC</v>
          </cell>
          <cell r="F104">
            <v>390</v>
          </cell>
        </row>
        <row r="105">
          <cell r="E105" t="str">
            <v>ALBEMARLENCBELMONTNC</v>
          </cell>
          <cell r="F105">
            <v>410</v>
          </cell>
        </row>
        <row r="106">
          <cell r="E106" t="str">
            <v>ALBEMARLENCMOCKSVILLENC</v>
          </cell>
          <cell r="F106">
            <v>400</v>
          </cell>
        </row>
        <row r="107">
          <cell r="E107" t="str">
            <v>ALBEMARLENCGRIFTONNC</v>
          </cell>
          <cell r="F107">
            <v>750</v>
          </cell>
        </row>
        <row r="108">
          <cell r="E108" t="str">
            <v>ALBEMARLENCCHARLOTTENC</v>
          </cell>
          <cell r="F108">
            <v>390</v>
          </cell>
        </row>
        <row r="109">
          <cell r="E109" t="str">
            <v>ALBEMARLENCTHOMASVILLENC</v>
          </cell>
          <cell r="F109">
            <v>390</v>
          </cell>
        </row>
        <row r="110">
          <cell r="E110" t="str">
            <v>ALBEMARLENCSTONEVILLENC</v>
          </cell>
          <cell r="F110">
            <v>470</v>
          </cell>
        </row>
        <row r="111">
          <cell r="E111" t="str">
            <v>ALBEMARLENCMAYODANNC</v>
          </cell>
          <cell r="F111">
            <v>460</v>
          </cell>
        </row>
        <row r="112">
          <cell r="E112" t="str">
            <v>ALBEMARLENCPORTSMOUTHVA</v>
          </cell>
          <cell r="F112">
            <v>810</v>
          </cell>
        </row>
        <row r="113">
          <cell r="E113" t="str">
            <v>ALBEMARLENCSHELBYNC</v>
          </cell>
          <cell r="F113">
            <v>460</v>
          </cell>
        </row>
        <row r="114">
          <cell r="E114" t="str">
            <v>ALBEMARLENCGREERSC</v>
          </cell>
          <cell r="F114">
            <v>530</v>
          </cell>
        </row>
        <row r="115">
          <cell r="E115" t="str">
            <v>ALBEMARLENCGASTONIANC</v>
          </cell>
          <cell r="F115">
            <v>420</v>
          </cell>
        </row>
        <row r="116">
          <cell r="E116" t="str">
            <v>ALBEMARLENCGAINESVILLEGA</v>
          </cell>
          <cell r="F116">
            <v>710</v>
          </cell>
        </row>
        <row r="117">
          <cell r="E117" t="str">
            <v>ALBEMARLENCENOREESC</v>
          </cell>
          <cell r="F117">
            <v>550</v>
          </cell>
        </row>
        <row r="118">
          <cell r="E118" t="str">
            <v>ALBEMARLENCMINERAL SPRINGSNC</v>
          </cell>
          <cell r="F118">
            <v>390</v>
          </cell>
        </row>
        <row r="119">
          <cell r="E119" t="str">
            <v>ALBEMARLENCEDENTONNC</v>
          </cell>
          <cell r="F119">
            <v>700</v>
          </cell>
        </row>
        <row r="120">
          <cell r="E120" t="str">
            <v>ALBEMARLENCSALISBURYNC</v>
          </cell>
          <cell r="F120">
            <v>360</v>
          </cell>
        </row>
        <row r="121">
          <cell r="E121" t="str">
            <v>ALBEMARLENCGREENWOODSC</v>
          </cell>
          <cell r="F121">
            <v>610</v>
          </cell>
        </row>
        <row r="122">
          <cell r="E122" t="str">
            <v>ALBEMARLENCHICKORYNC</v>
          </cell>
          <cell r="F122">
            <v>450</v>
          </cell>
        </row>
        <row r="123">
          <cell r="E123" t="str">
            <v>ALBEMARLENCSPARTANC</v>
          </cell>
          <cell r="F123">
            <v>510</v>
          </cell>
        </row>
        <row r="124">
          <cell r="E124" t="str">
            <v>ALBEMARLENCROCKFORDTN</v>
          </cell>
          <cell r="F124">
            <v>790</v>
          </cell>
        </row>
        <row r="125">
          <cell r="E125" t="str">
            <v>ALBEMARLENCROCKINGHAMNC</v>
          </cell>
          <cell r="F125">
            <v>390</v>
          </cell>
        </row>
        <row r="126">
          <cell r="E126" t="str">
            <v>ALEXANDRIALAROCKFORDTN</v>
          </cell>
          <cell r="F126">
            <v>1710</v>
          </cell>
        </row>
        <row r="127">
          <cell r="E127" t="str">
            <v>ALEXANDRIALAPORTSMOUTHVA</v>
          </cell>
          <cell r="F127">
            <v>2730</v>
          </cell>
        </row>
        <row r="128">
          <cell r="E128" t="str">
            <v>ALEXANDRIALAERWINNC</v>
          </cell>
          <cell r="F128">
            <v>2390</v>
          </cell>
        </row>
        <row r="129">
          <cell r="E129" t="str">
            <v>ALEXANDRIALACLARKTONNC</v>
          </cell>
          <cell r="F129">
            <v>2310</v>
          </cell>
        </row>
        <row r="130">
          <cell r="E130" t="str">
            <v>ALEXANDRIALASANFORDNC</v>
          </cell>
          <cell r="F130">
            <v>2300</v>
          </cell>
        </row>
        <row r="131">
          <cell r="E131" t="str">
            <v>ALEXANDRIALALUMBERTONNC</v>
          </cell>
          <cell r="F131">
            <v>2260</v>
          </cell>
        </row>
        <row r="132">
          <cell r="E132" t="str">
            <v>ALEXANDRIALAGASTONIANC</v>
          </cell>
          <cell r="F132">
            <v>1960</v>
          </cell>
        </row>
        <row r="133">
          <cell r="E133" t="str">
            <v>ALEXANDRIALAROCKINGHAMNC</v>
          </cell>
          <cell r="F133">
            <v>2180</v>
          </cell>
        </row>
        <row r="134">
          <cell r="E134" t="str">
            <v>ALEXANDRIALASALISBURYNC</v>
          </cell>
          <cell r="F134">
            <v>2100</v>
          </cell>
        </row>
        <row r="135">
          <cell r="E135" t="str">
            <v>ALEXANDRIALANORFOLKVA</v>
          </cell>
          <cell r="F135">
            <v>2760</v>
          </cell>
        </row>
        <row r="136">
          <cell r="E136" t="str">
            <v>ALEXANDRIALAKINSTONNC</v>
          </cell>
          <cell r="F136">
            <v>2550</v>
          </cell>
        </row>
        <row r="137">
          <cell r="E137" t="str">
            <v>ALEXANDRIALALEXINGTONNC</v>
          </cell>
          <cell r="F137">
            <v>2140</v>
          </cell>
        </row>
        <row r="138">
          <cell r="E138" t="str">
            <v>ALEXANDRIALACHARLOTTENC</v>
          </cell>
          <cell r="F138">
            <v>2010</v>
          </cell>
        </row>
        <row r="139">
          <cell r="E139" t="str">
            <v>ALEXANDRIALASHELBYNC</v>
          </cell>
          <cell r="F139">
            <v>1930</v>
          </cell>
        </row>
        <row r="140">
          <cell r="E140" t="str">
            <v>ALEXANDRIALAHICKORYNC</v>
          </cell>
          <cell r="F140">
            <v>2040</v>
          </cell>
        </row>
        <row r="141">
          <cell r="E141" t="str">
            <v>ALEXANDRIALAEDENTONNC</v>
          </cell>
          <cell r="F141">
            <v>2700</v>
          </cell>
        </row>
        <row r="142">
          <cell r="E142" t="str">
            <v>ALEXANDRIALAMINERAL SPRINGSNC</v>
          </cell>
          <cell r="F142">
            <v>2070</v>
          </cell>
        </row>
        <row r="143">
          <cell r="E143" t="str">
            <v>ALEXANDRIALASPARTANC</v>
          </cell>
          <cell r="F143">
            <v>2210</v>
          </cell>
        </row>
        <row r="144">
          <cell r="E144" t="str">
            <v>ALEXANDRIALAINDIAN LANDSC</v>
          </cell>
          <cell r="F144">
            <v>2030</v>
          </cell>
        </row>
        <row r="145">
          <cell r="E145" t="str">
            <v>ALEXANDRIALAMAYODANNC</v>
          </cell>
          <cell r="F145">
            <v>2250</v>
          </cell>
        </row>
        <row r="146">
          <cell r="E146" t="str">
            <v>ALEXANDRIALAGREENWOODSC</v>
          </cell>
          <cell r="F146">
            <v>1790</v>
          </cell>
        </row>
        <row r="147">
          <cell r="E147" t="str">
            <v>ALEXANDRIALASTONEVILLENC</v>
          </cell>
          <cell r="F147">
            <v>2260</v>
          </cell>
        </row>
        <row r="148">
          <cell r="E148" t="str">
            <v>ALEXANDRIALAMOCKSVILLENC</v>
          </cell>
          <cell r="F148">
            <v>2130</v>
          </cell>
        </row>
        <row r="149">
          <cell r="E149" t="str">
            <v>ALEXANDRIALATHOMASVILLENC</v>
          </cell>
          <cell r="F149">
            <v>2160</v>
          </cell>
        </row>
        <row r="150">
          <cell r="E150" t="str">
            <v>ALEXANDRIALAMCCALLAAL</v>
          </cell>
          <cell r="F150">
            <v>1050</v>
          </cell>
        </row>
        <row r="151">
          <cell r="E151" t="str">
            <v>ALEXANDRIALAENOREESC</v>
          </cell>
          <cell r="F151">
            <v>1860</v>
          </cell>
        </row>
        <row r="152">
          <cell r="E152" t="str">
            <v>ALEXANDRIALALOWELLNC</v>
          </cell>
          <cell r="F152">
            <v>1970</v>
          </cell>
        </row>
        <row r="153">
          <cell r="E153" t="str">
            <v>ALEXANDRIALAECLECTICAL</v>
          </cell>
          <cell r="F153">
            <v>1200</v>
          </cell>
        </row>
        <row r="154">
          <cell r="E154" t="str">
            <v>ALEXANDRIALAGAFFNEYSC</v>
          </cell>
          <cell r="F154">
            <v>1890</v>
          </cell>
        </row>
        <row r="155">
          <cell r="E155" t="str">
            <v>ALEXANDRIALAGREERSC</v>
          </cell>
          <cell r="F155">
            <v>1810</v>
          </cell>
        </row>
        <row r="156">
          <cell r="E156" t="str">
            <v>ALEXANDRIALACENTREAL</v>
          </cell>
          <cell r="F156">
            <v>1300</v>
          </cell>
        </row>
        <row r="157">
          <cell r="E157" t="str">
            <v>ALEXANDRIALABELMONTNC</v>
          </cell>
          <cell r="F157">
            <v>1980</v>
          </cell>
        </row>
        <row r="158">
          <cell r="E158" t="str">
            <v>ALEXANDRIALATUNICAMS</v>
          </cell>
          <cell r="F158">
            <v>860</v>
          </cell>
        </row>
        <row r="159">
          <cell r="E159" t="str">
            <v>ALEXANDRIALABLYTHEVILLEAR</v>
          </cell>
          <cell r="F159">
            <v>1100</v>
          </cell>
        </row>
        <row r="160">
          <cell r="E160" t="str">
            <v>ALEXANDRIALAMONEYMS</v>
          </cell>
          <cell r="F160">
            <v>750</v>
          </cell>
        </row>
        <row r="161">
          <cell r="E161" t="str">
            <v>ALEXANDRIALAROSSVILLETN</v>
          </cell>
          <cell r="F161">
            <v>1020</v>
          </cell>
        </row>
        <row r="162">
          <cell r="E162" t="str">
            <v>ALEXANDRIALAGRIFTONNC</v>
          </cell>
          <cell r="F162">
            <v>2680</v>
          </cell>
        </row>
        <row r="163">
          <cell r="E163" t="str">
            <v>ALEXANDRIALAGarden CityGA</v>
          </cell>
          <cell r="F163">
            <v>2100</v>
          </cell>
        </row>
        <row r="164">
          <cell r="E164" t="str">
            <v>ALEXANDRIALAMEMPHISTN</v>
          </cell>
          <cell r="F164">
            <v>940</v>
          </cell>
        </row>
        <row r="165">
          <cell r="E165" t="str">
            <v>ALEXANDRIALAWEST MEMPHISAR</v>
          </cell>
          <cell r="F165">
            <v>960</v>
          </cell>
        </row>
        <row r="166">
          <cell r="E166" t="str">
            <v>ALEXANDRIALAMARIONAR</v>
          </cell>
          <cell r="F166">
            <v>970</v>
          </cell>
        </row>
        <row r="167">
          <cell r="E167" t="str">
            <v>ALEXANDRIALARINCONGA</v>
          </cell>
          <cell r="F167">
            <v>2130</v>
          </cell>
        </row>
        <row r="168">
          <cell r="E168" t="str">
            <v>ALEXANDRIALAPORT WENTWORTHGA</v>
          </cell>
          <cell r="F168">
            <v>2120</v>
          </cell>
        </row>
        <row r="169">
          <cell r="E169" t="str">
            <v>ALEXANDRIALARABUN GAPGA</v>
          </cell>
          <cell r="F169">
            <v>1830</v>
          </cell>
        </row>
        <row r="170">
          <cell r="E170" t="str">
            <v>ALEXANDRIALAGULFPORTMS</v>
          </cell>
          <cell r="F170">
            <v>830</v>
          </cell>
        </row>
        <row r="171">
          <cell r="E171" t="str">
            <v>ALEXANDRIALARAYVILLELA</v>
          </cell>
          <cell r="F171">
            <v>500</v>
          </cell>
        </row>
        <row r="172">
          <cell r="E172" t="str">
            <v>ALEXANDRIALADAWSONGA</v>
          </cell>
          <cell r="F172">
            <v>1530</v>
          </cell>
        </row>
        <row r="173">
          <cell r="E173" t="str">
            <v>ALEXANDRIALADREWMS</v>
          </cell>
          <cell r="F173">
            <v>730</v>
          </cell>
        </row>
        <row r="174">
          <cell r="E174" t="str">
            <v>ALEXANDRIALAGREENWOODMS</v>
          </cell>
          <cell r="F174">
            <v>730</v>
          </cell>
        </row>
        <row r="175">
          <cell r="E175" t="str">
            <v>ALEXANDRIALAINDIANOLAMS</v>
          </cell>
          <cell r="F175">
            <v>680</v>
          </cell>
        </row>
        <row r="176">
          <cell r="E176" t="str">
            <v>ALEXANDRIALAMOBILEAL</v>
          </cell>
          <cell r="F176">
            <v>880</v>
          </cell>
        </row>
        <row r="177">
          <cell r="E177" t="str">
            <v>ALEXANDRIALATALLULAHLA</v>
          </cell>
          <cell r="F177">
            <v>550</v>
          </cell>
        </row>
        <row r="178">
          <cell r="E178" t="str">
            <v>ALEXANDRIALAGAINESVILLEGA</v>
          </cell>
          <cell r="F178">
            <v>1570</v>
          </cell>
        </row>
        <row r="179">
          <cell r="E179" t="str">
            <v>ALEXANDRIALANEW ORLEANSLA</v>
          </cell>
          <cell r="F179">
            <v>640</v>
          </cell>
        </row>
        <row r="180">
          <cell r="E180" t="str">
            <v>ALEXANDRIALACARTERSVILLEGA</v>
          </cell>
          <cell r="F180">
            <v>1440</v>
          </cell>
        </row>
        <row r="181">
          <cell r="E181" t="str">
            <v>ALEXANDRIALAJACKSONVILLEFL</v>
          </cell>
          <cell r="F181">
            <v>1810</v>
          </cell>
        </row>
        <row r="182">
          <cell r="E182" t="str">
            <v>ALEXANDRIALABaytownTX</v>
          </cell>
          <cell r="F182">
            <v>733</v>
          </cell>
        </row>
        <row r="183">
          <cell r="E183" t="str">
            <v>ALEXANDRIALAHoustonTX</v>
          </cell>
          <cell r="F183">
            <v>823</v>
          </cell>
        </row>
        <row r="184">
          <cell r="E184" t="str">
            <v>ALEXANDRIALAWESLACOTX</v>
          </cell>
          <cell r="F184">
            <v>1176</v>
          </cell>
        </row>
        <row r="185">
          <cell r="E185" t="str">
            <v>ALTUSOKBaytownTX</v>
          </cell>
          <cell r="F185">
            <v>1132</v>
          </cell>
        </row>
        <row r="186">
          <cell r="E186" t="str">
            <v>ALTUSOKDallasTX</v>
          </cell>
          <cell r="F186">
            <v>489</v>
          </cell>
        </row>
        <row r="187">
          <cell r="E187" t="str">
            <v>ALTUSOKHoustonTX</v>
          </cell>
          <cell r="F187">
            <v>1098</v>
          </cell>
        </row>
        <row r="188">
          <cell r="E188" t="str">
            <v>ALTUSOKHutchinsTX</v>
          </cell>
          <cell r="F188">
            <v>915</v>
          </cell>
        </row>
        <row r="189">
          <cell r="E189" t="str">
            <v>ALTUSOKWylieTX</v>
          </cell>
          <cell r="F189">
            <v>945</v>
          </cell>
        </row>
        <row r="190">
          <cell r="E190" t="str">
            <v>ALTUSOKHasletTX</v>
          </cell>
          <cell r="F190">
            <v>868</v>
          </cell>
        </row>
        <row r="191">
          <cell r="E191" t="str">
            <v>ALTUSOKHOUSTONTX</v>
          </cell>
          <cell r="F191">
            <v>2397</v>
          </cell>
        </row>
        <row r="192">
          <cell r="E192" t="str">
            <v>ALTUSOKWILMERTX</v>
          </cell>
          <cell r="F192">
            <v>996</v>
          </cell>
        </row>
        <row r="193">
          <cell r="E193" t="str">
            <v>ALTUSOKWESLACOTX</v>
          </cell>
          <cell r="F193">
            <v>1336</v>
          </cell>
        </row>
        <row r="194">
          <cell r="E194" t="str">
            <v>AmarilloTXDallasTX</v>
          </cell>
          <cell r="F194">
            <v>589</v>
          </cell>
        </row>
        <row r="195">
          <cell r="E195" t="str">
            <v>AmarilloTXHoustonTX</v>
          </cell>
          <cell r="F195">
            <v>1210</v>
          </cell>
        </row>
        <row r="196">
          <cell r="E196" t="str">
            <v>AmarilloTXBaytownTX</v>
          </cell>
          <cell r="F196">
            <v>1240</v>
          </cell>
        </row>
        <row r="197">
          <cell r="E197" t="str">
            <v>AMARILLOTXHASLETTX</v>
          </cell>
          <cell r="F197">
            <v>1325</v>
          </cell>
        </row>
        <row r="198">
          <cell r="E198" t="str">
            <v>AMARILLOTXHOUSTONTX</v>
          </cell>
          <cell r="F198">
            <v>2627</v>
          </cell>
        </row>
        <row r="199">
          <cell r="E199" t="str">
            <v>AMARILLOTXWILMERTX</v>
          </cell>
          <cell r="F199">
            <v>1451</v>
          </cell>
        </row>
        <row r="200">
          <cell r="E200" t="str">
            <v>AMARILLOTXWYLIETX</v>
          </cell>
        </row>
        <row r="201">
          <cell r="E201" t="str">
            <v>AMARILLOTXWESLACOTX</v>
          </cell>
          <cell r="F201">
            <v>1568</v>
          </cell>
        </row>
        <row r="202">
          <cell r="E202" t="str">
            <v>AMERICUSGAROCKFORDTN</v>
          </cell>
          <cell r="F202">
            <v>940</v>
          </cell>
        </row>
        <row r="203">
          <cell r="E203" t="str">
            <v>AMERICUSGACLARKTONNC</v>
          </cell>
          <cell r="F203">
            <v>1110</v>
          </cell>
        </row>
        <row r="204">
          <cell r="E204" t="str">
            <v>AMERICUSGAERWINNC</v>
          </cell>
          <cell r="F204">
            <v>1190</v>
          </cell>
        </row>
        <row r="205">
          <cell r="E205" t="str">
            <v>AMERICUSGAMEMPHISTN</v>
          </cell>
          <cell r="F205">
            <v>1140</v>
          </cell>
        </row>
        <row r="206">
          <cell r="E206" t="str">
            <v>AMERICUSGACHARLOTTENC</v>
          </cell>
          <cell r="F206">
            <v>990</v>
          </cell>
        </row>
        <row r="207">
          <cell r="E207" t="str">
            <v>AMERICUSGALEXINGTONNC</v>
          </cell>
          <cell r="F207">
            <v>1120</v>
          </cell>
        </row>
        <row r="208">
          <cell r="E208" t="str">
            <v>AMERICUSGAHICKORYNC</v>
          </cell>
          <cell r="F208">
            <v>1020</v>
          </cell>
        </row>
        <row r="209">
          <cell r="E209" t="str">
            <v>AMERICUSGAMONEYMS</v>
          </cell>
          <cell r="F209">
            <v>1130</v>
          </cell>
        </row>
        <row r="210">
          <cell r="E210" t="str">
            <v>AMERICUSGADREWMS</v>
          </cell>
          <cell r="F210">
            <v>1180</v>
          </cell>
        </row>
        <row r="211">
          <cell r="E211" t="str">
            <v>AMERICUSGASPARTANC</v>
          </cell>
          <cell r="F211">
            <v>1210</v>
          </cell>
        </row>
        <row r="212">
          <cell r="E212" t="str">
            <v>AMERICUSGALUMBERTONNC</v>
          </cell>
          <cell r="F212">
            <v>1060</v>
          </cell>
        </row>
        <row r="213">
          <cell r="E213" t="str">
            <v>AMERICUSGATHOMASVILLENC</v>
          </cell>
          <cell r="F213">
            <v>1150</v>
          </cell>
        </row>
        <row r="214">
          <cell r="E214" t="str">
            <v>AMERICUSGAMINERAL SPRINGSNC</v>
          </cell>
          <cell r="F214">
            <v>950</v>
          </cell>
        </row>
        <row r="215">
          <cell r="E215" t="str">
            <v>AMERICUSGAENOREESC</v>
          </cell>
          <cell r="F215">
            <v>850</v>
          </cell>
        </row>
        <row r="216">
          <cell r="E216" t="str">
            <v>AMERICUSGANEW ORLEANSLA</v>
          </cell>
          <cell r="F216">
            <v>1180</v>
          </cell>
        </row>
        <row r="217">
          <cell r="E217" t="str">
            <v>AMERICUSGAGREERSC</v>
          </cell>
          <cell r="F217">
            <v>800</v>
          </cell>
        </row>
        <row r="218">
          <cell r="E218" t="str">
            <v>AMERICUSGAINDIANOLAMS</v>
          </cell>
          <cell r="F218">
            <v>1160</v>
          </cell>
        </row>
        <row r="219">
          <cell r="E219" t="str">
            <v>AMERICUSGAGAINESVILLEGA</v>
          </cell>
          <cell r="F219">
            <v>610</v>
          </cell>
        </row>
        <row r="220">
          <cell r="E220" t="str">
            <v>AMERICUSGAMAYODANNC</v>
          </cell>
          <cell r="F220">
            <v>1240</v>
          </cell>
        </row>
        <row r="221">
          <cell r="E221" t="str">
            <v>AMERICUSGAMCCALLAAL</v>
          </cell>
          <cell r="F221">
            <v>670</v>
          </cell>
        </row>
        <row r="222">
          <cell r="E222" t="str">
            <v>AMERICUSGAGREENWOODSC</v>
          </cell>
          <cell r="F222">
            <v>680</v>
          </cell>
        </row>
        <row r="223">
          <cell r="E223" t="str">
            <v>AMERICUSGAMOCKSVILLENC</v>
          </cell>
          <cell r="F223">
            <v>1120</v>
          </cell>
        </row>
        <row r="224">
          <cell r="E224" t="str">
            <v>AMERICUSGAKINSTONNC</v>
          </cell>
          <cell r="F224">
            <v>1350</v>
          </cell>
        </row>
        <row r="225">
          <cell r="E225" t="str">
            <v>AMERICUSGARAYVILLELA</v>
          </cell>
          <cell r="F225">
            <v>1260</v>
          </cell>
        </row>
        <row r="226">
          <cell r="E226" t="str">
            <v>AMERICUSGAEDENTONNC</v>
          </cell>
          <cell r="F226">
            <v>1530</v>
          </cell>
        </row>
        <row r="227">
          <cell r="E227" t="str">
            <v>AMERICUSGASTONEVILLENC</v>
          </cell>
          <cell r="F227">
            <v>1250</v>
          </cell>
        </row>
        <row r="228">
          <cell r="E228" t="str">
            <v>AMERICUSGAROSSVILLETN</v>
          </cell>
          <cell r="F228">
            <v>1130</v>
          </cell>
        </row>
        <row r="229">
          <cell r="E229" t="str">
            <v>AMERICUSGABLYTHEVILLEAR</v>
          </cell>
          <cell r="F229">
            <v>1290</v>
          </cell>
        </row>
        <row r="230">
          <cell r="E230" t="str">
            <v>AMERICUSGAMOBILEAL</v>
          </cell>
          <cell r="F230">
            <v>860</v>
          </cell>
        </row>
        <row r="231">
          <cell r="E231" t="str">
            <v>AMERICUSGAPORTSMOUTHVA</v>
          </cell>
          <cell r="F231">
            <v>1610</v>
          </cell>
        </row>
        <row r="232">
          <cell r="E232" t="str">
            <v>AMERICUSGAGAFFNEYSC</v>
          </cell>
          <cell r="F232">
            <v>870</v>
          </cell>
        </row>
        <row r="233">
          <cell r="E233" t="str">
            <v>AMERICUSGAROCKINGHAMNC</v>
          </cell>
          <cell r="F233">
            <v>1000</v>
          </cell>
        </row>
        <row r="234">
          <cell r="E234" t="str">
            <v>AMERICUSGALOWELLNC</v>
          </cell>
          <cell r="F234">
            <v>950</v>
          </cell>
        </row>
        <row r="235">
          <cell r="E235" t="str">
            <v>AMERICUSGACENTREAL</v>
          </cell>
          <cell r="F235">
            <v>650</v>
          </cell>
        </row>
        <row r="236">
          <cell r="E236" t="str">
            <v>AMERICUSGASALISBURYNC</v>
          </cell>
          <cell r="F236">
            <v>1080</v>
          </cell>
        </row>
        <row r="237">
          <cell r="E237" t="str">
            <v>AMERICUSGABELMONTNC</v>
          </cell>
          <cell r="F237">
            <v>960</v>
          </cell>
        </row>
        <row r="238">
          <cell r="E238" t="str">
            <v>AMERICUSGASHELBYNC</v>
          </cell>
          <cell r="F238">
            <v>910</v>
          </cell>
        </row>
        <row r="239">
          <cell r="E239" t="str">
            <v>AMERICUSGAECLECTICAL</v>
          </cell>
          <cell r="F239">
            <v>550</v>
          </cell>
        </row>
        <row r="240">
          <cell r="E240" t="str">
            <v>AMERICUSGAGASTONIANC</v>
          </cell>
          <cell r="F240">
            <v>940</v>
          </cell>
        </row>
        <row r="241">
          <cell r="E241" t="str">
            <v>AMERICUSGAINDIAN LANDSC</v>
          </cell>
          <cell r="F241">
            <v>940</v>
          </cell>
        </row>
        <row r="242">
          <cell r="E242" t="str">
            <v>AMERICUSGASANFORDNC</v>
          </cell>
          <cell r="F242">
            <v>1120</v>
          </cell>
        </row>
        <row r="243">
          <cell r="E243" t="str">
            <v>AMERICUSGATUNICAMS</v>
          </cell>
          <cell r="F243">
            <v>1170</v>
          </cell>
        </row>
        <row r="244">
          <cell r="E244" t="str">
            <v>AMERICUSGAWEST MEMPHISAR</v>
          </cell>
          <cell r="F244">
            <v>1150</v>
          </cell>
        </row>
        <row r="245">
          <cell r="E245" t="str">
            <v>AMERICUSGARABUN GAPGA</v>
          </cell>
          <cell r="F245">
            <v>740</v>
          </cell>
        </row>
        <row r="246">
          <cell r="E246" t="str">
            <v>AMERICUSGACARTERSVILLEGA</v>
          </cell>
          <cell r="F246">
            <v>600</v>
          </cell>
        </row>
        <row r="247">
          <cell r="E247" t="str">
            <v>AMERICUSGANORFOLKVA</v>
          </cell>
          <cell r="F247">
            <v>1640</v>
          </cell>
        </row>
        <row r="248">
          <cell r="E248" t="str">
            <v>AMERICUSGAGREENWOODMS</v>
          </cell>
          <cell r="F248">
            <v>1090</v>
          </cell>
        </row>
        <row r="249">
          <cell r="E249" t="str">
            <v>AMERICUSGATALLULAHLA</v>
          </cell>
          <cell r="F249">
            <v>1180</v>
          </cell>
        </row>
        <row r="250">
          <cell r="E250" t="str">
            <v>AMERICUSGAMARIONAR</v>
          </cell>
          <cell r="F250">
            <v>1160</v>
          </cell>
        </row>
        <row r="251">
          <cell r="E251" t="str">
            <v>AMERICUSGAGULFPORTMS</v>
          </cell>
          <cell r="F251">
            <v>1130</v>
          </cell>
        </row>
        <row r="252">
          <cell r="E252" t="str">
            <v>AMERICUSGAGRIFTONNC</v>
          </cell>
          <cell r="F252">
            <v>1480</v>
          </cell>
        </row>
        <row r="253">
          <cell r="E253" t="str">
            <v>AMERICUSGAPORT WENTWORTHGA</v>
          </cell>
          <cell r="F253">
            <v>750</v>
          </cell>
        </row>
        <row r="254">
          <cell r="E254" t="str">
            <v>AMERICUSGARINCONGA</v>
          </cell>
          <cell r="F254">
            <v>760</v>
          </cell>
        </row>
        <row r="255">
          <cell r="E255" t="str">
            <v>AMERICUSGAGarden CityGA</v>
          </cell>
          <cell r="F255">
            <v>740</v>
          </cell>
        </row>
        <row r="256">
          <cell r="E256" t="str">
            <v>AMERICUSGAJACKSONVILLEFL</v>
          </cell>
          <cell r="F256">
            <v>690</v>
          </cell>
        </row>
        <row r="257">
          <cell r="E257" t="str">
            <v>AMERICUSGADAWSONGA</v>
          </cell>
          <cell r="F257">
            <v>370</v>
          </cell>
        </row>
        <row r="258">
          <cell r="E258" t="str">
            <v>ANDALUSIAALROCKFORDTN</v>
          </cell>
          <cell r="F258">
            <v>1130</v>
          </cell>
        </row>
        <row r="259">
          <cell r="E259" t="str">
            <v>ANDALUSIAALMONEYMS</v>
          </cell>
          <cell r="F259">
            <v>980</v>
          </cell>
        </row>
        <row r="260">
          <cell r="E260" t="str">
            <v>ANDALUSIAALDREWMS</v>
          </cell>
          <cell r="F260">
            <v>1010</v>
          </cell>
        </row>
        <row r="261">
          <cell r="E261" t="str">
            <v>ANDALUSIAALMARIONAR</v>
          </cell>
          <cell r="F261">
            <v>1100</v>
          </cell>
        </row>
        <row r="262">
          <cell r="E262" t="str">
            <v>ANDALUSIAALGREENWOODSC</v>
          </cell>
          <cell r="F262">
            <v>1040</v>
          </cell>
        </row>
        <row r="263">
          <cell r="E263" t="str">
            <v>ANDALUSIAALLEXINGTONNC</v>
          </cell>
          <cell r="F263">
            <v>1400</v>
          </cell>
        </row>
        <row r="264">
          <cell r="E264" t="str">
            <v>ANDALUSIAALTALLULAHLA</v>
          </cell>
          <cell r="F264">
            <v>880</v>
          </cell>
        </row>
        <row r="265">
          <cell r="E265" t="str">
            <v>ANDALUSIAALINDIAN LANDSC</v>
          </cell>
          <cell r="F265">
            <v>1300</v>
          </cell>
        </row>
        <row r="266">
          <cell r="E266" t="str">
            <v>ANDALUSIAALINDIANOLAMS</v>
          </cell>
          <cell r="F266">
            <v>950</v>
          </cell>
        </row>
        <row r="267">
          <cell r="E267" t="str">
            <v>ANDALUSIAALNORFOLKVA</v>
          </cell>
          <cell r="F267">
            <v>2020</v>
          </cell>
        </row>
        <row r="268">
          <cell r="E268" t="str">
            <v>ANDALUSIAALWEST MEMPHISAR</v>
          </cell>
          <cell r="F268">
            <v>1090</v>
          </cell>
        </row>
        <row r="269">
          <cell r="E269" t="str">
            <v>ANDALUSIAALMEMPHISTN</v>
          </cell>
          <cell r="F269">
            <v>1080</v>
          </cell>
        </row>
        <row r="270">
          <cell r="E270" t="str">
            <v>ANDALUSIAALKINSTONNC</v>
          </cell>
          <cell r="F270">
            <v>1770</v>
          </cell>
        </row>
        <row r="271">
          <cell r="E271" t="str">
            <v>ANDALUSIAALSPARTANC</v>
          </cell>
          <cell r="F271">
            <v>1490</v>
          </cell>
        </row>
        <row r="272">
          <cell r="E272" t="str">
            <v>ANDALUSIAALEDENTONNC</v>
          </cell>
          <cell r="F272">
            <v>1950</v>
          </cell>
        </row>
        <row r="273">
          <cell r="E273" t="str">
            <v>ANDALUSIAALMAYODANNC</v>
          </cell>
          <cell r="F273">
            <v>1520</v>
          </cell>
        </row>
        <row r="274">
          <cell r="E274" t="str">
            <v>ANDALUSIAALCARTERSVILLEGA</v>
          </cell>
          <cell r="F274">
            <v>810</v>
          </cell>
        </row>
        <row r="275">
          <cell r="E275" t="str">
            <v>ANDALUSIAALSTONEVILLENC</v>
          </cell>
          <cell r="F275">
            <v>1530</v>
          </cell>
        </row>
        <row r="276">
          <cell r="E276" t="str">
            <v>ANDALUSIAALTHOMASVILLENC</v>
          </cell>
          <cell r="F276">
            <v>1430</v>
          </cell>
        </row>
        <row r="277">
          <cell r="E277" t="str">
            <v>ANDALUSIAALENOREESC</v>
          </cell>
          <cell r="F277">
            <v>1130</v>
          </cell>
        </row>
        <row r="278">
          <cell r="E278" t="str">
            <v>ANDALUSIAALGREERSC</v>
          </cell>
          <cell r="F278">
            <v>1080</v>
          </cell>
        </row>
        <row r="279">
          <cell r="E279" t="str">
            <v>ANDALUSIAALLOWELLNC</v>
          </cell>
          <cell r="F279">
            <v>1240</v>
          </cell>
        </row>
        <row r="280">
          <cell r="E280" t="str">
            <v>ANDALUSIAALMOCKSVILLENC</v>
          </cell>
          <cell r="F280">
            <v>1400</v>
          </cell>
        </row>
        <row r="281">
          <cell r="E281" t="str">
            <v>ANDALUSIAALBELMONTNC</v>
          </cell>
          <cell r="F281">
            <v>1250</v>
          </cell>
        </row>
        <row r="282">
          <cell r="E282" t="str">
            <v>ANDALUSIAALGASTONIANC</v>
          </cell>
          <cell r="F282">
            <v>1230</v>
          </cell>
        </row>
        <row r="283">
          <cell r="E283" t="str">
            <v>ANDALUSIAALDAWSONGA</v>
          </cell>
          <cell r="F283">
            <v>580</v>
          </cell>
        </row>
        <row r="284">
          <cell r="E284" t="str">
            <v>ANDALUSIAALCLARKTONNC</v>
          </cell>
          <cell r="F284">
            <v>1530</v>
          </cell>
        </row>
        <row r="285">
          <cell r="E285" t="str">
            <v>ANDALUSIAALPORTSMOUTHVA</v>
          </cell>
          <cell r="F285">
            <v>1990</v>
          </cell>
        </row>
        <row r="286">
          <cell r="E286" t="str">
            <v>ANDALUSIAALRAYVILLELA</v>
          </cell>
          <cell r="F286">
            <v>950</v>
          </cell>
        </row>
        <row r="287">
          <cell r="E287" t="str">
            <v>ANDALUSIAALGAFFNEYSC</v>
          </cell>
          <cell r="F287">
            <v>1150</v>
          </cell>
        </row>
        <row r="288">
          <cell r="E288" t="str">
            <v>ANDALUSIAALERWINNC</v>
          </cell>
          <cell r="F288">
            <v>1610</v>
          </cell>
        </row>
        <row r="289">
          <cell r="E289" t="str">
            <v>ANDALUSIAALSANFORDNC</v>
          </cell>
          <cell r="F289">
            <v>1560</v>
          </cell>
        </row>
        <row r="290">
          <cell r="E290" t="str">
            <v>ANDALUSIAALNEW ORLEANSLA</v>
          </cell>
          <cell r="F290">
            <v>730</v>
          </cell>
        </row>
        <row r="291">
          <cell r="E291" t="str">
            <v>ANDALUSIAALBLYTHEVILLEAR</v>
          </cell>
          <cell r="F291">
            <v>1220</v>
          </cell>
        </row>
        <row r="292">
          <cell r="E292" t="str">
            <v>ANDALUSIAALSALISBURYNC</v>
          </cell>
          <cell r="F292">
            <v>1360</v>
          </cell>
        </row>
        <row r="293">
          <cell r="E293" t="str">
            <v>ANDALUSIAALROCKINGHAMNC</v>
          </cell>
          <cell r="F293">
            <v>1440</v>
          </cell>
        </row>
        <row r="294">
          <cell r="E294" t="str">
            <v>ANDALUSIAALMCCALLAAL</v>
          </cell>
          <cell r="F294">
            <v>610</v>
          </cell>
        </row>
        <row r="295">
          <cell r="E295" t="str">
            <v>ANDALUSIAALROSSVILLETN</v>
          </cell>
          <cell r="F295">
            <v>1060</v>
          </cell>
        </row>
        <row r="296">
          <cell r="E296" t="str">
            <v>ANDALUSIAALGREENWOODMS</v>
          </cell>
          <cell r="F296">
            <v>940</v>
          </cell>
        </row>
        <row r="297">
          <cell r="E297" t="str">
            <v>ANDALUSIAALSHELBYNC</v>
          </cell>
          <cell r="F297">
            <v>1190</v>
          </cell>
        </row>
        <row r="298">
          <cell r="E298" t="str">
            <v>ANDALUSIAALCHARLOTTENC</v>
          </cell>
          <cell r="F298">
            <v>1270</v>
          </cell>
        </row>
        <row r="299">
          <cell r="E299" t="str">
            <v>ANDALUSIAALHICKORYNC</v>
          </cell>
          <cell r="F299">
            <v>1300</v>
          </cell>
        </row>
        <row r="300">
          <cell r="E300" t="str">
            <v>ANDALUSIAALLUMBERTONNC</v>
          </cell>
          <cell r="F300">
            <v>1480</v>
          </cell>
        </row>
        <row r="301">
          <cell r="E301" t="str">
            <v>ANDALUSIAALMINERAL SPRINGSNC</v>
          </cell>
          <cell r="F301">
            <v>1330</v>
          </cell>
        </row>
        <row r="302">
          <cell r="E302" t="str">
            <v>ANDALUSIAALTUNICAMS</v>
          </cell>
          <cell r="F302">
            <v>1110</v>
          </cell>
        </row>
        <row r="303">
          <cell r="E303" t="str">
            <v>ANDALUSIAALMOBILEAL</v>
          </cell>
          <cell r="F303">
            <v>510</v>
          </cell>
        </row>
        <row r="304">
          <cell r="E304" t="str">
            <v>ANDALUSIAALECLECTICAL</v>
          </cell>
          <cell r="F304">
            <v>510</v>
          </cell>
        </row>
        <row r="305">
          <cell r="E305" t="str">
            <v>ANDALUSIAALRINCONGA</v>
          </cell>
          <cell r="F305">
            <v>1140</v>
          </cell>
        </row>
        <row r="306">
          <cell r="E306" t="str">
            <v>ANDALUSIAALGULFPORTMS</v>
          </cell>
          <cell r="F306">
            <v>720</v>
          </cell>
        </row>
        <row r="307">
          <cell r="E307" t="str">
            <v>ANDALUSIAALGarden CityGA</v>
          </cell>
          <cell r="F307">
            <v>1100</v>
          </cell>
        </row>
        <row r="308">
          <cell r="E308" t="str">
            <v>ANDALUSIAALPORT WENTWORTHGA</v>
          </cell>
          <cell r="F308">
            <v>1120</v>
          </cell>
        </row>
        <row r="309">
          <cell r="E309" t="str">
            <v>ANDALUSIAALGRIFTONNC</v>
          </cell>
          <cell r="F309">
            <v>1900</v>
          </cell>
        </row>
        <row r="310">
          <cell r="E310" t="str">
            <v>ANDALUSIAALCENTREAL</v>
          </cell>
          <cell r="F310">
            <v>730</v>
          </cell>
        </row>
        <row r="311">
          <cell r="E311" t="str">
            <v>ANDALUSIAALRABUN GAPGA</v>
          </cell>
          <cell r="F311">
            <v>1040</v>
          </cell>
        </row>
        <row r="312">
          <cell r="E312" t="str">
            <v>ANDALUSIAALGAINESVILLEGA</v>
          </cell>
          <cell r="F312">
            <v>840</v>
          </cell>
        </row>
        <row r="313">
          <cell r="E313" t="str">
            <v>ANDALUSIAALJACKSONVILLEFL</v>
          </cell>
          <cell r="F313">
            <v>920</v>
          </cell>
        </row>
        <row r="314">
          <cell r="E314" t="str">
            <v>ARLINGTONGAROCKFORDTN</v>
          </cell>
          <cell r="F314">
            <v>1050</v>
          </cell>
        </row>
        <row r="315">
          <cell r="E315" t="str">
            <v>ARLINGTONGAMEMPHISTN</v>
          </cell>
          <cell r="F315">
            <v>1180</v>
          </cell>
        </row>
        <row r="316">
          <cell r="E316" t="str">
            <v>ARLINGTONGAGAINESVILLEGA</v>
          </cell>
          <cell r="F316">
            <v>700</v>
          </cell>
        </row>
        <row r="317">
          <cell r="E317" t="str">
            <v>ARLINGTONGACLARKTONNC</v>
          </cell>
          <cell r="F317">
            <v>1260</v>
          </cell>
        </row>
        <row r="318">
          <cell r="E318" t="str">
            <v>ARLINGTONGAENOREESC</v>
          </cell>
          <cell r="F318">
            <v>980</v>
          </cell>
        </row>
        <row r="319">
          <cell r="E319" t="str">
            <v>ARLINGTONGAGREERSC</v>
          </cell>
          <cell r="F319">
            <v>930</v>
          </cell>
        </row>
        <row r="320">
          <cell r="E320" t="str">
            <v>ARLINGTONGATALLULAHLA</v>
          </cell>
          <cell r="F320">
            <v>1140</v>
          </cell>
        </row>
        <row r="321">
          <cell r="E321" t="str">
            <v>ARLINGTONGALOWELLNC</v>
          </cell>
          <cell r="F321">
            <v>1090</v>
          </cell>
        </row>
        <row r="322">
          <cell r="E322" t="str">
            <v>ARLINGTONGAWEST MEMPHISAR</v>
          </cell>
          <cell r="F322">
            <v>1190</v>
          </cell>
        </row>
        <row r="323">
          <cell r="E323" t="str">
            <v>ARLINGTONGACENTREAL</v>
          </cell>
          <cell r="F323">
            <v>680</v>
          </cell>
        </row>
        <row r="324">
          <cell r="E324" t="str">
            <v>ARLINGTONGAMOCKSVILLENC</v>
          </cell>
          <cell r="F324">
            <v>1250</v>
          </cell>
        </row>
        <row r="325">
          <cell r="E325" t="str">
            <v>ARLINGTONGABELMONTNC</v>
          </cell>
          <cell r="F325">
            <v>1100</v>
          </cell>
        </row>
        <row r="326">
          <cell r="E326" t="str">
            <v>ARLINGTONGAMINERAL SPRINGSNC</v>
          </cell>
          <cell r="F326">
            <v>1100</v>
          </cell>
        </row>
        <row r="327">
          <cell r="E327" t="str">
            <v>ARLINGTONGAGASTONIANC</v>
          </cell>
          <cell r="F327">
            <v>1080</v>
          </cell>
        </row>
        <row r="328">
          <cell r="E328" t="str">
            <v>ARLINGTONGALUMBERTONNC</v>
          </cell>
          <cell r="F328">
            <v>1210</v>
          </cell>
        </row>
        <row r="329">
          <cell r="E329" t="str">
            <v>ARLINGTONGAGAFFNEYSC</v>
          </cell>
          <cell r="F329">
            <v>1010</v>
          </cell>
        </row>
        <row r="330">
          <cell r="E330" t="str">
            <v>ARLINGTONGANEW ORLEANSLA</v>
          </cell>
          <cell r="F330">
            <v>1010</v>
          </cell>
        </row>
        <row r="331">
          <cell r="E331" t="str">
            <v>ARLINGTONGAKINSTONNC</v>
          </cell>
          <cell r="F331">
            <v>1500</v>
          </cell>
        </row>
        <row r="332">
          <cell r="E332" t="str">
            <v>ARLINGTONGASALISBURYNC</v>
          </cell>
          <cell r="F332">
            <v>1220</v>
          </cell>
        </row>
        <row r="333">
          <cell r="E333" t="str">
            <v>ARLINGTONGAGREENWOODMS</v>
          </cell>
          <cell r="F333">
            <v>1060</v>
          </cell>
        </row>
        <row r="334">
          <cell r="E334" t="str">
            <v>ARLINGTONGACARTERSVILLEGA</v>
          </cell>
          <cell r="F334">
            <v>680</v>
          </cell>
        </row>
        <row r="335">
          <cell r="E335" t="str">
            <v>ARLINGTONGASHELBYNC</v>
          </cell>
          <cell r="F335">
            <v>1050</v>
          </cell>
        </row>
        <row r="336">
          <cell r="E336" t="str">
            <v>ARLINGTONGACHARLOTTENC</v>
          </cell>
          <cell r="F336">
            <v>1130</v>
          </cell>
        </row>
        <row r="337">
          <cell r="E337" t="str">
            <v>ARLINGTONGAPORTSMOUTHVA</v>
          </cell>
          <cell r="F337">
            <v>1770</v>
          </cell>
        </row>
        <row r="338">
          <cell r="E338" t="str">
            <v>ARLINGTONGAHICKORYNC</v>
          </cell>
          <cell r="F338">
            <v>1160</v>
          </cell>
        </row>
        <row r="339">
          <cell r="E339" t="str">
            <v>ARLINGTONGAMONEYMS</v>
          </cell>
          <cell r="F339">
            <v>1100</v>
          </cell>
        </row>
        <row r="340">
          <cell r="E340" t="str">
            <v>ARLINGTONGAEDENTONNC</v>
          </cell>
          <cell r="F340">
            <v>1680</v>
          </cell>
        </row>
        <row r="341">
          <cell r="E341" t="str">
            <v>ARLINGTONGAROSSVILLETN</v>
          </cell>
          <cell r="F341">
            <v>1170</v>
          </cell>
        </row>
        <row r="342">
          <cell r="E342" t="str">
            <v>ARLINGTONGADREWMS</v>
          </cell>
          <cell r="F342">
            <v>1150</v>
          </cell>
        </row>
        <row r="343">
          <cell r="E343" t="str">
            <v>ARLINGTONGABLYTHEVILLEAR</v>
          </cell>
          <cell r="F343">
            <v>1330</v>
          </cell>
        </row>
        <row r="344">
          <cell r="E344" t="str">
            <v>ARLINGTONGARAYVILLELA</v>
          </cell>
          <cell r="F344">
            <v>1220</v>
          </cell>
        </row>
        <row r="345">
          <cell r="E345" t="str">
            <v>ARLINGTONGASANFORDNC</v>
          </cell>
          <cell r="F345">
            <v>1280</v>
          </cell>
        </row>
        <row r="346">
          <cell r="E346" t="str">
            <v>ARLINGTONGALEXINGTONNC</v>
          </cell>
          <cell r="F346">
            <v>1250</v>
          </cell>
        </row>
        <row r="347">
          <cell r="E347" t="str">
            <v>ARLINGTONGAROCKINGHAMNC</v>
          </cell>
          <cell r="F347">
            <v>1150</v>
          </cell>
        </row>
        <row r="348">
          <cell r="E348" t="str">
            <v>ARLINGTONGAINDIAN LANDSC</v>
          </cell>
          <cell r="F348">
            <v>1150</v>
          </cell>
        </row>
        <row r="349">
          <cell r="E349" t="str">
            <v>ARLINGTONGAMCCALLAAL</v>
          </cell>
          <cell r="F349">
            <v>690</v>
          </cell>
        </row>
        <row r="350">
          <cell r="E350" t="str">
            <v>ARLINGTONGARABUN GAPGA</v>
          </cell>
          <cell r="F350">
            <v>880</v>
          </cell>
        </row>
        <row r="351">
          <cell r="E351" t="str">
            <v>ARLINGTONGAERWINNC</v>
          </cell>
          <cell r="F351">
            <v>1340</v>
          </cell>
        </row>
        <row r="352">
          <cell r="E352" t="str">
            <v>ARLINGTONGASPARTANC</v>
          </cell>
          <cell r="F352">
            <v>1340</v>
          </cell>
        </row>
        <row r="353">
          <cell r="E353" t="str">
            <v>ARLINGTONGAINDIANOLAMS</v>
          </cell>
          <cell r="F353">
            <v>1120</v>
          </cell>
        </row>
        <row r="354">
          <cell r="E354" t="str">
            <v>ARLINGTONGAMAYODANNC</v>
          </cell>
          <cell r="F354">
            <v>1370</v>
          </cell>
        </row>
        <row r="355">
          <cell r="E355" t="str">
            <v>ARLINGTONGATUNICAMS</v>
          </cell>
          <cell r="F355">
            <v>1210</v>
          </cell>
        </row>
        <row r="356">
          <cell r="E356" t="str">
            <v>ARLINGTONGAGREENWOODSC</v>
          </cell>
          <cell r="F356">
            <v>810</v>
          </cell>
        </row>
        <row r="357">
          <cell r="E357" t="str">
            <v>ARLINGTONGAMOBILEAL</v>
          </cell>
          <cell r="F357">
            <v>690</v>
          </cell>
        </row>
        <row r="358">
          <cell r="E358" t="str">
            <v>ARLINGTONGASTONEVILLENC</v>
          </cell>
          <cell r="F358">
            <v>1380</v>
          </cell>
        </row>
        <row r="359">
          <cell r="E359" t="str">
            <v>ARLINGTONGANORFOLKVA</v>
          </cell>
          <cell r="F359">
            <v>1790</v>
          </cell>
        </row>
        <row r="360">
          <cell r="E360" t="str">
            <v>ARLINGTONGATHOMASVILLENC</v>
          </cell>
          <cell r="F360">
            <v>1280</v>
          </cell>
        </row>
        <row r="361">
          <cell r="E361" t="str">
            <v>ARLINGTONGAMARIONAR</v>
          </cell>
          <cell r="F361">
            <v>1200</v>
          </cell>
        </row>
        <row r="362">
          <cell r="E362" t="str">
            <v>ARLINGTONGAECLECTICAL</v>
          </cell>
          <cell r="F362">
            <v>580</v>
          </cell>
        </row>
        <row r="363">
          <cell r="E363" t="str">
            <v>ARLINGTONGAGarden CityGA</v>
          </cell>
          <cell r="F363">
            <v>820</v>
          </cell>
        </row>
        <row r="364">
          <cell r="E364" t="str">
            <v>ARLINGTONGAGRIFTONNC</v>
          </cell>
          <cell r="F364">
            <v>1630</v>
          </cell>
        </row>
        <row r="365">
          <cell r="E365" t="str">
            <v>ARLINGTONGAPORT WENTWORTHGA</v>
          </cell>
          <cell r="F365">
            <v>840</v>
          </cell>
        </row>
        <row r="366">
          <cell r="E366" t="str">
            <v>ARLINGTONGAGULFPORTMS</v>
          </cell>
          <cell r="F366">
            <v>960</v>
          </cell>
        </row>
        <row r="367">
          <cell r="E367" t="str">
            <v>ARLINGTONGARINCONGA</v>
          </cell>
          <cell r="F367">
            <v>850</v>
          </cell>
        </row>
        <row r="368">
          <cell r="E368" t="str">
            <v>ARLINGTONGAJACKSONVILLEFL</v>
          </cell>
          <cell r="F368">
            <v>680</v>
          </cell>
        </row>
        <row r="369">
          <cell r="E369" t="str">
            <v>ARLINGTONGADAWSONGA</v>
          </cell>
          <cell r="F369">
            <v>370</v>
          </cell>
        </row>
        <row r="370">
          <cell r="E370" t="str">
            <v>ARLINGTONTXDallasTX</v>
          </cell>
          <cell r="F370">
            <v>315</v>
          </cell>
        </row>
        <row r="371">
          <cell r="E371" t="str">
            <v>ARLINGTONTXBaytownTX</v>
          </cell>
          <cell r="F371">
            <v>729</v>
          </cell>
        </row>
        <row r="372">
          <cell r="E372" t="str">
            <v>ARLINGTONTXHoustonTX</v>
          </cell>
          <cell r="F372">
            <v>688</v>
          </cell>
        </row>
        <row r="373">
          <cell r="E373" t="str">
            <v>ARLINGTONTXHASLETTX</v>
          </cell>
          <cell r="F373">
            <v>253</v>
          </cell>
        </row>
        <row r="374">
          <cell r="E374" t="str">
            <v>ARLINGTONTXWILMERTX</v>
          </cell>
          <cell r="F374">
            <v>310</v>
          </cell>
        </row>
        <row r="375">
          <cell r="E375" t="str">
            <v>ARLINGTONTXWYLIETX</v>
          </cell>
        </row>
        <row r="376">
          <cell r="E376" t="str">
            <v>ARLINGTONTXWESLACOTX</v>
          </cell>
          <cell r="F376">
            <v>739</v>
          </cell>
        </row>
        <row r="377">
          <cell r="E377" t="str">
            <v>ATHENSALROCKFORDTN</v>
          </cell>
          <cell r="F377">
            <v>690</v>
          </cell>
        </row>
        <row r="378">
          <cell r="E378" t="str">
            <v>ATHENSALDAWSONGA</v>
          </cell>
          <cell r="F378">
            <v>830</v>
          </cell>
        </row>
        <row r="379">
          <cell r="E379" t="str">
            <v>ATHENSALRAYVILLELA</v>
          </cell>
          <cell r="F379">
            <v>1100</v>
          </cell>
        </row>
        <row r="380">
          <cell r="E380" t="str">
            <v>ATHENSALROCKINGHAMNC</v>
          </cell>
          <cell r="F380">
            <v>1300</v>
          </cell>
        </row>
        <row r="381">
          <cell r="E381" t="str">
            <v>ATHENSALMONEYMS</v>
          </cell>
          <cell r="F381">
            <v>750</v>
          </cell>
        </row>
        <row r="382">
          <cell r="E382" t="str">
            <v>ATHENSALTHOMASVILLENC</v>
          </cell>
          <cell r="F382">
            <v>1280</v>
          </cell>
        </row>
        <row r="383">
          <cell r="E383" t="str">
            <v>ATHENSALGASTONIANC</v>
          </cell>
          <cell r="F383">
            <v>1080</v>
          </cell>
        </row>
        <row r="384">
          <cell r="E384" t="str">
            <v>ATHENSALJACKSONVILLEFL</v>
          </cell>
          <cell r="F384">
            <v>1340</v>
          </cell>
        </row>
        <row r="385">
          <cell r="E385" t="str">
            <v>ATHENSALNEW ORLEANSLA</v>
          </cell>
          <cell r="F385">
            <v>1120</v>
          </cell>
        </row>
        <row r="386">
          <cell r="E386" t="str">
            <v>ATHENSALLEXINGTONNC</v>
          </cell>
          <cell r="F386">
            <v>1250</v>
          </cell>
        </row>
        <row r="387">
          <cell r="E387" t="str">
            <v>ATHENSALMEMPHISTN</v>
          </cell>
          <cell r="F387">
            <v>630</v>
          </cell>
        </row>
        <row r="388">
          <cell r="E388" t="str">
            <v>ATHENSALSHELBYNC</v>
          </cell>
          <cell r="F388">
            <v>1100</v>
          </cell>
        </row>
        <row r="389">
          <cell r="E389" t="str">
            <v>ATHENSALSPARTANC</v>
          </cell>
          <cell r="F389">
            <v>1180</v>
          </cell>
        </row>
        <row r="390">
          <cell r="E390" t="str">
            <v>ATHENSALMAYODANNC</v>
          </cell>
          <cell r="F390">
            <v>1330</v>
          </cell>
        </row>
        <row r="391">
          <cell r="E391" t="str">
            <v>ATHENSALTALLULAHLA</v>
          </cell>
          <cell r="F391">
            <v>1020</v>
          </cell>
        </row>
        <row r="392">
          <cell r="E392" t="str">
            <v>ATHENSALWEST MEMPHISAR</v>
          </cell>
          <cell r="F392">
            <v>630</v>
          </cell>
        </row>
        <row r="393">
          <cell r="E393" t="str">
            <v>ATHENSALSANFORDNC</v>
          </cell>
          <cell r="F393">
            <v>1440</v>
          </cell>
        </row>
        <row r="394">
          <cell r="E394" t="str">
            <v>ATHENSALSTONEVILLENC</v>
          </cell>
          <cell r="F394">
            <v>1340</v>
          </cell>
        </row>
        <row r="395">
          <cell r="E395" t="str">
            <v>ATHENSALEDENTONNC</v>
          </cell>
          <cell r="F395">
            <v>1800</v>
          </cell>
        </row>
        <row r="396">
          <cell r="E396" t="str">
            <v>ATHENSALERWINNC</v>
          </cell>
          <cell r="F396">
            <v>1520</v>
          </cell>
        </row>
        <row r="397">
          <cell r="E397" t="str">
            <v>ATHENSALGAINESVILLEGA</v>
          </cell>
          <cell r="F397">
            <v>700</v>
          </cell>
        </row>
        <row r="398">
          <cell r="E398" t="str">
            <v>ATHENSALLOWELLNC</v>
          </cell>
          <cell r="F398">
            <v>1090</v>
          </cell>
        </row>
        <row r="399">
          <cell r="E399" t="str">
            <v>ATHENSALKINSTONNC</v>
          </cell>
          <cell r="F399">
            <v>1680</v>
          </cell>
        </row>
        <row r="400">
          <cell r="E400" t="str">
            <v>ATHENSALBELMONTNC</v>
          </cell>
          <cell r="F400">
            <v>1100</v>
          </cell>
        </row>
        <row r="401">
          <cell r="E401" t="str">
            <v>ATHENSALROSSVILLETN</v>
          </cell>
          <cell r="F401">
            <v>590</v>
          </cell>
        </row>
        <row r="402">
          <cell r="E402" t="str">
            <v>ATHENSALMARIONAR</v>
          </cell>
          <cell r="F402">
            <v>640</v>
          </cell>
        </row>
        <row r="403">
          <cell r="E403" t="str">
            <v>ATHENSALPORT WENTWORTHGA</v>
          </cell>
          <cell r="F403">
            <v>1360</v>
          </cell>
        </row>
        <row r="404">
          <cell r="E404" t="str">
            <v>ATHENSALCARTERSVILLEGA</v>
          </cell>
          <cell r="F404">
            <v>580</v>
          </cell>
        </row>
        <row r="405">
          <cell r="E405" t="str">
            <v>ATHENSALGarden CityGA</v>
          </cell>
          <cell r="F405">
            <v>1340</v>
          </cell>
        </row>
        <row r="406">
          <cell r="E406" t="str">
            <v>ATHENSALGULFPORTMS</v>
          </cell>
          <cell r="F406">
            <v>1130</v>
          </cell>
        </row>
        <row r="407">
          <cell r="E407" t="str">
            <v>ATHENSALRINCONGA</v>
          </cell>
          <cell r="F407">
            <v>1370</v>
          </cell>
        </row>
        <row r="408">
          <cell r="E408" t="str">
            <v>ATHENSALMCCALLAAL</v>
          </cell>
          <cell r="F408">
            <v>500</v>
          </cell>
        </row>
        <row r="409">
          <cell r="E409" t="str">
            <v>ATHENSALCHARLOTTENC</v>
          </cell>
          <cell r="F409">
            <v>1130</v>
          </cell>
        </row>
        <row r="410">
          <cell r="E410" t="str">
            <v>ATHENSALHICKORYNC</v>
          </cell>
          <cell r="F410">
            <v>1100</v>
          </cell>
        </row>
        <row r="411">
          <cell r="E411" t="str">
            <v>ATHENSALMOBILEAL</v>
          </cell>
          <cell r="F411">
            <v>930</v>
          </cell>
        </row>
        <row r="412">
          <cell r="E412" t="str">
            <v>ATHENSALTUNICAMS</v>
          </cell>
          <cell r="F412">
            <v>660</v>
          </cell>
        </row>
        <row r="413">
          <cell r="E413" t="str">
            <v>ATHENSALMINERAL SPRINGSNC</v>
          </cell>
          <cell r="F413">
            <v>1190</v>
          </cell>
        </row>
        <row r="414">
          <cell r="E414" t="str">
            <v>ATHENSALCLARKTONNC</v>
          </cell>
          <cell r="F414">
            <v>1550</v>
          </cell>
        </row>
        <row r="415">
          <cell r="E415" t="str">
            <v>ATHENSALGREENWOODSC</v>
          </cell>
          <cell r="F415">
            <v>920</v>
          </cell>
        </row>
        <row r="416">
          <cell r="E416" t="str">
            <v>ATHENSALRABUN GAPGA</v>
          </cell>
          <cell r="F416">
            <v>800</v>
          </cell>
        </row>
        <row r="417">
          <cell r="E417" t="str">
            <v>ATHENSALSALISBURYNC</v>
          </cell>
          <cell r="F417">
            <v>1230</v>
          </cell>
        </row>
        <row r="418">
          <cell r="E418" t="str">
            <v>ATHENSALGREERSC</v>
          </cell>
          <cell r="F418">
            <v>930</v>
          </cell>
        </row>
        <row r="419">
          <cell r="E419" t="str">
            <v>ATHENSALMOCKSVILLENC</v>
          </cell>
          <cell r="F419">
            <v>1210</v>
          </cell>
        </row>
        <row r="420">
          <cell r="E420" t="str">
            <v>ATHENSALENOREESC</v>
          </cell>
          <cell r="F420">
            <v>980</v>
          </cell>
        </row>
        <row r="421">
          <cell r="E421" t="str">
            <v>ATHENSALGAFFNEYSC</v>
          </cell>
          <cell r="F421">
            <v>1010</v>
          </cell>
        </row>
        <row r="422">
          <cell r="E422" t="str">
            <v>ATHENSALECLECTICAL</v>
          </cell>
          <cell r="F422">
            <v>610</v>
          </cell>
        </row>
        <row r="423">
          <cell r="E423" t="str">
            <v>ATHENSALNORFOLKVA</v>
          </cell>
          <cell r="F423">
            <v>1860</v>
          </cell>
        </row>
        <row r="424">
          <cell r="E424" t="str">
            <v>ATHENSALGREENWOODMS</v>
          </cell>
          <cell r="F424">
            <v>780</v>
          </cell>
        </row>
        <row r="425">
          <cell r="E425" t="str">
            <v>ATHENSALBLYTHEVILLEAR</v>
          </cell>
          <cell r="F425">
            <v>730</v>
          </cell>
        </row>
        <row r="426">
          <cell r="E426" t="str">
            <v>ATHENSALINDIAN LANDSC</v>
          </cell>
          <cell r="F426">
            <v>1160</v>
          </cell>
        </row>
        <row r="427">
          <cell r="E427" t="str">
            <v>ATHENSALPORTSMOUTHVA</v>
          </cell>
          <cell r="F427">
            <v>1840</v>
          </cell>
        </row>
        <row r="428">
          <cell r="E428" t="str">
            <v>ATHENSALLUMBERTONNC</v>
          </cell>
          <cell r="F428">
            <v>1500</v>
          </cell>
        </row>
        <row r="429">
          <cell r="E429" t="str">
            <v>ATHENSALCENTREAL</v>
          </cell>
          <cell r="F429">
            <v>490</v>
          </cell>
        </row>
        <row r="430">
          <cell r="E430" t="str">
            <v>ATHENSALINDIANOLAMS</v>
          </cell>
          <cell r="F430">
            <v>840</v>
          </cell>
        </row>
        <row r="431">
          <cell r="E431" t="str">
            <v>ATHENSALDREWMS</v>
          </cell>
          <cell r="F431">
            <v>730</v>
          </cell>
        </row>
        <row r="432">
          <cell r="E432" t="str">
            <v>ATHENSALGRIFTONNC</v>
          </cell>
          <cell r="F432">
            <v>1820</v>
          </cell>
        </row>
        <row r="433">
          <cell r="E433" t="str">
            <v>BAINBRIDGEGAROCKFORDTN</v>
          </cell>
          <cell r="F433">
            <v>1150</v>
          </cell>
        </row>
        <row r="434">
          <cell r="E434" t="str">
            <v>BAINBRIDGEGAINDIAN LANDSC</v>
          </cell>
          <cell r="F434">
            <v>1130</v>
          </cell>
        </row>
        <row r="435">
          <cell r="E435" t="str">
            <v>BAINBRIDGEGAGREENWOODSC</v>
          </cell>
          <cell r="F435">
            <v>850</v>
          </cell>
        </row>
        <row r="436">
          <cell r="E436" t="str">
            <v>BAINBRIDGEGACLARKTONNC</v>
          </cell>
          <cell r="F436">
            <v>1290</v>
          </cell>
        </row>
        <row r="437">
          <cell r="E437" t="str">
            <v>BAINBRIDGEGAMONEYMS</v>
          </cell>
          <cell r="F437">
            <v>1140</v>
          </cell>
        </row>
        <row r="438">
          <cell r="E438" t="str">
            <v>BAINBRIDGEGAMEMPHISTN</v>
          </cell>
          <cell r="F438">
            <v>1240</v>
          </cell>
        </row>
        <row r="439">
          <cell r="E439" t="str">
            <v>BAINBRIDGEGACHARLOTTENC</v>
          </cell>
          <cell r="F439">
            <v>1220</v>
          </cell>
        </row>
        <row r="440">
          <cell r="E440" t="str">
            <v>BAINBRIDGEGALEXINGTONNC</v>
          </cell>
          <cell r="F440">
            <v>1350</v>
          </cell>
        </row>
        <row r="441">
          <cell r="E441" t="str">
            <v>BAINBRIDGEGARAYVILLELA</v>
          </cell>
          <cell r="F441">
            <v>1260</v>
          </cell>
        </row>
        <row r="442">
          <cell r="E442" t="str">
            <v>BAINBRIDGEGAHICKORYNC</v>
          </cell>
          <cell r="F442">
            <v>1250</v>
          </cell>
        </row>
        <row r="443">
          <cell r="E443" t="str">
            <v>BAINBRIDGEGAMCCALLAAL</v>
          </cell>
          <cell r="F443">
            <v>730</v>
          </cell>
        </row>
        <row r="444">
          <cell r="E444" t="str">
            <v>BAINBRIDGEGATUNICAMS</v>
          </cell>
          <cell r="F444">
            <v>1270</v>
          </cell>
        </row>
        <row r="445">
          <cell r="E445" t="str">
            <v>BAINBRIDGEGASPARTANC</v>
          </cell>
          <cell r="F445">
            <v>1440</v>
          </cell>
        </row>
        <row r="446">
          <cell r="E446" t="str">
            <v>BAINBRIDGEGAWEST MEMPHISAR</v>
          </cell>
          <cell r="F446">
            <v>1250</v>
          </cell>
        </row>
        <row r="447">
          <cell r="E447" t="str">
            <v>BAINBRIDGEGALUMBERTONNC</v>
          </cell>
          <cell r="F447">
            <v>1240</v>
          </cell>
        </row>
        <row r="448">
          <cell r="E448" t="str">
            <v>BAINBRIDGEGAMINERAL SPRINGSNC</v>
          </cell>
          <cell r="F448">
            <v>1140</v>
          </cell>
        </row>
        <row r="449">
          <cell r="E449" t="str">
            <v>BAINBRIDGEGADREWMS</v>
          </cell>
          <cell r="F449">
            <v>1190</v>
          </cell>
        </row>
        <row r="450">
          <cell r="E450" t="str">
            <v>BAINBRIDGEGAINDIANOLAMS</v>
          </cell>
          <cell r="F450">
            <v>1170</v>
          </cell>
        </row>
        <row r="451">
          <cell r="E451" t="str">
            <v>BAINBRIDGEGAKINSTONNC</v>
          </cell>
          <cell r="F451">
            <v>1530</v>
          </cell>
        </row>
        <row r="452">
          <cell r="E452" t="str">
            <v>BAINBRIDGEGAMARIONAR</v>
          </cell>
          <cell r="F452">
            <v>1260</v>
          </cell>
        </row>
        <row r="453">
          <cell r="E453" t="str">
            <v>BAINBRIDGEGATHOMASVILLENC</v>
          </cell>
          <cell r="F453">
            <v>1380</v>
          </cell>
        </row>
        <row r="454">
          <cell r="E454" t="str">
            <v>BAINBRIDGEGAENOREESC</v>
          </cell>
          <cell r="F454">
            <v>1080</v>
          </cell>
        </row>
        <row r="455">
          <cell r="E455" t="str">
            <v>BAINBRIDGEGAPORTSMOUTHVA</v>
          </cell>
          <cell r="F455">
            <v>1800</v>
          </cell>
        </row>
        <row r="456">
          <cell r="E456" t="str">
            <v>BAINBRIDGEGAMAYODANNC</v>
          </cell>
          <cell r="F456">
            <v>1470</v>
          </cell>
        </row>
        <row r="457">
          <cell r="E457" t="str">
            <v>BAINBRIDGEGACARTERSVILLEGA</v>
          </cell>
          <cell r="F457">
            <v>760</v>
          </cell>
        </row>
        <row r="458">
          <cell r="E458" t="str">
            <v>BAINBRIDGEGAMOCKSVILLENC</v>
          </cell>
          <cell r="F458">
            <v>1350</v>
          </cell>
        </row>
        <row r="459">
          <cell r="E459" t="str">
            <v>BAINBRIDGEGASTONEVILLENC</v>
          </cell>
          <cell r="F459">
            <v>1480</v>
          </cell>
        </row>
        <row r="460">
          <cell r="E460" t="str">
            <v>BAINBRIDGEGAEDENTONNC</v>
          </cell>
          <cell r="F460">
            <v>1710</v>
          </cell>
        </row>
        <row r="461">
          <cell r="E461" t="str">
            <v>BAINBRIDGEGABELMONTNC</v>
          </cell>
          <cell r="F461">
            <v>1200</v>
          </cell>
        </row>
        <row r="462">
          <cell r="E462" t="str">
            <v>BAINBRIDGEGAROSSVILLETN</v>
          </cell>
          <cell r="F462">
            <v>1230</v>
          </cell>
        </row>
        <row r="463">
          <cell r="E463" t="str">
            <v>BAINBRIDGEGANEW ORLEANSLA</v>
          </cell>
          <cell r="F463">
            <v>1000</v>
          </cell>
        </row>
        <row r="464">
          <cell r="E464" t="str">
            <v>BAINBRIDGEGALOWELLNC</v>
          </cell>
          <cell r="F464">
            <v>1180</v>
          </cell>
        </row>
        <row r="465">
          <cell r="E465" t="str">
            <v>BAINBRIDGEGASALISBURYNC</v>
          </cell>
          <cell r="F465">
            <v>1310</v>
          </cell>
        </row>
        <row r="466">
          <cell r="E466" t="str">
            <v>BAINBRIDGEGATALLULAHLA</v>
          </cell>
          <cell r="F466">
            <v>1180</v>
          </cell>
        </row>
        <row r="467">
          <cell r="E467" t="str">
            <v>BAINBRIDGEGABLYTHEVILLEAR</v>
          </cell>
          <cell r="F467">
            <v>1380</v>
          </cell>
        </row>
        <row r="468">
          <cell r="E468" t="str">
            <v>BAINBRIDGEGACENTREAL</v>
          </cell>
          <cell r="F468">
            <v>760</v>
          </cell>
        </row>
        <row r="469">
          <cell r="E469" t="str">
            <v>BAINBRIDGEGAMOBILEAL</v>
          </cell>
          <cell r="F469">
            <v>680</v>
          </cell>
        </row>
        <row r="470">
          <cell r="E470" t="str">
            <v>BAINBRIDGEGAROCKINGHAMNC</v>
          </cell>
          <cell r="F470">
            <v>1190</v>
          </cell>
        </row>
        <row r="471">
          <cell r="E471" t="str">
            <v>BAINBRIDGEGASHELBYNC</v>
          </cell>
          <cell r="F471">
            <v>1140</v>
          </cell>
        </row>
        <row r="472">
          <cell r="E472" t="str">
            <v>BAINBRIDGEGAERWINNC</v>
          </cell>
          <cell r="F472">
            <v>1370</v>
          </cell>
        </row>
        <row r="473">
          <cell r="E473" t="str">
            <v>BAINBRIDGEGASANFORDNC</v>
          </cell>
          <cell r="F473">
            <v>1370</v>
          </cell>
        </row>
        <row r="474">
          <cell r="E474" t="str">
            <v>BAINBRIDGEGAGREENWOODMS</v>
          </cell>
          <cell r="F474">
            <v>1100</v>
          </cell>
        </row>
        <row r="475">
          <cell r="E475" t="str">
            <v>BAINBRIDGEGAGASTONIANC</v>
          </cell>
          <cell r="F475">
            <v>1170</v>
          </cell>
        </row>
        <row r="476">
          <cell r="E476" t="str">
            <v>BAINBRIDGEGAGAINESVILLEGA</v>
          </cell>
          <cell r="F476">
            <v>790</v>
          </cell>
        </row>
        <row r="477">
          <cell r="E477" t="str">
            <v>BAINBRIDGEGANORFOLKVA</v>
          </cell>
          <cell r="F477">
            <v>1820</v>
          </cell>
        </row>
        <row r="478">
          <cell r="E478" t="str">
            <v>BAINBRIDGEGAGRIFTONNC</v>
          </cell>
          <cell r="F478">
            <v>1660</v>
          </cell>
        </row>
        <row r="479">
          <cell r="E479" t="str">
            <v>BAINBRIDGEGARABUN GAPGA</v>
          </cell>
          <cell r="F479">
            <v>990</v>
          </cell>
        </row>
        <row r="480">
          <cell r="E480" t="str">
            <v>BAINBRIDGEGAGULFPORTMS</v>
          </cell>
          <cell r="F480">
            <v>950</v>
          </cell>
        </row>
        <row r="481">
          <cell r="E481" t="str">
            <v>BAINBRIDGEGADAWSONGA</v>
          </cell>
          <cell r="F481">
            <v>420</v>
          </cell>
        </row>
        <row r="482">
          <cell r="E482" t="str">
            <v>BAINBRIDGEGAGarden CityGA</v>
          </cell>
          <cell r="F482">
            <v>820</v>
          </cell>
        </row>
        <row r="483">
          <cell r="E483" t="str">
            <v>BAINBRIDGEGAGREERSC</v>
          </cell>
          <cell r="F483">
            <v>1030</v>
          </cell>
        </row>
        <row r="484">
          <cell r="E484" t="str">
            <v>BAINBRIDGEGAGAFFNEYSC</v>
          </cell>
          <cell r="F484">
            <v>1100</v>
          </cell>
        </row>
        <row r="485">
          <cell r="E485" t="str">
            <v>BAINBRIDGEGAPORT WENTWORTHGA</v>
          </cell>
          <cell r="F485">
            <v>840</v>
          </cell>
        </row>
        <row r="486">
          <cell r="E486" t="str">
            <v>BAINBRIDGEGARINCONGA</v>
          </cell>
          <cell r="F486">
            <v>860</v>
          </cell>
        </row>
        <row r="487">
          <cell r="E487" t="str">
            <v>BAINBRIDGEGAECLECTICAL</v>
          </cell>
          <cell r="F487">
            <v>600</v>
          </cell>
        </row>
        <row r="488">
          <cell r="E488" t="str">
            <v>BAINBRIDGEGAJACKSONVILLEFL</v>
          </cell>
          <cell r="F488">
            <v>650</v>
          </cell>
        </row>
        <row r="489">
          <cell r="E489" t="str">
            <v>BALLINGERTXDallasTX</v>
          </cell>
          <cell r="F489">
            <v>512</v>
          </cell>
        </row>
        <row r="490">
          <cell r="E490" t="str">
            <v>BALLINGERTXHoustonTX</v>
          </cell>
          <cell r="F490">
            <v>725</v>
          </cell>
        </row>
        <row r="491">
          <cell r="E491" t="str">
            <v>BALLINGERTXBaytownTX</v>
          </cell>
          <cell r="F491">
            <v>1003</v>
          </cell>
        </row>
        <row r="492">
          <cell r="E492" t="str">
            <v>BALLINGERTXHASLETTX</v>
          </cell>
          <cell r="F492">
            <v>816</v>
          </cell>
        </row>
        <row r="493">
          <cell r="E493" t="str">
            <v>BALLINGERTXHOUSTONTX</v>
          </cell>
          <cell r="F493">
            <v>1865</v>
          </cell>
        </row>
        <row r="494">
          <cell r="E494" t="str">
            <v>BALLINGERTXWILMERTX</v>
          </cell>
          <cell r="F494">
            <v>910</v>
          </cell>
        </row>
        <row r="495">
          <cell r="E495" t="str">
            <v>BALLINGERTXWYLIETX</v>
          </cell>
        </row>
        <row r="496">
          <cell r="E496" t="str">
            <v>BALLINGERTXWESLACOTX</v>
          </cell>
          <cell r="F496">
            <v>856</v>
          </cell>
        </row>
        <row r="497">
          <cell r="E497" t="str">
            <v>BARTOWGAROCKFORDTN</v>
          </cell>
          <cell r="F497">
            <v>920</v>
          </cell>
        </row>
        <row r="498">
          <cell r="E498" t="str">
            <v>BARTOWGASTONEVILLENC</v>
          </cell>
          <cell r="F498">
            <v>900</v>
          </cell>
        </row>
        <row r="499">
          <cell r="E499" t="str">
            <v>BARTOWGACENTREAL</v>
          </cell>
          <cell r="F499">
            <v>740</v>
          </cell>
        </row>
        <row r="500">
          <cell r="E500" t="str">
            <v>BARTOWGAMOCKSVILLENC</v>
          </cell>
          <cell r="F500">
            <v>780</v>
          </cell>
        </row>
        <row r="501">
          <cell r="E501" t="str">
            <v>BARTOWGAMCCALLAAL</v>
          </cell>
          <cell r="F501">
            <v>920</v>
          </cell>
        </row>
        <row r="502">
          <cell r="E502" t="str">
            <v>BARTOWGANORFOLKVA</v>
          </cell>
          <cell r="F502">
            <v>1320</v>
          </cell>
        </row>
        <row r="503">
          <cell r="E503" t="str">
            <v>BARTOWGAWEST MEMPHISAR</v>
          </cell>
          <cell r="F503">
            <v>1410</v>
          </cell>
        </row>
        <row r="504">
          <cell r="E504" t="str">
            <v>BARTOWGASALISBURYNC</v>
          </cell>
          <cell r="F504">
            <v>740</v>
          </cell>
        </row>
        <row r="505">
          <cell r="E505" t="str">
            <v>BARTOWGANEW ORLEANSLA</v>
          </cell>
          <cell r="F505">
            <v>1420</v>
          </cell>
        </row>
        <row r="506">
          <cell r="E506" t="str">
            <v>BARTOWGAROSSVILLETN</v>
          </cell>
          <cell r="F506">
            <v>1390</v>
          </cell>
        </row>
        <row r="507">
          <cell r="E507" t="str">
            <v>BARTOWGAGASTONIANC</v>
          </cell>
          <cell r="F507">
            <v>690</v>
          </cell>
        </row>
        <row r="508">
          <cell r="E508" t="str">
            <v>BARTOWGAINDIANOLAMS</v>
          </cell>
          <cell r="F508">
            <v>1430</v>
          </cell>
        </row>
        <row r="509">
          <cell r="E509" t="str">
            <v>BARTOWGARAYVILLELA</v>
          </cell>
          <cell r="F509">
            <v>1610</v>
          </cell>
        </row>
        <row r="510">
          <cell r="E510" t="str">
            <v>BARTOWGAHICKORYNC</v>
          </cell>
          <cell r="F510">
            <v>760</v>
          </cell>
        </row>
        <row r="511">
          <cell r="E511" t="str">
            <v>BARTOWGALUMBERTONNC</v>
          </cell>
          <cell r="F511">
            <v>740</v>
          </cell>
        </row>
        <row r="512">
          <cell r="E512" t="str">
            <v>BARTOWGAECLECTICAL</v>
          </cell>
          <cell r="F512">
            <v>730</v>
          </cell>
        </row>
        <row r="513">
          <cell r="E513" t="str">
            <v>BARTOWGAMOBILEAL</v>
          </cell>
          <cell r="F513">
            <v>1110</v>
          </cell>
        </row>
        <row r="514">
          <cell r="E514" t="str">
            <v>BARTOWGAKINSTONNC</v>
          </cell>
          <cell r="F514">
            <v>1030</v>
          </cell>
        </row>
        <row r="515">
          <cell r="E515" t="str">
            <v>BARTOWGACHARLOTTENC</v>
          </cell>
          <cell r="F515">
            <v>670</v>
          </cell>
        </row>
        <row r="516">
          <cell r="E516" t="str">
            <v>BARTOWGALEXINGTONNC</v>
          </cell>
          <cell r="F516">
            <v>780</v>
          </cell>
        </row>
        <row r="517">
          <cell r="E517" t="str">
            <v>BARTOWGAPORTSMOUTHVA</v>
          </cell>
          <cell r="F517">
            <v>1300</v>
          </cell>
        </row>
        <row r="518">
          <cell r="E518" t="str">
            <v>BARTOWGABLYTHEVILLEAR</v>
          </cell>
          <cell r="F518">
            <v>1550</v>
          </cell>
        </row>
        <row r="519">
          <cell r="E519" t="str">
            <v>BARTOWGAMEMPHISTN</v>
          </cell>
          <cell r="F519">
            <v>1410</v>
          </cell>
        </row>
        <row r="520">
          <cell r="E520" t="str">
            <v>BARTOWGAEDENTONNC</v>
          </cell>
          <cell r="F520">
            <v>1200</v>
          </cell>
        </row>
        <row r="521">
          <cell r="E521" t="str">
            <v>BARTOWGASPARTANC</v>
          </cell>
          <cell r="F521">
            <v>870</v>
          </cell>
        </row>
        <row r="522">
          <cell r="E522" t="str">
            <v>BARTOWGATALLULAHLA</v>
          </cell>
          <cell r="F522">
            <v>1530</v>
          </cell>
        </row>
        <row r="523">
          <cell r="E523" t="str">
            <v>BARTOWGAMINERAL SPRINGSNC</v>
          </cell>
          <cell r="F523">
            <v>650</v>
          </cell>
        </row>
        <row r="524">
          <cell r="E524" t="str">
            <v>BARTOWGASANFORDNC</v>
          </cell>
          <cell r="F524">
            <v>800</v>
          </cell>
        </row>
        <row r="525">
          <cell r="E525" t="str">
            <v>BARTOWGATHOMASVILLENC</v>
          </cell>
          <cell r="F525">
            <v>800</v>
          </cell>
        </row>
        <row r="526">
          <cell r="E526" t="str">
            <v>BARTOWGAGREENWOODMS</v>
          </cell>
          <cell r="F526">
            <v>1360</v>
          </cell>
        </row>
        <row r="527">
          <cell r="E527" t="str">
            <v>BARTOWGABELMONTNC</v>
          </cell>
          <cell r="F527">
            <v>670</v>
          </cell>
        </row>
        <row r="528">
          <cell r="E528" t="str">
            <v>BARTOWGACARTERSVILLEGA</v>
          </cell>
          <cell r="F528">
            <v>640</v>
          </cell>
        </row>
        <row r="529">
          <cell r="E529" t="str">
            <v>BARTOWGAMAYODANNC</v>
          </cell>
          <cell r="F529">
            <v>890</v>
          </cell>
        </row>
        <row r="530">
          <cell r="E530" t="str">
            <v>BARTOWGASHELBYNC</v>
          </cell>
          <cell r="F530">
            <v>650</v>
          </cell>
        </row>
        <row r="531">
          <cell r="E531" t="str">
            <v>BARTOWGAROCKINGHAMNC</v>
          </cell>
          <cell r="F531">
            <v>690</v>
          </cell>
        </row>
        <row r="532">
          <cell r="E532" t="str">
            <v>BARTOWGAMARIONAR</v>
          </cell>
          <cell r="F532">
            <v>1420</v>
          </cell>
        </row>
        <row r="533">
          <cell r="E533" t="str">
            <v>BARTOWGAMONEYMS</v>
          </cell>
          <cell r="F533">
            <v>1400</v>
          </cell>
        </row>
        <row r="534">
          <cell r="E534" t="str">
            <v>BARTOWGADREWMS</v>
          </cell>
          <cell r="F534">
            <v>1450</v>
          </cell>
        </row>
        <row r="535">
          <cell r="E535" t="str">
            <v>BARTOWGALOWELLNC</v>
          </cell>
          <cell r="F535">
            <v>680</v>
          </cell>
        </row>
        <row r="536">
          <cell r="E536" t="str">
            <v>BARTOWGATUNICAMS</v>
          </cell>
          <cell r="F536">
            <v>1430</v>
          </cell>
        </row>
        <row r="537">
          <cell r="E537" t="str">
            <v>BARTOWGAINDIAN LANDSC</v>
          </cell>
          <cell r="F537">
            <v>650</v>
          </cell>
        </row>
        <row r="538">
          <cell r="E538" t="str">
            <v>BARTOWGAENOREESC</v>
          </cell>
          <cell r="F538">
            <v>560</v>
          </cell>
        </row>
        <row r="539">
          <cell r="E539" t="str">
            <v>BARTOWGAGREERSC</v>
          </cell>
          <cell r="F539">
            <v>590</v>
          </cell>
        </row>
        <row r="540">
          <cell r="E540" t="str">
            <v>BARTOWGAGAINESVILLEGA</v>
          </cell>
          <cell r="F540">
            <v>570</v>
          </cell>
        </row>
        <row r="541">
          <cell r="E541" t="str">
            <v>BARTOWGARABUN GAPGA</v>
          </cell>
          <cell r="F541">
            <v>640</v>
          </cell>
        </row>
        <row r="542">
          <cell r="E542" t="str">
            <v>BARTOWGAGREENWOODSC</v>
          </cell>
          <cell r="F542">
            <v>490</v>
          </cell>
        </row>
        <row r="543">
          <cell r="E543" t="str">
            <v>BARTOWGAGULFPORTMS</v>
          </cell>
          <cell r="F543">
            <v>1370</v>
          </cell>
        </row>
        <row r="544">
          <cell r="E544" t="str">
            <v>BARTOWGAPORT WENTWORTHGA</v>
          </cell>
          <cell r="F544">
            <v>610</v>
          </cell>
        </row>
        <row r="545">
          <cell r="E545" t="str">
            <v>BARTOWGAGarden CityGA</v>
          </cell>
          <cell r="F545">
            <v>600</v>
          </cell>
        </row>
        <row r="546">
          <cell r="E546" t="str">
            <v>BARTOWGARINCONGA</v>
          </cell>
          <cell r="F546">
            <v>570</v>
          </cell>
        </row>
        <row r="547">
          <cell r="E547" t="str">
            <v>BARTOWGAGAFFNEYSC</v>
          </cell>
          <cell r="F547">
            <v>630</v>
          </cell>
        </row>
        <row r="548">
          <cell r="E548" t="str">
            <v>BARTOWGAERWINNC</v>
          </cell>
          <cell r="F548">
            <v>870</v>
          </cell>
        </row>
        <row r="549">
          <cell r="E549" t="str">
            <v>BARTOWGAGRIFTONNC</v>
          </cell>
          <cell r="F549">
            <v>1160</v>
          </cell>
        </row>
        <row r="550">
          <cell r="E550" t="str">
            <v>BARTOWGADAWSONGA</v>
          </cell>
          <cell r="F550">
            <v>580</v>
          </cell>
        </row>
        <row r="551">
          <cell r="E551" t="str">
            <v>BARTOWGACLARKTONNC</v>
          </cell>
          <cell r="F551">
            <v>790</v>
          </cell>
        </row>
        <row r="552">
          <cell r="E552" t="str">
            <v>BARTOWGAJACKSONVILLEFL</v>
          </cell>
          <cell r="F552">
            <v>690</v>
          </cell>
        </row>
        <row r="553">
          <cell r="E553" t="str">
            <v>BARTOWGAWESLACOTX</v>
          </cell>
          <cell r="F553">
            <v>2311</v>
          </cell>
        </row>
        <row r="554">
          <cell r="E554" t="str">
            <v>BAXLEYGAWESLACOTX</v>
          </cell>
          <cell r="F554">
            <v>2300</v>
          </cell>
        </row>
        <row r="555">
          <cell r="E555" t="str">
            <v>BaytownTXHoustonTX</v>
          </cell>
          <cell r="F555">
            <v>368</v>
          </cell>
        </row>
        <row r="556">
          <cell r="E556" t="str">
            <v>BaytownTXBaytownTX</v>
          </cell>
          <cell r="F556">
            <v>368</v>
          </cell>
        </row>
        <row r="557">
          <cell r="E557" t="str">
            <v>BaytownTXDallasTX</v>
          </cell>
          <cell r="F557">
            <v>549</v>
          </cell>
        </row>
        <row r="558">
          <cell r="E558" t="str">
            <v>BaytownTXHoustonTX</v>
          </cell>
          <cell r="F558">
            <v>285</v>
          </cell>
        </row>
        <row r="559">
          <cell r="E559" t="str">
            <v>BaytownTXLa PorteTX</v>
          </cell>
          <cell r="F559">
            <v>285</v>
          </cell>
        </row>
        <row r="560">
          <cell r="E560" t="str">
            <v>BAYTOWNTXHASLETTX</v>
          </cell>
          <cell r="F560">
            <v>1009</v>
          </cell>
        </row>
        <row r="561">
          <cell r="E561" t="str">
            <v>BAYTOWNTXWILMERTX</v>
          </cell>
          <cell r="F561">
            <v>968</v>
          </cell>
        </row>
        <row r="562">
          <cell r="E562" t="str">
            <v>BAYTOWNTXWYLIETX</v>
          </cell>
        </row>
        <row r="563">
          <cell r="E563" t="str">
            <v>BAYTOWNTXWESLACOTX</v>
          </cell>
          <cell r="F563">
            <v>701</v>
          </cell>
        </row>
        <row r="564">
          <cell r="E564" t="str">
            <v>BELZONIMSWESLACOTX</v>
          </cell>
          <cell r="F564">
            <v>1544</v>
          </cell>
        </row>
        <row r="565">
          <cell r="E565" t="str">
            <v>BENNETTSVILLESCROCKFORDTN</v>
          </cell>
          <cell r="F565">
            <v>920</v>
          </cell>
        </row>
        <row r="566">
          <cell r="E566" t="str">
            <v>BENNETTSVILLESCROSSVILLETN</v>
          </cell>
          <cell r="F566">
            <v>1730</v>
          </cell>
        </row>
        <row r="567">
          <cell r="E567" t="str">
            <v>BENNETTSVILLESCCARTERSVILLEGA</v>
          </cell>
          <cell r="F567">
            <v>970</v>
          </cell>
        </row>
        <row r="568">
          <cell r="E568" t="str">
            <v>BENNETTSVILLESCCENTREAL</v>
          </cell>
          <cell r="F568">
            <v>1090</v>
          </cell>
        </row>
        <row r="569">
          <cell r="E569" t="str">
            <v>BENNETTSVILLESCNEW ORLEANSLA</v>
          </cell>
          <cell r="F569">
            <v>1890</v>
          </cell>
        </row>
        <row r="570">
          <cell r="E570" t="str">
            <v>BENNETTSVILLESCMARIONAR</v>
          </cell>
          <cell r="F570">
            <v>1760</v>
          </cell>
        </row>
        <row r="571">
          <cell r="E571" t="str">
            <v>BENNETTSVILLESCGAINESVILLEGA</v>
          </cell>
          <cell r="F571">
            <v>830</v>
          </cell>
        </row>
        <row r="572">
          <cell r="E572" t="str">
            <v>BENNETTSVILLESCMONEYMS</v>
          </cell>
          <cell r="F572">
            <v>1740</v>
          </cell>
        </row>
        <row r="573">
          <cell r="E573" t="str">
            <v>BENNETTSVILLESCDREWMS</v>
          </cell>
          <cell r="F573">
            <v>1790</v>
          </cell>
        </row>
        <row r="574">
          <cell r="E574" t="str">
            <v>BENNETTSVILLESCMCCALLAAL</v>
          </cell>
          <cell r="F574">
            <v>1260</v>
          </cell>
        </row>
        <row r="575">
          <cell r="E575" t="str">
            <v>BENNETTSVILLESCWEST MEMPHISAR</v>
          </cell>
          <cell r="F575">
            <v>1750</v>
          </cell>
        </row>
        <row r="576">
          <cell r="E576" t="str">
            <v>BENNETTSVILLESCRAYVILLELA</v>
          </cell>
          <cell r="F576">
            <v>1950</v>
          </cell>
        </row>
        <row r="577">
          <cell r="E577" t="str">
            <v>BENNETTSVILLESCECLECTICAL</v>
          </cell>
          <cell r="F577">
            <v>1200</v>
          </cell>
        </row>
        <row r="578">
          <cell r="E578" t="str">
            <v>BENNETTSVILLESCMOBILEAL</v>
          </cell>
          <cell r="F578">
            <v>1580</v>
          </cell>
        </row>
        <row r="579">
          <cell r="E579" t="str">
            <v>BENNETTSVILLESCBLYTHEVILLEAR</v>
          </cell>
          <cell r="F579">
            <v>1780</v>
          </cell>
        </row>
        <row r="580">
          <cell r="E580" t="str">
            <v>BENNETTSVILLESCMEMPHISTN</v>
          </cell>
          <cell r="F580">
            <v>1750</v>
          </cell>
        </row>
        <row r="581">
          <cell r="E581" t="str">
            <v>BENNETTSVILLESCPORTSMOUTHVA</v>
          </cell>
          <cell r="F581">
            <v>780</v>
          </cell>
        </row>
        <row r="582">
          <cell r="E582" t="str">
            <v>BENNETTSVILLESCINDIANOLAMS</v>
          </cell>
          <cell r="F582">
            <v>1770</v>
          </cell>
        </row>
        <row r="583">
          <cell r="E583" t="str">
            <v>BENNETTSVILLESCDAWSONGA</v>
          </cell>
          <cell r="F583">
            <v>1080</v>
          </cell>
        </row>
        <row r="584">
          <cell r="E584" t="str">
            <v>BENNETTSVILLESCNORFOLKVA</v>
          </cell>
          <cell r="F584">
            <v>800</v>
          </cell>
        </row>
        <row r="585">
          <cell r="E585" t="str">
            <v>BENNETTSVILLESCTALLULAHLA</v>
          </cell>
          <cell r="F585">
            <v>1870</v>
          </cell>
        </row>
        <row r="586">
          <cell r="E586" t="str">
            <v>BENNETTSVILLESCGREENWOODMS</v>
          </cell>
          <cell r="F586">
            <v>1700</v>
          </cell>
        </row>
        <row r="587">
          <cell r="E587" t="str">
            <v>BENNETTSVILLESCKINSTONNC</v>
          </cell>
          <cell r="F587">
            <v>570</v>
          </cell>
        </row>
        <row r="588">
          <cell r="E588" t="str">
            <v>BENNETTSVILLESCTUNICAMS</v>
          </cell>
          <cell r="F588">
            <v>1770</v>
          </cell>
        </row>
        <row r="589">
          <cell r="E589" t="str">
            <v>BENNETTSVILLESCMAYODANNC</v>
          </cell>
          <cell r="F589">
            <v>540</v>
          </cell>
        </row>
        <row r="590">
          <cell r="E590" t="str">
            <v>BENNETTSVILLESCRABUN GAPGA</v>
          </cell>
          <cell r="F590">
            <v>830</v>
          </cell>
        </row>
        <row r="591">
          <cell r="E591" t="str">
            <v>BENNETTSVILLESCMOCKSVILLENC</v>
          </cell>
          <cell r="F591">
            <v>520</v>
          </cell>
        </row>
        <row r="592">
          <cell r="E592" t="str">
            <v>BENNETTSVILLESCSHELBYNC</v>
          </cell>
          <cell r="F592">
            <v>540</v>
          </cell>
        </row>
        <row r="593">
          <cell r="E593" t="str">
            <v>BENNETTSVILLESCBELMONTNC</v>
          </cell>
          <cell r="F593">
            <v>490</v>
          </cell>
        </row>
        <row r="594">
          <cell r="E594" t="str">
            <v>BENNETTSVILLESCMINERAL SPRINGSNC</v>
          </cell>
          <cell r="F594">
            <v>440</v>
          </cell>
        </row>
        <row r="595">
          <cell r="E595" t="str">
            <v>BENNETTSVILLESCSTONEVILLENC</v>
          </cell>
          <cell r="F595">
            <v>550</v>
          </cell>
        </row>
        <row r="596">
          <cell r="E596" t="str">
            <v>BENNETTSVILLESCLEXINGTONNC</v>
          </cell>
          <cell r="F596">
            <v>490</v>
          </cell>
        </row>
        <row r="597">
          <cell r="E597" t="str">
            <v>BENNETTSVILLESCLOWELLNC</v>
          </cell>
          <cell r="F597">
            <v>490</v>
          </cell>
        </row>
        <row r="598">
          <cell r="E598" t="str">
            <v>BENNETTSVILLESCINDIAN LANDSC</v>
          </cell>
          <cell r="F598">
            <v>460</v>
          </cell>
        </row>
        <row r="599">
          <cell r="E599" t="str">
            <v>BENNETTSVILLESCSANFORDNC</v>
          </cell>
          <cell r="F599">
            <v>430</v>
          </cell>
        </row>
        <row r="600">
          <cell r="E600" t="str">
            <v>BENNETTSVILLESCERWINNC</v>
          </cell>
          <cell r="F600">
            <v>450</v>
          </cell>
        </row>
        <row r="601">
          <cell r="E601" t="str">
            <v>BENNETTSVILLESCTHOMASVILLENC</v>
          </cell>
          <cell r="F601">
            <v>490</v>
          </cell>
        </row>
        <row r="602">
          <cell r="E602" t="str">
            <v>BENNETTSVILLESCCLARKTONNC</v>
          </cell>
          <cell r="F602">
            <v>430</v>
          </cell>
        </row>
        <row r="603">
          <cell r="E603" t="str">
            <v>BENNETTSVILLESCGASTONIANC</v>
          </cell>
          <cell r="F603">
            <v>500</v>
          </cell>
        </row>
        <row r="604">
          <cell r="E604" t="str">
            <v>BENNETTSVILLESCSALISBURYNC</v>
          </cell>
          <cell r="F604">
            <v>470</v>
          </cell>
        </row>
        <row r="605">
          <cell r="E605" t="str">
            <v>BENNETTSVILLESCCHARLOTTENC</v>
          </cell>
          <cell r="F605">
            <v>460</v>
          </cell>
        </row>
        <row r="606">
          <cell r="E606" t="str">
            <v>BENNETTSVILLESCROCKINGHAMNC</v>
          </cell>
          <cell r="F606">
            <v>360</v>
          </cell>
        </row>
        <row r="607">
          <cell r="E607" t="str">
            <v>BENNETTSVILLESCGULFPORTMS</v>
          </cell>
          <cell r="F607">
            <v>1840</v>
          </cell>
        </row>
        <row r="608">
          <cell r="E608" t="str">
            <v>BENNETTSVILLESCLUMBERTONNC</v>
          </cell>
          <cell r="F608">
            <v>400</v>
          </cell>
        </row>
        <row r="609">
          <cell r="E609" t="str">
            <v>BENNETTSVILLESCGarden CityGA</v>
          </cell>
          <cell r="F609">
            <v>760</v>
          </cell>
        </row>
        <row r="610">
          <cell r="E610" t="str">
            <v>BENNETTSVILLESCGRIFTONNC</v>
          </cell>
          <cell r="F610">
            <v>700</v>
          </cell>
        </row>
        <row r="611">
          <cell r="E611" t="str">
            <v>BENNETTSVILLESCGAFFNEYSC</v>
          </cell>
          <cell r="F611">
            <v>550</v>
          </cell>
        </row>
        <row r="612">
          <cell r="E612" t="str">
            <v>BENNETTSVILLESCPORT WENTWORTHGA</v>
          </cell>
          <cell r="F612">
            <v>750</v>
          </cell>
        </row>
        <row r="613">
          <cell r="E613" t="str">
            <v>BENNETTSVILLESCEDENTONNC</v>
          </cell>
          <cell r="F613">
            <v>700</v>
          </cell>
        </row>
        <row r="614">
          <cell r="E614" t="str">
            <v>BENNETTSVILLESCRINCONGA</v>
          </cell>
          <cell r="F614">
            <v>760</v>
          </cell>
        </row>
        <row r="615">
          <cell r="E615" t="str">
            <v>BENNETTSVILLESCHICKORYNC</v>
          </cell>
          <cell r="F615">
            <v>560</v>
          </cell>
        </row>
        <row r="616">
          <cell r="E616" t="str">
            <v>BENNETTSVILLESCENOREESC</v>
          </cell>
          <cell r="F616">
            <v>590</v>
          </cell>
        </row>
        <row r="617">
          <cell r="E617" t="str">
            <v>BENNETTSVILLESCGREERSC</v>
          </cell>
          <cell r="F617">
            <v>610</v>
          </cell>
        </row>
        <row r="618">
          <cell r="E618" t="str">
            <v>BENNETTSVILLESCGREENWOODSC</v>
          </cell>
          <cell r="F618">
            <v>620</v>
          </cell>
        </row>
        <row r="619">
          <cell r="E619" t="str">
            <v>BENNETTSVILLESCJACKSONVILLEFL</v>
          </cell>
          <cell r="F619">
            <v>920</v>
          </cell>
        </row>
        <row r="620">
          <cell r="E620" t="str">
            <v>BENNETTSVILLESCSPARTANC</v>
          </cell>
          <cell r="F620">
            <v>630</v>
          </cell>
        </row>
        <row r="621">
          <cell r="E621" t="str">
            <v>BIG SPRINGTXDallasTX</v>
          </cell>
          <cell r="F621">
            <v>509</v>
          </cell>
        </row>
        <row r="622">
          <cell r="E622" t="str">
            <v>BIG SPRINGTXHoustonTX</v>
          </cell>
          <cell r="F622">
            <v>968</v>
          </cell>
        </row>
        <row r="623">
          <cell r="E623" t="str">
            <v>BIG SPRINGTXBaytownTX</v>
          </cell>
          <cell r="F623">
            <v>1001</v>
          </cell>
        </row>
        <row r="624">
          <cell r="E624" t="str">
            <v>BIG SPRINGTXHASLETTX</v>
          </cell>
          <cell r="F624">
            <v>1062</v>
          </cell>
        </row>
        <row r="625">
          <cell r="E625" t="str">
            <v>BIG SPRINGTXHOUSTONTX</v>
          </cell>
          <cell r="F625">
            <v>2086</v>
          </cell>
        </row>
        <row r="626">
          <cell r="E626" t="str">
            <v>BIG SPRINGTXWILMERTX</v>
          </cell>
          <cell r="F626">
            <v>1165</v>
          </cell>
        </row>
        <row r="627">
          <cell r="E627" t="str">
            <v>BIG SPRINGTXWYLIETX</v>
          </cell>
        </row>
        <row r="628">
          <cell r="E628" t="str">
            <v>BIG SPRINGTXWESLACOTX</v>
          </cell>
          <cell r="F628">
            <v>1090</v>
          </cell>
        </row>
        <row r="629">
          <cell r="E629" t="str">
            <v>BIG SPRINGSTXBaytownTX</v>
          </cell>
          <cell r="F629">
            <v>649</v>
          </cell>
        </row>
        <row r="630">
          <cell r="E630" t="str">
            <v>BIG SPRINGSTXHoustonTX</v>
          </cell>
          <cell r="F630">
            <v>624</v>
          </cell>
        </row>
        <row r="631">
          <cell r="E631" t="str">
            <v>BIG SPRINGSTXDallasTX</v>
          </cell>
          <cell r="F631">
            <v>509</v>
          </cell>
        </row>
        <row r="632">
          <cell r="E632" t="str">
            <v>BISHOPVILLESCROCKFORDTN</v>
          </cell>
          <cell r="F632">
            <v>880</v>
          </cell>
        </row>
        <row r="633">
          <cell r="E633" t="str">
            <v>BISHOPVILLESCGAINESVILLEGA</v>
          </cell>
          <cell r="F633">
            <v>710</v>
          </cell>
        </row>
        <row r="634">
          <cell r="E634" t="str">
            <v>BISHOPVILLESCMEMPHISTN</v>
          </cell>
          <cell r="F634">
            <v>1630</v>
          </cell>
        </row>
        <row r="635">
          <cell r="E635" t="str">
            <v>BISHOPVILLESCKINSTONNC</v>
          </cell>
          <cell r="F635">
            <v>650</v>
          </cell>
        </row>
        <row r="636">
          <cell r="E636" t="str">
            <v>BISHOPVILLESCBLYTHEVILLEAR</v>
          </cell>
          <cell r="F636">
            <v>1750</v>
          </cell>
        </row>
        <row r="637">
          <cell r="E637" t="str">
            <v>BISHOPVILLESCDAWSONGA</v>
          </cell>
          <cell r="F637">
            <v>970</v>
          </cell>
        </row>
        <row r="638">
          <cell r="E638" t="str">
            <v>BISHOPVILLESCSTONEVILLENC</v>
          </cell>
          <cell r="F638">
            <v>630</v>
          </cell>
        </row>
        <row r="639">
          <cell r="E639" t="str">
            <v>BISHOPVILLESCTALLULAHLA</v>
          </cell>
          <cell r="F639">
            <v>1760</v>
          </cell>
        </row>
        <row r="640">
          <cell r="E640" t="str">
            <v>BISHOPVILLESCGREENWOODMS</v>
          </cell>
          <cell r="F640">
            <v>1590</v>
          </cell>
        </row>
        <row r="641">
          <cell r="E641" t="str">
            <v>BISHOPVILLESCNEW ORLEANSLA</v>
          </cell>
          <cell r="F641">
            <v>1770</v>
          </cell>
        </row>
        <row r="642">
          <cell r="E642" t="str">
            <v>BISHOPVILLESCROSSVILLETN</v>
          </cell>
          <cell r="F642">
            <v>1610</v>
          </cell>
        </row>
        <row r="643">
          <cell r="E643" t="str">
            <v>BISHOPVILLESCMARIONAR</v>
          </cell>
          <cell r="F643">
            <v>1640</v>
          </cell>
        </row>
        <row r="644">
          <cell r="E644" t="str">
            <v>BISHOPVILLESCMONEYMS</v>
          </cell>
          <cell r="F644">
            <v>1620</v>
          </cell>
        </row>
        <row r="645">
          <cell r="E645" t="str">
            <v>BISHOPVILLESCCARTERSVILLEGA</v>
          </cell>
          <cell r="F645">
            <v>850</v>
          </cell>
        </row>
        <row r="646">
          <cell r="E646" t="str">
            <v>BISHOPVILLESCTHOMASVILLENC</v>
          </cell>
          <cell r="F646">
            <v>570</v>
          </cell>
        </row>
        <row r="647">
          <cell r="E647" t="str">
            <v>BISHOPVILLESCMOCKSVILLENC</v>
          </cell>
          <cell r="F647">
            <v>570</v>
          </cell>
        </row>
        <row r="648">
          <cell r="E648" t="str">
            <v>BISHOPVILLESCTUNICAMS</v>
          </cell>
          <cell r="F648">
            <v>1650</v>
          </cell>
        </row>
        <row r="649">
          <cell r="E649" t="str">
            <v>BISHOPVILLESCMCCALLAAL</v>
          </cell>
          <cell r="F649">
            <v>1140</v>
          </cell>
        </row>
        <row r="650">
          <cell r="E650" t="str">
            <v>BISHOPVILLESCWEST MEMPHISAR</v>
          </cell>
          <cell r="F650">
            <v>1630</v>
          </cell>
        </row>
        <row r="651">
          <cell r="E651" t="str">
            <v>BISHOPVILLESCECLECTICAL</v>
          </cell>
          <cell r="F651">
            <v>1080</v>
          </cell>
        </row>
        <row r="652">
          <cell r="E652" t="str">
            <v>BISHOPVILLESCCENTREAL</v>
          </cell>
          <cell r="F652">
            <v>970</v>
          </cell>
        </row>
        <row r="653">
          <cell r="E653" t="str">
            <v>BISHOPVILLESCMOBILEAL</v>
          </cell>
          <cell r="F653">
            <v>1460</v>
          </cell>
        </row>
        <row r="654">
          <cell r="E654" t="str">
            <v>BISHOPVILLESCSHELBYNC</v>
          </cell>
          <cell r="F654">
            <v>560</v>
          </cell>
        </row>
        <row r="655">
          <cell r="E655" t="str">
            <v>BISHOPVILLESCBELMONTNC</v>
          </cell>
          <cell r="F655">
            <v>510</v>
          </cell>
        </row>
        <row r="656">
          <cell r="E656" t="str">
            <v>BISHOPVILLESCENOREESC</v>
          </cell>
          <cell r="F656">
            <v>510</v>
          </cell>
        </row>
        <row r="657">
          <cell r="E657" t="str">
            <v>BISHOPVILLESCDREWMS</v>
          </cell>
          <cell r="F657">
            <v>1670</v>
          </cell>
        </row>
        <row r="658">
          <cell r="E658" t="str">
            <v>BISHOPVILLESCINDIANOLAMS</v>
          </cell>
          <cell r="F658">
            <v>1650</v>
          </cell>
        </row>
        <row r="659">
          <cell r="E659" t="str">
            <v>BISHOPVILLESCMAYODANNC</v>
          </cell>
          <cell r="F659">
            <v>620</v>
          </cell>
        </row>
        <row r="660">
          <cell r="E660" t="str">
            <v>BISHOPVILLESCRAYVILLELA</v>
          </cell>
          <cell r="F660">
            <v>1830</v>
          </cell>
        </row>
        <row r="661">
          <cell r="E661" t="str">
            <v>BISHOPVILLESCLEXINGTONNC</v>
          </cell>
          <cell r="F661">
            <v>570</v>
          </cell>
        </row>
        <row r="662">
          <cell r="E662" t="str">
            <v>BISHOPVILLESCLUMBERTONNC</v>
          </cell>
          <cell r="F662">
            <v>450</v>
          </cell>
        </row>
        <row r="663">
          <cell r="E663" t="str">
            <v>BISHOPVILLESCLOWELLNC</v>
          </cell>
          <cell r="F663">
            <v>520</v>
          </cell>
        </row>
        <row r="664">
          <cell r="E664" t="str">
            <v>BISHOPVILLESCRABUN GAPGA</v>
          </cell>
          <cell r="F664">
            <v>720</v>
          </cell>
        </row>
        <row r="665">
          <cell r="E665" t="str">
            <v>BISHOPVILLESCGASTONIANC</v>
          </cell>
          <cell r="F665">
            <v>530</v>
          </cell>
        </row>
        <row r="666">
          <cell r="E666" t="str">
            <v>BISHOPVILLESCSALISBURYNC</v>
          </cell>
          <cell r="F666">
            <v>550</v>
          </cell>
        </row>
        <row r="667">
          <cell r="E667" t="str">
            <v>BISHOPVILLESCCLARKTONNC</v>
          </cell>
          <cell r="F667">
            <v>480</v>
          </cell>
        </row>
        <row r="668">
          <cell r="E668" t="str">
            <v>BISHOPVILLESCMINERAL SPRINGSNC</v>
          </cell>
          <cell r="F668">
            <v>460</v>
          </cell>
        </row>
        <row r="669">
          <cell r="E669" t="str">
            <v>BISHOPVILLESCGULFPORTMS</v>
          </cell>
          <cell r="F669">
            <v>1720</v>
          </cell>
        </row>
        <row r="670">
          <cell r="E670" t="str">
            <v>BISHOPVILLESCCHARLOTTENC</v>
          </cell>
          <cell r="F670">
            <v>500</v>
          </cell>
        </row>
        <row r="671">
          <cell r="E671" t="str">
            <v>BISHOPVILLESCSANFORDNC</v>
          </cell>
          <cell r="F671">
            <v>520</v>
          </cell>
        </row>
        <row r="672">
          <cell r="E672" t="str">
            <v>BISHOPVILLESCROCKINGHAMNC</v>
          </cell>
          <cell r="F672">
            <v>440</v>
          </cell>
        </row>
        <row r="673">
          <cell r="E673" t="str">
            <v>BISHOPVILLESCINDIAN LANDSC</v>
          </cell>
          <cell r="F673">
            <v>460</v>
          </cell>
        </row>
        <row r="674">
          <cell r="E674" t="str">
            <v>BISHOPVILLESCPORT WENTWORTHGA</v>
          </cell>
          <cell r="F674">
            <v>680</v>
          </cell>
        </row>
        <row r="675">
          <cell r="E675" t="str">
            <v>BISHOPVILLESCRINCONGA</v>
          </cell>
          <cell r="F675">
            <v>690</v>
          </cell>
        </row>
        <row r="676">
          <cell r="E676" t="str">
            <v>BISHOPVILLESCGarden CityGA</v>
          </cell>
          <cell r="F676">
            <v>680</v>
          </cell>
        </row>
        <row r="677">
          <cell r="E677" t="str">
            <v>BISHOPVILLESCNORFOLKVA</v>
          </cell>
          <cell r="F677">
            <v>920</v>
          </cell>
        </row>
        <row r="678">
          <cell r="E678" t="str">
            <v>BISHOPVILLESCHICKORYNC</v>
          </cell>
          <cell r="F678">
            <v>580</v>
          </cell>
        </row>
        <row r="679">
          <cell r="E679" t="str">
            <v>BISHOPVILLESCERWINNC</v>
          </cell>
          <cell r="F679">
            <v>540</v>
          </cell>
        </row>
        <row r="680">
          <cell r="E680" t="str">
            <v>BISHOPVILLESCGREENWOODSC</v>
          </cell>
          <cell r="F680">
            <v>540</v>
          </cell>
        </row>
        <row r="681">
          <cell r="E681" t="str">
            <v>BISHOPVILLESCPORTSMOUTHVA</v>
          </cell>
          <cell r="F681">
            <v>890</v>
          </cell>
        </row>
        <row r="682">
          <cell r="E682" t="str">
            <v>BISHOPVILLESCEDENTONNC</v>
          </cell>
          <cell r="F682">
            <v>800</v>
          </cell>
        </row>
        <row r="683">
          <cell r="E683" t="str">
            <v>BISHOPVILLESCGAFFNEYSC</v>
          </cell>
          <cell r="F683">
            <v>530</v>
          </cell>
        </row>
        <row r="684">
          <cell r="E684" t="str">
            <v>BISHOPVILLESCGREERSC</v>
          </cell>
          <cell r="F684">
            <v>560</v>
          </cell>
        </row>
        <row r="685">
          <cell r="E685" t="str">
            <v>BISHOPVILLESCGRIFTONNC</v>
          </cell>
          <cell r="F685">
            <v>770</v>
          </cell>
        </row>
        <row r="686">
          <cell r="E686" t="str">
            <v>BISHOPVILLESCJACKSONVILLEFL</v>
          </cell>
          <cell r="F686">
            <v>820</v>
          </cell>
        </row>
        <row r="687">
          <cell r="E687" t="str">
            <v>BISHOPVILLESCSPARTANC</v>
          </cell>
          <cell r="F687">
            <v>660</v>
          </cell>
        </row>
        <row r="688">
          <cell r="E688" t="str">
            <v>BLAKELYGAROCKFORDTN</v>
          </cell>
          <cell r="F688">
            <v>1060</v>
          </cell>
        </row>
        <row r="689">
          <cell r="E689" t="str">
            <v>BLAKELYGAROCKINGHAMNC</v>
          </cell>
          <cell r="F689">
            <v>1310</v>
          </cell>
        </row>
        <row r="690">
          <cell r="E690" t="str">
            <v>BLAKELYGABELMONTNC</v>
          </cell>
          <cell r="F690">
            <v>1110</v>
          </cell>
        </row>
        <row r="691">
          <cell r="E691" t="str">
            <v>BLAKELYGASHELBYNC</v>
          </cell>
          <cell r="F691">
            <v>1060</v>
          </cell>
        </row>
        <row r="692">
          <cell r="E692" t="str">
            <v>BLAKELYGAMEMPHISTN</v>
          </cell>
          <cell r="F692">
            <v>1190</v>
          </cell>
        </row>
        <row r="693">
          <cell r="E693" t="str">
            <v>BLAKELYGARAYVILLELA</v>
          </cell>
          <cell r="F693">
            <v>1210</v>
          </cell>
        </row>
        <row r="694">
          <cell r="E694" t="str">
            <v>BLAKELYGAGASTONIANC</v>
          </cell>
          <cell r="F694">
            <v>1090</v>
          </cell>
        </row>
        <row r="695">
          <cell r="E695" t="str">
            <v>BLAKELYGAPORTSMOUTHVA</v>
          </cell>
          <cell r="F695">
            <v>1860</v>
          </cell>
        </row>
        <row r="696">
          <cell r="E696" t="str">
            <v>BLAKELYGATUNICAMS</v>
          </cell>
          <cell r="F696">
            <v>1220</v>
          </cell>
        </row>
        <row r="697">
          <cell r="E697" t="str">
            <v>BLAKELYGACENTREAL</v>
          </cell>
          <cell r="F697">
            <v>690</v>
          </cell>
        </row>
        <row r="698">
          <cell r="E698" t="str">
            <v>BLAKELYGAGAINESVILLEGA</v>
          </cell>
          <cell r="F698">
            <v>710</v>
          </cell>
        </row>
        <row r="699">
          <cell r="E699" t="str">
            <v>BLAKELYGAWEST MEMPHISAR</v>
          </cell>
          <cell r="F699">
            <v>1200</v>
          </cell>
        </row>
        <row r="700">
          <cell r="E700" t="str">
            <v>BLAKELYGAMOBILEAL</v>
          </cell>
          <cell r="F700">
            <v>670</v>
          </cell>
        </row>
        <row r="701">
          <cell r="E701" t="str">
            <v>BLAKELYGAERWINNC</v>
          </cell>
          <cell r="F701">
            <v>1390</v>
          </cell>
        </row>
        <row r="702">
          <cell r="E702" t="str">
            <v>BLAKELYGADREWMS</v>
          </cell>
          <cell r="F702">
            <v>1140</v>
          </cell>
        </row>
        <row r="703">
          <cell r="E703" t="str">
            <v>BLAKELYGAINDIANOLAMS</v>
          </cell>
          <cell r="F703">
            <v>1120</v>
          </cell>
        </row>
        <row r="704">
          <cell r="E704" t="str">
            <v>BLAKELYGACHARLOTTENC</v>
          </cell>
          <cell r="F704">
            <v>1140</v>
          </cell>
        </row>
        <row r="705">
          <cell r="E705" t="str">
            <v>BLAKELYGAMARIONAR</v>
          </cell>
          <cell r="F705">
            <v>1210</v>
          </cell>
        </row>
        <row r="706">
          <cell r="E706" t="str">
            <v>BLAKELYGALEXINGTONNC</v>
          </cell>
          <cell r="F706">
            <v>1270</v>
          </cell>
        </row>
        <row r="707">
          <cell r="E707" t="str">
            <v>BLAKELYGAHICKORYNC</v>
          </cell>
          <cell r="F707">
            <v>1170</v>
          </cell>
        </row>
        <row r="708">
          <cell r="E708" t="str">
            <v>BLAKELYGAINDIAN LANDSC</v>
          </cell>
          <cell r="F708">
            <v>1170</v>
          </cell>
        </row>
        <row r="709">
          <cell r="E709" t="str">
            <v>BLAKELYGAMCCALLAAL</v>
          </cell>
          <cell r="F709">
            <v>690</v>
          </cell>
        </row>
        <row r="710">
          <cell r="E710" t="str">
            <v>BLAKELYGAMINERAL SPRINGSNC</v>
          </cell>
          <cell r="F710">
            <v>1200</v>
          </cell>
        </row>
        <row r="711">
          <cell r="E711" t="str">
            <v>BLAKELYGASPARTANC</v>
          </cell>
          <cell r="F711">
            <v>1360</v>
          </cell>
        </row>
        <row r="712">
          <cell r="E712" t="str">
            <v>BLAKELYGACLARKTONNC</v>
          </cell>
          <cell r="F712">
            <v>1310</v>
          </cell>
        </row>
        <row r="713">
          <cell r="E713" t="str">
            <v>BLAKELYGAGREENWOODSC</v>
          </cell>
          <cell r="F713">
            <v>910</v>
          </cell>
        </row>
        <row r="714">
          <cell r="E714" t="str">
            <v>BLAKELYGACARTERSVILLEGA</v>
          </cell>
          <cell r="F714">
            <v>690</v>
          </cell>
        </row>
        <row r="715">
          <cell r="E715" t="str">
            <v>BLAKELYGATHOMASVILLENC</v>
          </cell>
          <cell r="F715">
            <v>1300</v>
          </cell>
        </row>
        <row r="716">
          <cell r="E716" t="str">
            <v>BLAKELYGANORFOLKVA</v>
          </cell>
          <cell r="F716">
            <v>1890</v>
          </cell>
        </row>
        <row r="717">
          <cell r="E717" t="str">
            <v>BLAKELYGAENOREESC</v>
          </cell>
          <cell r="F717">
            <v>1000</v>
          </cell>
        </row>
        <row r="718">
          <cell r="E718" t="str">
            <v>BLAKELYGAGREERSC</v>
          </cell>
          <cell r="F718">
            <v>950</v>
          </cell>
        </row>
        <row r="719">
          <cell r="E719" t="str">
            <v>BLAKELYGANEW ORLEANSLA</v>
          </cell>
          <cell r="F719">
            <v>970</v>
          </cell>
        </row>
        <row r="720">
          <cell r="E720" t="str">
            <v>BLAKELYGALUMBERTONNC</v>
          </cell>
          <cell r="F720">
            <v>1250</v>
          </cell>
        </row>
        <row r="721">
          <cell r="E721" t="str">
            <v>BLAKELYGAMAYODANNC</v>
          </cell>
          <cell r="F721">
            <v>1380</v>
          </cell>
        </row>
        <row r="722">
          <cell r="E722" t="str">
            <v>BLAKELYGATALLULAHLA</v>
          </cell>
          <cell r="F722">
            <v>1130</v>
          </cell>
        </row>
        <row r="723">
          <cell r="E723" t="str">
            <v>BLAKELYGABLYTHEVILLEAR</v>
          </cell>
          <cell r="F723">
            <v>1330</v>
          </cell>
        </row>
        <row r="724">
          <cell r="E724" t="str">
            <v>BLAKELYGAKINSTONNC</v>
          </cell>
          <cell r="F724">
            <v>1540</v>
          </cell>
        </row>
        <row r="725">
          <cell r="E725" t="str">
            <v>BLAKELYGAMOCKSVILLENC</v>
          </cell>
          <cell r="F725">
            <v>1260</v>
          </cell>
        </row>
        <row r="726">
          <cell r="E726" t="str">
            <v>BLAKELYGASTONEVILLENC</v>
          </cell>
          <cell r="F726">
            <v>1390</v>
          </cell>
        </row>
        <row r="727">
          <cell r="E727" t="str">
            <v>BLAKELYGAGREENWOODMS</v>
          </cell>
          <cell r="F727">
            <v>1050</v>
          </cell>
        </row>
        <row r="728">
          <cell r="E728" t="str">
            <v>BLAKELYGAROSSVILLETN</v>
          </cell>
          <cell r="F728">
            <v>1170</v>
          </cell>
        </row>
        <row r="729">
          <cell r="E729" t="str">
            <v>BLAKELYGAGAFFNEYSC</v>
          </cell>
          <cell r="F729">
            <v>1020</v>
          </cell>
        </row>
        <row r="730">
          <cell r="E730" t="str">
            <v>BLAKELYGASANFORDNC</v>
          </cell>
          <cell r="F730">
            <v>1430</v>
          </cell>
        </row>
        <row r="731">
          <cell r="E731" t="str">
            <v>BLAKELYGALOWELLNC</v>
          </cell>
          <cell r="F731">
            <v>1100</v>
          </cell>
        </row>
        <row r="732">
          <cell r="E732" t="str">
            <v>BLAKELYGASALISBURYNC</v>
          </cell>
          <cell r="F732">
            <v>1230</v>
          </cell>
        </row>
        <row r="733">
          <cell r="E733" t="str">
            <v>BLAKELYGAMONEYMS</v>
          </cell>
          <cell r="F733">
            <v>1090</v>
          </cell>
        </row>
        <row r="734">
          <cell r="E734" t="str">
            <v>BLAKELYGAEDENTONNC</v>
          </cell>
          <cell r="F734">
            <v>1720</v>
          </cell>
        </row>
        <row r="735">
          <cell r="E735" t="str">
            <v>BLAKELYGAECLECTICAL</v>
          </cell>
          <cell r="F735">
            <v>570</v>
          </cell>
        </row>
        <row r="736">
          <cell r="E736" t="str">
            <v>BLAKELYGARABUN GAPGA</v>
          </cell>
          <cell r="F736">
            <v>900</v>
          </cell>
        </row>
        <row r="737">
          <cell r="E737" t="str">
            <v>BLAKELYGADAWSONGA</v>
          </cell>
          <cell r="F737">
            <v>400</v>
          </cell>
        </row>
        <row r="738">
          <cell r="E738" t="str">
            <v>BLAKELYGAGULFPORTMS</v>
          </cell>
          <cell r="F738">
            <v>920</v>
          </cell>
        </row>
        <row r="739">
          <cell r="E739" t="str">
            <v>BLAKELYGAGarden CityGA</v>
          </cell>
          <cell r="F739">
            <v>870</v>
          </cell>
        </row>
        <row r="740">
          <cell r="E740" t="str">
            <v>BLAKELYGAGRIFTONNC</v>
          </cell>
          <cell r="F740">
            <v>1670</v>
          </cell>
        </row>
        <row r="741">
          <cell r="E741" t="str">
            <v>BLAKELYGAPORT WENTWORTHGA</v>
          </cell>
          <cell r="F741">
            <v>890</v>
          </cell>
        </row>
        <row r="742">
          <cell r="E742" t="str">
            <v>BLAKELYGARINCONGA</v>
          </cell>
          <cell r="F742">
            <v>900</v>
          </cell>
        </row>
        <row r="743">
          <cell r="E743" t="str">
            <v>BLAKELYGAJACKSONVILLEFL</v>
          </cell>
          <cell r="F743">
            <v>700</v>
          </cell>
        </row>
        <row r="744">
          <cell r="E744" t="str">
            <v>BLAKELYGAWESLACOTX</v>
          </cell>
          <cell r="F744">
            <v>1542</v>
          </cell>
        </row>
        <row r="745">
          <cell r="E745" t="str">
            <v>BLYTHEVILLEARGREERSC</v>
          </cell>
          <cell r="F745">
            <v>1450</v>
          </cell>
        </row>
        <row r="746">
          <cell r="E746" t="str">
            <v>BLYTHEVILLEARROCKFORDTN</v>
          </cell>
          <cell r="F746">
            <v>1080</v>
          </cell>
        </row>
        <row r="747">
          <cell r="E747" t="str">
            <v>BLYTHEVILLEARJACKSONVILLEFL</v>
          </cell>
          <cell r="F747">
            <v>1830</v>
          </cell>
        </row>
        <row r="748">
          <cell r="E748" t="str">
            <v>BLYTHEVILLEARBELMONTNC</v>
          </cell>
          <cell r="F748">
            <v>1560</v>
          </cell>
        </row>
        <row r="749">
          <cell r="E749" t="str">
            <v>BLYTHEVILLEARROCKINGHAMNC</v>
          </cell>
          <cell r="F749">
            <v>1760</v>
          </cell>
        </row>
        <row r="750">
          <cell r="E750" t="str">
            <v>BLYTHEVILLEARLOWELLNC</v>
          </cell>
          <cell r="F750">
            <v>1550</v>
          </cell>
        </row>
        <row r="751">
          <cell r="E751" t="str">
            <v>BLYTHEVILLEARCLARKTONNC</v>
          </cell>
          <cell r="F751">
            <v>1940</v>
          </cell>
        </row>
        <row r="752">
          <cell r="E752" t="str">
            <v>BLYTHEVILLEARLEXINGTONNC</v>
          </cell>
          <cell r="F752">
            <v>1640</v>
          </cell>
        </row>
        <row r="753">
          <cell r="E753" t="str">
            <v>BLYTHEVILLEARLUMBERTONNC</v>
          </cell>
          <cell r="F753">
            <v>1890</v>
          </cell>
        </row>
        <row r="754">
          <cell r="E754" t="str">
            <v>BLYTHEVILLEARSALISBURYNC</v>
          </cell>
          <cell r="F754">
            <v>1620</v>
          </cell>
        </row>
        <row r="755">
          <cell r="E755" t="str">
            <v>BLYTHEVILLEARGASTONIANC</v>
          </cell>
          <cell r="F755">
            <v>1540</v>
          </cell>
        </row>
        <row r="756">
          <cell r="E756" t="str">
            <v>BLYTHEVILLEARKINSTONNC</v>
          </cell>
          <cell r="F756">
            <v>2080</v>
          </cell>
        </row>
        <row r="757">
          <cell r="E757" t="str">
            <v>BLYTHEVILLEARCHARLOTTENC</v>
          </cell>
          <cell r="F757">
            <v>1590</v>
          </cell>
        </row>
        <row r="758">
          <cell r="E758" t="str">
            <v>BLYTHEVILLEARERWINNC</v>
          </cell>
          <cell r="F758">
            <v>1920</v>
          </cell>
        </row>
        <row r="759">
          <cell r="E759" t="str">
            <v>BLYTHEVILLEARINDIAN LANDSC</v>
          </cell>
          <cell r="F759">
            <v>1620</v>
          </cell>
        </row>
        <row r="760">
          <cell r="E760" t="str">
            <v>BLYTHEVILLEARMAYODANNC</v>
          </cell>
          <cell r="F760">
            <v>1730</v>
          </cell>
        </row>
        <row r="761">
          <cell r="E761" t="str">
            <v>BLYTHEVILLEARSANFORDNC</v>
          </cell>
          <cell r="F761">
            <v>1840</v>
          </cell>
        </row>
        <row r="762">
          <cell r="E762" t="str">
            <v>BLYTHEVILLEARMINERAL SPRINGSNC</v>
          </cell>
          <cell r="F762">
            <v>1650</v>
          </cell>
        </row>
        <row r="763">
          <cell r="E763" t="str">
            <v>BLYTHEVILLEARSPARTANC</v>
          </cell>
          <cell r="F763">
            <v>1570</v>
          </cell>
        </row>
        <row r="764">
          <cell r="E764" t="str">
            <v>BLYTHEVILLEARSHELBYNC</v>
          </cell>
          <cell r="F764">
            <v>1490</v>
          </cell>
        </row>
        <row r="765">
          <cell r="E765" t="str">
            <v>BLYTHEVILLEARSTONEVILLENC</v>
          </cell>
          <cell r="F765">
            <v>1740</v>
          </cell>
        </row>
        <row r="766">
          <cell r="E766" t="str">
            <v>BLYTHEVILLEARHICKORYNC</v>
          </cell>
          <cell r="F766">
            <v>1500</v>
          </cell>
        </row>
        <row r="767">
          <cell r="E767" t="str">
            <v>BLYTHEVILLEARTHOMASVILLENC</v>
          </cell>
          <cell r="F767">
            <v>1680</v>
          </cell>
        </row>
        <row r="768">
          <cell r="E768" t="str">
            <v>BLYTHEVILLEARGREENWOODSC</v>
          </cell>
          <cell r="F768">
            <v>1520</v>
          </cell>
        </row>
        <row r="769">
          <cell r="E769" t="str">
            <v>BLYTHEVILLEARGRIFTONNC</v>
          </cell>
          <cell r="F769">
            <v>2220</v>
          </cell>
        </row>
        <row r="770">
          <cell r="E770" t="str">
            <v>BLYTHEVILLEARNEW ORLEANSLA</v>
          </cell>
          <cell r="F770">
            <v>1180</v>
          </cell>
        </row>
        <row r="771">
          <cell r="E771" t="str">
            <v>BLYTHEVILLEARMCCALLAAL</v>
          </cell>
          <cell r="F771">
            <v>870</v>
          </cell>
        </row>
        <row r="772">
          <cell r="E772" t="str">
            <v>BLYTHEVILLEARRABUN GAPGA</v>
          </cell>
          <cell r="F772">
            <v>1360</v>
          </cell>
        </row>
        <row r="773">
          <cell r="E773" t="str">
            <v>BLYTHEVILLEARDREWMS</v>
          </cell>
          <cell r="F773">
            <v>590</v>
          </cell>
        </row>
        <row r="774">
          <cell r="E774" t="str">
            <v>BLYTHEVILLEARMONEYMS</v>
          </cell>
          <cell r="F774">
            <v>610</v>
          </cell>
        </row>
        <row r="775">
          <cell r="E775" t="str">
            <v>BLYTHEVILLEARGULFPORTMS</v>
          </cell>
          <cell r="F775">
            <v>1220</v>
          </cell>
        </row>
        <row r="776">
          <cell r="E776" t="str">
            <v>BLYTHEVILLEARMARIONAR</v>
          </cell>
          <cell r="F776">
            <v>410</v>
          </cell>
        </row>
        <row r="777">
          <cell r="E777" t="str">
            <v>BLYTHEVILLEARMEMPHISTN</v>
          </cell>
          <cell r="F777">
            <v>430</v>
          </cell>
        </row>
        <row r="778">
          <cell r="E778" t="str">
            <v>BLYTHEVILLEARWEST MEMPHISAR</v>
          </cell>
          <cell r="F778">
            <v>410</v>
          </cell>
        </row>
        <row r="779">
          <cell r="E779" t="str">
            <v>BLYTHEVILLEARGREENWOODMS</v>
          </cell>
          <cell r="F779">
            <v>650</v>
          </cell>
        </row>
        <row r="780">
          <cell r="E780" t="str">
            <v>BLYTHEVILLEARTALLULAHLA</v>
          </cell>
          <cell r="F780">
            <v>910</v>
          </cell>
        </row>
        <row r="781">
          <cell r="E781" t="str">
            <v>BLYTHEVILLEARROSSVILLETN</v>
          </cell>
          <cell r="F781">
            <v>480</v>
          </cell>
        </row>
        <row r="782">
          <cell r="E782" t="str">
            <v>BLYTHEVILLEARTUNICAMS</v>
          </cell>
          <cell r="F782">
            <v>480</v>
          </cell>
        </row>
        <row r="783">
          <cell r="E783" t="str">
            <v>BLYTHEVILLEARINDIANOLAMS</v>
          </cell>
          <cell r="F783">
            <v>630</v>
          </cell>
        </row>
        <row r="784">
          <cell r="E784" t="str">
            <v>BLYTHEVILLEARMOCKSVILLENC</v>
          </cell>
          <cell r="F784">
            <v>1610</v>
          </cell>
        </row>
        <row r="785">
          <cell r="E785" t="str">
            <v>BLYTHEVILLEARRINCONGA</v>
          </cell>
          <cell r="F785">
            <v>1860</v>
          </cell>
        </row>
        <row r="786">
          <cell r="E786" t="str">
            <v>BLYTHEVILLEARPORT WENTWORTHGA</v>
          </cell>
          <cell r="F786">
            <v>1840</v>
          </cell>
        </row>
        <row r="787">
          <cell r="E787" t="str">
            <v>BLYTHEVILLEARMOBILEAL</v>
          </cell>
          <cell r="F787">
            <v>1180</v>
          </cell>
        </row>
        <row r="788">
          <cell r="E788" t="str">
            <v>BLYTHEVILLEARCENTREAL</v>
          </cell>
          <cell r="F788">
            <v>1020</v>
          </cell>
        </row>
        <row r="789">
          <cell r="E789" t="str">
            <v>BLYTHEVILLEARRAYVILLELA</v>
          </cell>
          <cell r="F789">
            <v>840</v>
          </cell>
        </row>
        <row r="790">
          <cell r="E790" t="str">
            <v>BLYTHEVILLEARGAINESVILLEGA</v>
          </cell>
          <cell r="F790">
            <v>1300</v>
          </cell>
        </row>
        <row r="791">
          <cell r="E791" t="str">
            <v>BLYTHEVILLEARGarden CityGA</v>
          </cell>
          <cell r="F791">
            <v>1830</v>
          </cell>
        </row>
        <row r="792">
          <cell r="E792" t="str">
            <v>BLYTHEVILLEARCARTERSVILLEGA</v>
          </cell>
          <cell r="F792">
            <v>1120</v>
          </cell>
        </row>
        <row r="793">
          <cell r="E793" t="str">
            <v>BLYTHEVILLEARGAFFNEYSC</v>
          </cell>
          <cell r="F793">
            <v>1500</v>
          </cell>
        </row>
        <row r="794">
          <cell r="E794" t="str">
            <v>BLYTHEVILLEARNORFOLKVA</v>
          </cell>
          <cell r="F794">
            <v>2250</v>
          </cell>
        </row>
        <row r="795">
          <cell r="E795" t="str">
            <v>BLYTHEVILLEARECLECTICAL</v>
          </cell>
          <cell r="F795">
            <v>1050</v>
          </cell>
        </row>
        <row r="796">
          <cell r="E796" t="str">
            <v>BLYTHEVILLEARPORTSMOUTHVA</v>
          </cell>
          <cell r="F796">
            <v>2240</v>
          </cell>
        </row>
        <row r="797">
          <cell r="E797" t="str">
            <v>BLYTHEVILLEARENOREESC</v>
          </cell>
          <cell r="F797">
            <v>1510</v>
          </cell>
        </row>
        <row r="798">
          <cell r="E798" t="str">
            <v>BLYTHEVILLEARDAWSONGA</v>
          </cell>
          <cell r="F798">
            <v>1310</v>
          </cell>
        </row>
        <row r="799">
          <cell r="E799" t="str">
            <v>BLYTHEVILLEAREDENTONNC</v>
          </cell>
          <cell r="F799">
            <v>2200</v>
          </cell>
        </row>
        <row r="800">
          <cell r="E800" t="str">
            <v>BOSTONGAROCKFORDTN</v>
          </cell>
          <cell r="F800">
            <v>1180</v>
          </cell>
        </row>
        <row r="801">
          <cell r="E801" t="str">
            <v>BOSTONGALOWELLNC</v>
          </cell>
          <cell r="F801">
            <v>1180</v>
          </cell>
        </row>
        <row r="802">
          <cell r="E802" t="str">
            <v>BOSTONGATHOMASVILLENC</v>
          </cell>
          <cell r="F802">
            <v>1310</v>
          </cell>
        </row>
        <row r="803">
          <cell r="E803" t="str">
            <v>BOSTONGAKINSTONNC</v>
          </cell>
          <cell r="F803">
            <v>1390</v>
          </cell>
        </row>
        <row r="804">
          <cell r="E804" t="str">
            <v>BOSTONGASHELBYNC</v>
          </cell>
          <cell r="F804">
            <v>1140</v>
          </cell>
        </row>
        <row r="805">
          <cell r="E805" t="str">
            <v>BOSTONGAMAYODANNC</v>
          </cell>
          <cell r="F805">
            <v>1370</v>
          </cell>
        </row>
        <row r="806">
          <cell r="E806" t="str">
            <v>BOSTONGAGASTONIANC</v>
          </cell>
          <cell r="F806">
            <v>1170</v>
          </cell>
        </row>
        <row r="807">
          <cell r="E807" t="str">
            <v>BOSTONGAMONEYMS</v>
          </cell>
          <cell r="F807">
            <v>1260</v>
          </cell>
        </row>
        <row r="808">
          <cell r="E808" t="str">
            <v>BOSTONGAGAINESVILLEGA</v>
          </cell>
          <cell r="F808">
            <v>790</v>
          </cell>
        </row>
        <row r="809">
          <cell r="E809" t="str">
            <v>BOSTONGAPORTSMOUTHVA</v>
          </cell>
          <cell r="F809">
            <v>1660</v>
          </cell>
        </row>
        <row r="810">
          <cell r="E810" t="str">
            <v>BOSTONGASTONEVILLENC</v>
          </cell>
          <cell r="F810">
            <v>1380</v>
          </cell>
        </row>
        <row r="811">
          <cell r="E811" t="str">
            <v>BOSTONGAINDIAN LANDSC</v>
          </cell>
          <cell r="F811">
            <v>1130</v>
          </cell>
        </row>
        <row r="812">
          <cell r="E812" t="str">
            <v>BOSTONGAMEMPHISTN</v>
          </cell>
          <cell r="F812">
            <v>1360</v>
          </cell>
        </row>
        <row r="813">
          <cell r="E813" t="str">
            <v>BOSTONGARAYVILLELA</v>
          </cell>
          <cell r="F813">
            <v>1380</v>
          </cell>
        </row>
        <row r="814">
          <cell r="E814" t="str">
            <v>BOSTONGAMCCALLAAL</v>
          </cell>
          <cell r="F814">
            <v>850</v>
          </cell>
        </row>
        <row r="815">
          <cell r="E815" t="str">
            <v>BOSTONGAEDENTONNC</v>
          </cell>
          <cell r="F815">
            <v>1570</v>
          </cell>
        </row>
        <row r="816">
          <cell r="E816" t="str">
            <v>BOSTONGAMOCKSVILLENC</v>
          </cell>
          <cell r="F816">
            <v>1290</v>
          </cell>
        </row>
        <row r="817">
          <cell r="E817" t="str">
            <v>BOSTONGATUNICAMS</v>
          </cell>
          <cell r="F817">
            <v>1390</v>
          </cell>
        </row>
        <row r="818">
          <cell r="E818" t="str">
            <v>BOSTONGAWEST MEMPHISAR</v>
          </cell>
          <cell r="F818">
            <v>1370</v>
          </cell>
        </row>
        <row r="819">
          <cell r="E819" t="str">
            <v>BOSTONGASALISBURYNC</v>
          </cell>
          <cell r="F819">
            <v>1250</v>
          </cell>
        </row>
        <row r="820">
          <cell r="E820" t="str">
            <v>BOSTONGAHICKORYNC</v>
          </cell>
          <cell r="F820">
            <v>1250</v>
          </cell>
        </row>
        <row r="821">
          <cell r="E821" t="str">
            <v>BOSTONGADREWMS</v>
          </cell>
          <cell r="F821">
            <v>1310</v>
          </cell>
        </row>
        <row r="822">
          <cell r="E822" t="str">
            <v>BOSTONGAINDIANOLAMS</v>
          </cell>
          <cell r="F822">
            <v>1290</v>
          </cell>
        </row>
        <row r="823">
          <cell r="E823" t="str">
            <v>BOSTONGAGREENWOODSC</v>
          </cell>
          <cell r="F823">
            <v>850</v>
          </cell>
        </row>
        <row r="824">
          <cell r="E824" t="str">
            <v>BOSTONGAMARIONAR</v>
          </cell>
          <cell r="F824">
            <v>1380</v>
          </cell>
        </row>
        <row r="825">
          <cell r="E825" t="str">
            <v>BOSTONGAERWINNC</v>
          </cell>
          <cell r="F825">
            <v>1240</v>
          </cell>
        </row>
        <row r="826">
          <cell r="E826" t="str">
            <v>BOSTONGASANFORDNC</v>
          </cell>
          <cell r="F826">
            <v>1240</v>
          </cell>
        </row>
        <row r="827">
          <cell r="E827" t="str">
            <v>BOSTONGAMINERAL SPRINGSNC</v>
          </cell>
          <cell r="F827">
            <v>1140</v>
          </cell>
        </row>
        <row r="828">
          <cell r="E828" t="str">
            <v>BOSTONGANORFOLKVA</v>
          </cell>
          <cell r="F828">
            <v>1690</v>
          </cell>
        </row>
        <row r="829">
          <cell r="E829" t="str">
            <v>BOSTONGAENOREESC</v>
          </cell>
          <cell r="F829">
            <v>950</v>
          </cell>
        </row>
        <row r="830">
          <cell r="E830" t="str">
            <v>BOSTONGACARTERSVILLEGA</v>
          </cell>
          <cell r="F830">
            <v>790</v>
          </cell>
        </row>
        <row r="831">
          <cell r="E831" t="str">
            <v>BOSTONGAGREERSC</v>
          </cell>
          <cell r="F831">
            <v>1020</v>
          </cell>
        </row>
        <row r="832">
          <cell r="E832" t="str">
            <v>BOSTONGACLARKTONNC</v>
          </cell>
          <cell r="F832">
            <v>1150</v>
          </cell>
        </row>
        <row r="833">
          <cell r="E833" t="str">
            <v>BOSTONGACHARLOTTENC</v>
          </cell>
          <cell r="F833">
            <v>1150</v>
          </cell>
        </row>
        <row r="834">
          <cell r="E834" t="str">
            <v>BOSTONGALUMBERTONNC</v>
          </cell>
          <cell r="F834">
            <v>1100</v>
          </cell>
        </row>
        <row r="835">
          <cell r="E835" t="str">
            <v>BOSTONGALEXINGTONNC</v>
          </cell>
          <cell r="F835">
            <v>1280</v>
          </cell>
        </row>
        <row r="836">
          <cell r="E836" t="str">
            <v>BOSTONGANEW ORLEANSLA</v>
          </cell>
          <cell r="F836">
            <v>1110</v>
          </cell>
        </row>
        <row r="837">
          <cell r="E837" t="str">
            <v>BOSTONGARABUN GAPGA</v>
          </cell>
          <cell r="F837">
            <v>980</v>
          </cell>
        </row>
        <row r="838">
          <cell r="E838" t="str">
            <v>BOSTONGAROCKINGHAMNC</v>
          </cell>
          <cell r="F838">
            <v>1110</v>
          </cell>
        </row>
        <row r="839">
          <cell r="E839" t="str">
            <v>BOSTONGAROSSVILLETN</v>
          </cell>
          <cell r="F839">
            <v>1340</v>
          </cell>
        </row>
        <row r="840">
          <cell r="E840" t="str">
            <v>BOSTONGACENTREAL</v>
          </cell>
          <cell r="F840">
            <v>830</v>
          </cell>
        </row>
        <row r="841">
          <cell r="E841" t="str">
            <v>BOSTONGABELMONTNC</v>
          </cell>
          <cell r="F841">
            <v>1190</v>
          </cell>
        </row>
        <row r="842">
          <cell r="E842" t="str">
            <v>BOSTONGATALLULAHLA</v>
          </cell>
          <cell r="F842">
            <v>1300</v>
          </cell>
        </row>
        <row r="843">
          <cell r="E843" t="str">
            <v>BOSTONGAMOBILEAL</v>
          </cell>
          <cell r="F843">
            <v>790</v>
          </cell>
        </row>
        <row r="844">
          <cell r="E844" t="str">
            <v>BOSTONGASPARTANC</v>
          </cell>
          <cell r="F844">
            <v>1380</v>
          </cell>
        </row>
        <row r="845">
          <cell r="E845" t="str">
            <v>BOSTONGAGREENWOODMS</v>
          </cell>
          <cell r="F845">
            <v>1220</v>
          </cell>
        </row>
        <row r="846">
          <cell r="E846" t="str">
            <v>BOSTONGABLYTHEVILLEAR</v>
          </cell>
          <cell r="F846">
            <v>1500</v>
          </cell>
        </row>
        <row r="847">
          <cell r="E847" t="str">
            <v>BOSTONGAGULFPORTMS</v>
          </cell>
          <cell r="F847">
            <v>1060</v>
          </cell>
        </row>
        <row r="848">
          <cell r="E848" t="str">
            <v>BOSTONGAGRIFTONNC</v>
          </cell>
          <cell r="F848">
            <v>1520</v>
          </cell>
        </row>
        <row r="849">
          <cell r="E849" t="str">
            <v>BOSTONGARINCONGA</v>
          </cell>
          <cell r="F849">
            <v>750</v>
          </cell>
        </row>
        <row r="850">
          <cell r="E850" t="str">
            <v>BOSTONGAPORT WENTWORTHGA</v>
          </cell>
          <cell r="F850">
            <v>740</v>
          </cell>
        </row>
        <row r="851">
          <cell r="E851" t="str">
            <v>BOSTONGAGarden CityGA</v>
          </cell>
          <cell r="F851">
            <v>730</v>
          </cell>
        </row>
        <row r="852">
          <cell r="E852" t="str">
            <v>BOSTONGAGAFFNEYSC</v>
          </cell>
          <cell r="F852">
            <v>1100</v>
          </cell>
        </row>
        <row r="853">
          <cell r="E853" t="str">
            <v>BOSTONGADAWSONGA</v>
          </cell>
          <cell r="F853">
            <v>470</v>
          </cell>
        </row>
        <row r="854">
          <cell r="E854" t="str">
            <v>BOSTONGAJACKSONVILLEFL</v>
          </cell>
          <cell r="F854">
            <v>550</v>
          </cell>
        </row>
        <row r="855">
          <cell r="E855" t="str">
            <v>BOSTONGAECLECTICAL</v>
          </cell>
          <cell r="F855">
            <v>680</v>
          </cell>
        </row>
        <row r="856">
          <cell r="E856" t="str">
            <v>BOSTONGAWESLACOTX</v>
          </cell>
          <cell r="F856">
            <v>1608</v>
          </cell>
        </row>
        <row r="857">
          <cell r="E857" t="str">
            <v>BRONWOODGAWESLACOTX</v>
          </cell>
          <cell r="F857">
            <v>1608</v>
          </cell>
        </row>
        <row r="858">
          <cell r="E858" t="str">
            <v>BROOKLETGASANFORDNC</v>
          </cell>
          <cell r="F858">
            <v>870</v>
          </cell>
        </row>
        <row r="859">
          <cell r="E859" t="str">
            <v>BROOKLETGANORFOLKVA</v>
          </cell>
          <cell r="F859">
            <v>1320</v>
          </cell>
        </row>
        <row r="860">
          <cell r="E860" t="str">
            <v>BROOKLETGADREWMS</v>
          </cell>
          <cell r="F860">
            <v>1550</v>
          </cell>
        </row>
        <row r="861">
          <cell r="E861" t="str">
            <v>BROOKLETGACENTREAL</v>
          </cell>
          <cell r="F861">
            <v>840</v>
          </cell>
        </row>
        <row r="862">
          <cell r="E862" t="str">
            <v>BROOKLETGAMAYODANNC</v>
          </cell>
          <cell r="F862">
            <v>920</v>
          </cell>
        </row>
        <row r="863">
          <cell r="E863" t="str">
            <v>BROOKLETGAMCCALLAAL</v>
          </cell>
          <cell r="F863">
            <v>1020</v>
          </cell>
        </row>
        <row r="864">
          <cell r="E864" t="str">
            <v>BROOKLETGAWEST MEMPHISAR</v>
          </cell>
          <cell r="F864">
            <v>1510</v>
          </cell>
        </row>
        <row r="865">
          <cell r="E865" t="str">
            <v>BROOKLETGARAYVILLELA</v>
          </cell>
          <cell r="F865">
            <v>1710</v>
          </cell>
        </row>
        <row r="866">
          <cell r="E866" t="str">
            <v>BROOKLETGAROSSVILLETN</v>
          </cell>
          <cell r="F866">
            <v>1490</v>
          </cell>
        </row>
        <row r="867">
          <cell r="E867" t="str">
            <v>BROOKLETGAROCKINGHAMNC</v>
          </cell>
          <cell r="F867">
            <v>750</v>
          </cell>
        </row>
        <row r="868">
          <cell r="E868" t="str">
            <v>BROOKLETGASTONEVILLENC</v>
          </cell>
          <cell r="F868">
            <v>930</v>
          </cell>
        </row>
        <row r="869">
          <cell r="E869" t="str">
            <v>BROOKLETGATHOMASVILLENC</v>
          </cell>
          <cell r="F869">
            <v>830</v>
          </cell>
        </row>
        <row r="870">
          <cell r="E870" t="str">
            <v>BROOKLETGANEW ORLEANSLA</v>
          </cell>
          <cell r="F870">
            <v>1520</v>
          </cell>
        </row>
        <row r="871">
          <cell r="E871" t="str">
            <v>BROOKLETGAMOCKSVILLENC</v>
          </cell>
          <cell r="F871">
            <v>810</v>
          </cell>
        </row>
        <row r="872">
          <cell r="E872" t="str">
            <v>BROOKLETGALUMBERTONNC</v>
          </cell>
          <cell r="F872">
            <v>740</v>
          </cell>
        </row>
        <row r="873">
          <cell r="E873" t="str">
            <v>BROOKLETGAINDIANOLAMS</v>
          </cell>
          <cell r="F873">
            <v>1530</v>
          </cell>
        </row>
        <row r="874">
          <cell r="E874" t="str">
            <v>BROOKLETGAENOREESC</v>
          </cell>
          <cell r="F874">
            <v>630</v>
          </cell>
        </row>
        <row r="875">
          <cell r="E875" t="str">
            <v>BROOKLETGAKINSTONNC</v>
          </cell>
          <cell r="F875">
            <v>1030</v>
          </cell>
        </row>
        <row r="876">
          <cell r="E876" t="str">
            <v>BROOKLETGAECLECTICAL</v>
          </cell>
          <cell r="F876">
            <v>830</v>
          </cell>
        </row>
        <row r="877">
          <cell r="E877" t="str">
            <v>BROOKLETGAMOBILEAL</v>
          </cell>
          <cell r="F877">
            <v>1210</v>
          </cell>
        </row>
        <row r="878">
          <cell r="E878" t="str">
            <v>BROOKLETGAPORTSMOUTHVA</v>
          </cell>
          <cell r="F878">
            <v>1300</v>
          </cell>
        </row>
        <row r="879">
          <cell r="E879" t="str">
            <v>BROOKLETGAMEMPHISTN</v>
          </cell>
          <cell r="F879">
            <v>1510</v>
          </cell>
        </row>
        <row r="880">
          <cell r="E880" t="str">
            <v>BROOKLETGAEDENTONNC</v>
          </cell>
          <cell r="F880">
            <v>1200</v>
          </cell>
        </row>
        <row r="881">
          <cell r="E881" t="str">
            <v>BROOKLETGABLYTHEVILLEAR</v>
          </cell>
          <cell r="F881">
            <v>1640</v>
          </cell>
        </row>
        <row r="882">
          <cell r="E882" t="str">
            <v>BROOKLETGACHARLOTTENC</v>
          </cell>
          <cell r="F882">
            <v>680</v>
          </cell>
        </row>
        <row r="883">
          <cell r="E883" t="str">
            <v>BROOKLETGALEXINGTONNC</v>
          </cell>
          <cell r="F883">
            <v>800</v>
          </cell>
        </row>
        <row r="884">
          <cell r="E884" t="str">
            <v>BROOKLETGAGAFFNEYSC</v>
          </cell>
          <cell r="F884">
            <v>690</v>
          </cell>
        </row>
        <row r="885">
          <cell r="E885" t="str">
            <v>BROOKLETGASHELBYNC</v>
          </cell>
          <cell r="F885">
            <v>700</v>
          </cell>
        </row>
        <row r="886">
          <cell r="E886" t="str">
            <v>BROOKLETGATALLULAHLA</v>
          </cell>
          <cell r="F886">
            <v>1630</v>
          </cell>
        </row>
        <row r="887">
          <cell r="E887" t="str">
            <v>BROOKLETGAGREENWOODMS</v>
          </cell>
          <cell r="F887">
            <v>1460</v>
          </cell>
        </row>
        <row r="888">
          <cell r="E888" t="str">
            <v>BROOKLETGABELMONTNC</v>
          </cell>
          <cell r="F888">
            <v>690</v>
          </cell>
        </row>
        <row r="889">
          <cell r="E889" t="str">
            <v>BROOKLETGATUNICAMS</v>
          </cell>
          <cell r="F889">
            <v>1530</v>
          </cell>
        </row>
        <row r="890">
          <cell r="E890" t="str">
            <v>BROOKLETGAMINERAL SPRINGSNC</v>
          </cell>
          <cell r="F890">
            <v>670</v>
          </cell>
        </row>
        <row r="891">
          <cell r="E891" t="str">
            <v>BROOKLETGARABUN GAPGA</v>
          </cell>
          <cell r="F891">
            <v>760</v>
          </cell>
        </row>
        <row r="892">
          <cell r="E892" t="str">
            <v>BROOKLETGAMARIONAR</v>
          </cell>
          <cell r="F892">
            <v>1520</v>
          </cell>
        </row>
        <row r="893">
          <cell r="E893" t="str">
            <v>BROOKLETGAMONEYMS</v>
          </cell>
          <cell r="F893">
            <v>1500</v>
          </cell>
        </row>
        <row r="894">
          <cell r="E894" t="str">
            <v>BROOKLETGAGREENWOODSC</v>
          </cell>
          <cell r="F894">
            <v>560</v>
          </cell>
        </row>
        <row r="895">
          <cell r="E895" t="str">
            <v>BROOKLETGAGULFPORTMS</v>
          </cell>
          <cell r="F895">
            <v>1470</v>
          </cell>
        </row>
        <row r="896">
          <cell r="E896" t="str">
            <v>BROOKLETGAPORT WENTWORTHGA</v>
          </cell>
          <cell r="F896">
            <v>490</v>
          </cell>
        </row>
        <row r="897">
          <cell r="E897" t="str">
            <v>BROOKLETGAGarden CityGA</v>
          </cell>
          <cell r="F897">
            <v>480</v>
          </cell>
        </row>
        <row r="898">
          <cell r="E898" t="str">
            <v>BROOKLETGARINCONGA</v>
          </cell>
          <cell r="F898">
            <v>470</v>
          </cell>
        </row>
        <row r="899">
          <cell r="E899" t="str">
            <v>BROOKLETGAROCKFORDTN</v>
          </cell>
          <cell r="F899">
            <v>1020</v>
          </cell>
        </row>
        <row r="900">
          <cell r="E900" t="str">
            <v>BROOKLETGALOWELLNC</v>
          </cell>
          <cell r="F900">
            <v>700</v>
          </cell>
        </row>
        <row r="901">
          <cell r="E901" t="str">
            <v>BROOKLETGASALISBURYNC</v>
          </cell>
          <cell r="F901">
            <v>770</v>
          </cell>
        </row>
        <row r="902">
          <cell r="E902" t="str">
            <v>BROOKLETGAGAINESVILLEGA</v>
          </cell>
          <cell r="F902">
            <v>670</v>
          </cell>
        </row>
        <row r="903">
          <cell r="E903" t="str">
            <v>BROOKLETGACARTERSVILLEGA</v>
          </cell>
          <cell r="F903">
            <v>760</v>
          </cell>
        </row>
        <row r="904">
          <cell r="E904" t="str">
            <v>BROOKLETGAHICKORYNC</v>
          </cell>
          <cell r="F904">
            <v>780</v>
          </cell>
        </row>
        <row r="905">
          <cell r="E905" t="str">
            <v>BROOKLETGAGASTONIANC</v>
          </cell>
          <cell r="F905">
            <v>710</v>
          </cell>
        </row>
        <row r="906">
          <cell r="E906" t="str">
            <v>BROOKLETGAGREERSC</v>
          </cell>
          <cell r="F906">
            <v>660</v>
          </cell>
        </row>
        <row r="907">
          <cell r="E907" t="str">
            <v>BROOKLETGAERWINNC</v>
          </cell>
          <cell r="F907">
            <v>870</v>
          </cell>
        </row>
        <row r="908">
          <cell r="E908" t="str">
            <v>BROOKLETGAGRIFTONNC</v>
          </cell>
          <cell r="F908">
            <v>1160</v>
          </cell>
        </row>
        <row r="909">
          <cell r="E909" t="str">
            <v>BROOKLETGACLARKTONNC</v>
          </cell>
          <cell r="F909">
            <v>790</v>
          </cell>
        </row>
        <row r="910">
          <cell r="E910" t="str">
            <v>BROOKLETGASPARTANC</v>
          </cell>
          <cell r="F910">
            <v>900</v>
          </cell>
        </row>
        <row r="911">
          <cell r="E911" t="str">
            <v>BROOKLETGAINDIAN LANDSC</v>
          </cell>
          <cell r="F911">
            <v>670</v>
          </cell>
        </row>
        <row r="912">
          <cell r="E912" t="str">
            <v>BROOKLETGAJACKSONVILLEFL</v>
          </cell>
          <cell r="F912">
            <v>580</v>
          </cell>
        </row>
        <row r="913">
          <cell r="E913" t="str">
            <v>BROOKLETGADAWSONGA</v>
          </cell>
          <cell r="F913">
            <v>650</v>
          </cell>
        </row>
        <row r="914">
          <cell r="E914" t="str">
            <v>BROOKLETGAWESLACOTX</v>
          </cell>
          <cell r="F914">
            <v>2435</v>
          </cell>
        </row>
        <row r="915">
          <cell r="E915" t="str">
            <v>BROWNFIELDTXDallasTX</v>
          </cell>
          <cell r="F915">
            <v>644</v>
          </cell>
        </row>
        <row r="916">
          <cell r="E916" t="str">
            <v>BROWNFIELDTXHoustonTX</v>
          </cell>
          <cell r="F916">
            <v>1061</v>
          </cell>
        </row>
        <row r="917">
          <cell r="E917" t="str">
            <v>BROWNFIELDTXBaytownTX</v>
          </cell>
          <cell r="F917">
            <v>1087</v>
          </cell>
        </row>
        <row r="918">
          <cell r="E918" t="str">
            <v>BROWNFIELDTXHASLETTX</v>
          </cell>
          <cell r="F918">
            <v>1354</v>
          </cell>
        </row>
        <row r="919">
          <cell r="E919" t="str">
            <v>BROWNFIELDTXHOUSTONTX</v>
          </cell>
          <cell r="F919">
            <v>2734</v>
          </cell>
        </row>
        <row r="920">
          <cell r="E920" t="str">
            <v>BROWNFIELDTXWILMERTX</v>
          </cell>
          <cell r="F920">
            <v>1475</v>
          </cell>
        </row>
        <row r="921">
          <cell r="E921" t="str">
            <v>BROWNFIELDTXWYLIETX</v>
          </cell>
        </row>
        <row r="922">
          <cell r="E922" t="str">
            <v>BROWNFIELDTXWESLACOTX</v>
          </cell>
          <cell r="F922">
            <v>1218</v>
          </cell>
        </row>
        <row r="923">
          <cell r="E923" t="str">
            <v>BROWNSVILLETNROCKFORDTN</v>
          </cell>
          <cell r="F923">
            <v>910</v>
          </cell>
        </row>
        <row r="924">
          <cell r="E924" t="str">
            <v>BROWNSVILLETNBELMONTNC</v>
          </cell>
          <cell r="F924">
            <v>1390</v>
          </cell>
        </row>
        <row r="925">
          <cell r="E925" t="str">
            <v>BROWNSVILLETNLEXINGTONNC</v>
          </cell>
          <cell r="F925">
            <v>1470</v>
          </cell>
        </row>
        <row r="926">
          <cell r="E926" t="str">
            <v>BROWNSVILLETNGREENWOODSC</v>
          </cell>
          <cell r="F926">
            <v>1350</v>
          </cell>
        </row>
        <row r="927">
          <cell r="E927" t="str">
            <v>BROWNSVILLETNMCCALLAAL</v>
          </cell>
          <cell r="F927">
            <v>800</v>
          </cell>
        </row>
        <row r="928">
          <cell r="E928" t="str">
            <v>BROWNSVILLETNROCKINGHAMNC</v>
          </cell>
          <cell r="F928">
            <v>1590</v>
          </cell>
        </row>
        <row r="929">
          <cell r="E929" t="str">
            <v>BROWNSVILLETNCLARKTONNC</v>
          </cell>
          <cell r="F929">
            <v>1770</v>
          </cell>
        </row>
        <row r="930">
          <cell r="E930" t="str">
            <v>BROWNSVILLETNNEW ORLEANSLA</v>
          </cell>
          <cell r="F930">
            <v>1160</v>
          </cell>
        </row>
        <row r="931">
          <cell r="E931" t="str">
            <v>BROWNSVILLETNCHARLOTTENC</v>
          </cell>
          <cell r="F931">
            <v>1420</v>
          </cell>
        </row>
        <row r="932">
          <cell r="E932" t="str">
            <v>BROWNSVILLETNGASTONIANC</v>
          </cell>
          <cell r="F932">
            <v>1370</v>
          </cell>
        </row>
        <row r="933">
          <cell r="E933" t="str">
            <v>BROWNSVILLETNSHELBYNC</v>
          </cell>
          <cell r="F933">
            <v>1320</v>
          </cell>
        </row>
        <row r="934">
          <cell r="E934" t="str">
            <v>BROWNSVILLETNSALISBURYNC</v>
          </cell>
          <cell r="F934">
            <v>1450</v>
          </cell>
        </row>
        <row r="935">
          <cell r="E935" t="str">
            <v>BROWNSVILLETNSPARTANC</v>
          </cell>
          <cell r="F935">
            <v>1400</v>
          </cell>
        </row>
        <row r="936">
          <cell r="E936" t="str">
            <v>BROWNSVILLETNMINERAL SPRINGSNC</v>
          </cell>
          <cell r="F936">
            <v>1480</v>
          </cell>
        </row>
        <row r="937">
          <cell r="E937" t="str">
            <v>BROWNSVILLETNMAYODANNC</v>
          </cell>
          <cell r="F937">
            <v>1560</v>
          </cell>
        </row>
        <row r="938">
          <cell r="E938" t="str">
            <v>BROWNSVILLETNGREERSC</v>
          </cell>
          <cell r="F938">
            <v>1280</v>
          </cell>
        </row>
        <row r="939">
          <cell r="E939" t="str">
            <v>BROWNSVILLETNLUMBERTONNC</v>
          </cell>
          <cell r="F939">
            <v>1720</v>
          </cell>
        </row>
        <row r="940">
          <cell r="E940" t="str">
            <v>BROWNSVILLETNSANFORDNC</v>
          </cell>
          <cell r="F940">
            <v>1670</v>
          </cell>
        </row>
        <row r="941">
          <cell r="E941" t="str">
            <v>BROWNSVILLETNSTONEVILLENC</v>
          </cell>
          <cell r="F941">
            <v>1570</v>
          </cell>
        </row>
        <row r="942">
          <cell r="E942" t="str">
            <v>BROWNSVILLETNINDIAN LANDSC</v>
          </cell>
          <cell r="F942">
            <v>1450</v>
          </cell>
        </row>
        <row r="943">
          <cell r="E943" t="str">
            <v>BROWNSVILLETNKINSTONNC</v>
          </cell>
          <cell r="F943">
            <v>1910</v>
          </cell>
        </row>
        <row r="944">
          <cell r="E944" t="str">
            <v>BROWNSVILLETNENOREESC</v>
          </cell>
          <cell r="F944">
            <v>1330</v>
          </cell>
        </row>
        <row r="945">
          <cell r="E945" t="str">
            <v>BROWNSVILLETNERWINNC</v>
          </cell>
          <cell r="F945">
            <v>1740</v>
          </cell>
        </row>
        <row r="946">
          <cell r="E946" t="str">
            <v>BROWNSVILLETNJACKSONVILLEFL</v>
          </cell>
          <cell r="F946">
            <v>1830</v>
          </cell>
        </row>
        <row r="947">
          <cell r="E947" t="str">
            <v>BROWNSVILLETNTHOMASVILLENC</v>
          </cell>
          <cell r="F947">
            <v>1500</v>
          </cell>
        </row>
        <row r="948">
          <cell r="E948" t="str">
            <v>BROWNSVILLETNMOCKSVILLENC</v>
          </cell>
          <cell r="F948">
            <v>1430</v>
          </cell>
        </row>
        <row r="949">
          <cell r="E949" t="str">
            <v>BROWNSVILLETNLOWELLNC</v>
          </cell>
          <cell r="F949">
            <v>1380</v>
          </cell>
        </row>
        <row r="950">
          <cell r="E950" t="str">
            <v>BROWNSVILLETNGREENWOODMS</v>
          </cell>
          <cell r="F950">
            <v>630</v>
          </cell>
        </row>
        <row r="951">
          <cell r="E951" t="str">
            <v>BROWNSVILLETNRABUN GAPGA</v>
          </cell>
          <cell r="F951">
            <v>1180</v>
          </cell>
        </row>
        <row r="952">
          <cell r="E952" t="str">
            <v>BROWNSVILLETNMONEYMS</v>
          </cell>
          <cell r="F952">
            <v>610</v>
          </cell>
        </row>
        <row r="953">
          <cell r="E953" t="str">
            <v>BROWNSVILLETNDREWMS</v>
          </cell>
          <cell r="F953">
            <v>580</v>
          </cell>
        </row>
        <row r="954">
          <cell r="E954" t="str">
            <v>BROWNSVILLETNMEMPHISTN</v>
          </cell>
          <cell r="F954">
            <v>430</v>
          </cell>
        </row>
        <row r="955">
          <cell r="E955" t="str">
            <v>BROWNSVILLETNGULFPORTMS</v>
          </cell>
          <cell r="F955">
            <v>1200</v>
          </cell>
        </row>
        <row r="956">
          <cell r="E956" t="str">
            <v>BROWNSVILLETNMARIONAR</v>
          </cell>
          <cell r="F956">
            <v>440</v>
          </cell>
        </row>
        <row r="957">
          <cell r="E957" t="str">
            <v>BROWNSVILLETNROSSVILLETN</v>
          </cell>
          <cell r="F957">
            <v>410</v>
          </cell>
        </row>
        <row r="958">
          <cell r="E958" t="str">
            <v>BROWNSVILLETNGRIFTONNC</v>
          </cell>
          <cell r="F958">
            <v>2040</v>
          </cell>
        </row>
        <row r="959">
          <cell r="E959" t="str">
            <v>BROWNSVILLETNWEST MEMPHISAR</v>
          </cell>
          <cell r="F959">
            <v>430</v>
          </cell>
        </row>
        <row r="960">
          <cell r="E960" t="str">
            <v>BROWNSVILLETNINDIANOLAMS</v>
          </cell>
          <cell r="F960">
            <v>620</v>
          </cell>
        </row>
        <row r="961">
          <cell r="E961" t="str">
            <v>BROWNSVILLETNTUNICAMS</v>
          </cell>
          <cell r="F961">
            <v>480</v>
          </cell>
        </row>
        <row r="962">
          <cell r="E962" t="str">
            <v>BROWNSVILLETNBLYTHEVILLEAR</v>
          </cell>
          <cell r="F962">
            <v>460</v>
          </cell>
        </row>
        <row r="963">
          <cell r="E963" t="str">
            <v>BROWNSVILLETNHICKORYNC</v>
          </cell>
          <cell r="F963">
            <v>1330</v>
          </cell>
        </row>
        <row r="964">
          <cell r="E964" t="str">
            <v>BROWNSVILLETNMOBILEAL</v>
          </cell>
          <cell r="F964">
            <v>1090</v>
          </cell>
        </row>
        <row r="965">
          <cell r="E965" t="str">
            <v>BROWNSVILLETNTALLULAHLA</v>
          </cell>
          <cell r="F965">
            <v>890</v>
          </cell>
        </row>
        <row r="966">
          <cell r="E966" t="str">
            <v>BROWNSVILLETNRINCONGA</v>
          </cell>
          <cell r="F966">
            <v>1730</v>
          </cell>
        </row>
        <row r="967">
          <cell r="E967" t="str">
            <v>BROWNSVILLETNPORT WENTWORTHGA</v>
          </cell>
          <cell r="F967">
            <v>1720</v>
          </cell>
        </row>
        <row r="968">
          <cell r="E968" t="str">
            <v>BROWNSVILLETNCENTREAL</v>
          </cell>
          <cell r="F968">
            <v>770</v>
          </cell>
        </row>
        <row r="969">
          <cell r="E969" t="str">
            <v>BROWNSVILLETNGAINESVILLEGA</v>
          </cell>
          <cell r="F969">
            <v>1130</v>
          </cell>
        </row>
        <row r="970">
          <cell r="E970" t="str">
            <v>BROWNSVILLETNDAWSONGA</v>
          </cell>
          <cell r="F970">
            <v>1240</v>
          </cell>
        </row>
        <row r="971">
          <cell r="E971" t="str">
            <v>BROWNSVILLETNGarden CityGA</v>
          </cell>
          <cell r="F971">
            <v>1700</v>
          </cell>
        </row>
        <row r="972">
          <cell r="E972" t="str">
            <v>BROWNSVILLETNCARTERSVILLEGA</v>
          </cell>
          <cell r="F972">
            <v>950</v>
          </cell>
        </row>
        <row r="973">
          <cell r="E973" t="str">
            <v>BROWNSVILLETNECLECTICAL</v>
          </cell>
          <cell r="F973">
            <v>970</v>
          </cell>
        </row>
        <row r="974">
          <cell r="E974" t="str">
            <v>BROWNSVILLETNGAFFNEYSC</v>
          </cell>
          <cell r="F974">
            <v>1330</v>
          </cell>
        </row>
        <row r="975">
          <cell r="E975" t="str">
            <v>BROWNSVILLETNRAYVILLELA</v>
          </cell>
          <cell r="F975">
            <v>830</v>
          </cell>
        </row>
        <row r="976">
          <cell r="E976" t="str">
            <v>BROWNSVILLETNPORTSMOUTHVA</v>
          </cell>
          <cell r="F976">
            <v>2060</v>
          </cell>
        </row>
        <row r="977">
          <cell r="E977" t="str">
            <v>BROWNSVILLETNEDENTONNC</v>
          </cell>
          <cell r="F977">
            <v>2030</v>
          </cell>
        </row>
        <row r="978">
          <cell r="E978" t="str">
            <v>BROWNSVILLETNNORFOLKVA</v>
          </cell>
          <cell r="F978">
            <v>2080</v>
          </cell>
        </row>
        <row r="979">
          <cell r="E979" t="str">
            <v>BROWNSVILLETNWESLACOTX</v>
          </cell>
          <cell r="F979">
            <v>1679</v>
          </cell>
        </row>
        <row r="980">
          <cell r="E980" t="str">
            <v>BROWNSVILLETXWESLACOTX</v>
          </cell>
          <cell r="F980">
            <v>368</v>
          </cell>
        </row>
        <row r="981">
          <cell r="E981" t="str">
            <v>BRYANTXBaytownTX</v>
          </cell>
          <cell r="F981">
            <v>468</v>
          </cell>
        </row>
        <row r="982">
          <cell r="E982" t="str">
            <v>BRYANTXHoustonTX</v>
          </cell>
          <cell r="F982">
            <v>483</v>
          </cell>
        </row>
        <row r="983">
          <cell r="E983" t="str">
            <v>BRYANTXHASLETTX</v>
          </cell>
          <cell r="F983">
            <v>735</v>
          </cell>
        </row>
        <row r="984">
          <cell r="E984" t="str">
            <v>BRYANTXHOUSTONTX</v>
          </cell>
          <cell r="F984">
            <v>700</v>
          </cell>
        </row>
        <row r="985">
          <cell r="E985" t="str">
            <v>BRYANTXWILMERTX</v>
          </cell>
          <cell r="F985">
            <v>709</v>
          </cell>
        </row>
        <row r="986">
          <cell r="E986" t="str">
            <v>BRYANTXWYLIETX</v>
          </cell>
        </row>
        <row r="987">
          <cell r="E987" t="str">
            <v>BRYANTXDallasTX</v>
          </cell>
        </row>
        <row r="988">
          <cell r="E988" t="str">
            <v>BRYANTXWESLACOTX</v>
          </cell>
          <cell r="F988">
            <v>658</v>
          </cell>
        </row>
        <row r="989">
          <cell r="E989" t="str">
            <v>BUENA VISTAGAROCKFORDTN</v>
          </cell>
          <cell r="F989">
            <v>940</v>
          </cell>
        </row>
        <row r="990">
          <cell r="E990" t="str">
            <v>BUENA VISTAGATUNICAMS</v>
          </cell>
          <cell r="F990">
            <v>1100</v>
          </cell>
        </row>
        <row r="991">
          <cell r="E991" t="str">
            <v>BUENA VISTAGAMINERAL SPRINGSNC</v>
          </cell>
          <cell r="F991">
            <v>940</v>
          </cell>
        </row>
        <row r="992">
          <cell r="E992" t="str">
            <v>BUENA VISTAGAWEST MEMPHISAR</v>
          </cell>
          <cell r="F992">
            <v>1080</v>
          </cell>
        </row>
        <row r="993">
          <cell r="E993" t="str">
            <v>BUENA VISTAGATHOMASVILLENC</v>
          </cell>
          <cell r="F993">
            <v>1120</v>
          </cell>
        </row>
        <row r="994">
          <cell r="E994" t="str">
            <v>BUENA VISTAGAMEMPHISTN</v>
          </cell>
          <cell r="F994">
            <v>1070</v>
          </cell>
        </row>
        <row r="995">
          <cell r="E995" t="str">
            <v>BUENA VISTAGATALLULAHLA</v>
          </cell>
          <cell r="F995">
            <v>1110</v>
          </cell>
        </row>
        <row r="996">
          <cell r="E996" t="str">
            <v>BUENA VISTAGAMAYODANNC</v>
          </cell>
          <cell r="F996">
            <v>1210</v>
          </cell>
        </row>
        <row r="997">
          <cell r="E997" t="str">
            <v>BUENA VISTAGALOWELLNC</v>
          </cell>
          <cell r="F997">
            <v>930</v>
          </cell>
        </row>
        <row r="998">
          <cell r="E998" t="str">
            <v>BUENA VISTAGAKINSTONNC</v>
          </cell>
          <cell r="F998">
            <v>1340</v>
          </cell>
        </row>
        <row r="999">
          <cell r="E999" t="str">
            <v>BUENA VISTAGAEDENTONNC</v>
          </cell>
          <cell r="F999">
            <v>1520</v>
          </cell>
        </row>
        <row r="1000">
          <cell r="E1000" t="str">
            <v>BUENA VISTAGAMOCKSVILLENC</v>
          </cell>
          <cell r="F1000">
            <v>1090</v>
          </cell>
        </row>
        <row r="1001">
          <cell r="E1001" t="str">
            <v>BUENA VISTAGASTONEVILLENC</v>
          </cell>
          <cell r="F1001">
            <v>1220</v>
          </cell>
        </row>
        <row r="1002">
          <cell r="E1002" t="str">
            <v>BUENA VISTAGABELMONTNC</v>
          </cell>
          <cell r="F1002">
            <v>940</v>
          </cell>
        </row>
        <row r="1003">
          <cell r="E1003" t="str">
            <v>BUENA VISTAGAMONEYMS</v>
          </cell>
          <cell r="F1003">
            <v>1060</v>
          </cell>
        </row>
        <row r="1004">
          <cell r="E1004" t="str">
            <v>BUENA VISTAGAPORTSMOUTHVA</v>
          </cell>
          <cell r="F1004">
            <v>1610</v>
          </cell>
        </row>
        <row r="1005">
          <cell r="E1005" t="str">
            <v>BUENA VISTAGADREWMS</v>
          </cell>
          <cell r="F1005">
            <v>1110</v>
          </cell>
        </row>
        <row r="1006">
          <cell r="E1006" t="str">
            <v>BUENA VISTAGAROCKINGHAMNC</v>
          </cell>
          <cell r="F1006">
            <v>1000</v>
          </cell>
        </row>
        <row r="1007">
          <cell r="E1007" t="str">
            <v>BUENA VISTAGAINDIANOLAMS</v>
          </cell>
          <cell r="F1007">
            <v>1090</v>
          </cell>
        </row>
        <row r="1008">
          <cell r="E1008" t="str">
            <v>BUENA VISTAGARAYVILLELA</v>
          </cell>
          <cell r="F1008">
            <v>1190</v>
          </cell>
        </row>
        <row r="1009">
          <cell r="E1009" t="str">
            <v>BUENA VISTAGASHELBYNC</v>
          </cell>
          <cell r="F1009">
            <v>890</v>
          </cell>
        </row>
        <row r="1010">
          <cell r="E1010" t="str">
            <v>BUENA VISTAGASANFORDNC</v>
          </cell>
          <cell r="F1010">
            <v>1120</v>
          </cell>
        </row>
        <row r="1011">
          <cell r="E1011" t="str">
            <v>BUENA VISTAGAGASTONIANC</v>
          </cell>
          <cell r="F1011">
            <v>920</v>
          </cell>
        </row>
        <row r="1012">
          <cell r="E1012" t="str">
            <v>BUENA VISTAGABLYTHEVILLEAR</v>
          </cell>
          <cell r="F1012">
            <v>1220</v>
          </cell>
        </row>
        <row r="1013">
          <cell r="E1013" t="str">
            <v>BUENA VISTAGANEW ORLEANSLA</v>
          </cell>
          <cell r="F1013">
            <v>1110</v>
          </cell>
        </row>
        <row r="1014">
          <cell r="E1014" t="str">
            <v>BUENA VISTAGAMOBILEAL</v>
          </cell>
          <cell r="F1014">
            <v>800</v>
          </cell>
        </row>
        <row r="1015">
          <cell r="E1015" t="str">
            <v>BUENA VISTAGAROSSVILLETN</v>
          </cell>
          <cell r="F1015">
            <v>1050</v>
          </cell>
        </row>
        <row r="1016">
          <cell r="E1016" t="str">
            <v>BUENA VISTAGACENTREAL</v>
          </cell>
          <cell r="F1016">
            <v>600</v>
          </cell>
        </row>
        <row r="1017">
          <cell r="E1017" t="str">
            <v>BUENA VISTAGALEXINGTONNC</v>
          </cell>
          <cell r="F1017">
            <v>1090</v>
          </cell>
        </row>
        <row r="1018">
          <cell r="E1018" t="str">
            <v>BUENA VISTAGARABUN GAPGA</v>
          </cell>
          <cell r="F1018">
            <v>720</v>
          </cell>
        </row>
        <row r="1019">
          <cell r="E1019" t="str">
            <v>BUENA VISTAGANORFOLKVA</v>
          </cell>
          <cell r="F1019">
            <v>1630</v>
          </cell>
        </row>
        <row r="1020">
          <cell r="E1020" t="str">
            <v>BUENA VISTAGAGREENWOODMS</v>
          </cell>
          <cell r="F1020">
            <v>1020</v>
          </cell>
        </row>
        <row r="1021">
          <cell r="E1021" t="str">
            <v>BUENA VISTAGAMARIONAR</v>
          </cell>
          <cell r="F1021">
            <v>1090</v>
          </cell>
        </row>
        <row r="1022">
          <cell r="E1022" t="str">
            <v>BUENA VISTAGAMCCALLAAL</v>
          </cell>
          <cell r="F1022">
            <v>620</v>
          </cell>
        </row>
        <row r="1023">
          <cell r="E1023" t="str">
            <v>BUENA VISTAGAGRIFTONNC</v>
          </cell>
          <cell r="F1023">
            <v>1470</v>
          </cell>
        </row>
        <row r="1024">
          <cell r="E1024" t="str">
            <v>BUENA VISTAGAGULFPORTMS</v>
          </cell>
          <cell r="F1024">
            <v>1060</v>
          </cell>
        </row>
        <row r="1025">
          <cell r="E1025" t="str">
            <v>BUENA VISTAGAECLECTICAL</v>
          </cell>
          <cell r="F1025">
            <v>500</v>
          </cell>
        </row>
        <row r="1026">
          <cell r="E1026" t="str">
            <v>BUENA VISTAGAPORT WENTWORTHGA</v>
          </cell>
          <cell r="F1026">
            <v>770</v>
          </cell>
        </row>
        <row r="1027">
          <cell r="E1027" t="str">
            <v>BUENA VISTAGAGarden CityGA</v>
          </cell>
          <cell r="F1027">
            <v>760</v>
          </cell>
        </row>
        <row r="1028">
          <cell r="E1028" t="str">
            <v>BUENA VISTAGARINCONGA</v>
          </cell>
          <cell r="F1028">
            <v>780</v>
          </cell>
        </row>
        <row r="1029">
          <cell r="E1029" t="str">
            <v>BUENA VISTAGADAWSONGA</v>
          </cell>
          <cell r="F1029">
            <v>400</v>
          </cell>
        </row>
        <row r="1030">
          <cell r="E1030" t="str">
            <v>BUENA VISTAGACHARLOTTENC</v>
          </cell>
          <cell r="F1030">
            <v>960</v>
          </cell>
        </row>
        <row r="1031">
          <cell r="E1031" t="str">
            <v>BUENA VISTAGACLARKTONNC</v>
          </cell>
          <cell r="F1031">
            <v>1100</v>
          </cell>
        </row>
        <row r="1032">
          <cell r="E1032" t="str">
            <v>BUENA VISTAGAHICKORYNC</v>
          </cell>
          <cell r="F1032">
            <v>1000</v>
          </cell>
        </row>
        <row r="1033">
          <cell r="E1033" t="str">
            <v>BUENA VISTAGASALISBURYNC</v>
          </cell>
          <cell r="F1033">
            <v>1060</v>
          </cell>
        </row>
        <row r="1034">
          <cell r="E1034" t="str">
            <v>BUENA VISTAGAGREENWOODSC</v>
          </cell>
          <cell r="F1034">
            <v>670</v>
          </cell>
        </row>
        <row r="1035">
          <cell r="E1035" t="str">
            <v>BUENA VISTAGASPARTANC</v>
          </cell>
          <cell r="F1035">
            <v>1180</v>
          </cell>
        </row>
        <row r="1036">
          <cell r="E1036" t="str">
            <v>BUENA VISTAGAGREERSC</v>
          </cell>
          <cell r="F1036">
            <v>770</v>
          </cell>
        </row>
        <row r="1037">
          <cell r="E1037" t="str">
            <v>BUENA VISTAGAENOREESC</v>
          </cell>
          <cell r="F1037">
            <v>820</v>
          </cell>
        </row>
        <row r="1038">
          <cell r="E1038" t="str">
            <v>BUENA VISTAGAINDIAN LANDSC</v>
          </cell>
          <cell r="F1038">
            <v>940</v>
          </cell>
        </row>
        <row r="1039">
          <cell r="E1039" t="str">
            <v>BUENA VISTAGALUMBERTONNC</v>
          </cell>
          <cell r="F1039">
            <v>1050</v>
          </cell>
        </row>
        <row r="1040">
          <cell r="E1040" t="str">
            <v>BUENA VISTAGAGAFFNEYSC</v>
          </cell>
          <cell r="F1040">
            <v>850</v>
          </cell>
        </row>
        <row r="1041">
          <cell r="E1041" t="str">
            <v>BUENA VISTAGAERWINNC</v>
          </cell>
          <cell r="F1041">
            <v>1180</v>
          </cell>
        </row>
        <row r="1042">
          <cell r="E1042" t="str">
            <v>BUENA VISTAGAJACKSONVILLEFL</v>
          </cell>
          <cell r="F1042">
            <v>750</v>
          </cell>
        </row>
        <row r="1043">
          <cell r="E1043" t="str">
            <v>BUENA VISTAGACARTERSVILLEGA</v>
          </cell>
          <cell r="F1043">
            <v>600</v>
          </cell>
        </row>
        <row r="1044">
          <cell r="E1044" t="str">
            <v>BUENA VISTAGAGAINESVILLEGA</v>
          </cell>
          <cell r="F1044">
            <v>590</v>
          </cell>
        </row>
        <row r="1045">
          <cell r="E1045" t="str">
            <v>BUENA VISTAGAWESLACOTX</v>
          </cell>
          <cell r="F1045">
            <v>1576</v>
          </cell>
        </row>
        <row r="1046">
          <cell r="E1046" t="str">
            <v>CALDWELLTXHASLETTX</v>
          </cell>
          <cell r="F1046">
            <v>741</v>
          </cell>
        </row>
        <row r="1047">
          <cell r="E1047" t="str">
            <v>CALDWELLTXWILMERTX</v>
          </cell>
          <cell r="F1047">
            <v>772</v>
          </cell>
        </row>
        <row r="1048">
          <cell r="E1048" t="str">
            <v>CALDWELLTXWYLIETX</v>
          </cell>
        </row>
        <row r="1049">
          <cell r="E1049" t="str">
            <v>CALDWELLTXWESLACOTX</v>
          </cell>
          <cell r="F1049">
            <v>618</v>
          </cell>
        </row>
        <row r="1050">
          <cell r="E1050" t="str">
            <v>CAMERONSCROCKFORDTN</v>
          </cell>
          <cell r="F1050">
            <v>860</v>
          </cell>
        </row>
        <row r="1051">
          <cell r="E1051" t="str">
            <v>CAMERONSCDAWSONGA</v>
          </cell>
          <cell r="F1051">
            <v>930</v>
          </cell>
        </row>
        <row r="1052">
          <cell r="E1052" t="str">
            <v>CAMERONSCGREENWOODMS</v>
          </cell>
          <cell r="F1052">
            <v>1550</v>
          </cell>
        </row>
        <row r="1053">
          <cell r="E1053" t="str">
            <v>CAMERONSCTUNICAMS</v>
          </cell>
          <cell r="F1053">
            <v>1620</v>
          </cell>
        </row>
        <row r="1054">
          <cell r="E1054" t="str">
            <v>CAMERONSCKINSTONNC</v>
          </cell>
          <cell r="F1054">
            <v>750</v>
          </cell>
        </row>
        <row r="1055">
          <cell r="E1055" t="str">
            <v>CAMERONSCCENTREAL</v>
          </cell>
          <cell r="F1055">
            <v>940</v>
          </cell>
        </row>
        <row r="1056">
          <cell r="E1056" t="str">
            <v>CAMERONSCNEW ORLEANSLA</v>
          </cell>
          <cell r="F1056">
            <v>1740</v>
          </cell>
        </row>
        <row r="1057">
          <cell r="E1057" t="str">
            <v>CAMERONSCMARIONAR</v>
          </cell>
          <cell r="F1057">
            <v>1610</v>
          </cell>
        </row>
        <row r="1058">
          <cell r="E1058" t="str">
            <v>CAMERONSCMONEYMS</v>
          </cell>
          <cell r="F1058">
            <v>1590</v>
          </cell>
        </row>
        <row r="1059">
          <cell r="E1059" t="str">
            <v>CAMERONSCROSSVILLETN</v>
          </cell>
          <cell r="F1059">
            <v>1580</v>
          </cell>
        </row>
        <row r="1060">
          <cell r="E1060" t="str">
            <v>CAMERONSCDREWMS</v>
          </cell>
          <cell r="F1060">
            <v>1640</v>
          </cell>
        </row>
        <row r="1061">
          <cell r="E1061" t="str">
            <v>CAMERONSCCARTERSVILLEGA</v>
          </cell>
          <cell r="F1061">
            <v>820</v>
          </cell>
        </row>
        <row r="1062">
          <cell r="E1062" t="str">
            <v>CAMERONSCMCCALLAAL</v>
          </cell>
          <cell r="F1062">
            <v>1110</v>
          </cell>
        </row>
        <row r="1063">
          <cell r="E1063" t="str">
            <v>CAMERONSCWEST MEMPHISAR</v>
          </cell>
          <cell r="F1063">
            <v>1600</v>
          </cell>
        </row>
        <row r="1064">
          <cell r="E1064" t="str">
            <v>CAMERONSCRAYVILLELA</v>
          </cell>
          <cell r="F1064">
            <v>1800</v>
          </cell>
        </row>
        <row r="1065">
          <cell r="E1065" t="str">
            <v>CAMERONSCECLECTICAL</v>
          </cell>
          <cell r="F1065">
            <v>1050</v>
          </cell>
        </row>
        <row r="1066">
          <cell r="E1066" t="str">
            <v>CAMERONSCMOBILEAL</v>
          </cell>
          <cell r="F1066">
            <v>1430</v>
          </cell>
        </row>
        <row r="1067">
          <cell r="E1067" t="str">
            <v>CAMERONSCGAINESVILLEGA</v>
          </cell>
          <cell r="F1067">
            <v>700</v>
          </cell>
        </row>
        <row r="1068">
          <cell r="E1068" t="str">
            <v>CAMERONSCINDIANOLAMS</v>
          </cell>
          <cell r="F1068">
            <v>1620</v>
          </cell>
        </row>
        <row r="1069">
          <cell r="E1069" t="str">
            <v>CAMERONSCLEXINGTONNC</v>
          </cell>
          <cell r="F1069">
            <v>620</v>
          </cell>
        </row>
        <row r="1070">
          <cell r="E1070" t="str">
            <v>CAMERONSCMEMPHISTN</v>
          </cell>
          <cell r="F1070">
            <v>1590</v>
          </cell>
        </row>
        <row r="1071">
          <cell r="E1071" t="str">
            <v>CAMERONSCTHOMASVILLENC</v>
          </cell>
          <cell r="F1071">
            <v>640</v>
          </cell>
        </row>
        <row r="1072">
          <cell r="E1072" t="str">
            <v>CAMERONSCBLYTHEVILLEAR</v>
          </cell>
          <cell r="F1072">
            <v>1730</v>
          </cell>
        </row>
        <row r="1073">
          <cell r="E1073" t="str">
            <v>CAMERONSCTALLULAHLA</v>
          </cell>
          <cell r="F1073">
            <v>1720</v>
          </cell>
        </row>
        <row r="1074">
          <cell r="E1074" t="str">
            <v>CAMERONSCSANFORDNC</v>
          </cell>
          <cell r="F1074">
            <v>630</v>
          </cell>
        </row>
        <row r="1075">
          <cell r="E1075" t="str">
            <v>CAMERONSCRABUN GAPGA</v>
          </cell>
          <cell r="F1075">
            <v>700</v>
          </cell>
        </row>
        <row r="1076">
          <cell r="E1076" t="str">
            <v>CAMERONSCGREENWOODSC</v>
          </cell>
          <cell r="F1076">
            <v>520</v>
          </cell>
        </row>
        <row r="1077">
          <cell r="E1077" t="str">
            <v>CAMERONSCMOCKSVILLENC</v>
          </cell>
          <cell r="F1077">
            <v>630</v>
          </cell>
        </row>
        <row r="1078">
          <cell r="E1078" t="str">
            <v>CAMERONSCENOREESC</v>
          </cell>
          <cell r="F1078">
            <v>500</v>
          </cell>
        </row>
        <row r="1079">
          <cell r="E1079" t="str">
            <v>CAMERONSCGULFPORTMS</v>
          </cell>
          <cell r="F1079">
            <v>1690</v>
          </cell>
        </row>
        <row r="1080">
          <cell r="E1080" t="str">
            <v>CAMERONSCRINCONGA</v>
          </cell>
          <cell r="F1080">
            <v>620</v>
          </cell>
        </row>
        <row r="1081">
          <cell r="E1081" t="str">
            <v>CAMERONSCGarden CityGA</v>
          </cell>
          <cell r="F1081">
            <v>610</v>
          </cell>
        </row>
        <row r="1082">
          <cell r="E1082" t="str">
            <v>CAMERONSCPORT WENTWORTHGA</v>
          </cell>
          <cell r="F1082">
            <v>610</v>
          </cell>
        </row>
        <row r="1083">
          <cell r="E1083" t="str">
            <v>CAMERONSCINDIAN LANDSC</v>
          </cell>
          <cell r="F1083">
            <v>520</v>
          </cell>
        </row>
        <row r="1084">
          <cell r="E1084" t="str">
            <v>CAMERONSCMINERAL SPRINGSNC</v>
          </cell>
          <cell r="F1084">
            <v>520</v>
          </cell>
        </row>
        <row r="1085">
          <cell r="E1085" t="str">
            <v>CAMERONSCLUMBERTONNC</v>
          </cell>
          <cell r="F1085">
            <v>540</v>
          </cell>
        </row>
        <row r="1086">
          <cell r="E1086" t="str">
            <v>CAMERONSCROCKINGHAMNC</v>
          </cell>
          <cell r="F1086">
            <v>550</v>
          </cell>
        </row>
        <row r="1087">
          <cell r="E1087" t="str">
            <v>CAMERONSCMAYODANNC</v>
          </cell>
          <cell r="F1087">
            <v>710</v>
          </cell>
        </row>
        <row r="1088">
          <cell r="E1088" t="str">
            <v>CAMERONSCSTONEVILLENC</v>
          </cell>
          <cell r="F1088">
            <v>710</v>
          </cell>
        </row>
        <row r="1089">
          <cell r="E1089" t="str">
            <v>CAMERONSCNORFOLKVA</v>
          </cell>
          <cell r="F1089">
            <v>1040</v>
          </cell>
        </row>
        <row r="1090">
          <cell r="E1090" t="str">
            <v>CAMERONSCCHARLOTTENC</v>
          </cell>
          <cell r="F1090">
            <v>530</v>
          </cell>
        </row>
        <row r="1091">
          <cell r="E1091" t="str">
            <v>CAMERONSCBELMONTNC</v>
          </cell>
          <cell r="F1091">
            <v>540</v>
          </cell>
        </row>
        <row r="1092">
          <cell r="E1092" t="str">
            <v>CAMERONSCGREERSC</v>
          </cell>
          <cell r="F1092">
            <v>550</v>
          </cell>
        </row>
        <row r="1093">
          <cell r="E1093" t="str">
            <v>CAMERONSCPORTSMOUTHVA</v>
          </cell>
          <cell r="F1093">
            <v>1020</v>
          </cell>
        </row>
        <row r="1094">
          <cell r="E1094" t="str">
            <v>CAMERONSCLOWELLNC</v>
          </cell>
          <cell r="F1094">
            <v>550</v>
          </cell>
        </row>
        <row r="1095">
          <cell r="E1095" t="str">
            <v>CAMERONSCCLARKTONNC</v>
          </cell>
          <cell r="F1095">
            <v>570</v>
          </cell>
        </row>
        <row r="1096">
          <cell r="E1096" t="str">
            <v>CAMERONSCGASTONIANC</v>
          </cell>
          <cell r="F1096">
            <v>560</v>
          </cell>
        </row>
        <row r="1097">
          <cell r="E1097" t="str">
            <v>CAMERONSCJACKSONVILLEFL</v>
          </cell>
          <cell r="F1097">
            <v>720</v>
          </cell>
        </row>
        <row r="1098">
          <cell r="E1098" t="str">
            <v>CAMERONSCSPARTANC</v>
          </cell>
          <cell r="F1098">
            <v>690</v>
          </cell>
        </row>
        <row r="1099">
          <cell r="E1099" t="str">
            <v>CAMERONSCGAFFNEYSC</v>
          </cell>
          <cell r="F1099">
            <v>560</v>
          </cell>
        </row>
        <row r="1100">
          <cell r="E1100" t="str">
            <v>CAMERONSCEDENTONNC</v>
          </cell>
          <cell r="F1100">
            <v>930</v>
          </cell>
        </row>
        <row r="1101">
          <cell r="E1101" t="str">
            <v>CAMERONSCGRIFTONNC</v>
          </cell>
          <cell r="F1101">
            <v>880</v>
          </cell>
        </row>
        <row r="1102">
          <cell r="E1102" t="str">
            <v>CAMERONSCSHELBYNC</v>
          </cell>
          <cell r="F1102">
            <v>590</v>
          </cell>
        </row>
        <row r="1103">
          <cell r="E1103" t="str">
            <v>CAMERONSCSALISBURYNC</v>
          </cell>
          <cell r="F1103">
            <v>600</v>
          </cell>
        </row>
        <row r="1104">
          <cell r="E1104" t="str">
            <v>CAMERONSCERWINNC</v>
          </cell>
          <cell r="F1104">
            <v>630</v>
          </cell>
        </row>
        <row r="1105">
          <cell r="E1105" t="str">
            <v>CAMERONSCHICKORYNC</v>
          </cell>
          <cell r="F1105">
            <v>610</v>
          </cell>
        </row>
        <row r="1106">
          <cell r="E1106" t="str">
            <v>CAMILLAGAWESLACOTX</v>
          </cell>
          <cell r="F1106">
            <v>1471</v>
          </cell>
        </row>
        <row r="1107">
          <cell r="E1107" t="str">
            <v>CARUTHERSVILLEMOGRIFTONNC</v>
          </cell>
          <cell r="F1107">
            <v>2280</v>
          </cell>
        </row>
        <row r="1108">
          <cell r="E1108" t="str">
            <v>CARUTHERSVILLEMOROCKINGHAMNC</v>
          </cell>
          <cell r="F1108">
            <v>1830</v>
          </cell>
        </row>
        <row r="1109">
          <cell r="E1109" t="str">
            <v>CARUTHERSVILLEMOSALISBURYNC</v>
          </cell>
          <cell r="F1109">
            <v>1690</v>
          </cell>
        </row>
        <row r="1110">
          <cell r="E1110" t="str">
            <v>CARUTHERSVILLEMOJACKSONVILLEFL</v>
          </cell>
          <cell r="F1110">
            <v>2070</v>
          </cell>
        </row>
        <row r="1111">
          <cell r="E1111" t="str">
            <v>CARUTHERSVILLEMOBELMONTNC</v>
          </cell>
          <cell r="F1111">
            <v>1630</v>
          </cell>
        </row>
        <row r="1112">
          <cell r="E1112" t="str">
            <v>CARUTHERSVILLEMOMINERAL SPRINGSNC</v>
          </cell>
          <cell r="F1112">
            <v>1710</v>
          </cell>
        </row>
        <row r="1113">
          <cell r="E1113" t="str">
            <v>CARUTHERSVILLEMOMCCALLAAL</v>
          </cell>
          <cell r="F1113">
            <v>1010</v>
          </cell>
        </row>
        <row r="1114">
          <cell r="E1114" t="str">
            <v>CARUTHERSVILLEMOECLECTICAL</v>
          </cell>
          <cell r="F1114">
            <v>1150</v>
          </cell>
        </row>
        <row r="1115">
          <cell r="E1115" t="str">
            <v>CARUTHERSVILLEMOMOCKSVILLENC</v>
          </cell>
          <cell r="F1115">
            <v>1670</v>
          </cell>
        </row>
        <row r="1116">
          <cell r="E1116" t="str">
            <v>CARUTHERSVILLEMOROCKFORDTN</v>
          </cell>
          <cell r="F1116">
            <v>1150</v>
          </cell>
        </row>
        <row r="1117">
          <cell r="E1117" t="str">
            <v>CARUTHERSVILLEMOMONEYMS</v>
          </cell>
          <cell r="F1117">
            <v>800</v>
          </cell>
        </row>
        <row r="1118">
          <cell r="E1118" t="str">
            <v>CARUTHERSVILLEMOGREENWOODMS</v>
          </cell>
          <cell r="F1118">
            <v>830</v>
          </cell>
        </row>
        <row r="1119">
          <cell r="E1119" t="str">
            <v>CARUTHERSVILLEMODREWMS</v>
          </cell>
          <cell r="F1119">
            <v>770</v>
          </cell>
        </row>
        <row r="1120">
          <cell r="E1120" t="str">
            <v>CARUTHERSVILLEMOEDENTONNC</v>
          </cell>
          <cell r="F1120">
            <v>2270</v>
          </cell>
        </row>
        <row r="1121">
          <cell r="E1121" t="str">
            <v>CARUTHERSVILLEMONEW ORLEANSLA</v>
          </cell>
          <cell r="F1121">
            <v>1390</v>
          </cell>
        </row>
        <row r="1122">
          <cell r="E1122" t="str">
            <v>CARUTHERSVILLEMOKINSTONNC</v>
          </cell>
          <cell r="F1122">
            <v>2140</v>
          </cell>
        </row>
        <row r="1123">
          <cell r="E1123" t="str">
            <v>CARUTHERSVILLEMOROSSVILLETN</v>
          </cell>
          <cell r="F1123">
            <v>630</v>
          </cell>
        </row>
        <row r="1124">
          <cell r="E1124" t="str">
            <v>CARUTHERSVILLEMOMEMPHISTN</v>
          </cell>
          <cell r="F1124">
            <v>620</v>
          </cell>
        </row>
        <row r="1125">
          <cell r="E1125" t="str">
            <v>CARUTHERSVILLEMOWEST MEMPHISAR</v>
          </cell>
          <cell r="F1125">
            <v>600</v>
          </cell>
        </row>
        <row r="1126">
          <cell r="E1126" t="str">
            <v>CARUTHERSVILLEMOTUNICAMS</v>
          </cell>
          <cell r="F1126">
            <v>670</v>
          </cell>
        </row>
        <row r="1127">
          <cell r="E1127" t="str">
            <v>CARUTHERSVILLEMOGULFPORTMS</v>
          </cell>
          <cell r="F1127">
            <v>1420</v>
          </cell>
        </row>
        <row r="1128">
          <cell r="E1128" t="str">
            <v>CARUTHERSVILLEMOMARIONAR</v>
          </cell>
          <cell r="F1128">
            <v>590</v>
          </cell>
        </row>
        <row r="1129">
          <cell r="E1129" t="str">
            <v>CARUTHERSVILLEMOINDIANOLAMS</v>
          </cell>
          <cell r="F1129">
            <v>810</v>
          </cell>
        </row>
        <row r="1130">
          <cell r="E1130" t="str">
            <v>CARUTHERSVILLEMOBLYTHEVILLEAR</v>
          </cell>
          <cell r="F1130">
            <v>510</v>
          </cell>
        </row>
        <row r="1131">
          <cell r="E1131" t="str">
            <v>CARUTHERSVILLEMOMOBILEAL</v>
          </cell>
          <cell r="F1131">
            <v>1380</v>
          </cell>
        </row>
        <row r="1132">
          <cell r="E1132" t="str">
            <v>CARUTHERSVILLEMOCHARLOTTENC</v>
          </cell>
          <cell r="F1132">
            <v>1660</v>
          </cell>
        </row>
        <row r="1133">
          <cell r="E1133" t="str">
            <v>CARUTHERSVILLEMOGarden CityGA</v>
          </cell>
          <cell r="F1133">
            <v>1940</v>
          </cell>
        </row>
        <row r="1134">
          <cell r="E1134" t="str">
            <v>CARUTHERSVILLEMOSPARTANC</v>
          </cell>
          <cell r="F1134">
            <v>1640</v>
          </cell>
        </row>
        <row r="1135">
          <cell r="E1135" t="str">
            <v>CARUTHERSVILLEMOGREERSC</v>
          </cell>
          <cell r="F1135">
            <v>1520</v>
          </cell>
        </row>
        <row r="1136">
          <cell r="E1136" t="str">
            <v>CARUTHERSVILLEMOCARTERSVILLEGA</v>
          </cell>
          <cell r="F1136">
            <v>1190</v>
          </cell>
        </row>
        <row r="1137">
          <cell r="E1137" t="str">
            <v>CARUTHERSVILLEMOTALLULAHLA</v>
          </cell>
          <cell r="F1137">
            <v>1110</v>
          </cell>
        </row>
        <row r="1138">
          <cell r="E1138" t="str">
            <v>CARUTHERSVILLEMONORFOLKVA</v>
          </cell>
          <cell r="F1138">
            <v>2320</v>
          </cell>
        </row>
        <row r="1139">
          <cell r="E1139" t="str">
            <v>CARUTHERSVILLEMOGAFFNEYSC</v>
          </cell>
          <cell r="F1139">
            <v>1570</v>
          </cell>
        </row>
        <row r="1140">
          <cell r="E1140" t="str">
            <v>CARUTHERSVILLEMOENOREESC</v>
          </cell>
          <cell r="F1140">
            <v>1570</v>
          </cell>
        </row>
        <row r="1141">
          <cell r="E1141" t="str">
            <v>CARUTHERSVILLEMOPORTSMOUTHVA</v>
          </cell>
          <cell r="F1141">
            <v>2300</v>
          </cell>
        </row>
        <row r="1142">
          <cell r="E1142" t="str">
            <v>CARUTHERSVILLEMOSHELBYNC</v>
          </cell>
          <cell r="F1142">
            <v>1560</v>
          </cell>
        </row>
        <row r="1143">
          <cell r="E1143" t="str">
            <v>CARUTHERSVILLEMOGREENWOODSC</v>
          </cell>
          <cell r="F1143">
            <v>1590</v>
          </cell>
        </row>
        <row r="1144">
          <cell r="E1144" t="str">
            <v>CARUTHERSVILLEMOHICKORYNC</v>
          </cell>
          <cell r="F1144">
            <v>1570</v>
          </cell>
        </row>
        <row r="1145">
          <cell r="E1145" t="str">
            <v>CARUTHERSVILLEMOGASTONIANC</v>
          </cell>
          <cell r="F1145">
            <v>1610</v>
          </cell>
        </row>
        <row r="1146">
          <cell r="E1146" t="str">
            <v>CARUTHERSVILLEMOLOWELLNC</v>
          </cell>
          <cell r="F1146">
            <v>1620</v>
          </cell>
        </row>
        <row r="1147">
          <cell r="E1147" t="str">
            <v>CARUTHERSVILLEMOLUMBERTONNC</v>
          </cell>
          <cell r="F1147">
            <v>1960</v>
          </cell>
        </row>
        <row r="1148">
          <cell r="E1148" t="str">
            <v>CARUTHERSVILLEMODAWSONGA</v>
          </cell>
          <cell r="F1148">
            <v>1420</v>
          </cell>
        </row>
        <row r="1149">
          <cell r="E1149" t="str">
            <v>CARUTHERSVILLEMORABUN GAPGA</v>
          </cell>
          <cell r="F1149">
            <v>1420</v>
          </cell>
        </row>
        <row r="1150">
          <cell r="E1150" t="str">
            <v>CARUTHERSVILLEMOPORT WENTWORTHGA</v>
          </cell>
          <cell r="F1150">
            <v>1960</v>
          </cell>
        </row>
        <row r="1151">
          <cell r="E1151" t="str">
            <v>CARUTHERSVILLEMORAYVILLELA</v>
          </cell>
          <cell r="F1151">
            <v>1050</v>
          </cell>
        </row>
        <row r="1152">
          <cell r="E1152" t="str">
            <v>CARUTHERSVILLEMORINCONGA</v>
          </cell>
          <cell r="F1152">
            <v>1970</v>
          </cell>
        </row>
        <row r="1153">
          <cell r="E1153" t="str">
            <v>CARUTHERSVILLEMOCLARKTONNC</v>
          </cell>
          <cell r="F1153">
            <v>2010</v>
          </cell>
        </row>
        <row r="1154">
          <cell r="E1154" t="str">
            <v>CARUTHERSVILLEMOCENTREAL</v>
          </cell>
          <cell r="F1154">
            <v>1000</v>
          </cell>
        </row>
        <row r="1155">
          <cell r="E1155" t="str">
            <v>CARUTHERSVILLEMOERWINNC</v>
          </cell>
          <cell r="F1155">
            <v>1980</v>
          </cell>
        </row>
        <row r="1156">
          <cell r="E1156" t="str">
            <v>CARUTHERSVILLEMOINDIAN LANDSC</v>
          </cell>
          <cell r="F1156">
            <v>1690</v>
          </cell>
        </row>
        <row r="1157">
          <cell r="E1157" t="str">
            <v>CARUTHERSVILLEMOGAINESVILLEGA</v>
          </cell>
          <cell r="F1157">
            <v>1370</v>
          </cell>
        </row>
        <row r="1158">
          <cell r="E1158" t="str">
            <v>CARUTHERSVILLEMOLEXINGTONNC</v>
          </cell>
          <cell r="F1158">
            <v>1710</v>
          </cell>
        </row>
        <row r="1159">
          <cell r="E1159" t="str">
            <v>CARUTHERSVILLEMOSANFORDNC</v>
          </cell>
          <cell r="F1159">
            <v>1900</v>
          </cell>
        </row>
        <row r="1160">
          <cell r="E1160" t="str">
            <v>CARUTHERSVILLEMOTHOMASVILLENC</v>
          </cell>
          <cell r="F1160">
            <v>1740</v>
          </cell>
        </row>
        <row r="1161">
          <cell r="E1161" t="str">
            <v>CARUTHERSVILLEMOSTONEVILLENC</v>
          </cell>
          <cell r="F1161">
            <v>1800</v>
          </cell>
        </row>
        <row r="1162">
          <cell r="E1162" t="str">
            <v>CARUTHERSVILLEMOMAYODANNC</v>
          </cell>
          <cell r="F1162">
            <v>1790</v>
          </cell>
        </row>
        <row r="1163">
          <cell r="E1163" t="str">
            <v>CARUTHERSVILLEMOWESLACOTX</v>
          </cell>
          <cell r="F1163">
            <v>1972</v>
          </cell>
        </row>
        <row r="1164">
          <cell r="E1164" t="str">
            <v>CENTREALROCKFORDTN</v>
          </cell>
          <cell r="F1164">
            <v>630</v>
          </cell>
        </row>
        <row r="1165">
          <cell r="E1165" t="str">
            <v>CENTREALSHELBYNC</v>
          </cell>
          <cell r="F1165">
            <v>820</v>
          </cell>
        </row>
        <row r="1166">
          <cell r="E1166" t="str">
            <v>CENTREALGASTONIANC</v>
          </cell>
          <cell r="F1166">
            <v>850</v>
          </cell>
        </row>
        <row r="1167">
          <cell r="E1167" t="str">
            <v>CENTREALSPARTANC</v>
          </cell>
          <cell r="F1167">
            <v>1080</v>
          </cell>
        </row>
        <row r="1168">
          <cell r="E1168" t="str">
            <v>CENTREALHICKORYNC</v>
          </cell>
          <cell r="F1168">
            <v>930</v>
          </cell>
        </row>
        <row r="1169">
          <cell r="E1169" t="str">
            <v>CENTREALMINERAL SPRINGSNC</v>
          </cell>
          <cell r="F1169">
            <v>960</v>
          </cell>
        </row>
        <row r="1170">
          <cell r="E1170" t="str">
            <v>CENTREALMEMPHISTN</v>
          </cell>
          <cell r="F1170">
            <v>870</v>
          </cell>
        </row>
        <row r="1171">
          <cell r="E1171" t="str">
            <v>CENTREALCHARLOTTENC</v>
          </cell>
          <cell r="F1171">
            <v>900</v>
          </cell>
        </row>
        <row r="1172">
          <cell r="E1172" t="str">
            <v>CENTREALLEXINGTONNC</v>
          </cell>
          <cell r="F1172">
            <v>1030</v>
          </cell>
        </row>
        <row r="1173">
          <cell r="E1173" t="str">
            <v>CENTREALTALLULAHLA</v>
          </cell>
          <cell r="F1173">
            <v>1010</v>
          </cell>
        </row>
        <row r="1174">
          <cell r="E1174" t="str">
            <v>CENTREALBLYTHEVILLEAR</v>
          </cell>
          <cell r="F1174">
            <v>1020</v>
          </cell>
        </row>
        <row r="1175">
          <cell r="E1175" t="str">
            <v>CENTREALTHOMASVILLENC</v>
          </cell>
          <cell r="F1175">
            <v>1060</v>
          </cell>
        </row>
        <row r="1176">
          <cell r="E1176" t="str">
            <v>CENTREALMONEYMS</v>
          </cell>
          <cell r="F1176">
            <v>880</v>
          </cell>
        </row>
        <row r="1177">
          <cell r="E1177" t="str">
            <v>CENTREALMAYODANNC</v>
          </cell>
          <cell r="F1177">
            <v>1150</v>
          </cell>
        </row>
        <row r="1178">
          <cell r="E1178" t="str">
            <v>CENTREALLOWELLNC</v>
          </cell>
          <cell r="F1178">
            <v>870</v>
          </cell>
        </row>
        <row r="1179">
          <cell r="E1179" t="str">
            <v>CENTREALDAWSONGA</v>
          </cell>
          <cell r="F1179">
            <v>670</v>
          </cell>
        </row>
        <row r="1180">
          <cell r="E1180" t="str">
            <v>CENTREALNEW ORLEANSLA</v>
          </cell>
          <cell r="F1180">
            <v>1110</v>
          </cell>
        </row>
        <row r="1181">
          <cell r="E1181" t="str">
            <v>CENTREALRAYVILLELA</v>
          </cell>
          <cell r="F1181">
            <v>1090</v>
          </cell>
        </row>
        <row r="1182">
          <cell r="E1182" t="str">
            <v>CENTREALMOCKSVILLENC</v>
          </cell>
          <cell r="F1182">
            <v>1020</v>
          </cell>
        </row>
        <row r="1183">
          <cell r="E1183" t="str">
            <v>CENTREALSTONEVILLENC</v>
          </cell>
          <cell r="F1183">
            <v>1150</v>
          </cell>
        </row>
        <row r="1184">
          <cell r="E1184" t="str">
            <v>CENTREALBELMONTNC</v>
          </cell>
          <cell r="F1184">
            <v>870</v>
          </cell>
        </row>
        <row r="1185">
          <cell r="E1185" t="str">
            <v>CENTREALMARIONAR</v>
          </cell>
          <cell r="F1185">
            <v>890</v>
          </cell>
        </row>
        <row r="1186">
          <cell r="E1186" t="str">
            <v>CENTREALKINSTONNC</v>
          </cell>
          <cell r="F1186">
            <v>1440</v>
          </cell>
        </row>
        <row r="1187">
          <cell r="E1187" t="str">
            <v>CENTREALSANFORDNC</v>
          </cell>
          <cell r="F1187">
            <v>1190</v>
          </cell>
        </row>
        <row r="1188">
          <cell r="E1188" t="str">
            <v>CENTREALTUNICAMS</v>
          </cell>
          <cell r="F1188">
            <v>900</v>
          </cell>
        </row>
        <row r="1189">
          <cell r="E1189" t="str">
            <v>CENTREALSALISBURYNC</v>
          </cell>
          <cell r="F1189">
            <v>990</v>
          </cell>
        </row>
        <row r="1190">
          <cell r="E1190" t="str">
            <v>CENTREALWEST MEMPHISAR</v>
          </cell>
          <cell r="F1190">
            <v>880</v>
          </cell>
        </row>
        <row r="1191">
          <cell r="E1191" t="str">
            <v>CENTREALECLECTICAL</v>
          </cell>
          <cell r="F1191">
            <v>530</v>
          </cell>
        </row>
        <row r="1192">
          <cell r="E1192" t="str">
            <v>CENTREALGAINESVILLEGA</v>
          </cell>
          <cell r="F1192">
            <v>550</v>
          </cell>
        </row>
        <row r="1193">
          <cell r="E1193" t="str">
            <v>CENTREALGarden CityGA</v>
          </cell>
          <cell r="F1193">
            <v>1000</v>
          </cell>
        </row>
        <row r="1194">
          <cell r="E1194" t="str">
            <v>CENTREALMCCALLAAL</v>
          </cell>
          <cell r="F1194">
            <v>490</v>
          </cell>
        </row>
        <row r="1195">
          <cell r="E1195" t="str">
            <v>CENTREALRINCONGA</v>
          </cell>
          <cell r="F1195">
            <v>1030</v>
          </cell>
        </row>
        <row r="1196">
          <cell r="E1196" t="str">
            <v>CENTREALPORT WENTWORTHGA</v>
          </cell>
          <cell r="F1196">
            <v>1020</v>
          </cell>
        </row>
        <row r="1197">
          <cell r="E1197" t="str">
            <v>CENTREALGULFPORTMS</v>
          </cell>
          <cell r="F1197">
            <v>1120</v>
          </cell>
        </row>
        <row r="1198">
          <cell r="E1198" t="str">
            <v>CENTREALCARTERSVILLEGA</v>
          </cell>
          <cell r="F1198">
            <v>420</v>
          </cell>
        </row>
        <row r="1199">
          <cell r="E1199" t="str">
            <v>CENTREALROSSVILLETN</v>
          </cell>
          <cell r="F1199">
            <v>740</v>
          </cell>
        </row>
        <row r="1200">
          <cell r="E1200" t="str">
            <v>CENTREALMOBILEAL</v>
          </cell>
          <cell r="F1200">
            <v>910</v>
          </cell>
        </row>
        <row r="1201">
          <cell r="E1201" t="str">
            <v>CENTREALGREENWOODSC</v>
          </cell>
          <cell r="F1201">
            <v>700</v>
          </cell>
        </row>
        <row r="1202">
          <cell r="E1202" t="str">
            <v>CENTREALINDIAN LANDSC</v>
          </cell>
          <cell r="F1202">
            <v>930</v>
          </cell>
        </row>
        <row r="1203">
          <cell r="E1203" t="str">
            <v>CENTREALJACKSONVILLEFL</v>
          </cell>
          <cell r="F1203">
            <v>1140</v>
          </cell>
        </row>
        <row r="1204">
          <cell r="E1204" t="str">
            <v>CENTREALENOREESC</v>
          </cell>
          <cell r="F1204">
            <v>760</v>
          </cell>
        </row>
        <row r="1205">
          <cell r="E1205" t="str">
            <v>CENTREALGREERSC</v>
          </cell>
          <cell r="F1205">
            <v>710</v>
          </cell>
        </row>
        <row r="1206">
          <cell r="E1206" t="str">
            <v>CENTREALGRIFTONNC</v>
          </cell>
          <cell r="F1206">
            <v>1580</v>
          </cell>
        </row>
        <row r="1207">
          <cell r="E1207" t="str">
            <v>CENTREALGAFFNEYSC</v>
          </cell>
          <cell r="F1207">
            <v>780</v>
          </cell>
        </row>
        <row r="1208">
          <cell r="E1208" t="str">
            <v>CENTREALRABUN GAPGA</v>
          </cell>
          <cell r="F1208">
            <v>670</v>
          </cell>
        </row>
        <row r="1209">
          <cell r="E1209" t="str">
            <v>CENTREALNORFOLKVA</v>
          </cell>
          <cell r="F1209">
            <v>1650</v>
          </cell>
        </row>
        <row r="1210">
          <cell r="E1210" t="str">
            <v>CENTREALPORTSMOUTHVA</v>
          </cell>
          <cell r="F1210">
            <v>1620</v>
          </cell>
        </row>
        <row r="1211">
          <cell r="E1211" t="str">
            <v>CENTREALROCKINGHAMNC</v>
          </cell>
          <cell r="F1211">
            <v>1070</v>
          </cell>
        </row>
        <row r="1212">
          <cell r="E1212" t="str">
            <v>CENTREALLUMBERTONNC</v>
          </cell>
          <cell r="F1212">
            <v>1160</v>
          </cell>
        </row>
        <row r="1213">
          <cell r="E1213" t="str">
            <v>CENTREALGREENWOODMS</v>
          </cell>
          <cell r="F1213">
            <v>840</v>
          </cell>
        </row>
        <row r="1214">
          <cell r="E1214" t="str">
            <v>CENTREALEDENTONNC</v>
          </cell>
          <cell r="F1214">
            <v>1590</v>
          </cell>
        </row>
        <row r="1215">
          <cell r="E1215" t="str">
            <v>CENTREALCLARKTONNC</v>
          </cell>
          <cell r="F1215">
            <v>1210</v>
          </cell>
        </row>
        <row r="1216">
          <cell r="E1216" t="str">
            <v>CENTREALERWINNC</v>
          </cell>
          <cell r="F1216">
            <v>1290</v>
          </cell>
        </row>
        <row r="1217">
          <cell r="E1217" t="str">
            <v>CENTREALINDIANOLAMS</v>
          </cell>
          <cell r="F1217">
            <v>910</v>
          </cell>
        </row>
        <row r="1218">
          <cell r="E1218" t="str">
            <v>CENTREALDREWMS</v>
          </cell>
          <cell r="F1218">
            <v>930</v>
          </cell>
        </row>
        <row r="1219">
          <cell r="E1219" t="str">
            <v>CHENEYVILLELABaytownTX</v>
          </cell>
          <cell r="F1219">
            <v>719</v>
          </cell>
        </row>
        <row r="1220">
          <cell r="E1220" t="str">
            <v>CHENEYVILLELAHoustonTX</v>
          </cell>
          <cell r="F1220">
            <v>736</v>
          </cell>
        </row>
        <row r="1221">
          <cell r="E1221" t="str">
            <v>CLARKSDALEMSROCKFORDTN</v>
          </cell>
          <cell r="F1221">
            <v>1210</v>
          </cell>
        </row>
        <row r="1222">
          <cell r="E1222" t="str">
            <v>CLARKSDALEMSGAFFNEYSC</v>
          </cell>
          <cell r="F1222">
            <v>1470</v>
          </cell>
        </row>
        <row r="1223">
          <cell r="E1223" t="str">
            <v>CLARKSDALEMSMINERAL SPRINGSNC</v>
          </cell>
          <cell r="F1223">
            <v>1650</v>
          </cell>
        </row>
        <row r="1224">
          <cell r="E1224" t="str">
            <v>CLARKSDALEMSLUMBERTONNC</v>
          </cell>
          <cell r="F1224">
            <v>1840</v>
          </cell>
        </row>
        <row r="1225">
          <cell r="E1225" t="str">
            <v>CLARKSDALEMSLEXINGTONNC</v>
          </cell>
          <cell r="F1225">
            <v>1720</v>
          </cell>
        </row>
        <row r="1226">
          <cell r="E1226" t="str">
            <v>CLARKSDALEMSKINSTONNC</v>
          </cell>
          <cell r="F1226">
            <v>2130</v>
          </cell>
        </row>
        <row r="1227">
          <cell r="E1227" t="str">
            <v>CLARKSDALEMSINDIAN LANDSC</v>
          </cell>
          <cell r="F1227">
            <v>1620</v>
          </cell>
        </row>
        <row r="1228">
          <cell r="E1228" t="str">
            <v>CLARKSDALEMSSPARTANC</v>
          </cell>
          <cell r="F1228">
            <v>1700</v>
          </cell>
        </row>
        <row r="1229">
          <cell r="E1229" t="str">
            <v>CLARKSDALEMSHICKORYNC</v>
          </cell>
          <cell r="F1229">
            <v>1630</v>
          </cell>
        </row>
        <row r="1230">
          <cell r="E1230" t="str">
            <v>CLARKSDALEMSMAYODANNC</v>
          </cell>
          <cell r="F1230">
            <v>1860</v>
          </cell>
        </row>
        <row r="1231">
          <cell r="E1231" t="str">
            <v>CLARKSDALEMSGREENWOODSC</v>
          </cell>
          <cell r="F1231">
            <v>1380</v>
          </cell>
        </row>
        <row r="1232">
          <cell r="E1232" t="str">
            <v>CLARKSDALEMSMCCALLAAL</v>
          </cell>
          <cell r="F1232">
            <v>740</v>
          </cell>
        </row>
        <row r="1233">
          <cell r="E1233" t="str">
            <v>CLARKSDALEMSTHOMASVILLENC</v>
          </cell>
          <cell r="F1233">
            <v>1750</v>
          </cell>
        </row>
        <row r="1234">
          <cell r="E1234" t="str">
            <v>CLARKSDALEMSENOREESC</v>
          </cell>
          <cell r="F1234">
            <v>1450</v>
          </cell>
        </row>
        <row r="1235">
          <cell r="E1235" t="str">
            <v>CLARKSDALEMSGREERSC</v>
          </cell>
          <cell r="F1235">
            <v>1400</v>
          </cell>
        </row>
        <row r="1236">
          <cell r="E1236" t="str">
            <v>CLARKSDALEMSLOWELLNC</v>
          </cell>
          <cell r="F1236">
            <v>1560</v>
          </cell>
        </row>
        <row r="1237">
          <cell r="E1237" t="str">
            <v>CLARKSDALEMSJACKSONVILLEFL</v>
          </cell>
          <cell r="F1237">
            <v>1690</v>
          </cell>
        </row>
        <row r="1238">
          <cell r="E1238" t="str">
            <v>CLARKSDALEMSSTONEVILLENC</v>
          </cell>
          <cell r="F1238">
            <v>1870</v>
          </cell>
        </row>
        <row r="1239">
          <cell r="E1239" t="str">
            <v>CLARKSDALEMSBELMONTNC</v>
          </cell>
          <cell r="F1239">
            <v>1560</v>
          </cell>
        </row>
        <row r="1240">
          <cell r="E1240" t="str">
            <v>CLARKSDALEMSERWINNC</v>
          </cell>
          <cell r="F1240">
            <v>1970</v>
          </cell>
        </row>
        <row r="1241">
          <cell r="E1241" t="str">
            <v>CLARKSDALEMSSANFORDNC</v>
          </cell>
          <cell r="F1241">
            <v>1880</v>
          </cell>
        </row>
        <row r="1242">
          <cell r="E1242" t="str">
            <v>CLARKSDALEMSMOCKSVILLENC</v>
          </cell>
          <cell r="F1242">
            <v>1730</v>
          </cell>
        </row>
        <row r="1243">
          <cell r="E1243" t="str">
            <v>CLARKSDALEMSSALISBURYNC</v>
          </cell>
          <cell r="F1243">
            <v>1680</v>
          </cell>
        </row>
        <row r="1244">
          <cell r="E1244" t="str">
            <v>CLARKSDALEMSROCKINGHAMNC</v>
          </cell>
          <cell r="F1244">
            <v>1760</v>
          </cell>
        </row>
        <row r="1245">
          <cell r="E1245" t="str">
            <v>CLARKSDALEMSCLARKTONNC</v>
          </cell>
          <cell r="F1245">
            <v>1890</v>
          </cell>
        </row>
        <row r="1246">
          <cell r="E1246" t="str">
            <v>CLARKSDALEMSSHELBYNC</v>
          </cell>
          <cell r="F1246">
            <v>1510</v>
          </cell>
        </row>
        <row r="1247">
          <cell r="E1247" t="str">
            <v>CLARKSDALEMSCHARLOTTENC</v>
          </cell>
          <cell r="F1247">
            <v>1590</v>
          </cell>
        </row>
        <row r="1248">
          <cell r="E1248" t="str">
            <v>CLARKSDALEMSGASTONIANC</v>
          </cell>
          <cell r="F1248">
            <v>1540</v>
          </cell>
        </row>
        <row r="1249">
          <cell r="E1249" t="str">
            <v>CLARKSDALEMSRAYVILLELA</v>
          </cell>
          <cell r="F1249">
            <v>580</v>
          </cell>
        </row>
        <row r="1250">
          <cell r="E1250" t="str">
            <v>CLARKSDALEMSROSSVILLETN</v>
          </cell>
          <cell r="F1250">
            <v>480</v>
          </cell>
        </row>
        <row r="1251">
          <cell r="E1251" t="str">
            <v>CLARKSDALEMSTALLULAHLA</v>
          </cell>
          <cell r="F1251">
            <v>560</v>
          </cell>
        </row>
        <row r="1252">
          <cell r="E1252" t="str">
            <v>CLARKSDALEMSWEST MEMPHISAR</v>
          </cell>
          <cell r="F1252">
            <v>440</v>
          </cell>
        </row>
        <row r="1253">
          <cell r="E1253" t="str">
            <v>CLARKSDALEMSGULFPORTMS</v>
          </cell>
          <cell r="F1253">
            <v>940</v>
          </cell>
        </row>
        <row r="1254">
          <cell r="E1254" t="str">
            <v>CLARKSDALEMSMARIONAR</v>
          </cell>
          <cell r="F1254">
            <v>450</v>
          </cell>
        </row>
        <row r="1255">
          <cell r="E1255" t="str">
            <v>CLARKSDALEMSINDIANOLAMS</v>
          </cell>
          <cell r="F1255">
            <v>410</v>
          </cell>
        </row>
        <row r="1256">
          <cell r="E1256" t="str">
            <v>CLARKSDALEMSGREENWOODMS</v>
          </cell>
          <cell r="F1256">
            <v>410</v>
          </cell>
        </row>
        <row r="1257">
          <cell r="E1257" t="str">
            <v>CLARKSDALEMSGRIFTONNC</v>
          </cell>
          <cell r="F1257">
            <v>2260</v>
          </cell>
        </row>
        <row r="1258">
          <cell r="E1258" t="str">
            <v>CLARKSDALEMSMEMPHISTN</v>
          </cell>
          <cell r="F1258">
            <v>430</v>
          </cell>
        </row>
        <row r="1259">
          <cell r="E1259" t="str">
            <v>CLARKSDALEMSMONEYMS</v>
          </cell>
          <cell r="F1259">
            <v>400</v>
          </cell>
        </row>
        <row r="1260">
          <cell r="E1260" t="str">
            <v>CLARKSDALEMSTUNICAMS</v>
          </cell>
          <cell r="F1260">
            <v>370</v>
          </cell>
        </row>
        <row r="1261">
          <cell r="E1261" t="str">
            <v>CLARKSDALEMSMOBILEAL</v>
          </cell>
          <cell r="F1261">
            <v>910</v>
          </cell>
        </row>
        <row r="1262">
          <cell r="E1262" t="str">
            <v>CLARKSDALEMSDREWMS</v>
          </cell>
          <cell r="F1262">
            <v>370</v>
          </cell>
        </row>
        <row r="1263">
          <cell r="E1263" t="str">
            <v>CLARKSDALEMSRINCONGA</v>
          </cell>
          <cell r="F1263">
            <v>1720</v>
          </cell>
        </row>
        <row r="1264">
          <cell r="E1264" t="str">
            <v>CLARKSDALEMSPORT WENTWORTHGA</v>
          </cell>
          <cell r="F1264">
            <v>1710</v>
          </cell>
        </row>
        <row r="1265">
          <cell r="E1265" t="str">
            <v>CLARKSDALEMSBLYTHEVILLEAR</v>
          </cell>
          <cell r="F1265">
            <v>540</v>
          </cell>
        </row>
        <row r="1266">
          <cell r="E1266" t="str">
            <v>CLARKSDALEMSCARTERSVILLEGA</v>
          </cell>
          <cell r="F1266">
            <v>1020</v>
          </cell>
        </row>
        <row r="1267">
          <cell r="E1267" t="str">
            <v>CLARKSDALEMSRABUN GAPGA</v>
          </cell>
          <cell r="F1267">
            <v>1380</v>
          </cell>
        </row>
        <row r="1268">
          <cell r="E1268" t="str">
            <v>CLARKSDALEMSNEW ORLEANSLA</v>
          </cell>
          <cell r="F1268">
            <v>900</v>
          </cell>
        </row>
        <row r="1269">
          <cell r="E1269" t="str">
            <v>CLARKSDALEMSGarden CityGA</v>
          </cell>
          <cell r="F1269">
            <v>1690</v>
          </cell>
        </row>
        <row r="1270">
          <cell r="E1270" t="str">
            <v>CLARKSDALEMSCENTREAL</v>
          </cell>
          <cell r="F1270">
            <v>890</v>
          </cell>
        </row>
        <row r="1271">
          <cell r="E1271" t="str">
            <v>CLARKSDALEMSECLECTICAL</v>
          </cell>
          <cell r="F1271">
            <v>910</v>
          </cell>
        </row>
        <row r="1272">
          <cell r="E1272" t="str">
            <v>CLARKSDALEMSPORTSMOUTHVA</v>
          </cell>
          <cell r="F1272">
            <v>2310</v>
          </cell>
        </row>
        <row r="1273">
          <cell r="E1273" t="str">
            <v>CLARKSDALEMSNORFOLKVA</v>
          </cell>
          <cell r="F1273">
            <v>2380</v>
          </cell>
        </row>
        <row r="1274">
          <cell r="E1274" t="str">
            <v>CLARKSDALEMSDAWSONGA</v>
          </cell>
          <cell r="F1274">
            <v>1180</v>
          </cell>
        </row>
        <row r="1275">
          <cell r="E1275" t="str">
            <v>CLARKSDALEMSEDENTONNC</v>
          </cell>
          <cell r="F1275">
            <v>2280</v>
          </cell>
        </row>
        <row r="1276">
          <cell r="E1276" t="str">
            <v>CLARKSDALEMSGAINESVILLEGA</v>
          </cell>
          <cell r="F1276">
            <v>1160</v>
          </cell>
        </row>
        <row r="1277">
          <cell r="E1277" t="str">
            <v>CLARKSDALEMSWESLACOTX</v>
          </cell>
          <cell r="F1277">
            <v>1405</v>
          </cell>
        </row>
        <row r="1278">
          <cell r="E1278" t="str">
            <v>CLARKTONNCGREERSC</v>
          </cell>
          <cell r="F1278">
            <v>700</v>
          </cell>
        </row>
        <row r="1279">
          <cell r="E1279" t="str">
            <v>CLARKTONNCCARTERSVILLEGA</v>
          </cell>
          <cell r="F1279">
            <v>1090</v>
          </cell>
        </row>
        <row r="1280">
          <cell r="E1280" t="str">
            <v>CLARKTONNCBLYTHEVILLEAR</v>
          </cell>
          <cell r="F1280">
            <v>1910</v>
          </cell>
        </row>
        <row r="1281">
          <cell r="E1281" t="str">
            <v>CLARKTONNCROSSVILLETN</v>
          </cell>
          <cell r="F1281">
            <v>1850</v>
          </cell>
        </row>
        <row r="1282">
          <cell r="E1282" t="str">
            <v>CLARKTONNCTALLULAHLA</v>
          </cell>
          <cell r="F1282">
            <v>1990</v>
          </cell>
        </row>
        <row r="1283">
          <cell r="E1283" t="str">
            <v>CLARKTONNCGREENWOODMS</v>
          </cell>
          <cell r="F1283">
            <v>1820</v>
          </cell>
        </row>
        <row r="1284">
          <cell r="E1284" t="str">
            <v>CLARKTONNCGAINESVILLEGA</v>
          </cell>
          <cell r="F1284">
            <v>950</v>
          </cell>
        </row>
        <row r="1285">
          <cell r="E1285" t="str">
            <v>CLARKTONNCTUNICAMS</v>
          </cell>
          <cell r="F1285">
            <v>1890</v>
          </cell>
        </row>
        <row r="1286">
          <cell r="E1286" t="str">
            <v>CLARKTONNCMCCALLAAL</v>
          </cell>
          <cell r="F1286">
            <v>1380</v>
          </cell>
        </row>
        <row r="1287">
          <cell r="E1287" t="str">
            <v>CLARKTONNCNORFOLKVA</v>
          </cell>
          <cell r="F1287">
            <v>750</v>
          </cell>
        </row>
        <row r="1288">
          <cell r="E1288" t="str">
            <v>CLARKTONNCWEST MEMPHISAR</v>
          </cell>
          <cell r="F1288">
            <v>1870</v>
          </cell>
        </row>
        <row r="1289">
          <cell r="E1289" t="str">
            <v>CLARKTONNCENOREESC</v>
          </cell>
          <cell r="F1289">
            <v>680</v>
          </cell>
        </row>
        <row r="1290">
          <cell r="E1290" t="str">
            <v>CLARKTONNCCENTREAL</v>
          </cell>
          <cell r="F1290">
            <v>1210</v>
          </cell>
        </row>
        <row r="1291">
          <cell r="E1291" t="str">
            <v>CLARKTONNCNEW ORLEANSLA</v>
          </cell>
          <cell r="F1291">
            <v>2010</v>
          </cell>
        </row>
        <row r="1292">
          <cell r="E1292" t="str">
            <v>CLARKTONNCMOBILEAL</v>
          </cell>
          <cell r="F1292">
            <v>1700</v>
          </cell>
        </row>
        <row r="1293">
          <cell r="E1293" t="str">
            <v>CLARKTONNCMARIONAR</v>
          </cell>
          <cell r="F1293">
            <v>1880</v>
          </cell>
        </row>
        <row r="1294">
          <cell r="E1294" t="str">
            <v>CLARKTONNCMONEYMS</v>
          </cell>
          <cell r="F1294">
            <v>1860</v>
          </cell>
        </row>
        <row r="1295">
          <cell r="E1295" t="str">
            <v>CLARKTONNCGASTONIANC</v>
          </cell>
          <cell r="F1295">
            <v>600</v>
          </cell>
        </row>
        <row r="1296">
          <cell r="E1296" t="str">
            <v>CLARKTONNCDREWMS</v>
          </cell>
          <cell r="F1296">
            <v>1910</v>
          </cell>
        </row>
        <row r="1297">
          <cell r="E1297" t="str">
            <v>CLARKTONNCMEMPHISTN</v>
          </cell>
          <cell r="F1297">
            <v>1870</v>
          </cell>
        </row>
        <row r="1298">
          <cell r="E1298" t="str">
            <v>CLARKTONNCINDIANOLAMS</v>
          </cell>
          <cell r="F1298">
            <v>1890</v>
          </cell>
        </row>
        <row r="1299">
          <cell r="E1299" t="str">
            <v>CLARKTONNCGAFFNEYSC</v>
          </cell>
          <cell r="F1299">
            <v>640</v>
          </cell>
        </row>
        <row r="1300">
          <cell r="E1300" t="str">
            <v>CLARKTONNCRAYVILLELA</v>
          </cell>
          <cell r="F1300">
            <v>2060</v>
          </cell>
        </row>
        <row r="1301">
          <cell r="E1301" t="str">
            <v>CLARKTONNCECLECTICAL</v>
          </cell>
          <cell r="F1301">
            <v>1310</v>
          </cell>
        </row>
        <row r="1302">
          <cell r="E1302" t="str">
            <v>CLARKTONNCDAWSONGA</v>
          </cell>
          <cell r="F1302">
            <v>1200</v>
          </cell>
        </row>
        <row r="1303">
          <cell r="E1303" t="str">
            <v>CLARKTONNCSHELBYNC</v>
          </cell>
          <cell r="F1303">
            <v>630</v>
          </cell>
        </row>
        <row r="1304">
          <cell r="E1304" t="str">
            <v>CLARKTONNCBELMONTNC</v>
          </cell>
          <cell r="F1304">
            <v>580</v>
          </cell>
        </row>
        <row r="1305">
          <cell r="E1305" t="str">
            <v>CLARKTONNCHICKORYNC</v>
          </cell>
          <cell r="F1305">
            <v>650</v>
          </cell>
        </row>
        <row r="1306">
          <cell r="E1306" t="str">
            <v>CLARKTONNCMINERAL SPRINGSNC</v>
          </cell>
          <cell r="F1306">
            <v>530</v>
          </cell>
        </row>
        <row r="1307">
          <cell r="E1307" t="str">
            <v>CLARKTONNCLOWELLNC</v>
          </cell>
          <cell r="F1307">
            <v>590</v>
          </cell>
        </row>
        <row r="1308">
          <cell r="E1308" t="str">
            <v>CLARKTONNCINDIAN LANDSC</v>
          </cell>
          <cell r="F1308">
            <v>560</v>
          </cell>
        </row>
        <row r="1309">
          <cell r="E1309" t="str">
            <v>CLARKTONNCKINSTONNC</v>
          </cell>
          <cell r="F1309">
            <v>470</v>
          </cell>
        </row>
        <row r="1310">
          <cell r="E1310" t="str">
            <v>CLARKTONNCRABUN GAPGA</v>
          </cell>
          <cell r="F1310">
            <v>960</v>
          </cell>
        </row>
        <row r="1311">
          <cell r="E1311" t="str">
            <v>CLARKTONNCPORT WENTWORTHGA</v>
          </cell>
          <cell r="F1311">
            <v>820</v>
          </cell>
        </row>
        <row r="1312">
          <cell r="E1312" t="str">
            <v>CLARKTONNCRINCONGA</v>
          </cell>
          <cell r="F1312">
            <v>830</v>
          </cell>
        </row>
        <row r="1313">
          <cell r="E1313" t="str">
            <v>CLARKTONNCERWINNC</v>
          </cell>
          <cell r="F1313">
            <v>440</v>
          </cell>
        </row>
        <row r="1314">
          <cell r="E1314" t="str">
            <v>CLARKTONNCSALISBURYNC</v>
          </cell>
          <cell r="F1314">
            <v>570</v>
          </cell>
        </row>
        <row r="1315">
          <cell r="E1315" t="str">
            <v>CLARKTONNCSANFORDNC</v>
          </cell>
          <cell r="F1315">
            <v>450</v>
          </cell>
        </row>
        <row r="1316">
          <cell r="E1316" t="str">
            <v>CLARKTONNCCHARLOTTENC</v>
          </cell>
          <cell r="F1316">
            <v>550</v>
          </cell>
        </row>
        <row r="1317">
          <cell r="E1317" t="str">
            <v>CLARKTONNCGarden CityGA</v>
          </cell>
          <cell r="F1317">
            <v>820</v>
          </cell>
        </row>
        <row r="1318">
          <cell r="E1318" t="str">
            <v>CLARKTONNCROCKINGHAMNC</v>
          </cell>
          <cell r="F1318">
            <v>440</v>
          </cell>
        </row>
        <row r="1319">
          <cell r="E1319" t="str">
            <v>CLARKTONNCGULFPORTMS</v>
          </cell>
          <cell r="F1319">
            <v>1960</v>
          </cell>
        </row>
        <row r="1320">
          <cell r="E1320" t="str">
            <v>CLARKTONNCPORTSMOUTHVA</v>
          </cell>
          <cell r="F1320">
            <v>720</v>
          </cell>
        </row>
        <row r="1321">
          <cell r="E1321" t="str">
            <v>CLARKTONNCGREENWOODSC</v>
          </cell>
          <cell r="F1321">
            <v>700</v>
          </cell>
        </row>
        <row r="1322">
          <cell r="E1322" t="str">
            <v>CLARKTONNCLEXINGTONNC</v>
          </cell>
          <cell r="F1322">
            <v>570</v>
          </cell>
        </row>
        <row r="1323">
          <cell r="E1323" t="str">
            <v>CLARKTONNCTHOMASVILLENC</v>
          </cell>
          <cell r="F1323">
            <v>570</v>
          </cell>
        </row>
        <row r="1324">
          <cell r="E1324" t="str">
            <v>CLARKTONNCMAYODANNC</v>
          </cell>
          <cell r="F1324">
            <v>600</v>
          </cell>
        </row>
        <row r="1325">
          <cell r="E1325" t="str">
            <v>CLARKTONNCJACKSONVILLEFL</v>
          </cell>
          <cell r="F1325">
            <v>1020</v>
          </cell>
        </row>
        <row r="1326">
          <cell r="E1326" t="str">
            <v>CLARKTONNCSTONEVILLENC</v>
          </cell>
          <cell r="F1326">
            <v>610</v>
          </cell>
        </row>
        <row r="1327">
          <cell r="E1327" t="str">
            <v>CLARKTONNCGRIFTONNC</v>
          </cell>
          <cell r="F1327">
            <v>590</v>
          </cell>
        </row>
        <row r="1328">
          <cell r="E1328" t="str">
            <v>CLARKTONNCMOCKSVILLENC</v>
          </cell>
          <cell r="F1328">
            <v>600</v>
          </cell>
        </row>
        <row r="1329">
          <cell r="E1329" t="str">
            <v>CLARKTONNCSPARTANC</v>
          </cell>
          <cell r="F1329">
            <v>710</v>
          </cell>
        </row>
        <row r="1330">
          <cell r="E1330" t="str">
            <v>CLARKTONNCLUMBERTONNC</v>
          </cell>
          <cell r="F1330">
            <v>350</v>
          </cell>
        </row>
        <row r="1331">
          <cell r="E1331" t="str">
            <v>CLARKTONNCEDENTONNC</v>
          </cell>
          <cell r="F1331">
            <v>630</v>
          </cell>
        </row>
        <row r="1332">
          <cell r="E1332" t="str">
            <v>CLARKTONNCROCKFORDTN</v>
          </cell>
          <cell r="F1332">
            <v>1050</v>
          </cell>
        </row>
        <row r="1333">
          <cell r="E1333" t="str">
            <v>ClearwaterKSDallasTX</v>
          </cell>
          <cell r="F1333">
            <v>784</v>
          </cell>
        </row>
        <row r="1334">
          <cell r="E1334" t="str">
            <v>ClearwaterKSHoustonTX</v>
          </cell>
          <cell r="F1334">
            <v>1508</v>
          </cell>
        </row>
        <row r="1335">
          <cell r="E1335" t="str">
            <v>ClearwaterKSBaytownTX</v>
          </cell>
          <cell r="F1335">
            <v>1545</v>
          </cell>
        </row>
        <row r="1336">
          <cell r="E1336" t="str">
            <v>CLIMAXGAROCKFORDTN</v>
          </cell>
          <cell r="F1336">
            <v>1180</v>
          </cell>
        </row>
        <row r="1337">
          <cell r="E1337" t="str">
            <v>CLIMAXGAENOREESC</v>
          </cell>
          <cell r="F1337">
            <v>950</v>
          </cell>
        </row>
        <row r="1338">
          <cell r="E1338" t="str">
            <v>CLIMAXGAGREERSC</v>
          </cell>
          <cell r="F1338">
            <v>1030</v>
          </cell>
        </row>
        <row r="1339">
          <cell r="E1339" t="str">
            <v>CLIMAXGAMEMPHISTN</v>
          </cell>
          <cell r="F1339">
            <v>1260</v>
          </cell>
        </row>
        <row r="1340">
          <cell r="E1340" t="str">
            <v>CLIMAXGAKINSTONNC</v>
          </cell>
          <cell r="F1340">
            <v>1490</v>
          </cell>
        </row>
        <row r="1341">
          <cell r="E1341" t="str">
            <v>CLIMAXGAMINERAL SPRINGSNC</v>
          </cell>
          <cell r="F1341">
            <v>1140</v>
          </cell>
        </row>
        <row r="1342">
          <cell r="E1342" t="str">
            <v>CLIMAXGADREWMS</v>
          </cell>
          <cell r="F1342">
            <v>1210</v>
          </cell>
        </row>
        <row r="1343">
          <cell r="E1343" t="str">
            <v>CLIMAXGACENTREAL</v>
          </cell>
          <cell r="F1343">
            <v>790</v>
          </cell>
        </row>
        <row r="1344">
          <cell r="E1344" t="str">
            <v>CLIMAXGAMARIONAR</v>
          </cell>
          <cell r="F1344">
            <v>1280</v>
          </cell>
        </row>
        <row r="1345">
          <cell r="E1345" t="str">
            <v>CLIMAXGARAYVILLELA</v>
          </cell>
          <cell r="F1345">
            <v>1280</v>
          </cell>
        </row>
        <row r="1346">
          <cell r="E1346" t="str">
            <v>CLIMAXGAPORTSMOUTHVA</v>
          </cell>
          <cell r="F1346">
            <v>1760</v>
          </cell>
        </row>
        <row r="1347">
          <cell r="E1347" t="str">
            <v>CLIMAXGABELMONTNC</v>
          </cell>
          <cell r="F1347">
            <v>1200</v>
          </cell>
        </row>
        <row r="1348">
          <cell r="E1348" t="str">
            <v>CLIMAXGANEW ORLEANSLA</v>
          </cell>
          <cell r="F1348">
            <v>1000</v>
          </cell>
        </row>
        <row r="1349">
          <cell r="E1349" t="str">
            <v>CLIMAXGATUNICAMS</v>
          </cell>
          <cell r="F1349">
            <v>1290</v>
          </cell>
        </row>
        <row r="1350">
          <cell r="E1350" t="str">
            <v>CLIMAXGAWEST MEMPHISAR</v>
          </cell>
          <cell r="F1350">
            <v>1270</v>
          </cell>
        </row>
        <row r="1351">
          <cell r="E1351" t="str">
            <v>CLIMAXGAEDENTONNC</v>
          </cell>
          <cell r="F1351">
            <v>1670</v>
          </cell>
        </row>
        <row r="1352">
          <cell r="E1352" t="str">
            <v>CLIMAXGACHARLOTTENC</v>
          </cell>
          <cell r="F1352">
            <v>1160</v>
          </cell>
        </row>
        <row r="1353">
          <cell r="E1353" t="str">
            <v>CLIMAXGALEXINGTONNC</v>
          </cell>
          <cell r="F1353">
            <v>1290</v>
          </cell>
        </row>
        <row r="1354">
          <cell r="E1354" t="str">
            <v>CLIMAXGALOWELLNC</v>
          </cell>
          <cell r="F1354">
            <v>1190</v>
          </cell>
        </row>
        <row r="1355">
          <cell r="E1355" t="str">
            <v>CLIMAXGAINDIANOLAMS</v>
          </cell>
          <cell r="F1355">
            <v>1190</v>
          </cell>
        </row>
        <row r="1356">
          <cell r="E1356" t="str">
            <v>CLIMAXGASHELBYNC</v>
          </cell>
          <cell r="F1356">
            <v>1150</v>
          </cell>
        </row>
        <row r="1357">
          <cell r="E1357" t="str">
            <v>CLIMAXGAGASTONIANC</v>
          </cell>
          <cell r="F1357">
            <v>1180</v>
          </cell>
        </row>
        <row r="1358">
          <cell r="E1358" t="str">
            <v>CLIMAXGAGAINESVILLEGA</v>
          </cell>
          <cell r="F1358">
            <v>800</v>
          </cell>
        </row>
        <row r="1359">
          <cell r="E1359" t="str">
            <v>CLIMAXGAHICKORYNC</v>
          </cell>
          <cell r="F1359">
            <v>1260</v>
          </cell>
        </row>
        <row r="1360">
          <cell r="E1360" t="str">
            <v>CLIMAXGASPARTANC</v>
          </cell>
          <cell r="F1360">
            <v>1390</v>
          </cell>
        </row>
        <row r="1361">
          <cell r="E1361" t="str">
            <v>CLIMAXGAERWINNC</v>
          </cell>
          <cell r="F1361">
            <v>1340</v>
          </cell>
        </row>
        <row r="1362">
          <cell r="E1362" t="str">
            <v>CLIMAXGASANFORDNC</v>
          </cell>
          <cell r="F1362">
            <v>1340</v>
          </cell>
        </row>
        <row r="1363">
          <cell r="E1363" t="str">
            <v>CLIMAXGAMOBILEAL</v>
          </cell>
          <cell r="F1363">
            <v>690</v>
          </cell>
        </row>
        <row r="1364">
          <cell r="E1364" t="str">
            <v>CLIMAXGAINDIAN LANDSC</v>
          </cell>
          <cell r="F1364">
            <v>1140</v>
          </cell>
        </row>
        <row r="1365">
          <cell r="E1365" t="str">
            <v>CLIMAXGATALLULAHLA</v>
          </cell>
          <cell r="F1365">
            <v>1210</v>
          </cell>
        </row>
        <row r="1366">
          <cell r="E1366" t="str">
            <v>CLIMAXGATHOMASVILLENC</v>
          </cell>
          <cell r="F1366">
            <v>1320</v>
          </cell>
        </row>
        <row r="1367">
          <cell r="E1367" t="str">
            <v>CLIMAXGACARTERSVILLEGA</v>
          </cell>
          <cell r="F1367">
            <v>790</v>
          </cell>
        </row>
        <row r="1368">
          <cell r="E1368" t="str">
            <v>CLIMAXGAROSSVILLETN</v>
          </cell>
          <cell r="F1368">
            <v>1250</v>
          </cell>
        </row>
        <row r="1369">
          <cell r="E1369" t="str">
            <v>CLIMAXGANORFOLKVA</v>
          </cell>
          <cell r="F1369">
            <v>1790</v>
          </cell>
        </row>
        <row r="1370">
          <cell r="E1370" t="str">
            <v>CLIMAXGAMAYODANNC</v>
          </cell>
          <cell r="F1370">
            <v>1410</v>
          </cell>
        </row>
        <row r="1371">
          <cell r="E1371" t="str">
            <v>CLIMAXGACLARKTONNC</v>
          </cell>
          <cell r="F1371">
            <v>1250</v>
          </cell>
        </row>
        <row r="1372">
          <cell r="E1372" t="str">
            <v>CLIMAXGASTONEVILLENC</v>
          </cell>
          <cell r="F1372">
            <v>1410</v>
          </cell>
        </row>
        <row r="1373">
          <cell r="E1373" t="str">
            <v>CLIMAXGABLYTHEVILLEAR</v>
          </cell>
          <cell r="F1373">
            <v>1400</v>
          </cell>
        </row>
        <row r="1374">
          <cell r="E1374" t="str">
            <v>CLIMAXGAGREENWOODSC</v>
          </cell>
          <cell r="F1374">
            <v>850</v>
          </cell>
        </row>
        <row r="1375">
          <cell r="E1375" t="str">
            <v>CLIMAXGAROCKINGHAMNC</v>
          </cell>
          <cell r="F1375">
            <v>1210</v>
          </cell>
        </row>
        <row r="1376">
          <cell r="E1376" t="str">
            <v>CLIMAXGAMOCKSVILLENC</v>
          </cell>
          <cell r="F1376">
            <v>1290</v>
          </cell>
        </row>
        <row r="1377">
          <cell r="E1377" t="str">
            <v>CLIMAXGAGREENWOODMS</v>
          </cell>
          <cell r="F1377">
            <v>1120</v>
          </cell>
        </row>
        <row r="1378">
          <cell r="E1378" t="str">
            <v>CLIMAXGASALISBURYNC</v>
          </cell>
          <cell r="F1378">
            <v>1250</v>
          </cell>
        </row>
        <row r="1379">
          <cell r="E1379" t="str">
            <v>CLIMAXGAMCCALLAAL</v>
          </cell>
          <cell r="F1379">
            <v>750</v>
          </cell>
        </row>
        <row r="1380">
          <cell r="E1380" t="str">
            <v>CLIMAXGALUMBERTONNC</v>
          </cell>
          <cell r="F1380">
            <v>1200</v>
          </cell>
        </row>
        <row r="1381">
          <cell r="E1381" t="str">
            <v>CLIMAXGARABUN GAPGA</v>
          </cell>
          <cell r="F1381">
            <v>990</v>
          </cell>
        </row>
        <row r="1382">
          <cell r="E1382" t="str">
            <v>CLIMAXGAMONEYMS</v>
          </cell>
          <cell r="F1382">
            <v>1160</v>
          </cell>
        </row>
        <row r="1383">
          <cell r="E1383" t="str">
            <v>CLIMAXGAPORT WENTWORTHGA</v>
          </cell>
          <cell r="F1383">
            <v>810</v>
          </cell>
        </row>
        <row r="1384">
          <cell r="E1384" t="str">
            <v>CLIMAXGAGarden CityGA</v>
          </cell>
          <cell r="F1384">
            <v>800</v>
          </cell>
        </row>
        <row r="1385">
          <cell r="E1385" t="str">
            <v>CLIMAXGAGULFPORTMS</v>
          </cell>
          <cell r="F1385">
            <v>950</v>
          </cell>
        </row>
        <row r="1386">
          <cell r="E1386" t="str">
            <v>CLIMAXGAGRIFTONNC</v>
          </cell>
          <cell r="F1386">
            <v>1620</v>
          </cell>
        </row>
        <row r="1387">
          <cell r="E1387" t="str">
            <v>CLIMAXGAGAFFNEYSC</v>
          </cell>
          <cell r="F1387">
            <v>1110</v>
          </cell>
        </row>
        <row r="1388">
          <cell r="E1388" t="str">
            <v>CLIMAXGARINCONGA</v>
          </cell>
          <cell r="F1388">
            <v>820</v>
          </cell>
        </row>
        <row r="1389">
          <cell r="E1389" t="str">
            <v>CLIMAXGADAWSONGA</v>
          </cell>
          <cell r="F1389">
            <v>440</v>
          </cell>
        </row>
        <row r="1390">
          <cell r="E1390" t="str">
            <v>CLIMAXGAECLECTICAL</v>
          </cell>
          <cell r="F1390">
            <v>620</v>
          </cell>
        </row>
        <row r="1391">
          <cell r="E1391" t="str">
            <v>CLIMAXGAJACKSONVILLEFL</v>
          </cell>
          <cell r="F1391">
            <v>620</v>
          </cell>
        </row>
        <row r="1392">
          <cell r="E1392" t="str">
            <v>CLIMAXGAWESLACOTX</v>
          </cell>
          <cell r="F1392">
            <v>1574</v>
          </cell>
        </row>
        <row r="1393">
          <cell r="E1393" t="str">
            <v>COCHRANGAWESLACOTX</v>
          </cell>
          <cell r="F1393">
            <v>1766</v>
          </cell>
        </row>
        <row r="1394">
          <cell r="E1394" t="str">
            <v>COLQUITTGAROCKFORDTN</v>
          </cell>
          <cell r="F1394">
            <v>1110</v>
          </cell>
        </row>
        <row r="1395">
          <cell r="E1395" t="str">
            <v>COLQUITTGATHOMASVILLENC</v>
          </cell>
          <cell r="F1395">
            <v>1340</v>
          </cell>
        </row>
        <row r="1396">
          <cell r="E1396" t="str">
            <v>COLQUITTGACLARKTONNC</v>
          </cell>
          <cell r="F1396">
            <v>1290</v>
          </cell>
        </row>
        <row r="1397">
          <cell r="E1397" t="str">
            <v>COLQUITTGAMCCALLAAL</v>
          </cell>
          <cell r="F1397">
            <v>720</v>
          </cell>
        </row>
        <row r="1398">
          <cell r="E1398" t="str">
            <v>COLQUITTGAENOREESC</v>
          </cell>
          <cell r="F1398">
            <v>1040</v>
          </cell>
        </row>
        <row r="1399">
          <cell r="E1399" t="str">
            <v>COLQUITTGAGREERSC</v>
          </cell>
          <cell r="F1399">
            <v>990</v>
          </cell>
        </row>
        <row r="1400">
          <cell r="E1400" t="str">
            <v>COLQUITTGAGREENWOODSC</v>
          </cell>
          <cell r="F1400">
            <v>840</v>
          </cell>
        </row>
        <row r="1401">
          <cell r="E1401" t="str">
            <v>COLQUITTGAMAYODANNC</v>
          </cell>
          <cell r="F1401">
            <v>1430</v>
          </cell>
        </row>
        <row r="1402">
          <cell r="E1402" t="str">
            <v>COLQUITTGAMONEYMS</v>
          </cell>
          <cell r="F1402">
            <v>1130</v>
          </cell>
        </row>
        <row r="1403">
          <cell r="E1403" t="str">
            <v>COLQUITTGAMEMPHISTN</v>
          </cell>
          <cell r="F1403">
            <v>1230</v>
          </cell>
        </row>
        <row r="1404">
          <cell r="E1404" t="str">
            <v>COLQUITTGACARTERSVILLEGA</v>
          </cell>
          <cell r="F1404">
            <v>720</v>
          </cell>
        </row>
        <row r="1405">
          <cell r="E1405" t="str">
            <v>COLQUITTGAMOCKSVILLENC</v>
          </cell>
          <cell r="F1405">
            <v>1310</v>
          </cell>
        </row>
        <row r="1406">
          <cell r="E1406" t="str">
            <v>COLQUITTGANEW ORLEANSLA</v>
          </cell>
          <cell r="F1406">
            <v>980</v>
          </cell>
        </row>
        <row r="1407">
          <cell r="E1407" t="str">
            <v>COLQUITTGADREWMS</v>
          </cell>
          <cell r="F1407">
            <v>1180</v>
          </cell>
        </row>
        <row r="1408">
          <cell r="E1408" t="str">
            <v>COLQUITTGASTONEVILLENC</v>
          </cell>
          <cell r="F1408">
            <v>1440</v>
          </cell>
        </row>
        <row r="1409">
          <cell r="E1409" t="str">
            <v>COLQUITTGABELMONTNC</v>
          </cell>
          <cell r="F1409">
            <v>1160</v>
          </cell>
        </row>
        <row r="1410">
          <cell r="E1410" t="str">
            <v>COLQUITTGAMARIONAR</v>
          </cell>
          <cell r="F1410">
            <v>1250</v>
          </cell>
        </row>
        <row r="1411">
          <cell r="E1411" t="str">
            <v>COLQUITTGARAYVILLELA</v>
          </cell>
          <cell r="F1411">
            <v>1250</v>
          </cell>
        </row>
        <row r="1412">
          <cell r="E1412" t="str">
            <v>COLQUITTGALUMBERTONNC</v>
          </cell>
          <cell r="F1412">
            <v>1240</v>
          </cell>
        </row>
        <row r="1413">
          <cell r="E1413" t="str">
            <v>COLQUITTGAGAFFNEYSC</v>
          </cell>
          <cell r="F1413">
            <v>1070</v>
          </cell>
        </row>
        <row r="1414">
          <cell r="E1414" t="str">
            <v>COLQUITTGATUNICAMS</v>
          </cell>
          <cell r="F1414">
            <v>1260</v>
          </cell>
        </row>
        <row r="1415">
          <cell r="E1415" t="str">
            <v>COLQUITTGAWEST MEMPHISAR</v>
          </cell>
          <cell r="F1415">
            <v>1240</v>
          </cell>
        </row>
        <row r="1416">
          <cell r="E1416" t="str">
            <v>COLQUITTGALOWELLNC</v>
          </cell>
          <cell r="F1416">
            <v>1150</v>
          </cell>
        </row>
        <row r="1417">
          <cell r="E1417" t="str">
            <v>COLQUITTGACENTREAL</v>
          </cell>
          <cell r="F1417">
            <v>730</v>
          </cell>
        </row>
        <row r="1418">
          <cell r="E1418" t="str">
            <v>COLQUITTGASALISBURYNC</v>
          </cell>
          <cell r="F1418">
            <v>1280</v>
          </cell>
        </row>
        <row r="1419">
          <cell r="E1419" t="str">
            <v>COLQUITTGAMINERAL SPRINGSNC</v>
          </cell>
          <cell r="F1419">
            <v>1130</v>
          </cell>
        </row>
        <row r="1420">
          <cell r="E1420" t="str">
            <v>COLQUITTGAINDIANOLAMS</v>
          </cell>
          <cell r="F1420">
            <v>1160</v>
          </cell>
        </row>
        <row r="1421">
          <cell r="E1421" t="str">
            <v>COLQUITTGASHELBYNC</v>
          </cell>
          <cell r="F1421">
            <v>1110</v>
          </cell>
        </row>
        <row r="1422">
          <cell r="E1422" t="str">
            <v>COLQUITTGAGASTONIANC</v>
          </cell>
          <cell r="F1422">
            <v>1140</v>
          </cell>
        </row>
        <row r="1423">
          <cell r="E1423" t="str">
            <v>COLQUITTGAGAINESVILLEGA</v>
          </cell>
          <cell r="F1423">
            <v>760</v>
          </cell>
        </row>
        <row r="1424">
          <cell r="E1424" t="str">
            <v>COLQUITTGAKINSTONNC</v>
          </cell>
          <cell r="F1424">
            <v>1530</v>
          </cell>
        </row>
        <row r="1425">
          <cell r="E1425" t="str">
            <v>COLQUITTGAEDENTONNC</v>
          </cell>
          <cell r="F1425">
            <v>1710</v>
          </cell>
        </row>
        <row r="1426">
          <cell r="E1426" t="str">
            <v>COLQUITTGAPORTSMOUTHVA</v>
          </cell>
          <cell r="F1426">
            <v>1790</v>
          </cell>
        </row>
        <row r="1427">
          <cell r="E1427" t="str">
            <v>COLQUITTGAROCKINGHAMNC</v>
          </cell>
          <cell r="F1427">
            <v>1180</v>
          </cell>
        </row>
        <row r="1428">
          <cell r="E1428" t="str">
            <v>COLQUITTGACHARLOTTENC</v>
          </cell>
          <cell r="F1428">
            <v>1180</v>
          </cell>
        </row>
        <row r="1429">
          <cell r="E1429" t="str">
            <v>COLQUITTGALEXINGTONNC</v>
          </cell>
          <cell r="F1429">
            <v>1310</v>
          </cell>
        </row>
        <row r="1430">
          <cell r="E1430" t="str">
            <v>COLQUITTGAHICKORYNC</v>
          </cell>
          <cell r="F1430">
            <v>1210</v>
          </cell>
        </row>
        <row r="1431">
          <cell r="E1431" t="str">
            <v>COLQUITTGAINDIAN LANDSC</v>
          </cell>
          <cell r="F1431">
            <v>1210</v>
          </cell>
        </row>
        <row r="1432">
          <cell r="E1432" t="str">
            <v>COLQUITTGAROSSVILLETN</v>
          </cell>
          <cell r="F1432">
            <v>1210</v>
          </cell>
        </row>
        <row r="1433">
          <cell r="E1433" t="str">
            <v>COLQUITTGAERWINNC</v>
          </cell>
          <cell r="F1433">
            <v>1370</v>
          </cell>
        </row>
        <row r="1434">
          <cell r="E1434" t="str">
            <v>COLQUITTGASPARTANC</v>
          </cell>
          <cell r="F1434">
            <v>1400</v>
          </cell>
        </row>
        <row r="1435">
          <cell r="E1435" t="str">
            <v>COLQUITTGAMOBILEAL</v>
          </cell>
          <cell r="F1435">
            <v>670</v>
          </cell>
        </row>
        <row r="1436">
          <cell r="E1436" t="str">
            <v>COLQUITTGATALLULAHLA</v>
          </cell>
          <cell r="F1436">
            <v>1170</v>
          </cell>
        </row>
        <row r="1437">
          <cell r="E1437" t="str">
            <v>COLQUITTGABLYTHEVILLEAR</v>
          </cell>
          <cell r="F1437">
            <v>1370</v>
          </cell>
        </row>
        <row r="1438">
          <cell r="E1438" t="str">
            <v>COLQUITTGASANFORDNC</v>
          </cell>
          <cell r="F1438">
            <v>1300</v>
          </cell>
        </row>
        <row r="1439">
          <cell r="E1439" t="str">
            <v>COLQUITTGANORFOLKVA</v>
          </cell>
          <cell r="F1439">
            <v>1820</v>
          </cell>
        </row>
        <row r="1440">
          <cell r="E1440" t="str">
            <v>COLQUITTGAGREENWOODMS</v>
          </cell>
          <cell r="F1440">
            <v>1090</v>
          </cell>
        </row>
        <row r="1441">
          <cell r="E1441" t="str">
            <v>COLQUITTGAGULFPORTMS</v>
          </cell>
          <cell r="F1441">
            <v>930</v>
          </cell>
        </row>
        <row r="1442">
          <cell r="E1442" t="str">
            <v>COLQUITTGARABUN GAPGA</v>
          </cell>
          <cell r="F1442">
            <v>950</v>
          </cell>
        </row>
        <row r="1443">
          <cell r="E1443" t="str">
            <v>COLQUITTGAGRIFTONNC</v>
          </cell>
          <cell r="F1443">
            <v>1660</v>
          </cell>
        </row>
        <row r="1444">
          <cell r="E1444" t="str">
            <v>COLQUITTGAGarden CityGA</v>
          </cell>
          <cell r="F1444">
            <v>860</v>
          </cell>
        </row>
        <row r="1445">
          <cell r="E1445" t="str">
            <v>COLQUITTGAPORT WENTWORTHGA</v>
          </cell>
          <cell r="F1445">
            <v>870</v>
          </cell>
        </row>
        <row r="1446">
          <cell r="E1446" t="str">
            <v>COLQUITTGADAWSONGA</v>
          </cell>
          <cell r="F1446">
            <v>400</v>
          </cell>
        </row>
        <row r="1447">
          <cell r="E1447" t="str">
            <v>COLQUITTGAECLECTICAL</v>
          </cell>
          <cell r="F1447">
            <v>590</v>
          </cell>
        </row>
        <row r="1448">
          <cell r="E1448" t="str">
            <v>COLQUITTGARINCONGA</v>
          </cell>
          <cell r="F1448">
            <v>890</v>
          </cell>
        </row>
        <row r="1449">
          <cell r="E1449" t="str">
            <v>COLQUITTGAJACKSONVILLEFL</v>
          </cell>
          <cell r="F1449">
            <v>670</v>
          </cell>
        </row>
        <row r="1450">
          <cell r="E1450" t="str">
            <v>COLQUITTGAWESLACOTX</v>
          </cell>
          <cell r="F1450">
            <v>1566</v>
          </cell>
        </row>
        <row r="1451">
          <cell r="E1451" t="str">
            <v>CooperTXHoustonTX</v>
          </cell>
          <cell r="F1451">
            <v>851</v>
          </cell>
        </row>
        <row r="1452">
          <cell r="E1452" t="str">
            <v>CooperTXBaytownTX</v>
          </cell>
          <cell r="F1452">
            <v>890</v>
          </cell>
        </row>
        <row r="1453">
          <cell r="E1453" t="str">
            <v>CORDELEGAROCKFORDTN</v>
          </cell>
          <cell r="F1453">
            <v>970</v>
          </cell>
        </row>
        <row r="1454">
          <cell r="E1454" t="str">
            <v>CORDELEGAMEMPHISTN</v>
          </cell>
          <cell r="F1454">
            <v>1210</v>
          </cell>
        </row>
        <row r="1455">
          <cell r="E1455" t="str">
            <v>CORDELEGASHELBYNC</v>
          </cell>
          <cell r="F1455">
            <v>930</v>
          </cell>
        </row>
        <row r="1456">
          <cell r="E1456" t="str">
            <v>CORDELEGAMARIONAR</v>
          </cell>
          <cell r="F1456">
            <v>1230</v>
          </cell>
        </row>
        <row r="1457">
          <cell r="E1457" t="str">
            <v>CORDELEGAGASTONIANC</v>
          </cell>
          <cell r="F1457">
            <v>960</v>
          </cell>
        </row>
        <row r="1458">
          <cell r="E1458" t="str">
            <v>CORDELEGAHICKORYNC</v>
          </cell>
          <cell r="F1458">
            <v>1040</v>
          </cell>
        </row>
        <row r="1459">
          <cell r="E1459" t="str">
            <v>CORDELEGASANFORDNC</v>
          </cell>
          <cell r="F1459">
            <v>1100</v>
          </cell>
        </row>
        <row r="1460">
          <cell r="E1460" t="str">
            <v>CORDELEGATHOMASVILLENC</v>
          </cell>
          <cell r="F1460">
            <v>1100</v>
          </cell>
        </row>
        <row r="1461">
          <cell r="E1461" t="str">
            <v>CORDELEGAWEST MEMPHISAR</v>
          </cell>
          <cell r="F1461">
            <v>1220</v>
          </cell>
        </row>
        <row r="1462">
          <cell r="E1462" t="str">
            <v>CORDELEGAMONEYMS</v>
          </cell>
          <cell r="F1462">
            <v>1200</v>
          </cell>
        </row>
        <row r="1463">
          <cell r="E1463" t="str">
            <v>CORDELEGAMAYODANNC</v>
          </cell>
          <cell r="F1463">
            <v>1190</v>
          </cell>
        </row>
        <row r="1464">
          <cell r="E1464" t="str">
            <v>CORDELEGAMCCALLAAL</v>
          </cell>
          <cell r="F1464">
            <v>720</v>
          </cell>
        </row>
        <row r="1465">
          <cell r="E1465" t="str">
            <v>CORDELEGAMOBILEAL</v>
          </cell>
          <cell r="F1465">
            <v>860</v>
          </cell>
        </row>
        <row r="1466">
          <cell r="E1466" t="str">
            <v>CORDELEGASTONEVILLENC</v>
          </cell>
          <cell r="F1466">
            <v>1200</v>
          </cell>
        </row>
        <row r="1467">
          <cell r="E1467" t="str">
            <v>CORDELEGAMOCKSVILLENC</v>
          </cell>
          <cell r="F1467">
            <v>1080</v>
          </cell>
        </row>
        <row r="1468">
          <cell r="E1468" t="str">
            <v>CORDELEGANORFOLKVA</v>
          </cell>
          <cell r="F1468">
            <v>1620</v>
          </cell>
        </row>
        <row r="1469">
          <cell r="E1469" t="str">
            <v>CORDELEGADREWMS</v>
          </cell>
          <cell r="F1469">
            <v>1250</v>
          </cell>
        </row>
        <row r="1470">
          <cell r="E1470" t="str">
            <v>CORDELEGANEW ORLEANSLA</v>
          </cell>
          <cell r="F1470">
            <v>1250</v>
          </cell>
        </row>
        <row r="1471">
          <cell r="E1471" t="str">
            <v>CORDELEGAINDIANOLAMS</v>
          </cell>
          <cell r="F1471">
            <v>1230</v>
          </cell>
        </row>
        <row r="1472">
          <cell r="E1472" t="str">
            <v>CORDELEGASALISBURYNC</v>
          </cell>
          <cell r="F1472">
            <v>1040</v>
          </cell>
        </row>
        <row r="1473">
          <cell r="E1473" t="str">
            <v>CORDELEGAROSSVILLETN</v>
          </cell>
          <cell r="F1473">
            <v>1200</v>
          </cell>
        </row>
        <row r="1474">
          <cell r="E1474" t="str">
            <v>CORDELEGARAYVILLELA</v>
          </cell>
          <cell r="F1474">
            <v>1330</v>
          </cell>
        </row>
        <row r="1475">
          <cell r="E1475" t="str">
            <v>CORDELEGALOWELLNC</v>
          </cell>
          <cell r="F1475">
            <v>970</v>
          </cell>
        </row>
        <row r="1476">
          <cell r="E1476" t="str">
            <v>CORDELEGABLYTHEVILLEAR</v>
          </cell>
          <cell r="F1476">
            <v>1350</v>
          </cell>
        </row>
        <row r="1477">
          <cell r="E1477" t="str">
            <v>CORDELEGAMINERAL SPRINGSNC</v>
          </cell>
          <cell r="F1477">
            <v>920</v>
          </cell>
        </row>
        <row r="1478">
          <cell r="E1478" t="str">
            <v>CORDELEGABELMONTNC</v>
          </cell>
          <cell r="F1478">
            <v>980</v>
          </cell>
        </row>
        <row r="1479">
          <cell r="E1479" t="str">
            <v>CORDELEGAKINSTONNC</v>
          </cell>
          <cell r="F1479">
            <v>1320</v>
          </cell>
        </row>
        <row r="1480">
          <cell r="E1480" t="str">
            <v>CORDELEGAEDENTONNC</v>
          </cell>
          <cell r="F1480">
            <v>1500</v>
          </cell>
        </row>
        <row r="1481">
          <cell r="E1481" t="str">
            <v>CORDELEGACHARLOTTENC</v>
          </cell>
          <cell r="F1481">
            <v>940</v>
          </cell>
        </row>
        <row r="1482">
          <cell r="E1482" t="str">
            <v>CORDELEGALEXINGTONNC</v>
          </cell>
          <cell r="F1482">
            <v>1070</v>
          </cell>
        </row>
        <row r="1483">
          <cell r="E1483" t="str">
            <v>CORDELEGATUNICAMS</v>
          </cell>
          <cell r="F1483">
            <v>1240</v>
          </cell>
        </row>
        <row r="1484">
          <cell r="E1484" t="str">
            <v>CORDELEGAPORTSMOUTHVA</v>
          </cell>
          <cell r="F1484">
            <v>1590</v>
          </cell>
        </row>
        <row r="1485">
          <cell r="E1485" t="str">
            <v>CORDELEGAGREENWOODMS</v>
          </cell>
          <cell r="F1485">
            <v>1160</v>
          </cell>
        </row>
        <row r="1486">
          <cell r="E1486" t="str">
            <v>CORDELEGATALLULAHLA</v>
          </cell>
          <cell r="F1486">
            <v>1250</v>
          </cell>
        </row>
        <row r="1487">
          <cell r="E1487" t="str">
            <v>CORDELEGAECLECTICAL</v>
          </cell>
          <cell r="F1487">
            <v>600</v>
          </cell>
        </row>
        <row r="1488">
          <cell r="E1488" t="str">
            <v>CORDELEGAGULFPORTMS</v>
          </cell>
          <cell r="F1488">
            <v>1200</v>
          </cell>
        </row>
        <row r="1489">
          <cell r="E1489" t="str">
            <v>CORDELEGARINCONGA</v>
          </cell>
          <cell r="F1489">
            <v>720</v>
          </cell>
        </row>
        <row r="1490">
          <cell r="E1490" t="str">
            <v>CORDELEGADAWSONGA</v>
          </cell>
          <cell r="F1490">
            <v>400</v>
          </cell>
        </row>
        <row r="1491">
          <cell r="E1491" t="str">
            <v>CORDELEGAPORT WENTWORTHGA</v>
          </cell>
          <cell r="F1491">
            <v>720</v>
          </cell>
        </row>
        <row r="1492">
          <cell r="E1492" t="str">
            <v>CORDELEGAGarden CityGA</v>
          </cell>
          <cell r="F1492">
            <v>700</v>
          </cell>
        </row>
        <row r="1493">
          <cell r="E1493" t="str">
            <v>CORDELEGASPARTANC</v>
          </cell>
          <cell r="F1493">
            <v>1170</v>
          </cell>
        </row>
        <row r="1494">
          <cell r="E1494" t="str">
            <v>CORDELEGAROCKINGHAMNC</v>
          </cell>
          <cell r="F1494">
            <v>980</v>
          </cell>
        </row>
        <row r="1495">
          <cell r="E1495" t="str">
            <v>CORDELEGAENOREESC</v>
          </cell>
          <cell r="F1495">
            <v>740</v>
          </cell>
        </row>
        <row r="1496">
          <cell r="E1496" t="str">
            <v>CORDELEGACENTREAL</v>
          </cell>
          <cell r="F1496">
            <v>680</v>
          </cell>
        </row>
        <row r="1497">
          <cell r="E1497" t="str">
            <v>CORDELEGAINDIAN LANDSC</v>
          </cell>
          <cell r="F1497">
            <v>920</v>
          </cell>
        </row>
        <row r="1498">
          <cell r="E1498" t="str">
            <v>CORDELEGAGREENWOODSC</v>
          </cell>
          <cell r="F1498">
            <v>660</v>
          </cell>
        </row>
        <row r="1499">
          <cell r="E1499" t="str">
            <v>CORDELEGAGRIFTONNC</v>
          </cell>
          <cell r="F1499">
            <v>1450</v>
          </cell>
        </row>
        <row r="1500">
          <cell r="E1500" t="str">
            <v>CORDELEGALUMBERTONNC</v>
          </cell>
          <cell r="F1500">
            <v>1040</v>
          </cell>
        </row>
        <row r="1501">
          <cell r="E1501" t="str">
            <v>CORDELEGAERWINNC</v>
          </cell>
          <cell r="F1501">
            <v>1170</v>
          </cell>
        </row>
        <row r="1502">
          <cell r="E1502" t="str">
            <v>CORDELEGACLARKTONNC</v>
          </cell>
          <cell r="F1502">
            <v>1090</v>
          </cell>
        </row>
        <row r="1503">
          <cell r="E1503" t="str">
            <v>CORDELEGAGAINESVILLEGA</v>
          </cell>
          <cell r="F1503">
            <v>620</v>
          </cell>
        </row>
        <row r="1504">
          <cell r="E1504" t="str">
            <v>CORDELEGAJACKSONVILLEFL</v>
          </cell>
          <cell r="F1504">
            <v>640</v>
          </cell>
        </row>
        <row r="1505">
          <cell r="E1505" t="str">
            <v>CORDELEGAGREERSC</v>
          </cell>
          <cell r="F1505">
            <v>820</v>
          </cell>
        </row>
        <row r="1506">
          <cell r="E1506" t="str">
            <v>CORDELEGACARTERSVILLEGA</v>
          </cell>
          <cell r="F1506">
            <v>620</v>
          </cell>
        </row>
        <row r="1507">
          <cell r="E1507" t="str">
            <v>CORDELEGAGAFFNEYSC</v>
          </cell>
          <cell r="F1507">
            <v>890</v>
          </cell>
        </row>
        <row r="1508">
          <cell r="E1508" t="str">
            <v>CORDELEGARABUN GAPGA</v>
          </cell>
          <cell r="F1508">
            <v>760</v>
          </cell>
        </row>
        <row r="1509">
          <cell r="E1509" t="str">
            <v>CORDELEGAWESLACOTX</v>
          </cell>
          <cell r="F1509">
            <v>1648</v>
          </cell>
        </row>
        <row r="1510">
          <cell r="E1510" t="str">
            <v>CORPUS CHRISTITXHoustonTX</v>
          </cell>
          <cell r="F1510">
            <v>724</v>
          </cell>
        </row>
        <row r="1511">
          <cell r="E1511" t="str">
            <v>CORPUS CHRISTITXBaytownTX</v>
          </cell>
          <cell r="F1511">
            <v>781</v>
          </cell>
        </row>
        <row r="1512">
          <cell r="E1512" t="str">
            <v>CORPUS CHRISTITXHASLETTX</v>
          </cell>
          <cell r="F1512">
            <v>2026</v>
          </cell>
        </row>
        <row r="1513">
          <cell r="E1513" t="str">
            <v>CORPUS CHRISTITXHOUSTONTX</v>
          </cell>
          <cell r="F1513">
            <v>1003</v>
          </cell>
        </row>
        <row r="1514">
          <cell r="E1514" t="str">
            <v>CORPUS CHRISTITXWILMERTX</v>
          </cell>
          <cell r="F1514">
            <v>1652</v>
          </cell>
        </row>
        <row r="1515">
          <cell r="E1515" t="str">
            <v>CORPUS CHRISTITXWYLIETX</v>
          </cell>
        </row>
        <row r="1516">
          <cell r="E1516" t="str">
            <v>CORPUS CHRISTITXDallasTX</v>
          </cell>
        </row>
        <row r="1517">
          <cell r="E1517" t="str">
            <v>CORPUS CHRISTITXWESLACOTX</v>
          </cell>
          <cell r="F1517">
            <v>542</v>
          </cell>
        </row>
        <row r="1518">
          <cell r="E1518" t="str">
            <v>COURTLANDALROCKFORDTN</v>
          </cell>
          <cell r="F1518">
            <v>730</v>
          </cell>
        </row>
        <row r="1519">
          <cell r="E1519" t="str">
            <v>COURTLANDALCHARLOTTENC</v>
          </cell>
          <cell r="F1519">
            <v>1260</v>
          </cell>
        </row>
        <row r="1520">
          <cell r="E1520" t="str">
            <v>COURTLANDALSANFORDNC</v>
          </cell>
          <cell r="F1520">
            <v>1490</v>
          </cell>
        </row>
        <row r="1521">
          <cell r="E1521" t="str">
            <v>COURTLANDALSTONEVILLENC</v>
          </cell>
          <cell r="F1521">
            <v>1390</v>
          </cell>
        </row>
        <row r="1522">
          <cell r="E1522" t="str">
            <v>COURTLANDALGAINESVILLEGA</v>
          </cell>
          <cell r="F1522">
            <v>830</v>
          </cell>
        </row>
        <row r="1523">
          <cell r="E1523" t="str">
            <v>COURTLANDALINDIAN LANDSC</v>
          </cell>
          <cell r="F1523">
            <v>1290</v>
          </cell>
        </row>
        <row r="1524">
          <cell r="E1524" t="str">
            <v>COURTLANDALMINERAL SPRINGSNC</v>
          </cell>
          <cell r="F1524">
            <v>1320</v>
          </cell>
        </row>
        <row r="1525">
          <cell r="E1525" t="str">
            <v>COURTLANDALKINSTONNC</v>
          </cell>
          <cell r="F1525">
            <v>1730</v>
          </cell>
        </row>
        <row r="1526">
          <cell r="E1526" t="str">
            <v>COURTLANDALGREENWOODSC</v>
          </cell>
          <cell r="F1526">
            <v>1050</v>
          </cell>
        </row>
        <row r="1527">
          <cell r="E1527" t="str">
            <v>COURTLANDALMOCKSVILLENC</v>
          </cell>
          <cell r="F1527">
            <v>1260</v>
          </cell>
        </row>
        <row r="1528">
          <cell r="E1528" t="str">
            <v>COURTLANDALMONEYMS</v>
          </cell>
          <cell r="F1528">
            <v>700</v>
          </cell>
        </row>
        <row r="1529">
          <cell r="E1529" t="str">
            <v>COURTLANDALTALLULAHLA</v>
          </cell>
          <cell r="F1529">
            <v>970</v>
          </cell>
        </row>
        <row r="1530">
          <cell r="E1530" t="str">
            <v>COURTLANDALENOREESC</v>
          </cell>
          <cell r="F1530">
            <v>1120</v>
          </cell>
        </row>
        <row r="1531">
          <cell r="E1531" t="str">
            <v>COURTLANDALDAWSONGA</v>
          </cell>
          <cell r="F1531">
            <v>850</v>
          </cell>
        </row>
        <row r="1532">
          <cell r="E1532" t="str">
            <v>COURTLANDALGREERSC</v>
          </cell>
          <cell r="F1532">
            <v>1070</v>
          </cell>
        </row>
        <row r="1533">
          <cell r="E1533" t="str">
            <v>COURTLANDALGAFFNEYSC</v>
          </cell>
          <cell r="F1533">
            <v>1150</v>
          </cell>
        </row>
        <row r="1534">
          <cell r="E1534" t="str">
            <v>COURTLANDALTUNICAMS</v>
          </cell>
          <cell r="F1534">
            <v>620</v>
          </cell>
        </row>
        <row r="1535">
          <cell r="E1535" t="str">
            <v>COURTLANDALLOWELLNC</v>
          </cell>
          <cell r="F1535">
            <v>1230</v>
          </cell>
        </row>
        <row r="1536">
          <cell r="E1536" t="str">
            <v>COURTLANDALJACKSONVILLEFL</v>
          </cell>
          <cell r="F1536">
            <v>1360</v>
          </cell>
        </row>
        <row r="1537">
          <cell r="E1537" t="str">
            <v>COURTLANDALCLARKTONNC</v>
          </cell>
          <cell r="F1537">
            <v>1560</v>
          </cell>
        </row>
        <row r="1538">
          <cell r="E1538" t="str">
            <v>COURTLANDALNEW ORLEANSLA</v>
          </cell>
          <cell r="F1538">
            <v>1130</v>
          </cell>
        </row>
        <row r="1539">
          <cell r="E1539" t="str">
            <v>COURTLANDALBELMONTNC</v>
          </cell>
          <cell r="F1539">
            <v>1230</v>
          </cell>
        </row>
        <row r="1540">
          <cell r="E1540" t="str">
            <v>COURTLANDALGASTONIANC</v>
          </cell>
          <cell r="F1540">
            <v>1210</v>
          </cell>
        </row>
        <row r="1541">
          <cell r="E1541" t="str">
            <v>COURTLANDALSHELBYNC</v>
          </cell>
          <cell r="F1541">
            <v>1140</v>
          </cell>
        </row>
        <row r="1542">
          <cell r="E1542" t="str">
            <v>COURTLANDALECLECTICAL</v>
          </cell>
          <cell r="F1542">
            <v>620</v>
          </cell>
        </row>
        <row r="1543">
          <cell r="E1543" t="str">
            <v>COURTLANDALSPARTANC</v>
          </cell>
          <cell r="F1543">
            <v>1220</v>
          </cell>
        </row>
        <row r="1544">
          <cell r="E1544" t="str">
            <v>COURTLANDALROCKINGHAMNC</v>
          </cell>
          <cell r="F1544">
            <v>1430</v>
          </cell>
        </row>
        <row r="1545">
          <cell r="E1545" t="str">
            <v>COURTLANDALRAYVILLELA</v>
          </cell>
          <cell r="F1545">
            <v>1040</v>
          </cell>
        </row>
        <row r="1546">
          <cell r="E1546" t="str">
            <v>COURTLANDALMAYODANNC</v>
          </cell>
          <cell r="F1546">
            <v>1380</v>
          </cell>
        </row>
        <row r="1547">
          <cell r="E1547" t="str">
            <v>COURTLANDALLUMBERTONNC</v>
          </cell>
          <cell r="F1547">
            <v>1510</v>
          </cell>
        </row>
        <row r="1548">
          <cell r="E1548" t="str">
            <v>COURTLANDALMEMPHISTN</v>
          </cell>
          <cell r="F1548">
            <v>580</v>
          </cell>
        </row>
        <row r="1549">
          <cell r="E1549" t="str">
            <v>COURTLANDALEDENTONNC</v>
          </cell>
          <cell r="F1549">
            <v>1850</v>
          </cell>
        </row>
        <row r="1550">
          <cell r="E1550" t="str">
            <v>COURTLANDALWEST MEMPHISAR</v>
          </cell>
          <cell r="F1550">
            <v>590</v>
          </cell>
        </row>
        <row r="1551">
          <cell r="E1551" t="str">
            <v>COURTLANDALGarden CityGA</v>
          </cell>
          <cell r="F1551">
            <v>1360</v>
          </cell>
        </row>
        <row r="1552">
          <cell r="E1552" t="str">
            <v>COURTLANDALRINCONGA</v>
          </cell>
          <cell r="F1552">
            <v>1390</v>
          </cell>
        </row>
        <row r="1553">
          <cell r="E1553" t="str">
            <v>COURTLANDALROSSVILLETN</v>
          </cell>
          <cell r="F1553">
            <v>550</v>
          </cell>
        </row>
        <row r="1554">
          <cell r="E1554" t="str">
            <v>COURTLANDALMARIONAR</v>
          </cell>
          <cell r="F1554">
            <v>600</v>
          </cell>
        </row>
        <row r="1555">
          <cell r="E1555" t="str">
            <v>COURTLANDALCENTREAL</v>
          </cell>
          <cell r="F1555">
            <v>520</v>
          </cell>
        </row>
        <row r="1556">
          <cell r="E1556" t="str">
            <v>COURTLANDALPORT WENTWORTHGA</v>
          </cell>
          <cell r="F1556">
            <v>1370</v>
          </cell>
        </row>
        <row r="1557">
          <cell r="E1557" t="str">
            <v>COURTLANDALMCCALLAAL</v>
          </cell>
          <cell r="F1557">
            <v>510</v>
          </cell>
        </row>
        <row r="1558">
          <cell r="E1558" t="str">
            <v>COURTLANDALGULFPORTMS</v>
          </cell>
          <cell r="F1558">
            <v>1150</v>
          </cell>
        </row>
        <row r="1559">
          <cell r="E1559" t="str">
            <v>COURTLANDALBLYTHEVILLEAR</v>
          </cell>
          <cell r="F1559">
            <v>680</v>
          </cell>
        </row>
        <row r="1560">
          <cell r="E1560" t="str">
            <v>COURTLANDALMOBILEAL</v>
          </cell>
          <cell r="F1560">
            <v>950</v>
          </cell>
        </row>
        <row r="1561">
          <cell r="E1561" t="str">
            <v>COURTLANDALHICKORYNC</v>
          </cell>
          <cell r="F1561">
            <v>1150</v>
          </cell>
        </row>
        <row r="1562">
          <cell r="E1562" t="str">
            <v>COURTLANDALCARTERSVILLEGA</v>
          </cell>
          <cell r="F1562">
            <v>610</v>
          </cell>
        </row>
        <row r="1563">
          <cell r="E1563" t="str">
            <v>COURTLANDALINDIANOLAMS</v>
          </cell>
          <cell r="F1563">
            <v>790</v>
          </cell>
        </row>
        <row r="1564">
          <cell r="E1564" t="str">
            <v>COURTLANDALSALISBURYNC</v>
          </cell>
          <cell r="F1564">
            <v>1270</v>
          </cell>
        </row>
        <row r="1565">
          <cell r="E1565" t="str">
            <v>COURTLANDALGREENWOODMS</v>
          </cell>
          <cell r="F1565">
            <v>720</v>
          </cell>
        </row>
        <row r="1566">
          <cell r="E1566" t="str">
            <v>COURTLANDALRABUN GAPGA</v>
          </cell>
          <cell r="F1566">
            <v>850</v>
          </cell>
        </row>
        <row r="1567">
          <cell r="E1567" t="str">
            <v>COURTLANDALDREWMS</v>
          </cell>
          <cell r="F1567">
            <v>680</v>
          </cell>
        </row>
        <row r="1568">
          <cell r="E1568" t="str">
            <v>COURTLANDALLEXINGTONNC</v>
          </cell>
          <cell r="F1568">
            <v>1300</v>
          </cell>
        </row>
        <row r="1569">
          <cell r="E1569" t="str">
            <v>COURTLANDALTHOMASVILLENC</v>
          </cell>
          <cell r="F1569">
            <v>1330</v>
          </cell>
        </row>
        <row r="1570">
          <cell r="E1570" t="str">
            <v>COURTLANDALNORFOLKVA</v>
          </cell>
          <cell r="F1570">
            <v>1900</v>
          </cell>
        </row>
        <row r="1571">
          <cell r="E1571" t="str">
            <v>COURTLANDALPORTSMOUTHVA</v>
          </cell>
          <cell r="F1571">
            <v>1890</v>
          </cell>
        </row>
        <row r="1572">
          <cell r="E1572" t="str">
            <v>COURTLANDALGRIFTONNC</v>
          </cell>
          <cell r="F1572">
            <v>1870</v>
          </cell>
        </row>
        <row r="1573">
          <cell r="E1573" t="str">
            <v>COURTLANDALERWINNC</v>
          </cell>
          <cell r="F1573">
            <v>1570</v>
          </cell>
        </row>
        <row r="1574">
          <cell r="E1574" t="str">
            <v>COVINGTONTNNORFOLKVA</v>
          </cell>
          <cell r="F1574">
            <v>2130</v>
          </cell>
        </row>
        <row r="1575">
          <cell r="E1575" t="str">
            <v>COVINGTONTNROCKFORDTN</v>
          </cell>
          <cell r="F1575">
            <v>960</v>
          </cell>
        </row>
        <row r="1576">
          <cell r="E1576" t="str">
            <v>COVINGTONTNMCCALLAAL</v>
          </cell>
          <cell r="F1576">
            <v>780</v>
          </cell>
        </row>
        <row r="1577">
          <cell r="E1577" t="str">
            <v>COVINGTONTNCHARLOTTENC</v>
          </cell>
          <cell r="F1577">
            <v>1470</v>
          </cell>
        </row>
        <row r="1578">
          <cell r="E1578" t="str">
            <v>COVINGTONTNSHELBYNC</v>
          </cell>
          <cell r="F1578">
            <v>1370</v>
          </cell>
        </row>
        <row r="1579">
          <cell r="E1579" t="str">
            <v>COVINGTONTNSALISBURYNC</v>
          </cell>
          <cell r="F1579">
            <v>1500</v>
          </cell>
        </row>
        <row r="1580">
          <cell r="E1580" t="str">
            <v>COVINGTONTNINDIAN LANDSC</v>
          </cell>
          <cell r="F1580">
            <v>1500</v>
          </cell>
        </row>
        <row r="1581">
          <cell r="E1581" t="str">
            <v>COVINGTONTNSPARTANC</v>
          </cell>
          <cell r="F1581">
            <v>1450</v>
          </cell>
        </row>
        <row r="1582">
          <cell r="E1582" t="str">
            <v>COVINGTONTNHICKORYNC</v>
          </cell>
          <cell r="F1582">
            <v>1380</v>
          </cell>
        </row>
        <row r="1583">
          <cell r="E1583" t="str">
            <v>COVINGTONTNMAYODANNC</v>
          </cell>
          <cell r="F1583">
            <v>1610</v>
          </cell>
        </row>
        <row r="1584">
          <cell r="E1584" t="str">
            <v>COVINGTONTNGREERSC</v>
          </cell>
          <cell r="F1584">
            <v>1330</v>
          </cell>
        </row>
        <row r="1585">
          <cell r="E1585" t="str">
            <v>COVINGTONTNLUMBERTONNC</v>
          </cell>
          <cell r="F1585">
            <v>1770</v>
          </cell>
        </row>
        <row r="1586">
          <cell r="E1586" t="str">
            <v>COVINGTONTNSANFORDNC</v>
          </cell>
          <cell r="F1586">
            <v>1720</v>
          </cell>
        </row>
        <row r="1587">
          <cell r="E1587" t="str">
            <v>COVINGTONTNENOREESC</v>
          </cell>
          <cell r="F1587">
            <v>1390</v>
          </cell>
        </row>
        <row r="1588">
          <cell r="E1588" t="str">
            <v>COVINGTONTNSTONEVILLENC</v>
          </cell>
          <cell r="F1588">
            <v>1620</v>
          </cell>
        </row>
        <row r="1589">
          <cell r="E1589" t="str">
            <v>COVINGTONTNKINSTONNC</v>
          </cell>
          <cell r="F1589">
            <v>1960</v>
          </cell>
        </row>
        <row r="1590">
          <cell r="E1590" t="str">
            <v>COVINGTONTNMOCKSVILLENC</v>
          </cell>
          <cell r="F1590">
            <v>1490</v>
          </cell>
        </row>
        <row r="1591">
          <cell r="E1591" t="str">
            <v>COVINGTONTNERWINNC</v>
          </cell>
          <cell r="F1591">
            <v>1800</v>
          </cell>
        </row>
        <row r="1592">
          <cell r="E1592" t="str">
            <v>COVINGTONTNTHOMASVILLENC</v>
          </cell>
          <cell r="F1592">
            <v>1560</v>
          </cell>
        </row>
        <row r="1593">
          <cell r="E1593" t="str">
            <v>COVINGTONTNLOWELLNC</v>
          </cell>
          <cell r="F1593">
            <v>1430</v>
          </cell>
        </row>
        <row r="1594">
          <cell r="E1594" t="str">
            <v>COVINGTONTNLEXINGTONNC</v>
          </cell>
          <cell r="F1594">
            <v>1520</v>
          </cell>
        </row>
        <row r="1595">
          <cell r="E1595" t="str">
            <v>COVINGTONTNGASTONIANC</v>
          </cell>
          <cell r="F1595">
            <v>1420</v>
          </cell>
        </row>
        <row r="1596">
          <cell r="E1596" t="str">
            <v>COVINGTONTNMONEYMS</v>
          </cell>
          <cell r="F1596">
            <v>570</v>
          </cell>
        </row>
        <row r="1597">
          <cell r="E1597" t="str">
            <v>COVINGTONTNGREENWOODSC</v>
          </cell>
          <cell r="F1597">
            <v>1400</v>
          </cell>
        </row>
        <row r="1598">
          <cell r="E1598" t="str">
            <v>COVINGTONTNNEW ORLEANSLA</v>
          </cell>
          <cell r="F1598">
            <v>1110</v>
          </cell>
        </row>
        <row r="1599">
          <cell r="E1599" t="str">
            <v>COVINGTONTNROCKINGHAMNC</v>
          </cell>
          <cell r="F1599">
            <v>1640</v>
          </cell>
        </row>
        <row r="1600">
          <cell r="E1600" t="str">
            <v>COVINGTONTNCLARKTONNC</v>
          </cell>
          <cell r="F1600">
            <v>1820</v>
          </cell>
        </row>
        <row r="1601">
          <cell r="E1601" t="str">
            <v>COVINGTONTNINDIANOLAMS</v>
          </cell>
          <cell r="F1601">
            <v>590</v>
          </cell>
        </row>
        <row r="1602">
          <cell r="E1602" t="str">
            <v>COVINGTONTNBLYTHEVILLEAR</v>
          </cell>
          <cell r="F1602">
            <v>460</v>
          </cell>
        </row>
        <row r="1603">
          <cell r="E1603" t="str">
            <v>COVINGTONTNGREENWOODMS</v>
          </cell>
          <cell r="F1603">
            <v>600</v>
          </cell>
        </row>
        <row r="1604">
          <cell r="E1604" t="str">
            <v>COVINGTONTNGRIFTONNC</v>
          </cell>
          <cell r="F1604">
            <v>2090</v>
          </cell>
        </row>
        <row r="1605">
          <cell r="E1605" t="str">
            <v>COVINGTONTNRABUN GAPGA</v>
          </cell>
          <cell r="F1605">
            <v>1230</v>
          </cell>
        </row>
        <row r="1606">
          <cell r="E1606" t="str">
            <v>COVINGTONTNDREWMS</v>
          </cell>
          <cell r="F1606">
            <v>540</v>
          </cell>
        </row>
        <row r="1607">
          <cell r="E1607" t="str">
            <v>COVINGTONTNMEMPHISTN</v>
          </cell>
          <cell r="F1607">
            <v>390</v>
          </cell>
        </row>
        <row r="1608">
          <cell r="E1608" t="str">
            <v>COVINGTONTNTUNICAMS</v>
          </cell>
          <cell r="F1608">
            <v>440</v>
          </cell>
        </row>
        <row r="1609">
          <cell r="E1609" t="str">
            <v>COVINGTONTNWEST MEMPHISAR</v>
          </cell>
          <cell r="F1609">
            <v>390</v>
          </cell>
        </row>
        <row r="1610">
          <cell r="E1610" t="str">
            <v>COVINGTONTNGULFPORTMS</v>
          </cell>
          <cell r="F1610">
            <v>1150</v>
          </cell>
        </row>
        <row r="1611">
          <cell r="E1611" t="str">
            <v>COVINGTONTNROSSVILLETN</v>
          </cell>
          <cell r="F1611">
            <v>400</v>
          </cell>
        </row>
        <row r="1612">
          <cell r="E1612" t="str">
            <v>COVINGTONTNMARIONAR</v>
          </cell>
          <cell r="F1612">
            <v>400</v>
          </cell>
        </row>
        <row r="1613">
          <cell r="E1613" t="str">
            <v>COVINGTONTNBELMONTNC</v>
          </cell>
          <cell r="F1613">
            <v>1440</v>
          </cell>
        </row>
        <row r="1614">
          <cell r="E1614" t="str">
            <v>COVINGTONTNMINERAL SPRINGSNC</v>
          </cell>
          <cell r="F1614">
            <v>1530</v>
          </cell>
        </row>
        <row r="1615">
          <cell r="E1615" t="str">
            <v>COVINGTONTNTALLULAHLA</v>
          </cell>
          <cell r="F1615">
            <v>840</v>
          </cell>
        </row>
        <row r="1616">
          <cell r="E1616" t="str">
            <v>COVINGTONTNMOBILEAL</v>
          </cell>
          <cell r="F1616">
            <v>1110</v>
          </cell>
        </row>
        <row r="1617">
          <cell r="E1617" t="str">
            <v>COVINGTONTNCENTREAL</v>
          </cell>
          <cell r="F1617">
            <v>830</v>
          </cell>
        </row>
        <row r="1618">
          <cell r="E1618" t="str">
            <v>COVINGTONTNRINCONGA</v>
          </cell>
          <cell r="F1618">
            <v>1760</v>
          </cell>
        </row>
        <row r="1619">
          <cell r="E1619" t="str">
            <v>COVINGTONTNPORT WENTWORTHGA</v>
          </cell>
          <cell r="F1619">
            <v>1750</v>
          </cell>
        </row>
        <row r="1620">
          <cell r="E1620" t="str">
            <v>COVINGTONTNGAINESVILLEGA</v>
          </cell>
          <cell r="F1620">
            <v>1180</v>
          </cell>
        </row>
        <row r="1621">
          <cell r="E1621" t="str">
            <v>COVINGTONTNCARTERSVILLEGA</v>
          </cell>
          <cell r="F1621">
            <v>1000</v>
          </cell>
        </row>
        <row r="1622">
          <cell r="E1622" t="str">
            <v>COVINGTONTNGarden CityGA</v>
          </cell>
          <cell r="F1622">
            <v>1730</v>
          </cell>
        </row>
        <row r="1623">
          <cell r="E1623" t="str">
            <v>COVINGTONTNRAYVILLELA</v>
          </cell>
          <cell r="F1623">
            <v>780</v>
          </cell>
        </row>
        <row r="1624">
          <cell r="E1624" t="str">
            <v>COVINGTONTNPORTSMOUTHVA</v>
          </cell>
          <cell r="F1624">
            <v>2120</v>
          </cell>
        </row>
        <row r="1625">
          <cell r="E1625" t="str">
            <v>COVINGTONTNEDENTONNC</v>
          </cell>
          <cell r="F1625">
            <v>2080</v>
          </cell>
        </row>
        <row r="1626">
          <cell r="E1626" t="str">
            <v>COVINGTONTNDAWSONGA</v>
          </cell>
          <cell r="F1626">
            <v>1220</v>
          </cell>
        </row>
        <row r="1627">
          <cell r="E1627" t="str">
            <v>COVINGTONTNGAFFNEYSC</v>
          </cell>
          <cell r="F1627">
            <v>1380</v>
          </cell>
        </row>
        <row r="1628">
          <cell r="E1628" t="str">
            <v>COVINGTONTNJACKSONVILLEFL</v>
          </cell>
          <cell r="F1628">
            <v>1730</v>
          </cell>
        </row>
        <row r="1629">
          <cell r="E1629" t="str">
            <v>COVINGTONTNECLECTICAL</v>
          </cell>
          <cell r="F1629">
            <v>960</v>
          </cell>
        </row>
        <row r="1630">
          <cell r="E1630" t="str">
            <v>COVINGTONTNWESLACOTX</v>
          </cell>
          <cell r="F1630">
            <v>1479</v>
          </cell>
        </row>
        <row r="1631">
          <cell r="E1631" t="str">
            <v>CRAWFORDSVILLEARROCKFORDTN</v>
          </cell>
          <cell r="F1631">
            <v>1090</v>
          </cell>
        </row>
        <row r="1632">
          <cell r="E1632" t="str">
            <v>CRAWFORDSVILLEARKINSTONNC</v>
          </cell>
          <cell r="F1632">
            <v>2100</v>
          </cell>
        </row>
        <row r="1633">
          <cell r="E1633" t="str">
            <v>CRAWFORDSVILLEARCHARLOTTENC</v>
          </cell>
          <cell r="F1633">
            <v>1610</v>
          </cell>
        </row>
        <row r="1634">
          <cell r="E1634" t="str">
            <v>CRAWFORDSVILLEARJACKSONVILLEFL</v>
          </cell>
          <cell r="F1634">
            <v>1720</v>
          </cell>
        </row>
        <row r="1635">
          <cell r="E1635" t="str">
            <v>CRAWFORDSVILLEARSALISBURYNC</v>
          </cell>
          <cell r="F1635">
            <v>1640</v>
          </cell>
        </row>
        <row r="1636">
          <cell r="E1636" t="str">
            <v>CRAWFORDSVILLEARMAYODANNC</v>
          </cell>
          <cell r="F1636">
            <v>1750</v>
          </cell>
        </row>
        <row r="1637">
          <cell r="E1637" t="str">
            <v>CRAWFORDSVILLEARSANFORDNC</v>
          </cell>
          <cell r="F1637">
            <v>1860</v>
          </cell>
        </row>
        <row r="1638">
          <cell r="E1638" t="str">
            <v>CRAWFORDSVILLEARMINERAL SPRINGSNC</v>
          </cell>
          <cell r="F1638">
            <v>1660</v>
          </cell>
        </row>
        <row r="1639">
          <cell r="E1639" t="str">
            <v>CRAWFORDSVILLEARSPARTANC</v>
          </cell>
          <cell r="F1639">
            <v>1580</v>
          </cell>
        </row>
        <row r="1640">
          <cell r="E1640" t="str">
            <v>CRAWFORDSVILLEARSHELBYNC</v>
          </cell>
          <cell r="F1640">
            <v>1500</v>
          </cell>
        </row>
        <row r="1641">
          <cell r="E1641" t="str">
            <v>CRAWFORDSVILLEARSTONEVILLENC</v>
          </cell>
          <cell r="F1641">
            <v>1750</v>
          </cell>
        </row>
        <row r="1642">
          <cell r="E1642" t="str">
            <v>CRAWFORDSVILLEARCLARKTONNC</v>
          </cell>
          <cell r="F1642">
            <v>1920</v>
          </cell>
        </row>
        <row r="1643">
          <cell r="E1643" t="str">
            <v>CRAWFORDSVILLEARHICKORYNC</v>
          </cell>
          <cell r="F1643">
            <v>1510</v>
          </cell>
        </row>
        <row r="1644">
          <cell r="E1644" t="str">
            <v>CRAWFORDSVILLEARLUMBERTONNC</v>
          </cell>
          <cell r="F1644">
            <v>1870</v>
          </cell>
        </row>
        <row r="1645">
          <cell r="E1645" t="str">
            <v>CRAWFORDSVILLEARERWINNC</v>
          </cell>
          <cell r="F1645">
            <v>1930</v>
          </cell>
        </row>
        <row r="1646">
          <cell r="E1646" t="str">
            <v>CRAWFORDSVILLEARINDIAN LANDSC</v>
          </cell>
          <cell r="F1646">
            <v>1630</v>
          </cell>
        </row>
        <row r="1647">
          <cell r="E1647" t="str">
            <v>CRAWFORDSVILLEARTHOMASVILLENC</v>
          </cell>
          <cell r="F1647">
            <v>1690</v>
          </cell>
        </row>
        <row r="1648">
          <cell r="E1648" t="str">
            <v>CRAWFORDSVILLEARMOCKSVILLENC</v>
          </cell>
          <cell r="F1648">
            <v>1620</v>
          </cell>
        </row>
        <row r="1649">
          <cell r="E1649" t="str">
            <v>CRAWFORDSVILLEARLOWELLNC</v>
          </cell>
          <cell r="F1649">
            <v>1570</v>
          </cell>
        </row>
        <row r="1650">
          <cell r="E1650" t="str">
            <v>CRAWFORDSVILLEARLEXINGTONNC</v>
          </cell>
          <cell r="F1650">
            <v>1660</v>
          </cell>
        </row>
        <row r="1651">
          <cell r="E1651" t="str">
            <v>CRAWFORDSVILLEARBELMONTNC</v>
          </cell>
          <cell r="F1651">
            <v>1580</v>
          </cell>
        </row>
        <row r="1652">
          <cell r="E1652" t="str">
            <v>CRAWFORDSVILLEARGASTONIANC</v>
          </cell>
          <cell r="F1652">
            <v>1560</v>
          </cell>
        </row>
        <row r="1653">
          <cell r="E1653" t="str">
            <v>CRAWFORDSVILLEARROCKINGHAMNC</v>
          </cell>
          <cell r="F1653">
            <v>1780</v>
          </cell>
        </row>
        <row r="1654">
          <cell r="E1654" t="str">
            <v>CRAWFORDSVILLEARMCCALLAAL</v>
          </cell>
          <cell r="F1654">
            <v>760</v>
          </cell>
        </row>
        <row r="1655">
          <cell r="E1655" t="str">
            <v>CRAWFORDSVILLEARGRIFTONNC</v>
          </cell>
          <cell r="F1655">
            <v>2230</v>
          </cell>
        </row>
        <row r="1656">
          <cell r="E1656" t="str">
            <v>CRAWFORDSVILLEARTALLULAHLA</v>
          </cell>
          <cell r="F1656">
            <v>800</v>
          </cell>
        </row>
        <row r="1657">
          <cell r="E1657" t="str">
            <v>CRAWFORDSVILLEARINDIANOLAMS</v>
          </cell>
          <cell r="F1657">
            <v>560</v>
          </cell>
        </row>
        <row r="1658">
          <cell r="E1658" t="str">
            <v>CRAWFORDSVILLEARGULFPORTMS</v>
          </cell>
          <cell r="F1658">
            <v>1110</v>
          </cell>
        </row>
        <row r="1659">
          <cell r="E1659" t="str">
            <v>CRAWFORDSVILLEARRABUN GAPGA</v>
          </cell>
          <cell r="F1659">
            <v>1410</v>
          </cell>
        </row>
        <row r="1660">
          <cell r="E1660" t="str">
            <v>CRAWFORDSVILLEARGREENWOODMS</v>
          </cell>
          <cell r="F1660">
            <v>570</v>
          </cell>
        </row>
        <row r="1661">
          <cell r="E1661" t="str">
            <v>CRAWFORDSVILLEARDREWMS</v>
          </cell>
          <cell r="F1661">
            <v>510</v>
          </cell>
        </row>
        <row r="1662">
          <cell r="E1662" t="str">
            <v>CRAWFORDSVILLEARMONEYMS</v>
          </cell>
          <cell r="F1662">
            <v>540</v>
          </cell>
        </row>
        <row r="1663">
          <cell r="E1663" t="str">
            <v>CRAWFORDSVILLEARBLYTHEVILLEAR</v>
          </cell>
          <cell r="F1663">
            <v>420</v>
          </cell>
        </row>
        <row r="1664">
          <cell r="E1664" t="str">
            <v>CRAWFORDSVILLEARROSSVILLETN</v>
          </cell>
          <cell r="F1664">
            <v>410</v>
          </cell>
        </row>
        <row r="1665">
          <cell r="E1665" t="str">
            <v>CRAWFORDSVILLEARTUNICAMS</v>
          </cell>
          <cell r="F1665">
            <v>410</v>
          </cell>
        </row>
        <row r="1666">
          <cell r="E1666" t="str">
            <v>CRAWFORDSVILLEARMARIONAR</v>
          </cell>
          <cell r="F1666">
            <v>330</v>
          </cell>
        </row>
        <row r="1667">
          <cell r="E1667" t="str">
            <v>CRAWFORDSVILLEARWEST MEMPHISAR</v>
          </cell>
          <cell r="F1667">
            <v>340</v>
          </cell>
        </row>
        <row r="1668">
          <cell r="E1668" t="str">
            <v>CRAWFORDSVILLEARMEMPHISTN</v>
          </cell>
          <cell r="F1668">
            <v>360</v>
          </cell>
        </row>
        <row r="1669">
          <cell r="E1669" t="str">
            <v>CRAWFORDSVILLEARRINCONGA</v>
          </cell>
          <cell r="F1669">
            <v>1750</v>
          </cell>
        </row>
        <row r="1670">
          <cell r="E1670" t="str">
            <v>CRAWFORDSVILLEARCARTERSVILLEGA</v>
          </cell>
          <cell r="F1670">
            <v>1050</v>
          </cell>
        </row>
        <row r="1671">
          <cell r="E1671" t="str">
            <v>CRAWFORDSVILLEARCENTREAL</v>
          </cell>
          <cell r="F1671">
            <v>910</v>
          </cell>
        </row>
        <row r="1672">
          <cell r="E1672" t="str">
            <v>CRAWFORDSVILLEARPORT WENTWORTHGA</v>
          </cell>
          <cell r="F1672">
            <v>1730</v>
          </cell>
        </row>
        <row r="1673">
          <cell r="E1673" t="str">
            <v>CRAWFORDSVILLEARMOBILEAL</v>
          </cell>
          <cell r="F1673">
            <v>1080</v>
          </cell>
        </row>
        <row r="1674">
          <cell r="E1674" t="str">
            <v>CRAWFORDSVILLEARRAYVILLELA</v>
          </cell>
          <cell r="F1674">
            <v>740</v>
          </cell>
        </row>
        <row r="1675">
          <cell r="E1675" t="str">
            <v>CRAWFORDSVILLEARNEW ORLEANSLA</v>
          </cell>
          <cell r="F1675">
            <v>1080</v>
          </cell>
        </row>
        <row r="1676">
          <cell r="E1676" t="str">
            <v>CRAWFORDSVILLEARGarden CityGA</v>
          </cell>
          <cell r="F1676">
            <v>1720</v>
          </cell>
        </row>
        <row r="1677">
          <cell r="E1677" t="str">
            <v>CRAWFORDSVILLEARGREENWOODSC</v>
          </cell>
          <cell r="F1677">
            <v>1410</v>
          </cell>
        </row>
        <row r="1678">
          <cell r="E1678" t="str">
            <v>CRAWFORDSVILLEARDAWSONGA</v>
          </cell>
          <cell r="F1678">
            <v>1200</v>
          </cell>
        </row>
        <row r="1679">
          <cell r="E1679" t="str">
            <v>CRAWFORDSVILLEARGAINESVILLEGA</v>
          </cell>
          <cell r="F1679">
            <v>1190</v>
          </cell>
        </row>
        <row r="1680">
          <cell r="E1680" t="str">
            <v>CRAWFORDSVILLEARGREERSC</v>
          </cell>
          <cell r="F1680">
            <v>1420</v>
          </cell>
        </row>
        <row r="1681">
          <cell r="E1681" t="str">
            <v>CRAWFORDSVILLEARENOREESC</v>
          </cell>
          <cell r="F1681">
            <v>1470</v>
          </cell>
        </row>
        <row r="1682">
          <cell r="E1682" t="str">
            <v>CRAWFORDSVILLEARNORFOLKVA</v>
          </cell>
          <cell r="F1682">
            <v>2270</v>
          </cell>
        </row>
        <row r="1683">
          <cell r="E1683" t="str">
            <v>CRAWFORDSVILLEARPORTSMOUTHVA</v>
          </cell>
          <cell r="F1683">
            <v>2250</v>
          </cell>
        </row>
        <row r="1684">
          <cell r="E1684" t="str">
            <v>CRAWFORDSVILLEARGAFFNEYSC</v>
          </cell>
          <cell r="F1684">
            <v>1500</v>
          </cell>
        </row>
        <row r="1685">
          <cell r="E1685" t="str">
            <v>CRAWFORDSVILLEAREDENTONNC</v>
          </cell>
          <cell r="F1685">
            <v>2220</v>
          </cell>
        </row>
        <row r="1686">
          <cell r="E1686" t="str">
            <v>CRAWFORDSVILLEARECLECTICAL</v>
          </cell>
          <cell r="F1686">
            <v>940</v>
          </cell>
        </row>
        <row r="1687">
          <cell r="E1687" t="str">
            <v>CUTHBERTGAROCKFORDTN</v>
          </cell>
          <cell r="F1687">
            <v>990</v>
          </cell>
        </row>
        <row r="1688">
          <cell r="E1688" t="str">
            <v>CUTHBERTGAENOREESC</v>
          </cell>
          <cell r="F1688">
            <v>920</v>
          </cell>
        </row>
        <row r="1689">
          <cell r="E1689" t="str">
            <v>CUTHBERTGAGREERSC</v>
          </cell>
          <cell r="F1689">
            <v>870</v>
          </cell>
        </row>
        <row r="1690">
          <cell r="E1690" t="str">
            <v>CUTHBERTGAMAYODANNC</v>
          </cell>
          <cell r="F1690">
            <v>1310</v>
          </cell>
        </row>
        <row r="1691">
          <cell r="E1691" t="str">
            <v>CUTHBERTGAMARIONAR</v>
          </cell>
          <cell r="F1691">
            <v>1140</v>
          </cell>
        </row>
        <row r="1692">
          <cell r="E1692" t="str">
            <v>CUTHBERTGAMOCKSVILLENC</v>
          </cell>
          <cell r="F1692">
            <v>1190</v>
          </cell>
        </row>
        <row r="1693">
          <cell r="E1693" t="str">
            <v>CUTHBERTGASTONEVILLENC</v>
          </cell>
          <cell r="F1693">
            <v>1320</v>
          </cell>
        </row>
        <row r="1694">
          <cell r="E1694" t="str">
            <v>CUTHBERTGABELMONTNC</v>
          </cell>
          <cell r="F1694">
            <v>1040</v>
          </cell>
        </row>
        <row r="1695">
          <cell r="E1695" t="str">
            <v>CUTHBERTGAGAFFNEYSC</v>
          </cell>
          <cell r="F1695">
            <v>950</v>
          </cell>
        </row>
        <row r="1696">
          <cell r="E1696" t="str">
            <v>CUTHBERTGASANFORDNC</v>
          </cell>
          <cell r="F1696">
            <v>1360</v>
          </cell>
        </row>
        <row r="1697">
          <cell r="E1697" t="str">
            <v>CUTHBERTGAERWINNC</v>
          </cell>
          <cell r="F1697">
            <v>1310</v>
          </cell>
        </row>
        <row r="1698">
          <cell r="E1698" t="str">
            <v>CUTHBERTGALOWELLNC</v>
          </cell>
          <cell r="F1698">
            <v>1030</v>
          </cell>
        </row>
        <row r="1699">
          <cell r="E1699" t="str">
            <v>CUTHBERTGASALISBURYNC</v>
          </cell>
          <cell r="F1699">
            <v>1160</v>
          </cell>
        </row>
        <row r="1700">
          <cell r="E1700" t="str">
            <v>CUTHBERTGAROCKINGHAMNC</v>
          </cell>
          <cell r="F1700">
            <v>1240</v>
          </cell>
        </row>
        <row r="1701">
          <cell r="E1701" t="str">
            <v>CUTHBERTGASHELBYNC</v>
          </cell>
          <cell r="F1701">
            <v>990</v>
          </cell>
        </row>
        <row r="1702">
          <cell r="E1702" t="str">
            <v>CUTHBERTGAGASTONIANC</v>
          </cell>
          <cell r="F1702">
            <v>1020</v>
          </cell>
        </row>
        <row r="1703">
          <cell r="E1703" t="str">
            <v>CUTHBERTGAPORTSMOUTHVA</v>
          </cell>
          <cell r="F1703">
            <v>1790</v>
          </cell>
        </row>
        <row r="1704">
          <cell r="E1704" t="str">
            <v>CUTHBERTGACLARKTONNC</v>
          </cell>
          <cell r="F1704">
            <v>1230</v>
          </cell>
        </row>
        <row r="1705">
          <cell r="E1705" t="str">
            <v>CUTHBERTGAMINERAL SPRINGSNC</v>
          </cell>
          <cell r="F1705">
            <v>1130</v>
          </cell>
        </row>
        <row r="1706">
          <cell r="E1706" t="str">
            <v>CUTHBERTGATALLULAHLA</v>
          </cell>
          <cell r="F1706">
            <v>1090</v>
          </cell>
        </row>
        <row r="1707">
          <cell r="E1707" t="str">
            <v>CUTHBERTGABLYTHEVILLEAR</v>
          </cell>
          <cell r="F1707">
            <v>1270</v>
          </cell>
        </row>
        <row r="1708">
          <cell r="E1708" t="str">
            <v>CUTHBERTGACARTERSVILLEGA</v>
          </cell>
          <cell r="F1708">
            <v>640</v>
          </cell>
        </row>
        <row r="1709">
          <cell r="E1709" t="str">
            <v>CUTHBERTGAROSSVILLETN</v>
          </cell>
          <cell r="F1709">
            <v>1110</v>
          </cell>
        </row>
        <row r="1710">
          <cell r="E1710" t="str">
            <v>CUTHBERTGAGREENWOODSC</v>
          </cell>
          <cell r="F1710">
            <v>840</v>
          </cell>
        </row>
        <row r="1711">
          <cell r="E1711" t="str">
            <v>CUTHBERTGACHARLOTTENC</v>
          </cell>
          <cell r="F1711">
            <v>1070</v>
          </cell>
        </row>
        <row r="1712">
          <cell r="E1712" t="str">
            <v>CUTHBERTGALEXINGTONNC</v>
          </cell>
          <cell r="F1712">
            <v>1200</v>
          </cell>
        </row>
        <row r="1713">
          <cell r="E1713" t="str">
            <v>CUTHBERTGAMOBILEAL</v>
          </cell>
          <cell r="F1713">
            <v>730</v>
          </cell>
        </row>
        <row r="1714">
          <cell r="E1714" t="str">
            <v>CUTHBERTGAHICKORYNC</v>
          </cell>
          <cell r="F1714">
            <v>1100</v>
          </cell>
        </row>
        <row r="1715">
          <cell r="E1715" t="str">
            <v>CUTHBERTGAINDIAN LANDSC</v>
          </cell>
          <cell r="F1715">
            <v>1100</v>
          </cell>
        </row>
        <row r="1716">
          <cell r="E1716" t="str">
            <v>CUTHBERTGALUMBERTONNC</v>
          </cell>
          <cell r="F1716">
            <v>1180</v>
          </cell>
        </row>
        <row r="1717">
          <cell r="E1717" t="str">
            <v>CUTHBERTGANEW ORLEANSLA</v>
          </cell>
          <cell r="F1717">
            <v>1040</v>
          </cell>
        </row>
        <row r="1718">
          <cell r="E1718" t="str">
            <v>CUTHBERTGASPARTANC</v>
          </cell>
          <cell r="F1718">
            <v>1280</v>
          </cell>
        </row>
        <row r="1719">
          <cell r="E1719" t="str">
            <v>CUTHBERTGAGREENWOODMS</v>
          </cell>
          <cell r="F1719">
            <v>1000</v>
          </cell>
        </row>
        <row r="1720">
          <cell r="E1720" t="str">
            <v>CUTHBERTGATHOMASVILLENC</v>
          </cell>
          <cell r="F1720">
            <v>1220</v>
          </cell>
        </row>
        <row r="1721">
          <cell r="E1721" t="str">
            <v>CUTHBERTGAJACKSONVILLEFL</v>
          </cell>
          <cell r="F1721">
            <v>710</v>
          </cell>
        </row>
        <row r="1722">
          <cell r="E1722" t="str">
            <v>CUTHBERTGAMEMPHISTN</v>
          </cell>
          <cell r="F1722">
            <v>1120</v>
          </cell>
        </row>
        <row r="1723">
          <cell r="E1723" t="str">
            <v>CUTHBERTGANORFOLKVA</v>
          </cell>
          <cell r="F1723">
            <v>1810</v>
          </cell>
        </row>
        <row r="1724">
          <cell r="E1724" t="str">
            <v>CUTHBERTGAMCCALLAAL</v>
          </cell>
          <cell r="F1724">
            <v>650</v>
          </cell>
        </row>
        <row r="1725">
          <cell r="E1725" t="str">
            <v>CUTHBERTGATUNICAMS</v>
          </cell>
          <cell r="F1725">
            <v>1150</v>
          </cell>
        </row>
        <row r="1726">
          <cell r="E1726" t="str">
            <v>CUTHBERTGAMONEYMS</v>
          </cell>
          <cell r="F1726">
            <v>1040</v>
          </cell>
        </row>
        <row r="1727">
          <cell r="E1727" t="str">
            <v>CUTHBERTGAWEST MEMPHISAR</v>
          </cell>
          <cell r="F1727">
            <v>1130</v>
          </cell>
        </row>
        <row r="1728">
          <cell r="E1728" t="str">
            <v>CUTHBERTGAKINSTONNC</v>
          </cell>
          <cell r="F1728">
            <v>1460</v>
          </cell>
        </row>
        <row r="1729">
          <cell r="E1729" t="str">
            <v>CUTHBERTGAEDENTONNC</v>
          </cell>
          <cell r="F1729">
            <v>1640</v>
          </cell>
        </row>
        <row r="1730">
          <cell r="E1730" t="str">
            <v>CUTHBERTGADREWMS</v>
          </cell>
          <cell r="F1730">
            <v>1090</v>
          </cell>
        </row>
        <row r="1731">
          <cell r="E1731" t="str">
            <v>CUTHBERTGAINDIANOLAMS</v>
          </cell>
          <cell r="F1731">
            <v>1070</v>
          </cell>
        </row>
        <row r="1732">
          <cell r="E1732" t="str">
            <v>CUTHBERTGARAYVILLELA</v>
          </cell>
          <cell r="F1732">
            <v>1160</v>
          </cell>
        </row>
        <row r="1733">
          <cell r="E1733" t="str">
            <v>CUTHBERTGAGAINESVILLEGA</v>
          </cell>
          <cell r="F1733">
            <v>660</v>
          </cell>
        </row>
        <row r="1734">
          <cell r="E1734" t="str">
            <v>CUTHBERTGACENTREAL</v>
          </cell>
          <cell r="F1734">
            <v>640</v>
          </cell>
        </row>
        <row r="1735">
          <cell r="E1735" t="str">
            <v>CUTHBERTGARABUN GAPGA</v>
          </cell>
          <cell r="F1735">
            <v>820</v>
          </cell>
        </row>
        <row r="1736">
          <cell r="E1736" t="str">
            <v>CUTHBERTGAECLECTICAL</v>
          </cell>
          <cell r="F1736">
            <v>540</v>
          </cell>
        </row>
        <row r="1737">
          <cell r="E1737" t="str">
            <v>CUTHBERTGAPORT WENTWORTHGA</v>
          </cell>
          <cell r="F1737">
            <v>830</v>
          </cell>
        </row>
        <row r="1738">
          <cell r="E1738" t="str">
            <v>CUTHBERTGAGULFPORTMS</v>
          </cell>
          <cell r="F1738">
            <v>1000</v>
          </cell>
        </row>
        <row r="1739">
          <cell r="E1739" t="str">
            <v>CUTHBERTGAGRIFTONNC</v>
          </cell>
          <cell r="F1739">
            <v>1590</v>
          </cell>
        </row>
        <row r="1740">
          <cell r="E1740" t="str">
            <v>CUTHBERTGAGarden CityGA</v>
          </cell>
          <cell r="F1740">
            <v>810</v>
          </cell>
        </row>
        <row r="1741">
          <cell r="E1741" t="str">
            <v>CUTHBERTGADAWSONGA</v>
          </cell>
          <cell r="F1741">
            <v>360</v>
          </cell>
        </row>
        <row r="1742">
          <cell r="E1742" t="str">
            <v>CUTHBERTGARINCONGA</v>
          </cell>
          <cell r="F1742">
            <v>840</v>
          </cell>
        </row>
        <row r="1743">
          <cell r="E1743" t="str">
            <v>DallasTXHoustonTX</v>
          </cell>
          <cell r="F1743">
            <v>633</v>
          </cell>
        </row>
        <row r="1744">
          <cell r="E1744" t="str">
            <v>DallasTXDallasTX</v>
          </cell>
          <cell r="F1744">
            <v>315</v>
          </cell>
        </row>
        <row r="1745">
          <cell r="E1745" t="str">
            <v>DallasTXBaytownTX</v>
          </cell>
          <cell r="F1745">
            <v>670</v>
          </cell>
        </row>
        <row r="1746">
          <cell r="E1746" t="str">
            <v>DALLASTXHASLETTX</v>
          </cell>
          <cell r="F1746">
            <v>314</v>
          </cell>
        </row>
        <row r="1747">
          <cell r="E1747" t="str">
            <v>DALLASTXHOUSTONTX</v>
          </cell>
          <cell r="F1747">
            <v>1241</v>
          </cell>
        </row>
        <row r="1748">
          <cell r="E1748" t="str">
            <v>DALLASTXWILMERTX</v>
          </cell>
          <cell r="F1748">
            <v>280</v>
          </cell>
        </row>
        <row r="1749">
          <cell r="E1749" t="str">
            <v>DALLASTXWYLIETX</v>
          </cell>
        </row>
        <row r="1750">
          <cell r="E1750" t="str">
            <v>DALLASTXWESLACOTX</v>
          </cell>
          <cell r="F1750">
            <v>827</v>
          </cell>
        </row>
        <row r="1751">
          <cell r="E1751" t="str">
            <v>DAWSONGAROCKFORDTN</v>
          </cell>
          <cell r="F1751">
            <v>1020</v>
          </cell>
        </row>
        <row r="1752">
          <cell r="E1752" t="str">
            <v>DAWSONGAROSSVILLETN</v>
          </cell>
          <cell r="F1752">
            <v>1130</v>
          </cell>
        </row>
        <row r="1753">
          <cell r="E1753" t="str">
            <v>DAWSONGASPARTANC</v>
          </cell>
          <cell r="F1753">
            <v>1310</v>
          </cell>
        </row>
        <row r="1754">
          <cell r="E1754" t="str">
            <v>DAWSONGAMINERAL SPRINGSNC</v>
          </cell>
          <cell r="F1754">
            <v>1040</v>
          </cell>
        </row>
        <row r="1755">
          <cell r="E1755" t="str">
            <v>DAWSONGATHOMASVILLENC</v>
          </cell>
          <cell r="F1755">
            <v>1250</v>
          </cell>
        </row>
        <row r="1756">
          <cell r="E1756" t="str">
            <v>DAWSONGAPORTSMOUTHVA</v>
          </cell>
          <cell r="F1756">
            <v>1710</v>
          </cell>
        </row>
        <row r="1757">
          <cell r="E1757" t="str">
            <v>DAWSONGAENOREESC</v>
          </cell>
          <cell r="F1757">
            <v>950</v>
          </cell>
        </row>
        <row r="1758">
          <cell r="E1758" t="str">
            <v>DAWSONGATUNICAMS</v>
          </cell>
          <cell r="F1758">
            <v>1180</v>
          </cell>
        </row>
        <row r="1759">
          <cell r="E1759" t="str">
            <v>DAWSONGAKINSTONNC</v>
          </cell>
          <cell r="F1759">
            <v>1440</v>
          </cell>
        </row>
        <row r="1760">
          <cell r="E1760" t="str">
            <v>DAWSONGAWEST MEMPHISAR</v>
          </cell>
          <cell r="F1760">
            <v>1160</v>
          </cell>
        </row>
        <row r="1761">
          <cell r="E1761" t="str">
            <v>DAWSONGAEDENTONNC</v>
          </cell>
          <cell r="F1761">
            <v>1620</v>
          </cell>
        </row>
        <row r="1762">
          <cell r="E1762" t="str">
            <v>DAWSONGAMAYODANNC</v>
          </cell>
          <cell r="F1762">
            <v>1340</v>
          </cell>
        </row>
        <row r="1763">
          <cell r="E1763" t="str">
            <v>DAWSONGACENTREAL</v>
          </cell>
          <cell r="F1763">
            <v>660</v>
          </cell>
        </row>
        <row r="1764">
          <cell r="E1764" t="str">
            <v>DAWSONGAGREENWOODMS</v>
          </cell>
          <cell r="F1764">
            <v>1100</v>
          </cell>
        </row>
        <row r="1765">
          <cell r="E1765" t="str">
            <v>DAWSONGANEW ORLEANSLA</v>
          </cell>
          <cell r="F1765">
            <v>1100</v>
          </cell>
        </row>
        <row r="1766">
          <cell r="E1766" t="str">
            <v>DAWSONGATALLULAHLA</v>
          </cell>
          <cell r="F1766">
            <v>1190</v>
          </cell>
        </row>
        <row r="1767">
          <cell r="E1767" t="str">
            <v>DAWSONGASANFORDNC</v>
          </cell>
          <cell r="F1767">
            <v>1220</v>
          </cell>
        </row>
        <row r="1768">
          <cell r="E1768" t="str">
            <v>DAWSONGAMOCKSVILLENC</v>
          </cell>
          <cell r="F1768">
            <v>1220</v>
          </cell>
        </row>
        <row r="1769">
          <cell r="E1769" t="str">
            <v>DAWSONGASTONEVILLENC</v>
          </cell>
          <cell r="F1769">
            <v>1350</v>
          </cell>
        </row>
        <row r="1770">
          <cell r="E1770" t="str">
            <v>DAWSONGAMARIONAR</v>
          </cell>
          <cell r="F1770">
            <v>1170</v>
          </cell>
        </row>
        <row r="1771">
          <cell r="E1771" t="str">
            <v>DAWSONGAGAINESVILLEGA</v>
          </cell>
          <cell r="F1771">
            <v>680</v>
          </cell>
        </row>
        <row r="1772">
          <cell r="E1772" t="str">
            <v>DAWSONGAMEMPHISTN</v>
          </cell>
          <cell r="F1772">
            <v>1150</v>
          </cell>
        </row>
        <row r="1773">
          <cell r="E1773" t="str">
            <v>DAWSONGAROCKINGHAMNC</v>
          </cell>
          <cell r="F1773">
            <v>1100</v>
          </cell>
        </row>
        <row r="1774">
          <cell r="E1774" t="str">
            <v>DAWSONGAGREERSC</v>
          </cell>
          <cell r="F1774">
            <v>900</v>
          </cell>
        </row>
        <row r="1775">
          <cell r="E1775" t="str">
            <v>DAWSONGAMOBILEAL</v>
          </cell>
          <cell r="F1775">
            <v>780</v>
          </cell>
        </row>
        <row r="1776">
          <cell r="E1776" t="str">
            <v>DAWSONGAGAFFNEYSC</v>
          </cell>
          <cell r="F1776">
            <v>980</v>
          </cell>
        </row>
        <row r="1777">
          <cell r="E1777" t="str">
            <v>DAWSONGAMONEYMS</v>
          </cell>
          <cell r="F1777">
            <v>1140</v>
          </cell>
        </row>
        <row r="1778">
          <cell r="E1778" t="str">
            <v>DAWSONGALOWELLNC</v>
          </cell>
          <cell r="F1778">
            <v>1060</v>
          </cell>
        </row>
        <row r="1779">
          <cell r="E1779" t="str">
            <v>DAWSONGAERWINNC</v>
          </cell>
          <cell r="F1779">
            <v>1290</v>
          </cell>
        </row>
        <row r="1780">
          <cell r="E1780" t="str">
            <v>DAWSONGASALISBURYNC</v>
          </cell>
          <cell r="F1780">
            <v>1190</v>
          </cell>
        </row>
        <row r="1781">
          <cell r="E1781" t="str">
            <v>DAWSONGAINDIAN LANDSC</v>
          </cell>
          <cell r="F1781">
            <v>1040</v>
          </cell>
        </row>
        <row r="1782">
          <cell r="E1782" t="str">
            <v>DAWSONGADREWMS</v>
          </cell>
          <cell r="F1782">
            <v>1190</v>
          </cell>
        </row>
        <row r="1783">
          <cell r="E1783" t="str">
            <v>DAWSONGAGREENWOODSC</v>
          </cell>
          <cell r="F1783">
            <v>760</v>
          </cell>
        </row>
        <row r="1784">
          <cell r="E1784" t="str">
            <v>DAWSONGABELMONTNC</v>
          </cell>
          <cell r="F1784">
            <v>1070</v>
          </cell>
        </row>
        <row r="1785">
          <cell r="E1785" t="str">
            <v>DAWSONGAGASTONIANC</v>
          </cell>
          <cell r="F1785">
            <v>1050</v>
          </cell>
        </row>
        <row r="1786">
          <cell r="E1786" t="str">
            <v>DAWSONGANORFOLKVA</v>
          </cell>
          <cell r="F1786">
            <v>1740</v>
          </cell>
        </row>
        <row r="1787">
          <cell r="E1787" t="str">
            <v>DAWSONGACLARKTONNC</v>
          </cell>
          <cell r="F1787">
            <v>1200</v>
          </cell>
        </row>
        <row r="1788">
          <cell r="E1788" t="str">
            <v>DAWSONGACARTERSVILLEGA</v>
          </cell>
          <cell r="F1788">
            <v>650</v>
          </cell>
        </row>
        <row r="1789">
          <cell r="E1789" t="str">
            <v>DAWSONGABLYTHEVILLEAR</v>
          </cell>
          <cell r="F1789">
            <v>1290</v>
          </cell>
        </row>
        <row r="1790">
          <cell r="E1790" t="str">
            <v>DAWSONGAINDIANOLAMS</v>
          </cell>
          <cell r="F1790">
            <v>1160</v>
          </cell>
        </row>
        <row r="1791">
          <cell r="E1791" t="str">
            <v>DAWSONGASHELBYNC</v>
          </cell>
          <cell r="F1791">
            <v>1010</v>
          </cell>
        </row>
        <row r="1792">
          <cell r="E1792" t="str">
            <v>DAWSONGACHARLOTTENC</v>
          </cell>
          <cell r="F1792">
            <v>1090</v>
          </cell>
        </row>
        <row r="1793">
          <cell r="E1793" t="str">
            <v>DAWSONGALEXINGTONNC</v>
          </cell>
          <cell r="F1793">
            <v>1220</v>
          </cell>
        </row>
        <row r="1794">
          <cell r="E1794" t="str">
            <v>DAWSONGAHICKORYNC</v>
          </cell>
          <cell r="F1794">
            <v>1120</v>
          </cell>
        </row>
        <row r="1795">
          <cell r="E1795" t="str">
            <v>DAWSONGARAYVILLELA</v>
          </cell>
          <cell r="F1795">
            <v>1260</v>
          </cell>
        </row>
        <row r="1796">
          <cell r="E1796" t="str">
            <v>DAWSONGALUMBERTONNC</v>
          </cell>
          <cell r="F1796">
            <v>1150</v>
          </cell>
        </row>
        <row r="1797">
          <cell r="E1797" t="str">
            <v>DAWSONGAMCCALLAAL</v>
          </cell>
          <cell r="F1797">
            <v>670</v>
          </cell>
        </row>
        <row r="1798">
          <cell r="E1798" t="str">
            <v>DAWSONGAECLECTICAL</v>
          </cell>
          <cell r="F1798">
            <v>560</v>
          </cell>
        </row>
        <row r="1799">
          <cell r="E1799" t="str">
            <v>DAWSONGARABUN GAPGA</v>
          </cell>
          <cell r="F1799">
            <v>850</v>
          </cell>
        </row>
        <row r="1800">
          <cell r="E1800" t="str">
            <v>DAWSONGAPORT WENTWORTHGA</v>
          </cell>
          <cell r="F1800">
            <v>800</v>
          </cell>
        </row>
        <row r="1801">
          <cell r="E1801" t="str">
            <v>DAWSONGARINCONGA</v>
          </cell>
          <cell r="F1801">
            <v>810</v>
          </cell>
        </row>
        <row r="1802">
          <cell r="E1802" t="str">
            <v>DAWSONGAGarden CityGA</v>
          </cell>
          <cell r="F1802">
            <v>790</v>
          </cell>
        </row>
        <row r="1803">
          <cell r="E1803" t="str">
            <v>DAWSONGAGRIFTONNC</v>
          </cell>
          <cell r="F1803">
            <v>1570</v>
          </cell>
        </row>
        <row r="1804">
          <cell r="E1804" t="str">
            <v>DAWSONGAGULFPORTMS</v>
          </cell>
          <cell r="F1804">
            <v>1050</v>
          </cell>
        </row>
        <row r="1805">
          <cell r="E1805" t="str">
            <v>DAWSONGAJACKSONVILLEFL</v>
          </cell>
          <cell r="F1805">
            <v>680</v>
          </cell>
        </row>
        <row r="1806">
          <cell r="E1806" t="str">
            <v>DEATSVILLEALROCKFORDTN</v>
          </cell>
          <cell r="F1806">
            <v>890</v>
          </cell>
        </row>
        <row r="1807">
          <cell r="E1807" t="str">
            <v>DEATSVILLEALGAINESVILLEGA</v>
          </cell>
          <cell r="F1807">
            <v>700</v>
          </cell>
        </row>
        <row r="1808">
          <cell r="E1808" t="str">
            <v>DEATSVILLEALENOREESC</v>
          </cell>
          <cell r="F1808">
            <v>980</v>
          </cell>
        </row>
        <row r="1809">
          <cell r="E1809" t="str">
            <v>DEATSVILLEALGREERSC</v>
          </cell>
          <cell r="F1809">
            <v>930</v>
          </cell>
        </row>
        <row r="1810">
          <cell r="E1810" t="str">
            <v>DEATSVILLEALEDENTONNC</v>
          </cell>
          <cell r="F1810">
            <v>1800</v>
          </cell>
        </row>
        <row r="1811">
          <cell r="E1811" t="str">
            <v>DEATSVILLEALMAYODANNC</v>
          </cell>
          <cell r="F1811">
            <v>1370</v>
          </cell>
        </row>
        <row r="1812">
          <cell r="E1812" t="str">
            <v>DEATSVILLEALMEMPHISTN</v>
          </cell>
          <cell r="F1812">
            <v>840</v>
          </cell>
        </row>
        <row r="1813">
          <cell r="E1813" t="str">
            <v>DEATSVILLEALMOCKSVILLENC</v>
          </cell>
          <cell r="F1813">
            <v>1250</v>
          </cell>
        </row>
        <row r="1814">
          <cell r="E1814" t="str">
            <v>DEATSVILLEALSTONEVILLENC</v>
          </cell>
          <cell r="F1814">
            <v>1380</v>
          </cell>
        </row>
        <row r="1815">
          <cell r="E1815" t="str">
            <v>DEATSVILLEALBELMONTNC</v>
          </cell>
          <cell r="F1815">
            <v>1100</v>
          </cell>
        </row>
        <row r="1816">
          <cell r="E1816" t="str">
            <v>DEATSVILLEALNEW ORLEANSLA</v>
          </cell>
          <cell r="F1816">
            <v>890</v>
          </cell>
        </row>
        <row r="1817">
          <cell r="E1817" t="str">
            <v>DEATSVILLEALERWINNC</v>
          </cell>
          <cell r="F1817">
            <v>1470</v>
          </cell>
        </row>
        <row r="1818">
          <cell r="E1818" t="str">
            <v>DEATSVILLEALSANFORDNC</v>
          </cell>
          <cell r="F1818">
            <v>1420</v>
          </cell>
        </row>
        <row r="1819">
          <cell r="E1819" t="str">
            <v>DEATSVILLEALRAYVILLELA</v>
          </cell>
          <cell r="F1819">
            <v>920</v>
          </cell>
        </row>
        <row r="1820">
          <cell r="E1820" t="str">
            <v>DEATSVILLEALLOWELLNC</v>
          </cell>
          <cell r="F1820">
            <v>1090</v>
          </cell>
        </row>
        <row r="1821">
          <cell r="E1821" t="str">
            <v>DEATSVILLEALBLYTHEVILLEAR</v>
          </cell>
          <cell r="F1821">
            <v>990</v>
          </cell>
        </row>
        <row r="1822">
          <cell r="E1822" t="str">
            <v>DEATSVILLEALSALISBURYNC</v>
          </cell>
          <cell r="F1822">
            <v>1220</v>
          </cell>
        </row>
        <row r="1823">
          <cell r="E1823" t="str">
            <v>DEATSVILLEALMONEYMS</v>
          </cell>
          <cell r="F1823">
            <v>770</v>
          </cell>
        </row>
        <row r="1824">
          <cell r="E1824" t="str">
            <v>DEATSVILLEALROCKINGHAMNC</v>
          </cell>
          <cell r="F1824">
            <v>1300</v>
          </cell>
        </row>
        <row r="1825">
          <cell r="E1825" t="str">
            <v>DEATSVILLEALDREWMS</v>
          </cell>
          <cell r="F1825">
            <v>820</v>
          </cell>
        </row>
        <row r="1826">
          <cell r="E1826" t="str">
            <v>DEATSVILLEALSHELBYNC</v>
          </cell>
          <cell r="F1826">
            <v>1050</v>
          </cell>
        </row>
        <row r="1827">
          <cell r="E1827" t="str">
            <v>DEATSVILLEALINDIANOLAMS</v>
          </cell>
          <cell r="F1827">
            <v>800</v>
          </cell>
        </row>
        <row r="1828">
          <cell r="E1828" t="str">
            <v>DEATSVILLEALGASTONIANC</v>
          </cell>
          <cell r="F1828">
            <v>1080</v>
          </cell>
        </row>
        <row r="1829">
          <cell r="E1829" t="str">
            <v>DEATSVILLEALCLARKTONNC</v>
          </cell>
          <cell r="F1829">
            <v>1390</v>
          </cell>
        </row>
        <row r="1830">
          <cell r="E1830" t="str">
            <v>DEATSVILLEALPORTSMOUTHVA</v>
          </cell>
          <cell r="F1830">
            <v>1850</v>
          </cell>
        </row>
        <row r="1831">
          <cell r="E1831" t="str">
            <v>DEATSVILLEALMOBILEAL</v>
          </cell>
          <cell r="F1831">
            <v>620</v>
          </cell>
        </row>
        <row r="1832">
          <cell r="E1832" t="str">
            <v>DEATSVILLEALCARTERSVILLEGA</v>
          </cell>
          <cell r="F1832">
            <v>680</v>
          </cell>
        </row>
        <row r="1833">
          <cell r="E1833" t="str">
            <v>DEATSVILLEALTUNICAMS</v>
          </cell>
          <cell r="F1833">
            <v>880</v>
          </cell>
        </row>
        <row r="1834">
          <cell r="E1834" t="str">
            <v>DEATSVILLEALCHARLOTTENC</v>
          </cell>
          <cell r="F1834">
            <v>1130</v>
          </cell>
        </row>
        <row r="1835">
          <cell r="E1835" t="str">
            <v>DEATSVILLEALMARIONAR</v>
          </cell>
          <cell r="F1835">
            <v>860</v>
          </cell>
        </row>
        <row r="1836">
          <cell r="E1836" t="str">
            <v>DEATSVILLEALLEXINGTONNC</v>
          </cell>
          <cell r="F1836">
            <v>1250</v>
          </cell>
        </row>
        <row r="1837">
          <cell r="E1837" t="str">
            <v>DEATSVILLEALHICKORYNC</v>
          </cell>
          <cell r="F1837">
            <v>1150</v>
          </cell>
        </row>
        <row r="1838">
          <cell r="E1838" t="str">
            <v>DEATSVILLEALLUMBERTONNC</v>
          </cell>
          <cell r="F1838">
            <v>1330</v>
          </cell>
        </row>
        <row r="1839">
          <cell r="E1839" t="str">
            <v>DEATSVILLEALROSSVILLETN</v>
          </cell>
          <cell r="F1839">
            <v>820</v>
          </cell>
        </row>
        <row r="1840">
          <cell r="E1840" t="str">
            <v>DEATSVILLEALMINERAL SPRINGSNC</v>
          </cell>
          <cell r="F1840">
            <v>1180</v>
          </cell>
        </row>
        <row r="1841">
          <cell r="E1841" t="str">
            <v>DEATSVILLEALKINSTONNC</v>
          </cell>
          <cell r="F1841">
            <v>1620</v>
          </cell>
        </row>
        <row r="1842">
          <cell r="E1842" t="str">
            <v>DEATSVILLEALRABUN GAPGA</v>
          </cell>
          <cell r="F1842">
            <v>880</v>
          </cell>
        </row>
        <row r="1843">
          <cell r="E1843" t="str">
            <v>DEATSVILLEALSPARTANC</v>
          </cell>
          <cell r="F1843">
            <v>1340</v>
          </cell>
        </row>
        <row r="1844">
          <cell r="E1844" t="str">
            <v>DEATSVILLEALWEST MEMPHISAR</v>
          </cell>
          <cell r="F1844">
            <v>850</v>
          </cell>
        </row>
        <row r="1845">
          <cell r="E1845" t="str">
            <v>DEATSVILLEALTALLULAHLA</v>
          </cell>
          <cell r="F1845">
            <v>840</v>
          </cell>
        </row>
        <row r="1846">
          <cell r="E1846" t="str">
            <v>DEATSVILLEALGREENWOODMS</v>
          </cell>
          <cell r="F1846">
            <v>730</v>
          </cell>
        </row>
        <row r="1847">
          <cell r="E1847" t="str">
            <v>DEATSVILLEALTHOMASVILLENC</v>
          </cell>
          <cell r="F1847">
            <v>1280</v>
          </cell>
        </row>
        <row r="1848">
          <cell r="E1848" t="str">
            <v>DEATSVILLEALDAWSONGA</v>
          </cell>
          <cell r="F1848">
            <v>600</v>
          </cell>
        </row>
        <row r="1849">
          <cell r="E1849" t="str">
            <v>DEATSVILLEALNORFOLKVA</v>
          </cell>
          <cell r="F1849">
            <v>1870</v>
          </cell>
        </row>
        <row r="1850">
          <cell r="E1850" t="str">
            <v>DEATSVILLEALRINCONGA</v>
          </cell>
          <cell r="F1850">
            <v>1080</v>
          </cell>
        </row>
        <row r="1851">
          <cell r="E1851" t="str">
            <v>DEATSVILLEALCENTREAL</v>
          </cell>
          <cell r="F1851">
            <v>560</v>
          </cell>
        </row>
        <row r="1852">
          <cell r="E1852" t="str">
            <v>DEATSVILLEALPORT WENTWORTHGA</v>
          </cell>
          <cell r="F1852">
            <v>1070</v>
          </cell>
        </row>
        <row r="1853">
          <cell r="E1853" t="str">
            <v>DEATSVILLEALGRIFTONNC</v>
          </cell>
          <cell r="F1853">
            <v>1750</v>
          </cell>
        </row>
        <row r="1854">
          <cell r="E1854" t="str">
            <v>DEATSVILLEALGULFPORTMS</v>
          </cell>
          <cell r="F1854">
            <v>840</v>
          </cell>
        </row>
        <row r="1855">
          <cell r="E1855" t="str">
            <v>DEATSVILLEALMCCALLAAL</v>
          </cell>
          <cell r="F1855">
            <v>450</v>
          </cell>
        </row>
        <row r="1856">
          <cell r="E1856" t="str">
            <v>DEATSVILLEALGAFFNEYSC</v>
          </cell>
          <cell r="F1856">
            <v>1010</v>
          </cell>
        </row>
        <row r="1857">
          <cell r="E1857" t="str">
            <v>DEATSVILLEALINDIAN LANDSC</v>
          </cell>
          <cell r="F1857">
            <v>1150</v>
          </cell>
        </row>
        <row r="1858">
          <cell r="E1858" t="str">
            <v>DEATSVILLEALECLECTICAL</v>
          </cell>
          <cell r="F1858">
            <v>360</v>
          </cell>
        </row>
        <row r="1859">
          <cell r="E1859" t="str">
            <v>DEATSVILLEALGREENWOODSC</v>
          </cell>
          <cell r="F1859">
            <v>900</v>
          </cell>
        </row>
        <row r="1860">
          <cell r="E1860" t="str">
            <v>DEATSVILLEALGarden CityGA</v>
          </cell>
          <cell r="F1860">
            <v>1050</v>
          </cell>
        </row>
        <row r="1861">
          <cell r="E1861" t="str">
            <v>DEATSVILLEALJACKSONVILLEFL</v>
          </cell>
          <cell r="F1861">
            <v>1030</v>
          </cell>
        </row>
        <row r="1862">
          <cell r="E1862" t="str">
            <v>Denver CityTXDallasTX</v>
          </cell>
          <cell r="F1862">
            <v>634</v>
          </cell>
        </row>
        <row r="1863">
          <cell r="E1863" t="str">
            <v>Denver CityTXHoustonTX</v>
          </cell>
          <cell r="F1863">
            <v>1126</v>
          </cell>
        </row>
        <row r="1864">
          <cell r="E1864" t="str">
            <v>Denver CityTXBaytownTX</v>
          </cell>
          <cell r="F1864">
            <v>1155</v>
          </cell>
        </row>
        <row r="1865">
          <cell r="E1865" t="str">
            <v>DENVER CITYTXHASLETTX</v>
          </cell>
          <cell r="F1865">
            <v>1423</v>
          </cell>
        </row>
        <row r="1866">
          <cell r="E1866" t="str">
            <v>DENVER CITYTXHOUSTONTX</v>
          </cell>
          <cell r="F1866">
            <v>2519</v>
          </cell>
        </row>
        <row r="1867">
          <cell r="E1867" t="str">
            <v>DENVER CITYTXWYLIETX</v>
          </cell>
        </row>
        <row r="1868">
          <cell r="E1868" t="str">
            <v>DENVER CITYTXWESLACOTX</v>
          </cell>
          <cell r="F1868">
            <v>1264</v>
          </cell>
        </row>
        <row r="1869">
          <cell r="E1869" t="str">
            <v>DEPORTTXDallasTX</v>
          </cell>
          <cell r="F1869">
            <v>427</v>
          </cell>
        </row>
        <row r="1870">
          <cell r="E1870" t="str">
            <v>DEPORTTXHoustonTX</v>
          </cell>
          <cell r="F1870">
            <v>779</v>
          </cell>
        </row>
        <row r="1871">
          <cell r="E1871" t="str">
            <v>DEPORTTXBaytownTX</v>
          </cell>
          <cell r="F1871">
            <v>818</v>
          </cell>
        </row>
        <row r="1872">
          <cell r="E1872" t="str">
            <v>DEPORTTXHASLETTX</v>
          </cell>
          <cell r="F1872">
            <v>549</v>
          </cell>
        </row>
        <row r="1873">
          <cell r="E1873" t="str">
            <v>DEPORTTXHOUSTONTX</v>
          </cell>
          <cell r="F1873">
            <v>1353</v>
          </cell>
        </row>
        <row r="1874">
          <cell r="E1874" t="str">
            <v>DEPORTTXWILMERTX</v>
          </cell>
          <cell r="F1874">
            <v>476</v>
          </cell>
        </row>
        <row r="1875">
          <cell r="E1875" t="str">
            <v>DEPORTTXWYLIETX</v>
          </cell>
        </row>
        <row r="1876">
          <cell r="E1876" t="str">
            <v>DEPORTTXWESLACOTX</v>
          </cell>
          <cell r="F1876">
            <v>1113</v>
          </cell>
        </row>
        <row r="1877">
          <cell r="E1877" t="str">
            <v>DesotoTXHoustonTX</v>
          </cell>
          <cell r="F1877">
            <v>524</v>
          </cell>
        </row>
        <row r="1878">
          <cell r="E1878" t="str">
            <v>DesotoTXBaytownTX</v>
          </cell>
          <cell r="F1878">
            <v>524</v>
          </cell>
        </row>
        <row r="1879">
          <cell r="E1879" t="str">
            <v>DesotoTXDallasTX</v>
          </cell>
          <cell r="F1879">
            <v>315</v>
          </cell>
        </row>
        <row r="1880">
          <cell r="E1880" t="str">
            <v>DesotoTXHasletTX</v>
          </cell>
          <cell r="F1880">
            <v>350</v>
          </cell>
        </row>
        <row r="1881">
          <cell r="E1881" t="str">
            <v>DesotoTXWylieTX</v>
          </cell>
          <cell r="F1881">
            <v>350</v>
          </cell>
        </row>
        <row r="1882">
          <cell r="E1882" t="str">
            <v>DesotoTXHutchinsTX</v>
          </cell>
          <cell r="F1882">
            <v>295</v>
          </cell>
        </row>
        <row r="1883">
          <cell r="E1883" t="str">
            <v>DESOTOTXWILMERTX</v>
          </cell>
          <cell r="F1883">
            <v>289</v>
          </cell>
        </row>
        <row r="1884">
          <cell r="E1884" t="str">
            <v>DEXTERGAWESLACOTX</v>
          </cell>
          <cell r="F1884">
            <v>1719</v>
          </cell>
        </row>
        <row r="1885">
          <cell r="E1885" t="str">
            <v>DOERUNGAROCKFORDTN</v>
          </cell>
          <cell r="F1885">
            <v>1090</v>
          </cell>
        </row>
        <row r="1886">
          <cell r="E1886" t="str">
            <v>DOERUNGASHELBYNC</v>
          </cell>
          <cell r="F1886">
            <v>1050</v>
          </cell>
        </row>
        <row r="1887">
          <cell r="E1887" t="str">
            <v>DOERUNGAGASTONIANC</v>
          </cell>
          <cell r="F1887">
            <v>1080</v>
          </cell>
        </row>
        <row r="1888">
          <cell r="E1888" t="str">
            <v>DOERUNGASPARTANC</v>
          </cell>
          <cell r="F1888">
            <v>1290</v>
          </cell>
        </row>
        <row r="1889">
          <cell r="E1889" t="str">
            <v>DOERUNGACLARKTONNC</v>
          </cell>
          <cell r="F1889">
            <v>1190</v>
          </cell>
        </row>
        <row r="1890">
          <cell r="E1890" t="str">
            <v>DOERUNGASANFORDNC</v>
          </cell>
          <cell r="F1890">
            <v>1220</v>
          </cell>
        </row>
        <row r="1891">
          <cell r="E1891" t="str">
            <v>DOERUNGATHOMASVILLENC</v>
          </cell>
          <cell r="F1891">
            <v>1220</v>
          </cell>
        </row>
        <row r="1892">
          <cell r="E1892" t="str">
            <v>DOERUNGABLYTHEVILLEAR</v>
          </cell>
          <cell r="F1892">
            <v>1390</v>
          </cell>
        </row>
        <row r="1893">
          <cell r="E1893" t="str">
            <v>DOERUNGAMAYODANNC</v>
          </cell>
          <cell r="F1893">
            <v>1310</v>
          </cell>
        </row>
        <row r="1894">
          <cell r="E1894" t="str">
            <v>DOERUNGAHICKORYNC</v>
          </cell>
          <cell r="F1894">
            <v>1160</v>
          </cell>
        </row>
        <row r="1895">
          <cell r="E1895" t="str">
            <v>DOERUNGALUMBERTONNC</v>
          </cell>
          <cell r="F1895">
            <v>1140</v>
          </cell>
        </row>
        <row r="1896">
          <cell r="E1896" t="str">
            <v>DOERUNGASTONEVILLENC</v>
          </cell>
          <cell r="F1896">
            <v>1320</v>
          </cell>
        </row>
        <row r="1897">
          <cell r="E1897" t="str">
            <v>DOERUNGAINDIAN LANDSC</v>
          </cell>
          <cell r="F1897">
            <v>1040</v>
          </cell>
        </row>
        <row r="1898">
          <cell r="E1898" t="str">
            <v>DOERUNGAGREENWOODSC</v>
          </cell>
          <cell r="F1898">
            <v>760</v>
          </cell>
        </row>
        <row r="1899">
          <cell r="E1899" t="str">
            <v>DOERUNGAMEMPHISTN</v>
          </cell>
          <cell r="F1899">
            <v>1250</v>
          </cell>
        </row>
        <row r="1900">
          <cell r="E1900" t="str">
            <v>DOERUNGAMOCKSVILLENC</v>
          </cell>
          <cell r="F1900">
            <v>1200</v>
          </cell>
        </row>
        <row r="1901">
          <cell r="E1901" t="str">
            <v>DOERUNGAKINSTONNC</v>
          </cell>
          <cell r="F1901">
            <v>1430</v>
          </cell>
        </row>
        <row r="1902">
          <cell r="E1902" t="str">
            <v>DOERUNGASALISBURYNC</v>
          </cell>
          <cell r="F1902">
            <v>1160</v>
          </cell>
        </row>
        <row r="1903">
          <cell r="E1903" t="str">
            <v>DOERUNGAPORTSMOUTHVA</v>
          </cell>
          <cell r="F1903">
            <v>1700</v>
          </cell>
        </row>
        <row r="1904">
          <cell r="E1904" t="str">
            <v>DOERUNGACARTERSVILLEGA</v>
          </cell>
          <cell r="F1904">
            <v>710</v>
          </cell>
        </row>
        <row r="1905">
          <cell r="E1905" t="str">
            <v>DOERUNGAENOREESC</v>
          </cell>
          <cell r="F1905">
            <v>860</v>
          </cell>
        </row>
        <row r="1906">
          <cell r="E1906" t="str">
            <v>DOERUNGATUNICAMS</v>
          </cell>
          <cell r="F1906">
            <v>1280</v>
          </cell>
        </row>
        <row r="1907">
          <cell r="E1907" t="str">
            <v>DOERUNGAGREERSC</v>
          </cell>
          <cell r="F1907">
            <v>940</v>
          </cell>
        </row>
        <row r="1908">
          <cell r="E1908" t="str">
            <v>DOERUNGAWEST MEMPHISAR</v>
          </cell>
          <cell r="F1908">
            <v>1260</v>
          </cell>
        </row>
        <row r="1909">
          <cell r="E1909" t="str">
            <v>DOERUNGAEDENTONNC</v>
          </cell>
          <cell r="F1909">
            <v>1610</v>
          </cell>
        </row>
        <row r="1910">
          <cell r="E1910" t="str">
            <v>DOERUNGAMINERAL SPRINGSNC</v>
          </cell>
          <cell r="F1910">
            <v>1050</v>
          </cell>
        </row>
        <row r="1911">
          <cell r="E1911" t="str">
            <v>DOERUNGANEW ORLEANSLA</v>
          </cell>
          <cell r="F1911">
            <v>1110</v>
          </cell>
        </row>
        <row r="1912">
          <cell r="E1912" t="str">
            <v>DOERUNGAGREENWOODMS</v>
          </cell>
          <cell r="F1912">
            <v>1200</v>
          </cell>
        </row>
        <row r="1913">
          <cell r="E1913" t="str">
            <v>DOERUNGATALLULAHLA</v>
          </cell>
          <cell r="F1913">
            <v>1290</v>
          </cell>
        </row>
        <row r="1914">
          <cell r="E1914" t="str">
            <v>DOERUNGAGAINESVILLEGA</v>
          </cell>
          <cell r="F1914">
            <v>700</v>
          </cell>
        </row>
        <row r="1915">
          <cell r="E1915" t="str">
            <v>DOERUNGAMARIONAR</v>
          </cell>
          <cell r="F1915">
            <v>1260</v>
          </cell>
        </row>
        <row r="1916">
          <cell r="E1916" t="str">
            <v>DOERUNGABELMONTNC</v>
          </cell>
          <cell r="F1916">
            <v>1100</v>
          </cell>
        </row>
        <row r="1917">
          <cell r="E1917" t="str">
            <v>DOERUNGACENTREAL</v>
          </cell>
          <cell r="F1917">
            <v>730</v>
          </cell>
        </row>
        <row r="1918">
          <cell r="E1918" t="str">
            <v>DOERUNGAMOBILEAL</v>
          </cell>
          <cell r="F1918">
            <v>780</v>
          </cell>
        </row>
        <row r="1919">
          <cell r="E1919" t="str">
            <v>DOERUNGACHARLOTTENC</v>
          </cell>
          <cell r="F1919">
            <v>1060</v>
          </cell>
        </row>
        <row r="1920">
          <cell r="E1920" t="str">
            <v>DOERUNGAGAFFNEYSC</v>
          </cell>
          <cell r="F1920">
            <v>1010</v>
          </cell>
        </row>
        <row r="1921">
          <cell r="E1921" t="str">
            <v>DOERUNGAMONEYMS</v>
          </cell>
          <cell r="F1921">
            <v>1230</v>
          </cell>
        </row>
        <row r="1922">
          <cell r="E1922" t="str">
            <v>DOERUNGALEXINGTONNC</v>
          </cell>
          <cell r="F1922">
            <v>1190</v>
          </cell>
        </row>
        <row r="1923">
          <cell r="E1923" t="str">
            <v>DOERUNGALOWELLNC</v>
          </cell>
          <cell r="F1923">
            <v>1090</v>
          </cell>
        </row>
        <row r="1924">
          <cell r="E1924" t="str">
            <v>DOERUNGAERWINNC</v>
          </cell>
          <cell r="F1924">
            <v>1270</v>
          </cell>
        </row>
        <row r="1925">
          <cell r="E1925" t="str">
            <v>DOERUNGADREWMS</v>
          </cell>
          <cell r="F1925">
            <v>1280</v>
          </cell>
        </row>
        <row r="1926">
          <cell r="E1926" t="str">
            <v>DOERUNGAINDIANOLAMS</v>
          </cell>
          <cell r="F1926">
            <v>1260</v>
          </cell>
        </row>
        <row r="1927">
          <cell r="E1927" t="str">
            <v>DOERUNGAMCCALLAAL</v>
          </cell>
          <cell r="F1927">
            <v>750</v>
          </cell>
        </row>
        <row r="1928">
          <cell r="E1928" t="str">
            <v>DOERUNGAROCKINGHAMNC</v>
          </cell>
          <cell r="F1928">
            <v>1100</v>
          </cell>
        </row>
        <row r="1929">
          <cell r="E1929" t="str">
            <v>DOERUNGAROSSVILLETN</v>
          </cell>
          <cell r="F1929">
            <v>1230</v>
          </cell>
        </row>
        <row r="1930">
          <cell r="E1930" t="str">
            <v>DOERUNGANORFOLKVA</v>
          </cell>
          <cell r="F1930">
            <v>1720</v>
          </cell>
        </row>
        <row r="1931">
          <cell r="E1931" t="str">
            <v>DOERUNGARAYVILLELA</v>
          </cell>
          <cell r="F1931">
            <v>1360</v>
          </cell>
        </row>
        <row r="1932">
          <cell r="E1932" t="str">
            <v>DOERUNGARABUN GAPGA</v>
          </cell>
          <cell r="F1932">
            <v>890</v>
          </cell>
        </row>
        <row r="1933">
          <cell r="E1933" t="str">
            <v>DOERUNGAGRIFTONNC</v>
          </cell>
          <cell r="F1933">
            <v>1560</v>
          </cell>
        </row>
        <row r="1934">
          <cell r="E1934" t="str">
            <v>DOERUNGAGULFPORTMS</v>
          </cell>
          <cell r="F1934">
            <v>1050</v>
          </cell>
        </row>
        <row r="1935">
          <cell r="E1935" t="str">
            <v>DOERUNGARINCONGA</v>
          </cell>
          <cell r="F1935">
            <v>770</v>
          </cell>
        </row>
        <row r="1936">
          <cell r="E1936" t="str">
            <v>DOERUNGAPORT WENTWORTHGA</v>
          </cell>
          <cell r="F1936">
            <v>760</v>
          </cell>
        </row>
        <row r="1937">
          <cell r="E1937" t="str">
            <v>DOERUNGAGarden CityGA</v>
          </cell>
          <cell r="F1937">
            <v>750</v>
          </cell>
        </row>
        <row r="1938">
          <cell r="E1938" t="str">
            <v>DOERUNGADAWSONGA</v>
          </cell>
          <cell r="F1938">
            <v>400</v>
          </cell>
        </row>
        <row r="1939">
          <cell r="E1939" t="str">
            <v>DOERUNGAECLECTICAL</v>
          </cell>
          <cell r="F1939">
            <v>620</v>
          </cell>
        </row>
        <row r="1940">
          <cell r="E1940" t="str">
            <v>DOERUNGAJACKSONVILLEFL</v>
          </cell>
          <cell r="F1940">
            <v>590</v>
          </cell>
        </row>
        <row r="1941">
          <cell r="E1941" t="str">
            <v>DOERUNGAWESLACOTX</v>
          </cell>
          <cell r="F1941">
            <v>1540</v>
          </cell>
        </row>
        <row r="1942">
          <cell r="E1942" t="str">
            <v>DONALSONVILLEGAROCKFORDTN</v>
          </cell>
          <cell r="F1942">
            <v>1150</v>
          </cell>
        </row>
        <row r="1943">
          <cell r="E1943" t="str">
            <v>DONALSONVILLEGAINDIANOLAMS</v>
          </cell>
          <cell r="F1943">
            <v>1140</v>
          </cell>
        </row>
        <row r="1944">
          <cell r="E1944" t="str">
            <v>DONALSONVILLEGAMAYODANNC</v>
          </cell>
          <cell r="F1944">
            <v>1470</v>
          </cell>
        </row>
        <row r="1945">
          <cell r="E1945" t="str">
            <v>DONALSONVILLEGAMARIONAR</v>
          </cell>
          <cell r="F1945">
            <v>1230</v>
          </cell>
        </row>
        <row r="1946">
          <cell r="E1946" t="str">
            <v>DONALSONVILLEGACARTERSVILLEGA</v>
          </cell>
          <cell r="F1946">
            <v>760</v>
          </cell>
        </row>
        <row r="1947">
          <cell r="E1947" t="str">
            <v>DONALSONVILLEGAGREENWOODSC</v>
          </cell>
          <cell r="F1947">
            <v>890</v>
          </cell>
        </row>
        <row r="1948">
          <cell r="E1948" t="str">
            <v>DONALSONVILLEGASTONEVILLENC</v>
          </cell>
          <cell r="F1948">
            <v>1480</v>
          </cell>
        </row>
        <row r="1949">
          <cell r="E1949" t="str">
            <v>DONALSONVILLEGANEW ORLEANSLA</v>
          </cell>
          <cell r="F1949">
            <v>950</v>
          </cell>
        </row>
        <row r="1950">
          <cell r="E1950" t="str">
            <v>DONALSONVILLEGATHOMASVILLENC</v>
          </cell>
          <cell r="F1950">
            <v>1380</v>
          </cell>
        </row>
        <row r="1951">
          <cell r="E1951" t="str">
            <v>DONALSONVILLEGAERWINNC</v>
          </cell>
          <cell r="F1951">
            <v>1410</v>
          </cell>
        </row>
        <row r="1952">
          <cell r="E1952" t="str">
            <v>DONALSONVILLEGASANFORDNC</v>
          </cell>
          <cell r="F1952">
            <v>1410</v>
          </cell>
        </row>
        <row r="1953">
          <cell r="E1953" t="str">
            <v>DONALSONVILLEGAENOREESC</v>
          </cell>
          <cell r="F1953">
            <v>1080</v>
          </cell>
        </row>
        <row r="1954">
          <cell r="E1954" t="str">
            <v>DONALSONVILLEGAGREERSC</v>
          </cell>
          <cell r="F1954">
            <v>1030</v>
          </cell>
        </row>
        <row r="1955">
          <cell r="E1955" t="str">
            <v>DONALSONVILLEGALOWELLNC</v>
          </cell>
          <cell r="F1955">
            <v>1190</v>
          </cell>
        </row>
        <row r="1956">
          <cell r="E1956" t="str">
            <v>DONALSONVILLEGANORFOLKVA</v>
          </cell>
          <cell r="F1956">
            <v>1860</v>
          </cell>
        </row>
        <row r="1957">
          <cell r="E1957" t="str">
            <v>DONALSONVILLEGAMOCKSVILLENC</v>
          </cell>
          <cell r="F1957">
            <v>1350</v>
          </cell>
        </row>
        <row r="1958">
          <cell r="E1958" t="str">
            <v>DONALSONVILLEGABELMONTNC</v>
          </cell>
          <cell r="F1958">
            <v>1200</v>
          </cell>
        </row>
        <row r="1959">
          <cell r="E1959" t="str">
            <v>DONALSONVILLEGACLARKTONNC</v>
          </cell>
          <cell r="F1959">
            <v>1330</v>
          </cell>
        </row>
        <row r="1960">
          <cell r="E1960" t="str">
            <v>DONALSONVILLEGAGASTONIANC</v>
          </cell>
          <cell r="F1960">
            <v>1180</v>
          </cell>
        </row>
        <row r="1961">
          <cell r="E1961" t="str">
            <v>DONALSONVILLEGATALLULAHLA</v>
          </cell>
          <cell r="F1961">
            <v>1160</v>
          </cell>
        </row>
        <row r="1962">
          <cell r="E1962" t="str">
            <v>DONALSONVILLEGABLYTHEVILLEAR</v>
          </cell>
          <cell r="F1962">
            <v>1360</v>
          </cell>
        </row>
        <row r="1963">
          <cell r="E1963" t="str">
            <v>DONALSONVILLEGAGAFFNEYSC</v>
          </cell>
          <cell r="F1963">
            <v>1110</v>
          </cell>
        </row>
        <row r="1964">
          <cell r="E1964" t="str">
            <v>DONALSONVILLEGASALISBURYNC</v>
          </cell>
          <cell r="F1964">
            <v>1320</v>
          </cell>
        </row>
        <row r="1965">
          <cell r="E1965" t="str">
            <v>DONALSONVILLEGAGREENWOODMS</v>
          </cell>
          <cell r="F1965">
            <v>1080</v>
          </cell>
        </row>
        <row r="1966">
          <cell r="E1966" t="str">
            <v>DONALSONVILLEGACENTREAL</v>
          </cell>
          <cell r="F1966">
            <v>770</v>
          </cell>
        </row>
        <row r="1967">
          <cell r="E1967" t="str">
            <v>DONALSONVILLEGAROSSVILLETN</v>
          </cell>
          <cell r="F1967">
            <v>1200</v>
          </cell>
        </row>
        <row r="1968">
          <cell r="E1968" t="str">
            <v>DONALSONVILLEGASHELBYNC</v>
          </cell>
          <cell r="F1968">
            <v>1150</v>
          </cell>
        </row>
        <row r="1969">
          <cell r="E1969" t="str">
            <v>DONALSONVILLEGALUMBERTONNC</v>
          </cell>
          <cell r="F1969">
            <v>1280</v>
          </cell>
        </row>
        <row r="1970">
          <cell r="E1970" t="str">
            <v>DONALSONVILLEGACHARLOTTENC</v>
          </cell>
          <cell r="F1970">
            <v>1230</v>
          </cell>
        </row>
        <row r="1971">
          <cell r="E1971" t="str">
            <v>DONALSONVILLEGAGAINESVILLEGA</v>
          </cell>
          <cell r="F1971">
            <v>790</v>
          </cell>
        </row>
        <row r="1972">
          <cell r="E1972" t="str">
            <v>DONALSONVILLEGAHICKORYNC</v>
          </cell>
          <cell r="F1972">
            <v>1250</v>
          </cell>
        </row>
        <row r="1973">
          <cell r="E1973" t="str">
            <v>DONALSONVILLEGAMINERAL SPRINGSNC</v>
          </cell>
          <cell r="F1973">
            <v>1280</v>
          </cell>
        </row>
        <row r="1974">
          <cell r="E1974" t="str">
            <v>DONALSONVILLEGAMONEYMS</v>
          </cell>
          <cell r="F1974">
            <v>1110</v>
          </cell>
        </row>
        <row r="1975">
          <cell r="E1975" t="str">
            <v>DONALSONVILLEGAMEMPHISTN</v>
          </cell>
          <cell r="F1975">
            <v>1210</v>
          </cell>
        </row>
        <row r="1976">
          <cell r="E1976" t="str">
            <v>DONALSONVILLEGASPARTANC</v>
          </cell>
          <cell r="F1976">
            <v>1440</v>
          </cell>
        </row>
        <row r="1977">
          <cell r="E1977" t="str">
            <v>DONALSONVILLEGAMCCALLAAL</v>
          </cell>
          <cell r="F1977">
            <v>700</v>
          </cell>
        </row>
        <row r="1978">
          <cell r="E1978" t="str">
            <v>DONALSONVILLEGARAYVILLELA</v>
          </cell>
          <cell r="F1978">
            <v>1230</v>
          </cell>
        </row>
        <row r="1979">
          <cell r="E1979" t="str">
            <v>DONALSONVILLEGAPORTSMOUTHVA</v>
          </cell>
          <cell r="F1979">
            <v>1830</v>
          </cell>
        </row>
        <row r="1980">
          <cell r="E1980" t="str">
            <v>DONALSONVILLEGALEXINGTONNC</v>
          </cell>
          <cell r="F1980">
            <v>1350</v>
          </cell>
        </row>
        <row r="1981">
          <cell r="E1981" t="str">
            <v>DONALSONVILLEGAECLECTICAL</v>
          </cell>
          <cell r="F1981">
            <v>580</v>
          </cell>
        </row>
        <row r="1982">
          <cell r="E1982" t="str">
            <v>DONALSONVILLEGAINDIAN LANDSC</v>
          </cell>
          <cell r="F1982">
            <v>1250</v>
          </cell>
        </row>
        <row r="1983">
          <cell r="E1983" t="str">
            <v>DONALSONVILLEGAMOBILEAL</v>
          </cell>
          <cell r="F1983">
            <v>650</v>
          </cell>
        </row>
        <row r="1984">
          <cell r="E1984" t="str">
            <v>DONALSONVILLEGATUNICAMS</v>
          </cell>
          <cell r="F1984">
            <v>1240</v>
          </cell>
        </row>
        <row r="1985">
          <cell r="E1985" t="str">
            <v>DONALSONVILLEGAKINSTONNC</v>
          </cell>
          <cell r="F1985">
            <v>1560</v>
          </cell>
        </row>
        <row r="1986">
          <cell r="E1986" t="str">
            <v>DONALSONVILLEGAEDENTONNC</v>
          </cell>
          <cell r="F1986">
            <v>1740</v>
          </cell>
        </row>
        <row r="1987">
          <cell r="E1987" t="str">
            <v>DONALSONVILLEGAWEST MEMPHISAR</v>
          </cell>
          <cell r="F1987">
            <v>1220</v>
          </cell>
        </row>
        <row r="1988">
          <cell r="E1988" t="str">
            <v>DONALSONVILLEGAROCKINGHAMNC</v>
          </cell>
          <cell r="F1988">
            <v>1230</v>
          </cell>
        </row>
        <row r="1989">
          <cell r="E1989" t="str">
            <v>DONALSONVILLEGADREWMS</v>
          </cell>
          <cell r="F1989">
            <v>1160</v>
          </cell>
        </row>
        <row r="1990">
          <cell r="E1990" t="str">
            <v>DONALSONVILLEGARABUN GAPGA</v>
          </cell>
          <cell r="F1990">
            <v>990</v>
          </cell>
        </row>
        <row r="1991">
          <cell r="E1991" t="str">
            <v>DONALSONVILLEGAPORT WENTWORTHGA</v>
          </cell>
          <cell r="F1991">
            <v>880</v>
          </cell>
        </row>
        <row r="1992">
          <cell r="E1992" t="str">
            <v>DONALSONVILLEGAGRIFTONNC</v>
          </cell>
          <cell r="F1992">
            <v>1690</v>
          </cell>
        </row>
        <row r="1993">
          <cell r="E1993" t="str">
            <v>DONALSONVILLEGADAWSONGA</v>
          </cell>
          <cell r="F1993">
            <v>430</v>
          </cell>
        </row>
        <row r="1994">
          <cell r="E1994" t="str">
            <v>DONALSONVILLEGAGULFPORTMS</v>
          </cell>
          <cell r="F1994">
            <v>900</v>
          </cell>
        </row>
        <row r="1995">
          <cell r="E1995" t="str">
            <v>DONALSONVILLEGARINCONGA</v>
          </cell>
          <cell r="F1995">
            <v>890</v>
          </cell>
        </row>
        <row r="1996">
          <cell r="E1996" t="str">
            <v>DONALSONVILLEGAGarden CityGA</v>
          </cell>
          <cell r="F1996">
            <v>860</v>
          </cell>
        </row>
        <row r="1997">
          <cell r="E1997" t="str">
            <v>DONALSONVILLEGAJACKSONVILLEFL</v>
          </cell>
          <cell r="F1997">
            <v>670</v>
          </cell>
        </row>
        <row r="1998">
          <cell r="E1998" t="str">
            <v>DONALSONVILLEGAWESLACOTX</v>
          </cell>
          <cell r="F1998">
            <v>1486</v>
          </cell>
        </row>
        <row r="1999">
          <cell r="E1999" t="str">
            <v>DOTHANALROCKFORDTN</v>
          </cell>
          <cell r="F1999">
            <v>1110</v>
          </cell>
        </row>
        <row r="2000">
          <cell r="E2000" t="str">
            <v>DOTHANALMOCKSVILLENC</v>
          </cell>
          <cell r="F2000">
            <v>1310</v>
          </cell>
        </row>
        <row r="2001">
          <cell r="E2001" t="str">
            <v>DOTHANALSTONEVILLENC</v>
          </cell>
          <cell r="F2001">
            <v>1440</v>
          </cell>
        </row>
        <row r="2002">
          <cell r="E2002" t="str">
            <v>DOTHANALBELMONTNC</v>
          </cell>
          <cell r="F2002">
            <v>1160</v>
          </cell>
        </row>
        <row r="2003">
          <cell r="E2003" t="str">
            <v>DOTHANALROSSVILLETN</v>
          </cell>
          <cell r="F2003">
            <v>1110</v>
          </cell>
        </row>
        <row r="2004">
          <cell r="E2004" t="str">
            <v>DOTHANALGREENWOODMS</v>
          </cell>
          <cell r="F2004">
            <v>990</v>
          </cell>
        </row>
        <row r="2005">
          <cell r="E2005" t="str">
            <v>DOTHANALERWINNC</v>
          </cell>
          <cell r="F2005">
            <v>1530</v>
          </cell>
        </row>
        <row r="2006">
          <cell r="E2006" t="str">
            <v>DOTHANALSANFORDNC</v>
          </cell>
          <cell r="F2006">
            <v>1480</v>
          </cell>
        </row>
        <row r="2007">
          <cell r="E2007" t="str">
            <v>DOTHANALSALISBURYNC</v>
          </cell>
          <cell r="F2007">
            <v>1280</v>
          </cell>
        </row>
        <row r="2008">
          <cell r="E2008" t="str">
            <v>DOTHANALROCKINGHAMNC</v>
          </cell>
          <cell r="F2008">
            <v>1360</v>
          </cell>
        </row>
        <row r="2009">
          <cell r="E2009" t="str">
            <v>DOTHANALSHELBYNC</v>
          </cell>
          <cell r="F2009">
            <v>1110</v>
          </cell>
        </row>
        <row r="2010">
          <cell r="E2010" t="str">
            <v>DOTHANALMONEYMS</v>
          </cell>
          <cell r="F2010">
            <v>1030</v>
          </cell>
        </row>
        <row r="2011">
          <cell r="E2011" t="str">
            <v>DOTHANALCHARLOTTENC</v>
          </cell>
          <cell r="F2011">
            <v>1190</v>
          </cell>
        </row>
        <row r="2012">
          <cell r="E2012" t="str">
            <v>DOTHANALGASTONIANC</v>
          </cell>
          <cell r="F2012">
            <v>1140</v>
          </cell>
        </row>
        <row r="2013">
          <cell r="E2013" t="str">
            <v>DOTHANALGAINESVILLEGA</v>
          </cell>
          <cell r="F2013">
            <v>760</v>
          </cell>
        </row>
        <row r="2014">
          <cell r="E2014" t="str">
            <v>DOTHANALHICKORYNC</v>
          </cell>
          <cell r="F2014">
            <v>1220</v>
          </cell>
        </row>
        <row r="2015">
          <cell r="E2015" t="str">
            <v>DOTHANALCLARKTONNC</v>
          </cell>
          <cell r="F2015">
            <v>1450</v>
          </cell>
        </row>
        <row r="2016">
          <cell r="E2016" t="str">
            <v>DOTHANALPORTSMOUTHVA</v>
          </cell>
          <cell r="F2016">
            <v>1910</v>
          </cell>
        </row>
        <row r="2017">
          <cell r="E2017" t="str">
            <v>DOTHANALMINERAL SPRINGSNC</v>
          </cell>
          <cell r="F2017">
            <v>1250</v>
          </cell>
        </row>
        <row r="2018">
          <cell r="E2018" t="str">
            <v>DOTHANALMARIONAR</v>
          </cell>
          <cell r="F2018">
            <v>1150</v>
          </cell>
        </row>
        <row r="2019">
          <cell r="E2019" t="str">
            <v>DOTHANALRAYVILLELA</v>
          </cell>
          <cell r="F2019">
            <v>1150</v>
          </cell>
        </row>
        <row r="2020">
          <cell r="E2020" t="str">
            <v>DOTHANALMEMPHISTN</v>
          </cell>
          <cell r="F2020">
            <v>1130</v>
          </cell>
        </row>
        <row r="2021">
          <cell r="E2021" t="str">
            <v>DOTHANALTUNICAMS</v>
          </cell>
          <cell r="F2021">
            <v>1160</v>
          </cell>
        </row>
        <row r="2022">
          <cell r="E2022" t="str">
            <v>DOTHANALWEST MEMPHISAR</v>
          </cell>
          <cell r="F2022">
            <v>1140</v>
          </cell>
        </row>
        <row r="2023">
          <cell r="E2023" t="str">
            <v>DOTHANALGREENWOODSC</v>
          </cell>
          <cell r="F2023">
            <v>960</v>
          </cell>
        </row>
        <row r="2024">
          <cell r="E2024" t="str">
            <v>DOTHANALLEXINGTONNC</v>
          </cell>
          <cell r="F2024">
            <v>1320</v>
          </cell>
        </row>
        <row r="2025">
          <cell r="E2025" t="str">
            <v>DOTHANALMCCALLAAL</v>
          </cell>
          <cell r="F2025">
            <v>650</v>
          </cell>
        </row>
        <row r="2026">
          <cell r="E2026" t="str">
            <v>DOTHANALLUMBERTONNC</v>
          </cell>
          <cell r="F2026">
            <v>1400</v>
          </cell>
        </row>
        <row r="2027">
          <cell r="E2027" t="str">
            <v>DOTHANALINDIANOLAMS</v>
          </cell>
          <cell r="F2027">
            <v>1060</v>
          </cell>
        </row>
        <row r="2028">
          <cell r="E2028" t="str">
            <v>DOTHANALNORFOLKVA</v>
          </cell>
          <cell r="F2028">
            <v>1940</v>
          </cell>
        </row>
        <row r="2029">
          <cell r="E2029" t="str">
            <v>DOTHANALKINSTONNC</v>
          </cell>
          <cell r="F2029">
            <v>1690</v>
          </cell>
        </row>
        <row r="2030">
          <cell r="E2030" t="str">
            <v>DOTHANALSPARTANC</v>
          </cell>
          <cell r="F2030">
            <v>1410</v>
          </cell>
        </row>
        <row r="2031">
          <cell r="E2031" t="str">
            <v>DOTHANALMAYODANNC</v>
          </cell>
          <cell r="F2031">
            <v>1430</v>
          </cell>
        </row>
        <row r="2032">
          <cell r="E2032" t="str">
            <v>DOTHANALCARTERSVILLEGA</v>
          </cell>
          <cell r="F2032">
            <v>720</v>
          </cell>
        </row>
        <row r="2033">
          <cell r="E2033" t="str">
            <v>DOTHANALNEW ORLEANSLA</v>
          </cell>
          <cell r="F2033">
            <v>890</v>
          </cell>
        </row>
        <row r="2034">
          <cell r="E2034" t="str">
            <v>DOTHANALMOBILEAL</v>
          </cell>
          <cell r="F2034">
            <v>610</v>
          </cell>
        </row>
        <row r="2035">
          <cell r="E2035" t="str">
            <v>DOTHANALTHOMASVILLENC</v>
          </cell>
          <cell r="F2035">
            <v>1340</v>
          </cell>
        </row>
        <row r="2036">
          <cell r="E2036" t="str">
            <v>DOTHANALENOREESC</v>
          </cell>
          <cell r="F2036">
            <v>1040</v>
          </cell>
        </row>
        <row r="2037">
          <cell r="E2037" t="str">
            <v>DOTHANALGREERSC</v>
          </cell>
          <cell r="F2037">
            <v>990</v>
          </cell>
        </row>
        <row r="2038">
          <cell r="E2038" t="str">
            <v>DOTHANALEDENTONNC</v>
          </cell>
          <cell r="F2038">
            <v>1860</v>
          </cell>
        </row>
        <row r="2039">
          <cell r="E2039" t="str">
            <v>DOTHANALLOWELLNC</v>
          </cell>
          <cell r="F2039">
            <v>1150</v>
          </cell>
        </row>
        <row r="2040">
          <cell r="E2040" t="str">
            <v>DOTHANALTALLULAHLA</v>
          </cell>
          <cell r="F2040">
            <v>1070</v>
          </cell>
        </row>
        <row r="2041">
          <cell r="E2041" t="str">
            <v>DOTHANALBLYTHEVILLEAR</v>
          </cell>
          <cell r="F2041">
            <v>1270</v>
          </cell>
        </row>
        <row r="2042">
          <cell r="E2042" t="str">
            <v>DOTHANALRABUN GAPGA</v>
          </cell>
          <cell r="F2042">
            <v>950</v>
          </cell>
        </row>
        <row r="2043">
          <cell r="E2043" t="str">
            <v>DOTHANALGarden CityGA</v>
          </cell>
          <cell r="F2043">
            <v>940</v>
          </cell>
        </row>
        <row r="2044">
          <cell r="E2044" t="str">
            <v>DOTHANALPORT WENTWORTHGA</v>
          </cell>
          <cell r="F2044">
            <v>960</v>
          </cell>
        </row>
        <row r="2045">
          <cell r="E2045" t="str">
            <v>DOTHANALGULFPORTMS</v>
          </cell>
          <cell r="F2045">
            <v>850</v>
          </cell>
        </row>
        <row r="2046">
          <cell r="E2046" t="str">
            <v>DOTHANALGRIFTONNC</v>
          </cell>
          <cell r="F2046">
            <v>1810</v>
          </cell>
        </row>
        <row r="2047">
          <cell r="E2047" t="str">
            <v>DOTHANALECLECTICAL</v>
          </cell>
          <cell r="F2047">
            <v>520</v>
          </cell>
        </row>
        <row r="2048">
          <cell r="E2048" t="str">
            <v>DOTHANALDAWSONGA</v>
          </cell>
          <cell r="F2048">
            <v>460</v>
          </cell>
        </row>
        <row r="2049">
          <cell r="E2049" t="str">
            <v>DOTHANALRINCONGA</v>
          </cell>
          <cell r="F2049">
            <v>970</v>
          </cell>
        </row>
        <row r="2050">
          <cell r="E2050" t="str">
            <v>DOTHANALDREWMS</v>
          </cell>
          <cell r="F2050">
            <v>1080</v>
          </cell>
        </row>
        <row r="2051">
          <cell r="E2051" t="str">
            <v>DOTHANALGAFFNEYSC</v>
          </cell>
          <cell r="F2051">
            <v>1070</v>
          </cell>
        </row>
        <row r="2052">
          <cell r="E2052" t="str">
            <v>DOTHANALINDIAN LANDSC</v>
          </cell>
          <cell r="F2052">
            <v>1220</v>
          </cell>
        </row>
        <row r="2053">
          <cell r="E2053" t="str">
            <v>DOTHANALCENTREAL</v>
          </cell>
          <cell r="F2053">
            <v>780</v>
          </cell>
        </row>
        <row r="2054">
          <cell r="E2054" t="str">
            <v>DOTHANALJACKSONVILLEFL</v>
          </cell>
          <cell r="F2054">
            <v>730</v>
          </cell>
        </row>
        <row r="2055">
          <cell r="E2055" t="str">
            <v>DOUGLASGAROCKFORDTN</v>
          </cell>
          <cell r="F2055">
            <v>1120</v>
          </cell>
        </row>
        <row r="2056">
          <cell r="E2056" t="str">
            <v>DOUGLASGAENOREESC</v>
          </cell>
          <cell r="F2056">
            <v>740</v>
          </cell>
        </row>
        <row r="2057">
          <cell r="E2057" t="str">
            <v>DOUGLASGAINDIAN LANDSC</v>
          </cell>
          <cell r="F2057">
            <v>870</v>
          </cell>
        </row>
        <row r="2058">
          <cell r="E2058" t="str">
            <v>DOUGLASGATHOMASVILLENC</v>
          </cell>
          <cell r="F2058">
            <v>1050</v>
          </cell>
        </row>
        <row r="2059">
          <cell r="E2059" t="str">
            <v>DOUGLASGAGAINESVILLEGA</v>
          </cell>
          <cell r="F2059">
            <v>720</v>
          </cell>
        </row>
        <row r="2060">
          <cell r="E2060" t="str">
            <v>DOUGLASGAMOBILEAL</v>
          </cell>
          <cell r="F2060">
            <v>980</v>
          </cell>
        </row>
        <row r="2061">
          <cell r="E2061" t="str">
            <v>DOUGLASGACENTREAL</v>
          </cell>
          <cell r="F2061">
            <v>810</v>
          </cell>
        </row>
        <row r="2062">
          <cell r="E2062" t="str">
            <v>DOUGLASGATUNICAMS</v>
          </cell>
          <cell r="F2062">
            <v>1410</v>
          </cell>
        </row>
        <row r="2063">
          <cell r="E2063" t="str">
            <v>DOUGLASGAPORTSMOUTHVA</v>
          </cell>
          <cell r="F2063">
            <v>1500</v>
          </cell>
        </row>
        <row r="2064">
          <cell r="E2064" t="str">
            <v>DOUGLASGASTONEVILLENC</v>
          </cell>
          <cell r="F2064">
            <v>1150</v>
          </cell>
        </row>
        <row r="2065">
          <cell r="E2065" t="str">
            <v>DOUGLASGAGREENWOODMS</v>
          </cell>
          <cell r="F2065">
            <v>1330</v>
          </cell>
        </row>
        <row r="2066">
          <cell r="E2066" t="str">
            <v>DOUGLASGATALLULAHLA</v>
          </cell>
          <cell r="F2066">
            <v>1420</v>
          </cell>
        </row>
        <row r="2067">
          <cell r="E2067" t="str">
            <v>DOUGLASGAEDENTONNC</v>
          </cell>
          <cell r="F2067">
            <v>1410</v>
          </cell>
        </row>
        <row r="2068">
          <cell r="E2068" t="str">
            <v>DOUGLASGAMARIONAR</v>
          </cell>
          <cell r="F2068">
            <v>1400</v>
          </cell>
        </row>
        <row r="2069">
          <cell r="E2069" t="str">
            <v>DOUGLASGAMOCKSVILLENC</v>
          </cell>
          <cell r="F2069">
            <v>1030</v>
          </cell>
        </row>
        <row r="2070">
          <cell r="E2070" t="str">
            <v>DOUGLASGASALISBURYNC</v>
          </cell>
          <cell r="F2070">
            <v>990</v>
          </cell>
        </row>
        <row r="2071">
          <cell r="E2071" t="str">
            <v>DOUGLASGAWEST MEMPHISAR</v>
          </cell>
          <cell r="F2071">
            <v>1390</v>
          </cell>
        </row>
        <row r="2072">
          <cell r="E2072" t="str">
            <v>DOUGLASGAMONEYMS</v>
          </cell>
          <cell r="F2072">
            <v>1370</v>
          </cell>
        </row>
        <row r="2073">
          <cell r="E2073" t="str">
            <v>DOUGLASGAGAFFNEYSC</v>
          </cell>
          <cell r="F2073">
            <v>840</v>
          </cell>
        </row>
        <row r="2074">
          <cell r="E2074" t="str">
            <v>DOUGLASGAMCCALLAAL</v>
          </cell>
          <cell r="F2074">
            <v>890</v>
          </cell>
        </row>
        <row r="2075">
          <cell r="E2075" t="str">
            <v>DOUGLASGASANFORDNC</v>
          </cell>
          <cell r="F2075">
            <v>1080</v>
          </cell>
        </row>
        <row r="2076">
          <cell r="E2076" t="str">
            <v>DOUGLASGAGASTONIANC</v>
          </cell>
          <cell r="F2076">
            <v>930</v>
          </cell>
        </row>
        <row r="2077">
          <cell r="E2077" t="str">
            <v>DOUGLASGASHELBYNC</v>
          </cell>
          <cell r="F2077">
            <v>880</v>
          </cell>
        </row>
        <row r="2078">
          <cell r="E2078" t="str">
            <v>DOUGLASGAMINERAL SPRINGSNC</v>
          </cell>
          <cell r="F2078">
            <v>880</v>
          </cell>
        </row>
        <row r="2079">
          <cell r="E2079" t="str">
            <v>DOUGLASGAHICKORYNC</v>
          </cell>
          <cell r="F2079">
            <v>1010</v>
          </cell>
        </row>
        <row r="2080">
          <cell r="E2080" t="str">
            <v>DOUGLASGACARTERSVILLEGA</v>
          </cell>
          <cell r="F2080">
            <v>730</v>
          </cell>
        </row>
        <row r="2081">
          <cell r="E2081" t="str">
            <v>DOUGLASGABELMONTNC</v>
          </cell>
          <cell r="F2081">
            <v>910</v>
          </cell>
        </row>
        <row r="2082">
          <cell r="E2082" t="str">
            <v>DOUGLASGAROSSVILLETN</v>
          </cell>
          <cell r="F2082">
            <v>1370</v>
          </cell>
        </row>
        <row r="2083">
          <cell r="E2083" t="str">
            <v>DOUGLASGANORFOLKVA</v>
          </cell>
          <cell r="F2083">
            <v>1530</v>
          </cell>
        </row>
        <row r="2084">
          <cell r="E2084" t="str">
            <v>DOUGLASGALOWELLNC</v>
          </cell>
          <cell r="F2084">
            <v>920</v>
          </cell>
        </row>
        <row r="2085">
          <cell r="E2085" t="str">
            <v>DOUGLASGADREWMS</v>
          </cell>
          <cell r="F2085">
            <v>1420</v>
          </cell>
        </row>
        <row r="2086">
          <cell r="E2086" t="str">
            <v>DOUGLASGAINDIANOLAMS</v>
          </cell>
          <cell r="F2086">
            <v>1400</v>
          </cell>
        </row>
        <row r="2087">
          <cell r="E2087" t="str">
            <v>DOUGLASGACHARLOTTENC</v>
          </cell>
          <cell r="F2087">
            <v>900</v>
          </cell>
        </row>
        <row r="2088">
          <cell r="E2088" t="str">
            <v>DOUGLASGARABUN GAPGA</v>
          </cell>
          <cell r="F2088">
            <v>820</v>
          </cell>
        </row>
        <row r="2089">
          <cell r="E2089" t="str">
            <v>DOUGLASGALEXINGTONNC</v>
          </cell>
          <cell r="F2089">
            <v>1020</v>
          </cell>
        </row>
        <row r="2090">
          <cell r="E2090" t="str">
            <v>DOUGLASGARAYVILLELA</v>
          </cell>
          <cell r="F2090">
            <v>1490</v>
          </cell>
        </row>
        <row r="2091">
          <cell r="E2091" t="str">
            <v>DOUGLASGAGREENWOODSC</v>
          </cell>
          <cell r="F2091">
            <v>660</v>
          </cell>
        </row>
        <row r="2092">
          <cell r="E2092" t="str">
            <v>DOUGLASGAECLECTICAL</v>
          </cell>
          <cell r="F2092">
            <v>720</v>
          </cell>
        </row>
        <row r="2093">
          <cell r="E2093" t="str">
            <v>DOUGLASGAMAYODANNC</v>
          </cell>
          <cell r="F2093">
            <v>1140</v>
          </cell>
        </row>
        <row r="2094">
          <cell r="E2094" t="str">
            <v>DOUGLASGABLYTHEVILLEAR</v>
          </cell>
          <cell r="F2094">
            <v>1520</v>
          </cell>
        </row>
        <row r="2095">
          <cell r="E2095" t="str">
            <v>DOUGLASGANEW ORLEANSLA</v>
          </cell>
          <cell r="F2095">
            <v>1300</v>
          </cell>
        </row>
        <row r="2096">
          <cell r="E2096" t="str">
            <v>DOUGLASGASPARTANC</v>
          </cell>
          <cell r="F2096">
            <v>1120</v>
          </cell>
        </row>
        <row r="2097">
          <cell r="E2097" t="str">
            <v>DOUGLASGAMEMPHISTN</v>
          </cell>
          <cell r="F2097">
            <v>1380</v>
          </cell>
        </row>
        <row r="2098">
          <cell r="E2098" t="str">
            <v>DOUGLASGAKINSTONNC</v>
          </cell>
          <cell r="F2098">
            <v>1230</v>
          </cell>
        </row>
        <row r="2099">
          <cell r="E2099" t="str">
            <v>DOUGLASGAJACKSONVILLEFL</v>
          </cell>
          <cell r="F2099">
            <v>500</v>
          </cell>
        </row>
        <row r="2100">
          <cell r="E2100" t="str">
            <v>DOUGLASGADAWSONGA</v>
          </cell>
          <cell r="F2100">
            <v>490</v>
          </cell>
        </row>
        <row r="2101">
          <cell r="E2101" t="str">
            <v>DOUGLASGAGULFPORTMS</v>
          </cell>
          <cell r="F2101">
            <v>1250</v>
          </cell>
        </row>
        <row r="2102">
          <cell r="E2102" t="str">
            <v>DOUGLASGARINCONGA</v>
          </cell>
          <cell r="F2102">
            <v>640</v>
          </cell>
        </row>
        <row r="2103">
          <cell r="E2103" t="str">
            <v>DOUGLASGAPORT WENTWORTHGA</v>
          </cell>
          <cell r="F2103">
            <v>630</v>
          </cell>
        </row>
        <row r="2104">
          <cell r="E2104" t="str">
            <v>DOUGLASGAGarden CityGA</v>
          </cell>
          <cell r="F2104">
            <v>620</v>
          </cell>
        </row>
        <row r="2105">
          <cell r="E2105" t="str">
            <v>DOUGLASGAROCKINGHAMNC</v>
          </cell>
          <cell r="F2105">
            <v>950</v>
          </cell>
        </row>
        <row r="2106">
          <cell r="E2106" t="str">
            <v>DOUGLASGALUMBERTONNC</v>
          </cell>
          <cell r="F2106">
            <v>940</v>
          </cell>
        </row>
        <row r="2107">
          <cell r="E2107" t="str">
            <v>DOUGLASGAERWINNC</v>
          </cell>
          <cell r="F2107">
            <v>1080</v>
          </cell>
        </row>
        <row r="2108">
          <cell r="E2108" t="str">
            <v>DOUGLASGAGREERSC</v>
          </cell>
          <cell r="F2108">
            <v>780</v>
          </cell>
        </row>
        <row r="2109">
          <cell r="E2109" t="str">
            <v>DOUGLASGAGRIFTONNC</v>
          </cell>
          <cell r="F2109">
            <v>1360</v>
          </cell>
        </row>
        <row r="2110">
          <cell r="E2110" t="str">
            <v>DOUGLASGACLARKTONNC</v>
          </cell>
          <cell r="F2110">
            <v>1000</v>
          </cell>
        </row>
        <row r="2111">
          <cell r="E2111" t="str">
            <v>DOUGLASGAWESLACOTX</v>
          </cell>
          <cell r="F2111">
            <v>2216</v>
          </cell>
        </row>
        <row r="2112">
          <cell r="E2112" t="str">
            <v>DREWMSJACKSONVILLEFL</v>
          </cell>
          <cell r="F2112">
            <v>1670</v>
          </cell>
        </row>
        <row r="2113">
          <cell r="E2113" t="str">
            <v>DREWMSROCKFORDTN</v>
          </cell>
          <cell r="F2113">
            <v>1280</v>
          </cell>
        </row>
        <row r="2114">
          <cell r="E2114" t="str">
            <v>DREWMSTHOMASVILLENC</v>
          </cell>
          <cell r="F2114">
            <v>1780</v>
          </cell>
        </row>
        <row r="2115">
          <cell r="E2115" t="str">
            <v>DREWMSENOREESC</v>
          </cell>
          <cell r="F2115">
            <v>1480</v>
          </cell>
        </row>
        <row r="2116">
          <cell r="E2116" t="str">
            <v>DREWMSGREERSC</v>
          </cell>
          <cell r="F2116">
            <v>1430</v>
          </cell>
        </row>
        <row r="2117">
          <cell r="E2117" t="str">
            <v>DREWMSLOWELLNC</v>
          </cell>
          <cell r="F2117">
            <v>1590</v>
          </cell>
        </row>
        <row r="2118">
          <cell r="E2118" t="str">
            <v>DREWMSMOCKSVILLENC</v>
          </cell>
          <cell r="F2118">
            <v>1750</v>
          </cell>
        </row>
        <row r="2119">
          <cell r="E2119" t="str">
            <v>DREWMSSTONEVILLENC</v>
          </cell>
          <cell r="F2119">
            <v>1880</v>
          </cell>
        </row>
        <row r="2120">
          <cell r="E2120" t="str">
            <v>DREWMSBELMONTNC</v>
          </cell>
          <cell r="F2120">
            <v>1600</v>
          </cell>
        </row>
        <row r="2121">
          <cell r="E2121" t="str">
            <v>DREWMSERWINNC</v>
          </cell>
          <cell r="F2121">
            <v>2010</v>
          </cell>
        </row>
        <row r="2122">
          <cell r="E2122" t="str">
            <v>DREWMSMCCALLAAL</v>
          </cell>
          <cell r="F2122">
            <v>690</v>
          </cell>
        </row>
        <row r="2123">
          <cell r="E2123" t="str">
            <v>DREWMSGASTONIANC</v>
          </cell>
          <cell r="F2123">
            <v>1580</v>
          </cell>
        </row>
        <row r="2124">
          <cell r="E2124" t="str">
            <v>DREWMSPORTSMOUTHVA</v>
          </cell>
          <cell r="F2124">
            <v>2350</v>
          </cell>
        </row>
        <row r="2125">
          <cell r="E2125" t="str">
            <v>DREWMSCENTREAL</v>
          </cell>
          <cell r="F2125">
            <v>930</v>
          </cell>
        </row>
        <row r="2126">
          <cell r="E2126" t="str">
            <v>DREWMSGAFFNEYSC</v>
          </cell>
          <cell r="F2126">
            <v>1510</v>
          </cell>
        </row>
        <row r="2127">
          <cell r="E2127" t="str">
            <v>DREWMSSANFORDNC</v>
          </cell>
          <cell r="F2127">
            <v>1920</v>
          </cell>
        </row>
        <row r="2128">
          <cell r="E2128" t="str">
            <v>DREWMSSALISBURYNC</v>
          </cell>
          <cell r="F2128">
            <v>1720</v>
          </cell>
        </row>
        <row r="2129">
          <cell r="E2129" t="str">
            <v>DREWMSROCKINGHAMNC</v>
          </cell>
          <cell r="F2129">
            <v>1800</v>
          </cell>
        </row>
        <row r="2130">
          <cell r="E2130" t="str">
            <v>DREWMSCLARKTONNC</v>
          </cell>
          <cell r="F2130">
            <v>1930</v>
          </cell>
        </row>
        <row r="2131">
          <cell r="E2131" t="str">
            <v>DREWMSSHELBYNC</v>
          </cell>
          <cell r="F2131">
            <v>1550</v>
          </cell>
        </row>
        <row r="2132">
          <cell r="E2132" t="str">
            <v>DREWMSCHARLOTTENC</v>
          </cell>
          <cell r="F2132">
            <v>1630</v>
          </cell>
        </row>
        <row r="2133">
          <cell r="E2133" t="str">
            <v>DREWMSGAINESVILLEGA</v>
          </cell>
          <cell r="F2133">
            <v>1200</v>
          </cell>
        </row>
        <row r="2134">
          <cell r="E2134" t="str">
            <v>DREWMSHICKORYNC</v>
          </cell>
          <cell r="F2134">
            <v>1660</v>
          </cell>
        </row>
        <row r="2135">
          <cell r="E2135" t="str">
            <v>DREWMSMINERAL SPRINGSNC</v>
          </cell>
          <cell r="F2135">
            <v>1690</v>
          </cell>
        </row>
        <row r="2136">
          <cell r="E2136" t="str">
            <v>DREWMSSPARTANC</v>
          </cell>
          <cell r="F2136">
            <v>1760</v>
          </cell>
        </row>
        <row r="2137">
          <cell r="E2137" t="str">
            <v>DREWMSGREENWOODSC</v>
          </cell>
          <cell r="F2137">
            <v>1410</v>
          </cell>
        </row>
        <row r="2138">
          <cell r="E2138" t="str">
            <v>DREWMSLUMBERTONNC</v>
          </cell>
          <cell r="F2138">
            <v>1870</v>
          </cell>
        </row>
        <row r="2139">
          <cell r="E2139" t="str">
            <v>DREWMSLEXINGTONNC</v>
          </cell>
          <cell r="F2139">
            <v>1750</v>
          </cell>
        </row>
        <row r="2140">
          <cell r="E2140" t="str">
            <v>DREWMSKINSTONNC</v>
          </cell>
          <cell r="F2140">
            <v>2160</v>
          </cell>
        </row>
        <row r="2141">
          <cell r="E2141" t="str">
            <v>DREWMSINDIAN LANDSC</v>
          </cell>
          <cell r="F2141">
            <v>1650</v>
          </cell>
        </row>
        <row r="2142">
          <cell r="E2142" t="str">
            <v>DREWMSNORFOLKVA</v>
          </cell>
          <cell r="F2142">
            <v>2370</v>
          </cell>
        </row>
        <row r="2143">
          <cell r="E2143" t="str">
            <v>DREWMSBLYTHEVILLEAR</v>
          </cell>
          <cell r="F2143">
            <v>580</v>
          </cell>
        </row>
        <row r="2144">
          <cell r="E2144" t="str">
            <v>DREWMSMAYODANNC</v>
          </cell>
          <cell r="F2144">
            <v>1870</v>
          </cell>
        </row>
        <row r="2145">
          <cell r="E2145" t="str">
            <v>DREWMSEDENTONNC</v>
          </cell>
          <cell r="F2145">
            <v>2310</v>
          </cell>
        </row>
        <row r="2146">
          <cell r="E2146" t="str">
            <v>DREWMSRABUN GAPGA</v>
          </cell>
          <cell r="F2146">
            <v>1420</v>
          </cell>
        </row>
        <row r="2147">
          <cell r="E2147" t="str">
            <v>DREWMSWEST MEMPHISAR</v>
          </cell>
          <cell r="F2147">
            <v>490</v>
          </cell>
        </row>
        <row r="2148">
          <cell r="E2148" t="str">
            <v>DREWMSMARIONAR</v>
          </cell>
          <cell r="F2148">
            <v>500</v>
          </cell>
        </row>
        <row r="2149">
          <cell r="E2149" t="str">
            <v>DREWMSROSSVILLETN</v>
          </cell>
          <cell r="F2149">
            <v>520</v>
          </cell>
        </row>
        <row r="2150">
          <cell r="E2150" t="str">
            <v>DREWMSMEMPHISTN</v>
          </cell>
          <cell r="F2150">
            <v>470</v>
          </cell>
        </row>
        <row r="2151">
          <cell r="E2151" t="str">
            <v>DREWMSGRIFTONNC</v>
          </cell>
          <cell r="F2151">
            <v>2290</v>
          </cell>
        </row>
        <row r="2152">
          <cell r="E2152" t="str">
            <v>DREWMSINDIANOLAMS</v>
          </cell>
          <cell r="F2152">
            <v>360</v>
          </cell>
        </row>
        <row r="2153">
          <cell r="E2153" t="str">
            <v>DREWMSGarden CityGA</v>
          </cell>
          <cell r="F2153">
            <v>1720</v>
          </cell>
        </row>
        <row r="2154">
          <cell r="E2154" t="str">
            <v>DREWMSGREENWOODMS</v>
          </cell>
          <cell r="F2154">
            <v>380</v>
          </cell>
        </row>
        <row r="2155">
          <cell r="E2155" t="str">
            <v>DREWMSRINCONGA</v>
          </cell>
          <cell r="F2155">
            <v>1750</v>
          </cell>
        </row>
        <row r="2156">
          <cell r="E2156" t="str">
            <v>DREWMSTUNICAMS</v>
          </cell>
          <cell r="F2156">
            <v>420</v>
          </cell>
        </row>
        <row r="2157">
          <cell r="E2157" t="str">
            <v>DREWMSPORT WENTWORTHGA</v>
          </cell>
          <cell r="F2157">
            <v>1740</v>
          </cell>
        </row>
        <row r="2158">
          <cell r="E2158" t="str">
            <v>DREWMSMONEYMS</v>
          </cell>
          <cell r="F2158">
            <v>370</v>
          </cell>
        </row>
        <row r="2159">
          <cell r="E2159" t="str">
            <v>DREWMSDAWSONGA</v>
          </cell>
          <cell r="F2159">
            <v>1200</v>
          </cell>
        </row>
        <row r="2160">
          <cell r="E2160" t="str">
            <v>DREWMSGULFPORTMS</v>
          </cell>
          <cell r="F2160">
            <v>870</v>
          </cell>
        </row>
        <row r="2161">
          <cell r="E2161" t="str">
            <v>DREWMSNEW ORLEANSLA</v>
          </cell>
          <cell r="F2161">
            <v>830</v>
          </cell>
        </row>
        <row r="2162">
          <cell r="E2162" t="str">
            <v>DREWMSCARTERSVILLEGA</v>
          </cell>
          <cell r="F2162">
            <v>1060</v>
          </cell>
        </row>
        <row r="2163">
          <cell r="E2163" t="str">
            <v>DREWMSMOBILEAL</v>
          </cell>
          <cell r="F2163">
            <v>840</v>
          </cell>
        </row>
        <row r="2164">
          <cell r="E2164" t="str">
            <v>DREWMSECLECTICAL</v>
          </cell>
          <cell r="F2164">
            <v>880</v>
          </cell>
        </row>
        <row r="2165">
          <cell r="E2165" t="str">
            <v>DREWMSRAYVILLELA</v>
          </cell>
          <cell r="F2165">
            <v>550</v>
          </cell>
        </row>
        <row r="2166">
          <cell r="E2166" t="str">
            <v>DREWMSTALLULAHLA</v>
          </cell>
          <cell r="F2166">
            <v>520</v>
          </cell>
        </row>
        <row r="2167">
          <cell r="E2167" t="str">
            <v>DUBLINGAROCKFORDTN</v>
          </cell>
          <cell r="F2167">
            <v>950</v>
          </cell>
        </row>
        <row r="2168">
          <cell r="E2168" t="str">
            <v>DUBLINGAMOCKSVILLENC</v>
          </cell>
          <cell r="F2168">
            <v>870</v>
          </cell>
        </row>
        <row r="2169">
          <cell r="E2169" t="str">
            <v>DUBLINGAMEMPHISTN</v>
          </cell>
          <cell r="F2169">
            <v>1310</v>
          </cell>
        </row>
        <row r="2170">
          <cell r="E2170" t="str">
            <v>DUBLINGASTONEVILLENC</v>
          </cell>
          <cell r="F2170">
            <v>990</v>
          </cell>
        </row>
        <row r="2171">
          <cell r="E2171" t="str">
            <v>DUBLINGATALLULAHLA</v>
          </cell>
          <cell r="F2171">
            <v>1440</v>
          </cell>
        </row>
        <row r="2172">
          <cell r="E2172" t="str">
            <v>DUBLINGAMONEYMS</v>
          </cell>
          <cell r="F2172">
            <v>1310</v>
          </cell>
        </row>
        <row r="2173">
          <cell r="E2173" t="str">
            <v>DUBLINGASALISBURYNC</v>
          </cell>
          <cell r="F2173">
            <v>830</v>
          </cell>
        </row>
        <row r="2174">
          <cell r="E2174" t="str">
            <v>DUBLINGALUMBERTONNC</v>
          </cell>
          <cell r="F2174">
            <v>830</v>
          </cell>
        </row>
        <row r="2175">
          <cell r="E2175" t="str">
            <v>DUBLINGATUNICAMS</v>
          </cell>
          <cell r="F2175">
            <v>1340</v>
          </cell>
        </row>
        <row r="2176">
          <cell r="E2176" t="str">
            <v>DUBLINGAMCCALLAAL</v>
          </cell>
          <cell r="F2176">
            <v>830</v>
          </cell>
        </row>
        <row r="2177">
          <cell r="E2177" t="str">
            <v>DUBLINGAWEST MEMPHISAR</v>
          </cell>
          <cell r="F2177">
            <v>1320</v>
          </cell>
        </row>
        <row r="2178">
          <cell r="E2178" t="str">
            <v>DUBLINGAMARIONAR</v>
          </cell>
          <cell r="F2178">
            <v>1330</v>
          </cell>
        </row>
        <row r="2179">
          <cell r="E2179" t="str">
            <v>DUBLINGAGASTONIANC</v>
          </cell>
          <cell r="F2179">
            <v>770</v>
          </cell>
        </row>
        <row r="2180">
          <cell r="E2180" t="str">
            <v>DUBLINGASHELBYNC</v>
          </cell>
          <cell r="F2180">
            <v>720</v>
          </cell>
        </row>
        <row r="2181">
          <cell r="E2181" t="str">
            <v>DUBLINGAMINERAL SPRINGSNC</v>
          </cell>
          <cell r="F2181">
            <v>720</v>
          </cell>
        </row>
        <row r="2182">
          <cell r="E2182" t="str">
            <v>DUBLINGAHICKORYNC</v>
          </cell>
          <cell r="F2182">
            <v>850</v>
          </cell>
        </row>
        <row r="2183">
          <cell r="E2183" t="str">
            <v>DUBLINGABELMONTNC</v>
          </cell>
          <cell r="F2183">
            <v>750</v>
          </cell>
        </row>
        <row r="2184">
          <cell r="E2184" t="str">
            <v>DUBLINGADREWMS</v>
          </cell>
          <cell r="F2184">
            <v>1360</v>
          </cell>
        </row>
        <row r="2185">
          <cell r="E2185" t="str">
            <v>DUBLINGAINDIANOLAMS</v>
          </cell>
          <cell r="F2185">
            <v>1340</v>
          </cell>
        </row>
        <row r="2186">
          <cell r="E2186" t="str">
            <v>DUBLINGARAYVILLELA</v>
          </cell>
          <cell r="F2186">
            <v>1520</v>
          </cell>
        </row>
        <row r="2187">
          <cell r="E2187" t="str">
            <v>DUBLINGALOWELLNC</v>
          </cell>
          <cell r="F2187">
            <v>760</v>
          </cell>
        </row>
        <row r="2188">
          <cell r="E2188" t="str">
            <v>DUBLINGAKINSTONNC</v>
          </cell>
          <cell r="F2188">
            <v>1120</v>
          </cell>
        </row>
        <row r="2189">
          <cell r="E2189" t="str">
            <v>DUBLINGAEDENTONNC</v>
          </cell>
          <cell r="F2189">
            <v>1300</v>
          </cell>
        </row>
        <row r="2190">
          <cell r="E2190" t="str">
            <v>DUBLINGAROSSVILLETN</v>
          </cell>
          <cell r="F2190">
            <v>1300</v>
          </cell>
        </row>
        <row r="2191">
          <cell r="E2191" t="str">
            <v>DUBLINGACHARLOTTENC</v>
          </cell>
          <cell r="F2191">
            <v>740</v>
          </cell>
        </row>
        <row r="2192">
          <cell r="E2192" t="str">
            <v>DUBLINGASPARTANC</v>
          </cell>
          <cell r="F2192">
            <v>970</v>
          </cell>
        </row>
        <row r="2193">
          <cell r="E2193" t="str">
            <v>DUBLINGANEW ORLEANSLA</v>
          </cell>
          <cell r="F2193">
            <v>1330</v>
          </cell>
        </row>
        <row r="2194">
          <cell r="E2194" t="str">
            <v>DUBLINGALEXINGTONNC</v>
          </cell>
          <cell r="F2194">
            <v>870</v>
          </cell>
        </row>
        <row r="2195">
          <cell r="E2195" t="str">
            <v>DUBLINGAPORTSMOUTHVA</v>
          </cell>
          <cell r="F2195">
            <v>1380</v>
          </cell>
        </row>
        <row r="2196">
          <cell r="E2196" t="str">
            <v>DUBLINGAROCKINGHAMNC</v>
          </cell>
          <cell r="F2196">
            <v>770</v>
          </cell>
        </row>
        <row r="2197">
          <cell r="E2197" t="str">
            <v>DUBLINGAMAYODANNC</v>
          </cell>
          <cell r="F2197">
            <v>980</v>
          </cell>
        </row>
        <row r="2198">
          <cell r="E2198" t="str">
            <v>DUBLINGABLYTHEVILLEAR</v>
          </cell>
          <cell r="F2198">
            <v>1450</v>
          </cell>
        </row>
        <row r="2199">
          <cell r="E2199" t="str">
            <v>DUBLINGAMOBILEAL</v>
          </cell>
          <cell r="F2199">
            <v>1010</v>
          </cell>
        </row>
        <row r="2200">
          <cell r="E2200" t="str">
            <v>DUBLINGAGREENWOODSC</v>
          </cell>
          <cell r="F2200">
            <v>550</v>
          </cell>
        </row>
        <row r="2201">
          <cell r="E2201" t="str">
            <v>DUBLINGASANFORDNC</v>
          </cell>
          <cell r="F2201">
            <v>890</v>
          </cell>
        </row>
        <row r="2202">
          <cell r="E2202" t="str">
            <v>DUBLINGATHOMASVILLENC</v>
          </cell>
          <cell r="F2202">
            <v>890</v>
          </cell>
        </row>
        <row r="2203">
          <cell r="E2203" t="str">
            <v>DUBLINGAENOREESC</v>
          </cell>
          <cell r="F2203">
            <v>620</v>
          </cell>
        </row>
        <row r="2204">
          <cell r="E2204" t="str">
            <v>DUBLINGANORFOLKVA</v>
          </cell>
          <cell r="F2204">
            <v>1410</v>
          </cell>
        </row>
        <row r="2205">
          <cell r="E2205" t="str">
            <v>DUBLINGARABUN GAPGA</v>
          </cell>
          <cell r="F2205">
            <v>670</v>
          </cell>
        </row>
        <row r="2206">
          <cell r="E2206" t="str">
            <v>DUBLINGAGREENWOODMS</v>
          </cell>
          <cell r="F2206">
            <v>1270</v>
          </cell>
        </row>
        <row r="2207">
          <cell r="E2207" t="str">
            <v>DUBLINGAGULFPORTMS</v>
          </cell>
          <cell r="F2207">
            <v>1280</v>
          </cell>
        </row>
        <row r="2208">
          <cell r="E2208" t="str">
            <v>DUBLINGADAWSONGA</v>
          </cell>
          <cell r="F2208">
            <v>520</v>
          </cell>
        </row>
        <row r="2209">
          <cell r="E2209" t="str">
            <v>DUBLINGAGRIFTONNC</v>
          </cell>
          <cell r="F2209">
            <v>1250</v>
          </cell>
        </row>
        <row r="2210">
          <cell r="E2210" t="str">
            <v>DUBLINGAPORT WENTWORTHGA</v>
          </cell>
          <cell r="F2210">
            <v>610</v>
          </cell>
        </row>
        <row r="2211">
          <cell r="E2211" t="str">
            <v>DUBLINGARINCONGA</v>
          </cell>
          <cell r="F2211">
            <v>620</v>
          </cell>
        </row>
        <row r="2212">
          <cell r="E2212" t="str">
            <v>DUBLINGAGarden CityGA</v>
          </cell>
          <cell r="F2212">
            <v>600</v>
          </cell>
        </row>
        <row r="2213">
          <cell r="E2213" t="str">
            <v>DUBLINGACLARKTONNC</v>
          </cell>
          <cell r="F2213">
            <v>880</v>
          </cell>
        </row>
        <row r="2214">
          <cell r="E2214" t="str">
            <v>DUBLINGAERWINNC</v>
          </cell>
          <cell r="F2214">
            <v>960</v>
          </cell>
        </row>
        <row r="2215">
          <cell r="E2215" t="str">
            <v>DUBLINGACENTREAL</v>
          </cell>
          <cell r="F2215">
            <v>660</v>
          </cell>
        </row>
        <row r="2216">
          <cell r="E2216" t="str">
            <v>DUBLINGAECLECTICAL</v>
          </cell>
          <cell r="F2216">
            <v>660</v>
          </cell>
        </row>
        <row r="2217">
          <cell r="E2217" t="str">
            <v>DUBLINGAJACKSONVILLEFL</v>
          </cell>
          <cell r="F2217">
            <v>610</v>
          </cell>
        </row>
        <row r="2218">
          <cell r="E2218" t="str">
            <v>DUBLINGAINDIAN LANDSC</v>
          </cell>
          <cell r="F2218">
            <v>710</v>
          </cell>
        </row>
        <row r="2219">
          <cell r="E2219" t="str">
            <v>DUBLINGAGAINESVILLEGA</v>
          </cell>
          <cell r="F2219">
            <v>600</v>
          </cell>
        </row>
        <row r="2220">
          <cell r="E2220" t="str">
            <v>DUBLINGACARTERSVILLEGA</v>
          </cell>
          <cell r="F2220">
            <v>610</v>
          </cell>
        </row>
        <row r="2221">
          <cell r="E2221" t="str">
            <v>DUBLINGAGAFFNEYSC</v>
          </cell>
          <cell r="F2221">
            <v>690</v>
          </cell>
        </row>
        <row r="2222">
          <cell r="E2222" t="str">
            <v>DUBLINGAGREERSC</v>
          </cell>
          <cell r="F2222">
            <v>690</v>
          </cell>
        </row>
        <row r="2223">
          <cell r="E2223" t="str">
            <v>DUBLINGAWESLACOTX</v>
          </cell>
          <cell r="F2223">
            <v>1795</v>
          </cell>
        </row>
        <row r="2224">
          <cell r="E2224" t="str">
            <v>DUDLEYGAWESLACOTX</v>
          </cell>
          <cell r="F2224">
            <v>1778</v>
          </cell>
        </row>
        <row r="2225">
          <cell r="E2225" t="str">
            <v>DUMASARROCKFORDTN</v>
          </cell>
          <cell r="F2225">
            <v>1390</v>
          </cell>
        </row>
        <row r="2226">
          <cell r="E2226" t="str">
            <v>DUMASARLUMBERTONNC</v>
          </cell>
          <cell r="F2226">
            <v>2060</v>
          </cell>
        </row>
        <row r="2227">
          <cell r="E2227" t="str">
            <v>DUMASARKINSTONNC</v>
          </cell>
          <cell r="F2227">
            <v>2350</v>
          </cell>
        </row>
        <row r="2228">
          <cell r="E2228" t="str">
            <v>DUMASARINDIAN LANDSC</v>
          </cell>
          <cell r="F2228">
            <v>1840</v>
          </cell>
        </row>
        <row r="2229">
          <cell r="E2229" t="str">
            <v>DUMASARERWINNC</v>
          </cell>
          <cell r="F2229">
            <v>2190</v>
          </cell>
        </row>
        <row r="2230">
          <cell r="E2230" t="str">
            <v>DUMASARGREENWOODSC</v>
          </cell>
          <cell r="F2230">
            <v>1590</v>
          </cell>
        </row>
        <row r="2231">
          <cell r="E2231" t="str">
            <v>DUMASARENOREESC</v>
          </cell>
          <cell r="F2231">
            <v>1660</v>
          </cell>
        </row>
        <row r="2232">
          <cell r="E2232" t="str">
            <v>DUMASARGREERSC</v>
          </cell>
          <cell r="F2232">
            <v>1610</v>
          </cell>
        </row>
        <row r="2233">
          <cell r="E2233" t="str">
            <v>DUMASARCLARKTONNC</v>
          </cell>
          <cell r="F2233">
            <v>2110</v>
          </cell>
        </row>
        <row r="2234">
          <cell r="E2234" t="str">
            <v>DUMASARROCKINGHAMNC</v>
          </cell>
          <cell r="F2234">
            <v>1980</v>
          </cell>
        </row>
        <row r="2235">
          <cell r="E2235" t="str">
            <v>DUMASARLOWELLNC</v>
          </cell>
          <cell r="F2235">
            <v>1770</v>
          </cell>
        </row>
        <row r="2236">
          <cell r="E2236" t="str">
            <v>DUMASARGAFFNEYSC</v>
          </cell>
          <cell r="F2236">
            <v>1690</v>
          </cell>
        </row>
        <row r="2237">
          <cell r="E2237" t="str">
            <v>DUMASARSHELBYNC</v>
          </cell>
          <cell r="F2237">
            <v>1730</v>
          </cell>
        </row>
        <row r="2238">
          <cell r="E2238" t="str">
            <v>DUMASARGASTONIANC</v>
          </cell>
          <cell r="F2238">
            <v>1760</v>
          </cell>
        </row>
        <row r="2239">
          <cell r="E2239" t="str">
            <v>DUMASARDAWSONGA</v>
          </cell>
          <cell r="F2239">
            <v>1380</v>
          </cell>
        </row>
        <row r="2240">
          <cell r="E2240" t="str">
            <v>DUMASARSPARTANC</v>
          </cell>
          <cell r="F2240">
            <v>1880</v>
          </cell>
        </row>
        <row r="2241">
          <cell r="E2241" t="str">
            <v>DUMASARRINCONGA</v>
          </cell>
          <cell r="F2241">
            <v>1930</v>
          </cell>
        </row>
        <row r="2242">
          <cell r="E2242" t="str">
            <v>DUMASARMCCALLAAL</v>
          </cell>
          <cell r="F2242">
            <v>850</v>
          </cell>
        </row>
        <row r="2243">
          <cell r="E2243" t="str">
            <v>DUMASARPORT WENTWORTHGA</v>
          </cell>
          <cell r="F2243">
            <v>1920</v>
          </cell>
        </row>
        <row r="2244">
          <cell r="E2244" t="str">
            <v>DUMASARGRIFTONNC</v>
          </cell>
          <cell r="F2244">
            <v>2480</v>
          </cell>
        </row>
        <row r="2245">
          <cell r="E2245" t="str">
            <v>DUMASARBLYTHEVILLEAR</v>
          </cell>
          <cell r="F2245">
            <v>630</v>
          </cell>
        </row>
        <row r="2246">
          <cell r="E2246" t="str">
            <v>DUMASARMEMPHISTN</v>
          </cell>
          <cell r="F2246">
            <v>560</v>
          </cell>
        </row>
        <row r="2247">
          <cell r="E2247" t="str">
            <v>DUMASARROSSVILLETN</v>
          </cell>
          <cell r="F2247">
            <v>600</v>
          </cell>
        </row>
        <row r="2248">
          <cell r="E2248" t="str">
            <v>DUMASARGarden CityGA</v>
          </cell>
          <cell r="F2248">
            <v>1900</v>
          </cell>
        </row>
        <row r="2249">
          <cell r="E2249" t="str">
            <v>DUMASARMONEYMS</v>
          </cell>
          <cell r="F2249">
            <v>510</v>
          </cell>
        </row>
        <row r="2250">
          <cell r="E2250" t="str">
            <v>DUMASARMARIONAR</v>
          </cell>
          <cell r="F2250">
            <v>540</v>
          </cell>
        </row>
        <row r="2251">
          <cell r="E2251" t="str">
            <v>DUMASARRAYVILLELA</v>
          </cell>
          <cell r="F2251">
            <v>490</v>
          </cell>
        </row>
        <row r="2252">
          <cell r="E2252" t="str">
            <v>DUMASARTALLULAHLA</v>
          </cell>
          <cell r="F2252">
            <v>490</v>
          </cell>
        </row>
        <row r="2253">
          <cell r="E2253" t="str">
            <v>DUMASARGREENWOODMS</v>
          </cell>
          <cell r="F2253">
            <v>500</v>
          </cell>
        </row>
        <row r="2254">
          <cell r="E2254" t="str">
            <v>DUMASARTUNICAMS</v>
          </cell>
          <cell r="F2254">
            <v>500</v>
          </cell>
        </row>
        <row r="2255">
          <cell r="E2255" t="str">
            <v>DUMASARWEST MEMPHISAR</v>
          </cell>
          <cell r="F2255">
            <v>540</v>
          </cell>
        </row>
        <row r="2256">
          <cell r="E2256" t="str">
            <v>DUMASARGULFPORTMS</v>
          </cell>
          <cell r="F2256">
            <v>1000</v>
          </cell>
        </row>
        <row r="2257">
          <cell r="E2257" t="str">
            <v>DUMASARDREWMS</v>
          </cell>
          <cell r="F2257">
            <v>500</v>
          </cell>
        </row>
        <row r="2258">
          <cell r="E2258" t="str">
            <v>DUMASARINDIANOLAMS</v>
          </cell>
          <cell r="F2258">
            <v>450</v>
          </cell>
        </row>
        <row r="2259">
          <cell r="E2259" t="str">
            <v>DUMASAREDENTONNC</v>
          </cell>
          <cell r="F2259">
            <v>2500</v>
          </cell>
        </row>
        <row r="2260">
          <cell r="E2260" t="str">
            <v>DUMASARPORTSMOUTHVA</v>
          </cell>
          <cell r="F2260">
            <v>2530</v>
          </cell>
        </row>
        <row r="2261">
          <cell r="E2261" t="str">
            <v>DUMASARLEXINGTONNC</v>
          </cell>
          <cell r="F2261">
            <v>1940</v>
          </cell>
        </row>
        <row r="2262">
          <cell r="E2262" t="str">
            <v>DUMASARTHOMASVILLENC</v>
          </cell>
          <cell r="F2262">
            <v>1970</v>
          </cell>
        </row>
        <row r="2263">
          <cell r="E2263" t="str">
            <v>DUMASARMOCKSVILLENC</v>
          </cell>
          <cell r="F2263">
            <v>1930</v>
          </cell>
        </row>
        <row r="2264">
          <cell r="E2264" t="str">
            <v>DUMASARNORFOLKVA</v>
          </cell>
          <cell r="F2264">
            <v>2560</v>
          </cell>
        </row>
        <row r="2265">
          <cell r="E2265" t="str">
            <v>DUMASARMAYODANNC</v>
          </cell>
          <cell r="F2265">
            <v>2050</v>
          </cell>
        </row>
        <row r="2266">
          <cell r="E2266" t="str">
            <v>DUMASARSTONEVILLENC</v>
          </cell>
          <cell r="F2266">
            <v>2060</v>
          </cell>
        </row>
        <row r="2267">
          <cell r="E2267" t="str">
            <v>DUMASARSANFORDNC</v>
          </cell>
          <cell r="F2267">
            <v>2100</v>
          </cell>
        </row>
        <row r="2268">
          <cell r="E2268" t="str">
            <v>DUMASARBELMONTNC</v>
          </cell>
          <cell r="F2268">
            <v>1780</v>
          </cell>
        </row>
        <row r="2269">
          <cell r="E2269" t="str">
            <v>DUMASARCHARLOTTENC</v>
          </cell>
          <cell r="F2269">
            <v>1810</v>
          </cell>
        </row>
        <row r="2270">
          <cell r="E2270" t="str">
            <v>DUMASARSALISBURYNC</v>
          </cell>
          <cell r="F2270">
            <v>1900</v>
          </cell>
        </row>
        <row r="2271">
          <cell r="E2271" t="str">
            <v>DUMASARNEW ORLEANSLA</v>
          </cell>
          <cell r="F2271">
            <v>950</v>
          </cell>
        </row>
        <row r="2272">
          <cell r="E2272" t="str">
            <v>DUMASARMINERAL SPRINGSNC</v>
          </cell>
          <cell r="F2272">
            <v>1870</v>
          </cell>
        </row>
        <row r="2273">
          <cell r="E2273" t="str">
            <v>DUMASARHICKORYNC</v>
          </cell>
          <cell r="F2273">
            <v>1810</v>
          </cell>
        </row>
        <row r="2274">
          <cell r="E2274" t="str">
            <v>DUMASARMOBILEAL</v>
          </cell>
          <cell r="F2274">
            <v>960</v>
          </cell>
        </row>
        <row r="2275">
          <cell r="E2275" t="str">
            <v>DUMASARGAINESVILLEGA</v>
          </cell>
          <cell r="F2275">
            <v>1370</v>
          </cell>
        </row>
        <row r="2276">
          <cell r="E2276" t="str">
            <v>DUMASARECLECTICAL</v>
          </cell>
          <cell r="F2276">
            <v>1050</v>
          </cell>
        </row>
        <row r="2277">
          <cell r="E2277" t="str">
            <v>DUMASARJACKSONVILLEFL</v>
          </cell>
          <cell r="F2277">
            <v>1890</v>
          </cell>
        </row>
        <row r="2278">
          <cell r="E2278" t="str">
            <v>DUMASARRABUN GAPGA</v>
          </cell>
          <cell r="F2278">
            <v>1610</v>
          </cell>
        </row>
        <row r="2279">
          <cell r="E2279" t="str">
            <v>DUMASARCENTREAL</v>
          </cell>
          <cell r="F2279">
            <v>1100</v>
          </cell>
        </row>
        <row r="2280">
          <cell r="E2280" t="str">
            <v>DUMASARCARTERSVILLEGA</v>
          </cell>
          <cell r="F2280">
            <v>1240</v>
          </cell>
        </row>
        <row r="2281">
          <cell r="E2281" t="str">
            <v>DUNNNCCARTERSVILLEGA</v>
          </cell>
          <cell r="F2281">
            <v>1160</v>
          </cell>
        </row>
        <row r="2282">
          <cell r="E2282" t="str">
            <v>DUNNNCENOREESC</v>
          </cell>
          <cell r="F2282">
            <v>730</v>
          </cell>
        </row>
        <row r="2283">
          <cell r="E2283" t="str">
            <v>DUNNNCMEMPHISTN</v>
          </cell>
          <cell r="F2283">
            <v>1900</v>
          </cell>
        </row>
        <row r="2284">
          <cell r="E2284" t="str">
            <v>DUNNNCGAFFNEYSC</v>
          </cell>
          <cell r="F2284">
            <v>670</v>
          </cell>
        </row>
        <row r="2285">
          <cell r="E2285" t="str">
            <v>DUNNNCGAINESVILLEGA</v>
          </cell>
          <cell r="F2285">
            <v>1020</v>
          </cell>
        </row>
        <row r="2286">
          <cell r="E2286" t="str">
            <v>DUNNNCTALLULAHLA</v>
          </cell>
          <cell r="F2286">
            <v>2060</v>
          </cell>
        </row>
        <row r="2287">
          <cell r="E2287" t="str">
            <v>DUNNNCGREENWOODMS</v>
          </cell>
          <cell r="F2287">
            <v>1890</v>
          </cell>
        </row>
        <row r="2288">
          <cell r="E2288" t="str">
            <v>DUNNNCTUNICAMS</v>
          </cell>
          <cell r="F2288">
            <v>1960</v>
          </cell>
        </row>
        <row r="2289">
          <cell r="E2289" t="str">
            <v>DUNNNCROSSVILLETN</v>
          </cell>
          <cell r="F2289">
            <v>1880</v>
          </cell>
        </row>
        <row r="2290">
          <cell r="E2290" t="str">
            <v>DUNNNCCENTREAL</v>
          </cell>
          <cell r="F2290">
            <v>1280</v>
          </cell>
        </row>
        <row r="2291">
          <cell r="E2291" t="str">
            <v>DUNNNCNEW ORLEANSLA</v>
          </cell>
          <cell r="F2291">
            <v>2080</v>
          </cell>
        </row>
        <row r="2292">
          <cell r="E2292" t="str">
            <v>DUNNNCMONEYMS</v>
          </cell>
          <cell r="F2292">
            <v>1930</v>
          </cell>
        </row>
        <row r="2293">
          <cell r="E2293" t="str">
            <v>DUNNNCGREENWOODSC</v>
          </cell>
          <cell r="F2293">
            <v>770</v>
          </cell>
        </row>
        <row r="2294">
          <cell r="E2294" t="str">
            <v>DUNNNCDREWMS</v>
          </cell>
          <cell r="F2294">
            <v>1970</v>
          </cell>
        </row>
        <row r="2295">
          <cell r="E2295" t="str">
            <v>DUNNNCINDIANOLAMS</v>
          </cell>
          <cell r="F2295">
            <v>1950</v>
          </cell>
        </row>
        <row r="2296">
          <cell r="E2296" t="str">
            <v>DUNNNCMCCALLAAL</v>
          </cell>
          <cell r="F2296">
            <v>1440</v>
          </cell>
        </row>
        <row r="2297">
          <cell r="E2297" t="str">
            <v>DUNNNCRAYVILLELA</v>
          </cell>
          <cell r="F2297">
            <v>2130</v>
          </cell>
        </row>
        <row r="2298">
          <cell r="E2298" t="str">
            <v>DUNNNCBLYTHEVILLEAR</v>
          </cell>
          <cell r="F2298">
            <v>1890</v>
          </cell>
        </row>
        <row r="2299">
          <cell r="E2299" t="str">
            <v>DUNNNCECLECTICAL</v>
          </cell>
          <cell r="F2299">
            <v>1380</v>
          </cell>
        </row>
        <row r="2300">
          <cell r="E2300" t="str">
            <v>DUNNNCBELMONTNC</v>
          </cell>
          <cell r="F2300">
            <v>600</v>
          </cell>
        </row>
        <row r="2301">
          <cell r="E2301" t="str">
            <v>DUNNNCMOBILEAL</v>
          </cell>
          <cell r="F2301">
            <v>1760</v>
          </cell>
        </row>
        <row r="2302">
          <cell r="E2302" t="str">
            <v>DUNNNCDAWSONGA</v>
          </cell>
          <cell r="F2302">
            <v>1270</v>
          </cell>
        </row>
        <row r="2303">
          <cell r="E2303" t="str">
            <v>DUNNNCWEST MEMPHISAR</v>
          </cell>
          <cell r="F2303">
            <v>1880</v>
          </cell>
        </row>
        <row r="2304">
          <cell r="E2304" t="str">
            <v>DUNNNCMARIONAR</v>
          </cell>
          <cell r="F2304">
            <v>1890</v>
          </cell>
        </row>
        <row r="2305">
          <cell r="E2305" t="str">
            <v>DUNNNCRABUN GAPGA</v>
          </cell>
          <cell r="F2305">
            <v>990</v>
          </cell>
        </row>
        <row r="2306">
          <cell r="E2306" t="str">
            <v>DUNNNCSALISBURYNC</v>
          </cell>
          <cell r="F2306">
            <v>520</v>
          </cell>
        </row>
        <row r="2307">
          <cell r="E2307" t="str">
            <v>DUNNNCPORTSMOUTHVA</v>
          </cell>
          <cell r="F2307">
            <v>620</v>
          </cell>
        </row>
        <row r="2308">
          <cell r="E2308" t="str">
            <v>DUNNNCNORFOLKVA</v>
          </cell>
          <cell r="F2308">
            <v>640</v>
          </cell>
        </row>
        <row r="2309">
          <cell r="E2309" t="str">
            <v>DUNNNCLOWELLNC</v>
          </cell>
          <cell r="F2309">
            <v>610</v>
          </cell>
        </row>
        <row r="2310">
          <cell r="E2310" t="str">
            <v>DUNNNCINDIAN LANDSC</v>
          </cell>
          <cell r="F2310">
            <v>580</v>
          </cell>
        </row>
        <row r="2311">
          <cell r="E2311" t="str">
            <v>DUNNNCSPARTANC</v>
          </cell>
          <cell r="F2311">
            <v>620</v>
          </cell>
        </row>
        <row r="2312">
          <cell r="E2312" t="str">
            <v>DUNNNCEDENTONNC</v>
          </cell>
          <cell r="F2312">
            <v>560</v>
          </cell>
        </row>
        <row r="2313">
          <cell r="E2313" t="str">
            <v>DUNNNCLEXINGTONNC</v>
          </cell>
          <cell r="F2313">
            <v>500</v>
          </cell>
        </row>
        <row r="2314">
          <cell r="E2314" t="str">
            <v>DUNNNCGASTONIANC</v>
          </cell>
          <cell r="F2314">
            <v>620</v>
          </cell>
        </row>
        <row r="2315">
          <cell r="E2315" t="str">
            <v>DUNNNCHICKORYNC</v>
          </cell>
          <cell r="F2315">
            <v>620</v>
          </cell>
        </row>
        <row r="2316">
          <cell r="E2316" t="str">
            <v>DUNNNCPORT WENTWORTHGA</v>
          </cell>
          <cell r="F2316">
            <v>890</v>
          </cell>
        </row>
        <row r="2317">
          <cell r="E2317" t="str">
            <v>DUNNNCCHARLOTTENC</v>
          </cell>
          <cell r="F2317">
            <v>580</v>
          </cell>
        </row>
        <row r="2318">
          <cell r="E2318" t="str">
            <v>DUNNNCTHOMASVILLENC</v>
          </cell>
          <cell r="F2318">
            <v>500</v>
          </cell>
        </row>
        <row r="2319">
          <cell r="E2319" t="str">
            <v>DUNNNCMINERAL SPRINGSNC</v>
          </cell>
          <cell r="F2319">
            <v>550</v>
          </cell>
        </row>
        <row r="2320">
          <cell r="E2320" t="str">
            <v>DUNNNCRINCONGA</v>
          </cell>
          <cell r="F2320">
            <v>890</v>
          </cell>
        </row>
        <row r="2321">
          <cell r="E2321" t="str">
            <v>DUNNNCKINSTONNC</v>
          </cell>
          <cell r="F2321">
            <v>430</v>
          </cell>
        </row>
        <row r="2322">
          <cell r="E2322" t="str">
            <v>DUNNNCCLARKTONNC</v>
          </cell>
          <cell r="F2322">
            <v>430</v>
          </cell>
        </row>
        <row r="2323">
          <cell r="E2323" t="str">
            <v>DUNNNCLUMBERTONNC</v>
          </cell>
          <cell r="F2323">
            <v>410</v>
          </cell>
        </row>
        <row r="2324">
          <cell r="E2324" t="str">
            <v>DUNNNCGULFPORTMS</v>
          </cell>
          <cell r="F2324">
            <v>2030</v>
          </cell>
        </row>
        <row r="2325">
          <cell r="E2325" t="str">
            <v>DUNNNCSANFORDNC</v>
          </cell>
          <cell r="F2325">
            <v>380</v>
          </cell>
        </row>
        <row r="2326">
          <cell r="E2326" t="str">
            <v>DUNNNCERWINNC</v>
          </cell>
          <cell r="F2326">
            <v>330</v>
          </cell>
        </row>
        <row r="2327">
          <cell r="E2327" t="str">
            <v>DUNNNCGRIFTONNC</v>
          </cell>
          <cell r="F2327">
            <v>560</v>
          </cell>
        </row>
        <row r="2328">
          <cell r="E2328" t="str">
            <v>DUNNNCSHELBYNC</v>
          </cell>
          <cell r="F2328">
            <v>650</v>
          </cell>
        </row>
        <row r="2329">
          <cell r="E2329" t="str">
            <v>DUNNNCJACKSONVILLEFL</v>
          </cell>
          <cell r="F2329">
            <v>1090</v>
          </cell>
        </row>
        <row r="2330">
          <cell r="E2330" t="str">
            <v>DUNNNCGREERSC</v>
          </cell>
          <cell r="F2330">
            <v>730</v>
          </cell>
        </row>
        <row r="2331">
          <cell r="E2331" t="str">
            <v>DUNNNCMOCKSVILLENC</v>
          </cell>
          <cell r="F2331">
            <v>550</v>
          </cell>
        </row>
        <row r="2332">
          <cell r="E2332" t="str">
            <v>DUNNNCGarden CityGA</v>
          </cell>
          <cell r="F2332">
            <v>890</v>
          </cell>
        </row>
        <row r="2333">
          <cell r="E2333" t="str">
            <v>DUNNNCMAYODANNC</v>
          </cell>
          <cell r="F2333">
            <v>520</v>
          </cell>
        </row>
        <row r="2334">
          <cell r="E2334" t="str">
            <v>DUNNNCSTONEVILLENC</v>
          </cell>
          <cell r="F2334">
            <v>530</v>
          </cell>
        </row>
        <row r="2335">
          <cell r="E2335" t="str">
            <v>DUNNNCROCKINGHAMNC</v>
          </cell>
          <cell r="F2335">
            <v>460</v>
          </cell>
        </row>
        <row r="2336">
          <cell r="E2336" t="str">
            <v>DUNNNCROCKFORDTN</v>
          </cell>
          <cell r="F2336">
            <v>1030</v>
          </cell>
        </row>
        <row r="2337">
          <cell r="E2337" t="str">
            <v>DYESSARROCKFORDTN</v>
          </cell>
          <cell r="F2337">
            <v>1160</v>
          </cell>
        </row>
        <row r="2338">
          <cell r="E2338" t="str">
            <v>DYESSARENOREESC</v>
          </cell>
          <cell r="F2338">
            <v>1540</v>
          </cell>
        </row>
        <row r="2339">
          <cell r="E2339" t="str">
            <v>DYESSARTHOMASVILLENC</v>
          </cell>
          <cell r="F2339">
            <v>1760</v>
          </cell>
        </row>
        <row r="2340">
          <cell r="E2340" t="str">
            <v>DYESSARLOWELLNC</v>
          </cell>
          <cell r="F2340">
            <v>1640</v>
          </cell>
        </row>
        <row r="2341">
          <cell r="E2341" t="str">
            <v>DYESSARLEXINGTONNC</v>
          </cell>
          <cell r="F2341">
            <v>1720</v>
          </cell>
        </row>
        <row r="2342">
          <cell r="E2342" t="str">
            <v>DYESSARBELMONTNC</v>
          </cell>
          <cell r="F2342">
            <v>1640</v>
          </cell>
        </row>
        <row r="2343">
          <cell r="E2343" t="str">
            <v>DYESSARGASTONIANC</v>
          </cell>
          <cell r="F2343">
            <v>1620</v>
          </cell>
        </row>
        <row r="2344">
          <cell r="E2344" t="str">
            <v>DYESSARROCKINGHAMNC</v>
          </cell>
          <cell r="F2344">
            <v>1840</v>
          </cell>
        </row>
        <row r="2345">
          <cell r="E2345" t="str">
            <v>DYESSARCLARKTONNC</v>
          </cell>
          <cell r="F2345">
            <v>1990</v>
          </cell>
        </row>
        <row r="2346">
          <cell r="E2346" t="str">
            <v>DYESSARKINSTONNC</v>
          </cell>
          <cell r="F2346">
            <v>2160</v>
          </cell>
        </row>
        <row r="2347">
          <cell r="E2347" t="str">
            <v>DYESSARCHARLOTTENC</v>
          </cell>
          <cell r="F2347">
            <v>1670</v>
          </cell>
        </row>
        <row r="2348">
          <cell r="E2348" t="str">
            <v>DYESSARJACKSONVILLEFL</v>
          </cell>
          <cell r="F2348">
            <v>1780</v>
          </cell>
        </row>
        <row r="2349">
          <cell r="E2349" t="str">
            <v>DYESSARSALISBURYNC</v>
          </cell>
          <cell r="F2349">
            <v>1700</v>
          </cell>
        </row>
        <row r="2350">
          <cell r="E2350" t="str">
            <v>DYESSARMAYODANNC</v>
          </cell>
          <cell r="F2350">
            <v>1810</v>
          </cell>
        </row>
        <row r="2351">
          <cell r="E2351" t="str">
            <v>DYESSARSANFORDNC</v>
          </cell>
          <cell r="F2351">
            <v>1920</v>
          </cell>
        </row>
        <row r="2352">
          <cell r="E2352" t="str">
            <v>DYESSARMINERAL SPRINGSNC</v>
          </cell>
          <cell r="F2352">
            <v>1730</v>
          </cell>
        </row>
        <row r="2353">
          <cell r="E2353" t="str">
            <v>DYESSARSPARTANC</v>
          </cell>
          <cell r="F2353">
            <v>1650</v>
          </cell>
        </row>
        <row r="2354">
          <cell r="E2354" t="str">
            <v>DYESSARSHELBYNC</v>
          </cell>
          <cell r="F2354">
            <v>1570</v>
          </cell>
        </row>
        <row r="2355">
          <cell r="E2355" t="str">
            <v>DYESSARSTONEVILLENC</v>
          </cell>
          <cell r="F2355">
            <v>1820</v>
          </cell>
        </row>
        <row r="2356">
          <cell r="E2356" t="str">
            <v>DYESSARHICKORYNC</v>
          </cell>
          <cell r="F2356">
            <v>1580</v>
          </cell>
        </row>
        <row r="2357">
          <cell r="E2357" t="str">
            <v>DYESSARLUMBERTONNC</v>
          </cell>
          <cell r="F2357">
            <v>1940</v>
          </cell>
        </row>
        <row r="2358">
          <cell r="E2358" t="str">
            <v>DYESSARERWINNC</v>
          </cell>
          <cell r="F2358">
            <v>2000</v>
          </cell>
        </row>
        <row r="2359">
          <cell r="E2359" t="str">
            <v>DYESSARINDIAN LANDSC</v>
          </cell>
          <cell r="F2359">
            <v>1700</v>
          </cell>
        </row>
        <row r="2360">
          <cell r="E2360" t="str">
            <v>DYESSARMOCKSVILLENC</v>
          </cell>
          <cell r="F2360">
            <v>1690</v>
          </cell>
        </row>
        <row r="2361">
          <cell r="E2361" t="str">
            <v>DYESSARTALLULAHLA</v>
          </cell>
          <cell r="F2361">
            <v>860</v>
          </cell>
        </row>
        <row r="2362">
          <cell r="E2362" t="str">
            <v>DYESSARMCCALLAAL</v>
          </cell>
          <cell r="F2362">
            <v>830</v>
          </cell>
        </row>
        <row r="2363">
          <cell r="E2363" t="str">
            <v>DYESSARGRIFTONNC</v>
          </cell>
          <cell r="F2363">
            <v>2300</v>
          </cell>
        </row>
        <row r="2364">
          <cell r="E2364" t="str">
            <v>DYESSARMONEYMS</v>
          </cell>
          <cell r="F2364">
            <v>590</v>
          </cell>
        </row>
        <row r="2365">
          <cell r="E2365" t="str">
            <v>DYESSARGREENWOODMS</v>
          </cell>
          <cell r="F2365">
            <v>620</v>
          </cell>
        </row>
        <row r="2366">
          <cell r="E2366" t="str">
            <v>DYESSARDREWMS</v>
          </cell>
          <cell r="F2366">
            <v>560</v>
          </cell>
        </row>
        <row r="2367">
          <cell r="E2367" t="str">
            <v>DYESSARGULFPORTMS</v>
          </cell>
          <cell r="F2367">
            <v>1180</v>
          </cell>
        </row>
        <row r="2368">
          <cell r="E2368" t="str">
            <v>DYESSARROSSVILLETN</v>
          </cell>
          <cell r="F2368">
            <v>450</v>
          </cell>
        </row>
        <row r="2369">
          <cell r="E2369" t="str">
            <v>DYESSARTUNICAMS</v>
          </cell>
          <cell r="F2369">
            <v>450</v>
          </cell>
        </row>
        <row r="2370">
          <cell r="E2370" t="str">
            <v>DYESSARRABUN GAPGA</v>
          </cell>
          <cell r="F2370">
            <v>1480</v>
          </cell>
        </row>
        <row r="2371">
          <cell r="E2371" t="str">
            <v>DYESSARINDIANOLAMS</v>
          </cell>
          <cell r="F2371">
            <v>600</v>
          </cell>
        </row>
        <row r="2372">
          <cell r="E2372" t="str">
            <v>DYESSARMARIONAR</v>
          </cell>
          <cell r="F2372">
            <v>380</v>
          </cell>
        </row>
        <row r="2373">
          <cell r="E2373" t="str">
            <v>DYESSARRINCONGA</v>
          </cell>
          <cell r="F2373">
            <v>1810</v>
          </cell>
        </row>
        <row r="2374">
          <cell r="E2374" t="str">
            <v>DYESSARCARTERSVILLEGA</v>
          </cell>
          <cell r="F2374">
            <v>1120</v>
          </cell>
        </row>
        <row r="2375">
          <cell r="E2375" t="str">
            <v>DYESSARCENTREAL</v>
          </cell>
          <cell r="F2375">
            <v>980</v>
          </cell>
        </row>
        <row r="2376">
          <cell r="E2376" t="str">
            <v>DYESSARPORT WENTWORTHGA</v>
          </cell>
          <cell r="F2376">
            <v>1800</v>
          </cell>
        </row>
        <row r="2377">
          <cell r="E2377" t="str">
            <v>DYESSARMOBILEAL</v>
          </cell>
          <cell r="F2377">
            <v>1140</v>
          </cell>
        </row>
        <row r="2378">
          <cell r="E2378" t="str">
            <v>DYESSARRAYVILLELA</v>
          </cell>
          <cell r="F2378">
            <v>800</v>
          </cell>
        </row>
        <row r="2379">
          <cell r="E2379" t="str">
            <v>DYESSARNEW ORLEANSLA</v>
          </cell>
          <cell r="F2379">
            <v>1140</v>
          </cell>
        </row>
        <row r="2380">
          <cell r="E2380" t="str">
            <v>DYESSARGarden CityGA</v>
          </cell>
          <cell r="F2380">
            <v>1790</v>
          </cell>
        </row>
        <row r="2381">
          <cell r="E2381" t="str">
            <v>DYESSARWEST MEMPHISAR</v>
          </cell>
          <cell r="F2381">
            <v>380</v>
          </cell>
        </row>
        <row r="2382">
          <cell r="E2382" t="str">
            <v>DYESSARGREENWOODSC</v>
          </cell>
          <cell r="F2382">
            <v>1470</v>
          </cell>
        </row>
        <row r="2383">
          <cell r="E2383" t="str">
            <v>DYESSARDAWSONGA</v>
          </cell>
          <cell r="F2383">
            <v>1270</v>
          </cell>
        </row>
        <row r="2384">
          <cell r="E2384" t="str">
            <v>DYESSARGAINESVILLEGA</v>
          </cell>
          <cell r="F2384">
            <v>1250</v>
          </cell>
        </row>
        <row r="2385">
          <cell r="E2385" t="str">
            <v>DYESSARGREERSC</v>
          </cell>
          <cell r="F2385">
            <v>1490</v>
          </cell>
        </row>
        <row r="2386">
          <cell r="E2386" t="str">
            <v>DYESSARBLYTHEVILLEAR</v>
          </cell>
          <cell r="F2386">
            <v>390</v>
          </cell>
        </row>
        <row r="2387">
          <cell r="E2387" t="str">
            <v>DYESSARNORFOLKVA</v>
          </cell>
          <cell r="F2387">
            <v>2330</v>
          </cell>
        </row>
        <row r="2388">
          <cell r="E2388" t="str">
            <v>DYESSARPORTSMOUTHVA</v>
          </cell>
          <cell r="F2388">
            <v>2320</v>
          </cell>
        </row>
        <row r="2389">
          <cell r="E2389" t="str">
            <v>DYESSARECLECTICAL</v>
          </cell>
          <cell r="F2389">
            <v>1000</v>
          </cell>
        </row>
        <row r="2390">
          <cell r="E2390" t="str">
            <v>DYESSAREDENTONNC</v>
          </cell>
          <cell r="F2390">
            <v>2280</v>
          </cell>
        </row>
        <row r="2391">
          <cell r="E2391" t="str">
            <v>DYESSARMEMPHISTN</v>
          </cell>
          <cell r="F2391">
            <v>400</v>
          </cell>
        </row>
        <row r="2392">
          <cell r="E2392" t="str">
            <v>DYESSARGAFFNEYSC</v>
          </cell>
          <cell r="F2392">
            <v>1570</v>
          </cell>
        </row>
        <row r="2393">
          <cell r="E2393" t="str">
            <v>ECLECTICALROCKFORDTN</v>
          </cell>
          <cell r="F2393">
            <v>880</v>
          </cell>
        </row>
        <row r="2394">
          <cell r="E2394" t="str">
            <v>ECLECTICALGREERSC</v>
          </cell>
          <cell r="F2394">
            <v>870</v>
          </cell>
        </row>
        <row r="2395">
          <cell r="E2395" t="str">
            <v>ECLECTICALLOWELLNC</v>
          </cell>
          <cell r="F2395">
            <v>1030</v>
          </cell>
        </row>
        <row r="2396">
          <cell r="E2396" t="str">
            <v>ECLECTICALBELMONTNC</v>
          </cell>
          <cell r="F2396">
            <v>1040</v>
          </cell>
        </row>
        <row r="2397">
          <cell r="E2397" t="str">
            <v>ECLECTICALGREENWOODMS</v>
          </cell>
          <cell r="F2397">
            <v>790</v>
          </cell>
        </row>
        <row r="2398">
          <cell r="E2398" t="str">
            <v>ECLECTICALGASTONIANC</v>
          </cell>
          <cell r="F2398">
            <v>1020</v>
          </cell>
        </row>
        <row r="2399">
          <cell r="E2399" t="str">
            <v>ECLECTICALBLYTHEVILLEAR</v>
          </cell>
          <cell r="F2399">
            <v>1040</v>
          </cell>
        </row>
        <row r="2400">
          <cell r="E2400" t="str">
            <v>ECLECTICALCLARKTONNC</v>
          </cell>
          <cell r="F2400">
            <v>1330</v>
          </cell>
        </row>
        <row r="2401">
          <cell r="E2401" t="str">
            <v>ECLECTICALPORTSMOUTHVA</v>
          </cell>
          <cell r="F2401">
            <v>1790</v>
          </cell>
        </row>
        <row r="2402">
          <cell r="E2402" t="str">
            <v>ECLECTICALSANFORDNC</v>
          </cell>
          <cell r="F2402">
            <v>1360</v>
          </cell>
        </row>
        <row r="2403">
          <cell r="E2403" t="str">
            <v>ECLECTICALSALISBURYNC</v>
          </cell>
          <cell r="F2403">
            <v>1160</v>
          </cell>
        </row>
        <row r="2404">
          <cell r="E2404" t="str">
            <v>ECLECTICALROCKINGHAMNC</v>
          </cell>
          <cell r="F2404">
            <v>1240</v>
          </cell>
        </row>
        <row r="2405">
          <cell r="E2405" t="str">
            <v>ECLECTICALMONEYMS</v>
          </cell>
          <cell r="F2405">
            <v>830</v>
          </cell>
        </row>
        <row r="2406">
          <cell r="E2406" t="str">
            <v>ECLECTICALSHELBYNC</v>
          </cell>
          <cell r="F2406">
            <v>990</v>
          </cell>
        </row>
        <row r="2407">
          <cell r="E2407" t="str">
            <v>ECLECTICALCHARLOTTENC</v>
          </cell>
          <cell r="F2407">
            <v>1070</v>
          </cell>
        </row>
        <row r="2408">
          <cell r="E2408" t="str">
            <v>ECLECTICALLEXINGTONNC</v>
          </cell>
          <cell r="F2408">
            <v>1200</v>
          </cell>
        </row>
        <row r="2409">
          <cell r="E2409" t="str">
            <v>ECLECTICALTUNICAMS</v>
          </cell>
          <cell r="F2409">
            <v>930</v>
          </cell>
        </row>
        <row r="2410">
          <cell r="E2410" t="str">
            <v>ECLECTICALHICKORYNC</v>
          </cell>
          <cell r="F2410">
            <v>1100</v>
          </cell>
        </row>
        <row r="2411">
          <cell r="E2411" t="str">
            <v>ECLECTICALWEST MEMPHISAR</v>
          </cell>
          <cell r="F2411">
            <v>910</v>
          </cell>
        </row>
        <row r="2412">
          <cell r="E2412" t="str">
            <v>ECLECTICALNEW ORLEANSLA</v>
          </cell>
          <cell r="F2412">
            <v>910</v>
          </cell>
        </row>
        <row r="2413">
          <cell r="E2413" t="str">
            <v>ECLECTICALMINERAL SPRINGSNC</v>
          </cell>
          <cell r="F2413">
            <v>1130</v>
          </cell>
        </row>
        <row r="2414">
          <cell r="E2414" t="str">
            <v>ECLECTICALCARTERSVILLEGA</v>
          </cell>
          <cell r="F2414">
            <v>640</v>
          </cell>
        </row>
        <row r="2415">
          <cell r="E2415" t="str">
            <v>ECLECTICALROSSVILLETN</v>
          </cell>
          <cell r="F2415">
            <v>880</v>
          </cell>
        </row>
        <row r="2416">
          <cell r="E2416" t="str">
            <v>ECLECTICALSPARTANC</v>
          </cell>
          <cell r="F2416">
            <v>1290</v>
          </cell>
        </row>
        <row r="2417">
          <cell r="E2417" t="str">
            <v>ECLECTICALMARIONAR</v>
          </cell>
          <cell r="F2417">
            <v>920</v>
          </cell>
        </row>
        <row r="2418">
          <cell r="E2418" t="str">
            <v>ECLECTICALRAYVILLELA</v>
          </cell>
          <cell r="F2418">
            <v>990</v>
          </cell>
        </row>
        <row r="2419">
          <cell r="E2419" t="str">
            <v>ECLECTICALDREWMS</v>
          </cell>
          <cell r="F2419">
            <v>880</v>
          </cell>
        </row>
        <row r="2420">
          <cell r="E2420" t="str">
            <v>ECLECTICALINDIANOLAMS</v>
          </cell>
          <cell r="F2420">
            <v>860</v>
          </cell>
        </row>
        <row r="2421">
          <cell r="E2421" t="str">
            <v>ECLECTICALGREENWOODSC</v>
          </cell>
          <cell r="F2421">
            <v>840</v>
          </cell>
        </row>
        <row r="2422">
          <cell r="E2422" t="str">
            <v>ECLECTICALNORFOLKVA</v>
          </cell>
          <cell r="F2422">
            <v>1820</v>
          </cell>
        </row>
        <row r="2423">
          <cell r="E2423" t="str">
            <v>ECLECTICALENOREESC</v>
          </cell>
          <cell r="F2423">
            <v>920</v>
          </cell>
        </row>
        <row r="2424">
          <cell r="E2424" t="str">
            <v>ECLECTICALKINSTONNC</v>
          </cell>
          <cell r="F2424">
            <v>1560</v>
          </cell>
        </row>
        <row r="2425">
          <cell r="E2425" t="str">
            <v>ECLECTICALEDENTONNC</v>
          </cell>
          <cell r="F2425">
            <v>1740</v>
          </cell>
        </row>
        <row r="2426">
          <cell r="E2426" t="str">
            <v>ECLECTICALMAYODANNC</v>
          </cell>
          <cell r="F2426">
            <v>1310</v>
          </cell>
        </row>
        <row r="2427">
          <cell r="E2427" t="str">
            <v>ECLECTICALMOCKSVILLENC</v>
          </cell>
          <cell r="F2427">
            <v>1190</v>
          </cell>
        </row>
        <row r="2428">
          <cell r="E2428" t="str">
            <v>ECLECTICALSTONEVILLENC</v>
          </cell>
          <cell r="F2428">
            <v>1320</v>
          </cell>
        </row>
        <row r="2429">
          <cell r="E2429" t="str">
            <v>ECLECTICALTHOMASVILLENC</v>
          </cell>
          <cell r="F2429">
            <v>1220</v>
          </cell>
        </row>
        <row r="2430">
          <cell r="E2430" t="str">
            <v>ECLECTICALMEMPHISTN</v>
          </cell>
          <cell r="F2430">
            <v>890</v>
          </cell>
        </row>
        <row r="2431">
          <cell r="E2431" t="str">
            <v>ECLECTICALTALLULAHLA</v>
          </cell>
          <cell r="F2431">
            <v>910</v>
          </cell>
        </row>
        <row r="2432">
          <cell r="E2432" t="str">
            <v>ECLECTICALERWINNC</v>
          </cell>
          <cell r="F2432">
            <v>1410</v>
          </cell>
        </row>
        <row r="2433">
          <cell r="E2433" t="str">
            <v>ECLECTICALCENTREAL</v>
          </cell>
          <cell r="F2433">
            <v>530</v>
          </cell>
        </row>
        <row r="2434">
          <cell r="E2434" t="str">
            <v>ECLECTICALGAINESVILLEGA</v>
          </cell>
          <cell r="F2434">
            <v>660</v>
          </cell>
        </row>
        <row r="2435">
          <cell r="E2435" t="str">
            <v>ECLECTICALRABUN GAPGA</v>
          </cell>
          <cell r="F2435">
            <v>820</v>
          </cell>
        </row>
        <row r="2436">
          <cell r="E2436" t="str">
            <v>ECLECTICALMOBILEAL</v>
          </cell>
          <cell r="F2436">
            <v>630</v>
          </cell>
        </row>
        <row r="2437">
          <cell r="E2437" t="str">
            <v>ECLECTICALPORT WENTWORTHGA</v>
          </cell>
          <cell r="F2437">
            <v>1010</v>
          </cell>
        </row>
        <row r="2438">
          <cell r="E2438" t="str">
            <v>ECLECTICALGULFPORTMS</v>
          </cell>
          <cell r="F2438">
            <v>860</v>
          </cell>
        </row>
        <row r="2439">
          <cell r="E2439" t="str">
            <v>ECLECTICALGRIFTONNC</v>
          </cell>
          <cell r="F2439">
            <v>1700</v>
          </cell>
        </row>
        <row r="2440">
          <cell r="E2440" t="str">
            <v>ECLECTICALMCCALLAAL</v>
          </cell>
          <cell r="F2440">
            <v>490</v>
          </cell>
        </row>
        <row r="2441">
          <cell r="E2441" t="str">
            <v>ECLECTICALRINCONGA</v>
          </cell>
          <cell r="F2441">
            <v>1020</v>
          </cell>
        </row>
        <row r="2442">
          <cell r="E2442" t="str">
            <v>ECLECTICALGAFFNEYSC</v>
          </cell>
          <cell r="F2442">
            <v>950</v>
          </cell>
        </row>
        <row r="2443">
          <cell r="E2443" t="str">
            <v>ECLECTICALLUMBERTONNC</v>
          </cell>
          <cell r="F2443">
            <v>1280</v>
          </cell>
        </row>
        <row r="2444">
          <cell r="E2444" t="str">
            <v>ECLECTICALINDIAN LANDSC</v>
          </cell>
          <cell r="F2444">
            <v>1100</v>
          </cell>
        </row>
        <row r="2445">
          <cell r="E2445" t="str">
            <v>ECLECTICALGarden CityGA</v>
          </cell>
          <cell r="F2445">
            <v>990</v>
          </cell>
        </row>
        <row r="2446">
          <cell r="E2446" t="str">
            <v>ECLECTICALDAWSONGA</v>
          </cell>
          <cell r="F2446">
            <v>560</v>
          </cell>
        </row>
        <row r="2447">
          <cell r="E2447" t="str">
            <v>ECLECTICALJACKSONVILLEFL</v>
          </cell>
          <cell r="F2447">
            <v>1000</v>
          </cell>
        </row>
        <row r="2448">
          <cell r="E2448" t="str">
            <v>EDENTONNCROCKFORDTN</v>
          </cell>
          <cell r="F2448">
            <v>1300</v>
          </cell>
        </row>
        <row r="2449">
          <cell r="E2449" t="str">
            <v>EDENTONNCSALISBURYNC</v>
          </cell>
          <cell r="F2449">
            <v>740</v>
          </cell>
        </row>
        <row r="2450">
          <cell r="E2450" t="str">
            <v>EDENTONNCENOREESC</v>
          </cell>
          <cell r="F2450">
            <v>1050</v>
          </cell>
        </row>
        <row r="2451">
          <cell r="E2451" t="str">
            <v>EDENTONNCGAINESVILLEGA</v>
          </cell>
          <cell r="F2451">
            <v>1290</v>
          </cell>
        </row>
        <row r="2452">
          <cell r="E2452" t="str">
            <v>EDENTONNCGREERSC</v>
          </cell>
          <cell r="F2452">
            <v>1030</v>
          </cell>
        </row>
        <row r="2453">
          <cell r="E2453" t="str">
            <v>EDENTONNCDAWSONGA</v>
          </cell>
          <cell r="F2453">
            <v>1620</v>
          </cell>
        </row>
        <row r="2454">
          <cell r="E2454" t="str">
            <v>EDENTONNCMARIONAR</v>
          </cell>
          <cell r="F2454">
            <v>2160</v>
          </cell>
        </row>
        <row r="2455">
          <cell r="E2455" t="str">
            <v>EDENTONNCGREENWOODSC</v>
          </cell>
          <cell r="F2455">
            <v>1110</v>
          </cell>
        </row>
        <row r="2456">
          <cell r="E2456" t="str">
            <v>EDENTONNCINDIAN LANDSC</v>
          </cell>
          <cell r="F2456">
            <v>890</v>
          </cell>
        </row>
        <row r="2457">
          <cell r="E2457" t="str">
            <v>EDENTONNCTUNICAMS</v>
          </cell>
          <cell r="F2457">
            <v>2220</v>
          </cell>
        </row>
        <row r="2458">
          <cell r="E2458" t="str">
            <v>EDENTONNCNEW ORLEANSLA</v>
          </cell>
          <cell r="F2458">
            <v>2420</v>
          </cell>
        </row>
        <row r="2459">
          <cell r="E2459" t="str">
            <v>EDENTONNCROSSVILLETN</v>
          </cell>
          <cell r="F2459">
            <v>2150</v>
          </cell>
        </row>
        <row r="2460">
          <cell r="E2460" t="str">
            <v>EDENTONNCGAFFNEYSC</v>
          </cell>
          <cell r="F2460">
            <v>950</v>
          </cell>
        </row>
        <row r="2461">
          <cell r="E2461" t="str">
            <v>EDENTONNCGREENWOODMS</v>
          </cell>
          <cell r="F2461">
            <v>2200</v>
          </cell>
        </row>
        <row r="2462">
          <cell r="E2462" t="str">
            <v>EDENTONNCCENTREAL</v>
          </cell>
          <cell r="F2462">
            <v>1570</v>
          </cell>
        </row>
        <row r="2463">
          <cell r="E2463" t="str">
            <v>EDENTONNCTALLULAHLA</v>
          </cell>
          <cell r="F2463">
            <v>2370</v>
          </cell>
        </row>
        <row r="2464">
          <cell r="E2464" t="str">
            <v>EDENTONNCECLECTICAL</v>
          </cell>
          <cell r="F2464">
            <v>1730</v>
          </cell>
        </row>
        <row r="2465">
          <cell r="E2465" t="str">
            <v>EDENTONNCCARTERSVILLEGA</v>
          </cell>
          <cell r="F2465">
            <v>1460</v>
          </cell>
        </row>
        <row r="2466">
          <cell r="E2466" t="str">
            <v>EDENTONNCMOBILEAL</v>
          </cell>
          <cell r="F2466">
            <v>2110</v>
          </cell>
        </row>
        <row r="2467">
          <cell r="E2467" t="str">
            <v>EDENTONNCMCCALLAAL</v>
          </cell>
          <cell r="F2467">
            <v>1750</v>
          </cell>
        </row>
        <row r="2468">
          <cell r="E2468" t="str">
            <v>EDENTONNCMINERAL SPRINGSNC</v>
          </cell>
          <cell r="F2468">
            <v>800</v>
          </cell>
        </row>
        <row r="2469">
          <cell r="E2469" t="str">
            <v>EDENTONNCBLYTHEVILLEAR</v>
          </cell>
          <cell r="F2469">
            <v>2160</v>
          </cell>
        </row>
        <row r="2470">
          <cell r="E2470" t="str">
            <v>EDENTONNCMONEYMS</v>
          </cell>
          <cell r="F2470">
            <v>2230</v>
          </cell>
        </row>
        <row r="2471">
          <cell r="E2471" t="str">
            <v>EDENTONNCDREWMS</v>
          </cell>
          <cell r="F2471">
            <v>2280</v>
          </cell>
        </row>
        <row r="2472">
          <cell r="E2472" t="str">
            <v>EDENTONNCMEMPHISTN</v>
          </cell>
          <cell r="F2472">
            <v>2170</v>
          </cell>
        </row>
        <row r="2473">
          <cell r="E2473" t="str">
            <v>EDENTONNCINDIANOLAMS</v>
          </cell>
          <cell r="F2473">
            <v>2260</v>
          </cell>
        </row>
        <row r="2474">
          <cell r="E2474" t="str">
            <v>EDENTONNCJACKSONVILLEFL</v>
          </cell>
          <cell r="F2474">
            <v>1430</v>
          </cell>
        </row>
        <row r="2475">
          <cell r="E2475" t="str">
            <v>EDENTONNCRAYVILLELA</v>
          </cell>
          <cell r="F2475">
            <v>2440</v>
          </cell>
        </row>
        <row r="2476">
          <cell r="E2476" t="str">
            <v>EDENTONNCWEST MEMPHISAR</v>
          </cell>
          <cell r="F2476">
            <v>2150</v>
          </cell>
        </row>
        <row r="2477">
          <cell r="E2477" t="str">
            <v>EDENTONNCSANFORDNC</v>
          </cell>
          <cell r="F2477">
            <v>600</v>
          </cell>
        </row>
        <row r="2478">
          <cell r="E2478" t="str">
            <v>EDENTONNCKINSTONNC</v>
          </cell>
          <cell r="F2478">
            <v>480</v>
          </cell>
        </row>
        <row r="2479">
          <cell r="E2479" t="str">
            <v>EDENTONNCGarden CityGA</v>
          </cell>
          <cell r="F2479">
            <v>1240</v>
          </cell>
        </row>
        <row r="2480">
          <cell r="E2480" t="str">
            <v>EDENTONNCERWINNC</v>
          </cell>
          <cell r="F2480">
            <v>570</v>
          </cell>
        </row>
        <row r="2481">
          <cell r="E2481" t="str">
            <v>EDENTONNCRABUN GAPGA</v>
          </cell>
          <cell r="F2481">
            <v>1290</v>
          </cell>
        </row>
        <row r="2482">
          <cell r="E2482" t="str">
            <v>EDENTONNCPORTSMOUTHVA</v>
          </cell>
          <cell r="F2482">
            <v>430</v>
          </cell>
        </row>
        <row r="2483">
          <cell r="E2483" t="str">
            <v>EDENTONNCPORT WENTWORTHGA</v>
          </cell>
          <cell r="F2483">
            <v>1230</v>
          </cell>
        </row>
        <row r="2484">
          <cell r="E2484" t="str">
            <v>EDENTONNCRINCONGA</v>
          </cell>
          <cell r="F2484">
            <v>1240</v>
          </cell>
        </row>
        <row r="2485">
          <cell r="E2485" t="str">
            <v>EDENTONNCNORFOLKVA</v>
          </cell>
          <cell r="F2485">
            <v>490</v>
          </cell>
        </row>
        <row r="2486">
          <cell r="E2486" t="str">
            <v>EDENTONNCGULFPORTMS</v>
          </cell>
          <cell r="F2486">
            <v>2370</v>
          </cell>
        </row>
        <row r="2487">
          <cell r="E2487" t="str">
            <v>EDENTONNCGRIFTONNC</v>
          </cell>
          <cell r="F2487">
            <v>570</v>
          </cell>
        </row>
        <row r="2488">
          <cell r="E2488" t="str">
            <v>EDENTONNCCHARLOTTENC</v>
          </cell>
          <cell r="F2488">
            <v>840</v>
          </cell>
        </row>
        <row r="2489">
          <cell r="E2489" t="str">
            <v>EDENTONNCBELMONTNC</v>
          </cell>
          <cell r="F2489">
            <v>860</v>
          </cell>
        </row>
        <row r="2490">
          <cell r="E2490" t="str">
            <v>EDENTONNCLOWELLNC</v>
          </cell>
          <cell r="F2490">
            <v>870</v>
          </cell>
        </row>
        <row r="2491">
          <cell r="E2491" t="str">
            <v>EDENTONNCGASTONIANC</v>
          </cell>
          <cell r="F2491">
            <v>880</v>
          </cell>
        </row>
        <row r="2492">
          <cell r="E2492" t="str">
            <v>EDENTONNCSPARTANC</v>
          </cell>
          <cell r="F2492">
            <v>850</v>
          </cell>
        </row>
        <row r="2493">
          <cell r="E2493" t="str">
            <v>EDENTONNCHICKORYNC</v>
          </cell>
          <cell r="F2493">
            <v>850</v>
          </cell>
        </row>
        <row r="2494">
          <cell r="E2494" t="str">
            <v>EDENTONNCSHELBYNC</v>
          </cell>
          <cell r="F2494">
            <v>930</v>
          </cell>
        </row>
        <row r="2495">
          <cell r="E2495" t="str">
            <v>EDENTONNCLUMBERTONNC</v>
          </cell>
          <cell r="F2495">
            <v>650</v>
          </cell>
        </row>
        <row r="2496">
          <cell r="E2496" t="str">
            <v>EDENTONNCSTONEVILLENC</v>
          </cell>
          <cell r="F2496">
            <v>710</v>
          </cell>
        </row>
        <row r="2497">
          <cell r="E2497" t="str">
            <v>EDENTONNCTHOMASVILLENC</v>
          </cell>
          <cell r="F2497">
            <v>690</v>
          </cell>
        </row>
        <row r="2498">
          <cell r="E2498" t="str">
            <v>EDENTONNCMAYODANNC</v>
          </cell>
          <cell r="F2498">
            <v>700</v>
          </cell>
        </row>
        <row r="2499">
          <cell r="E2499" t="str">
            <v>EDENTONNCROCKINGHAMNC</v>
          </cell>
          <cell r="F2499">
            <v>690</v>
          </cell>
        </row>
        <row r="2500">
          <cell r="E2500" t="str">
            <v>EDENTONNCLEXINGTONNC</v>
          </cell>
          <cell r="F2500">
            <v>710</v>
          </cell>
        </row>
        <row r="2501">
          <cell r="E2501" t="str">
            <v>EDENTONNCMOCKSVILLENC</v>
          </cell>
          <cell r="F2501">
            <v>740</v>
          </cell>
        </row>
        <row r="2502">
          <cell r="E2502" t="str">
            <v>EDENTONNCCLARKTONNC</v>
          </cell>
          <cell r="F2502">
            <v>630</v>
          </cell>
        </row>
        <row r="2503">
          <cell r="E2503" t="str">
            <v>EL CAMPOTXBaytownTX</v>
          </cell>
          <cell r="F2503">
            <v>682</v>
          </cell>
        </row>
        <row r="2504">
          <cell r="E2504" t="str">
            <v>EL CAMPOTXHoustonTX</v>
          </cell>
          <cell r="F2504">
            <v>648</v>
          </cell>
        </row>
        <row r="2505">
          <cell r="E2505" t="str">
            <v>EL CAMPOTXHASLETTX</v>
          </cell>
          <cell r="F2505">
            <v>1069</v>
          </cell>
        </row>
        <row r="2506">
          <cell r="E2506" t="str">
            <v>EL CAMPOTXHOUSTONTX</v>
          </cell>
          <cell r="F2506">
            <v>659</v>
          </cell>
        </row>
        <row r="2507">
          <cell r="E2507" t="str">
            <v>EL CAMPOTXWILMERTX</v>
          </cell>
          <cell r="F2507">
            <v>1168</v>
          </cell>
        </row>
        <row r="2508">
          <cell r="E2508" t="str">
            <v>EL CAMPOTXWYLIETX</v>
          </cell>
        </row>
        <row r="2509">
          <cell r="E2509" t="str">
            <v>EL CAMPOTXDallasTX</v>
          </cell>
        </row>
        <row r="2510">
          <cell r="E2510" t="str">
            <v>EL CAMPOTXWESLACOTX</v>
          </cell>
          <cell r="F2510">
            <v>519</v>
          </cell>
        </row>
        <row r="2511">
          <cell r="E2511" t="str">
            <v>ELLOREESCROCKFORDTN</v>
          </cell>
          <cell r="F2511">
            <v>870</v>
          </cell>
        </row>
        <row r="2512">
          <cell r="E2512" t="str">
            <v>ELLOREESCKINSTONNC</v>
          </cell>
          <cell r="F2512">
            <v>720</v>
          </cell>
        </row>
        <row r="2513">
          <cell r="E2513" t="str">
            <v>ELLOREESCBLYTHEVILLEAR</v>
          </cell>
          <cell r="F2513">
            <v>1750</v>
          </cell>
        </row>
        <row r="2514">
          <cell r="E2514" t="str">
            <v>ELLOREESCDAWSONGA</v>
          </cell>
          <cell r="F2514">
            <v>930</v>
          </cell>
        </row>
        <row r="2515">
          <cell r="E2515" t="str">
            <v>ELLOREESCTALLULAHLA</v>
          </cell>
          <cell r="F2515">
            <v>1740</v>
          </cell>
        </row>
        <row r="2516">
          <cell r="E2516" t="str">
            <v>ELLOREESCGREENWOODMS</v>
          </cell>
          <cell r="F2516">
            <v>1570</v>
          </cell>
        </row>
        <row r="2517">
          <cell r="E2517" t="str">
            <v>ELLOREESCGAINESVILLEGA</v>
          </cell>
          <cell r="F2517">
            <v>710</v>
          </cell>
        </row>
        <row r="2518">
          <cell r="E2518" t="str">
            <v>ELLOREESCTUNICAMS</v>
          </cell>
          <cell r="F2518">
            <v>1640</v>
          </cell>
        </row>
        <row r="2519">
          <cell r="E2519" t="str">
            <v>ELLOREESCCENTREAL</v>
          </cell>
          <cell r="F2519">
            <v>960</v>
          </cell>
        </row>
        <row r="2520">
          <cell r="E2520" t="str">
            <v>ELLOREESCNEW ORLEANSLA</v>
          </cell>
          <cell r="F2520">
            <v>1760</v>
          </cell>
        </row>
        <row r="2521">
          <cell r="E2521" t="str">
            <v>ELLOREESCLEXINGTONNC</v>
          </cell>
          <cell r="F2521">
            <v>640</v>
          </cell>
        </row>
        <row r="2522">
          <cell r="E2522" t="str">
            <v>ELLOREESCMARIONAR</v>
          </cell>
          <cell r="F2522">
            <v>1630</v>
          </cell>
        </row>
        <row r="2523">
          <cell r="E2523" t="str">
            <v>ELLOREESCROSSVILLETN</v>
          </cell>
          <cell r="F2523">
            <v>1600</v>
          </cell>
        </row>
        <row r="2524">
          <cell r="E2524" t="str">
            <v>ELLOREESCMONEYMS</v>
          </cell>
          <cell r="F2524">
            <v>1610</v>
          </cell>
        </row>
        <row r="2525">
          <cell r="E2525" t="str">
            <v>ELLOREESCCARTERSVILLEGA</v>
          </cell>
          <cell r="F2525">
            <v>840</v>
          </cell>
        </row>
        <row r="2526">
          <cell r="E2526" t="str">
            <v>ELLOREESCDREWMS</v>
          </cell>
          <cell r="F2526">
            <v>1660</v>
          </cell>
        </row>
        <row r="2527">
          <cell r="E2527" t="str">
            <v>ELLOREESCMCCALLAAL</v>
          </cell>
          <cell r="F2527">
            <v>1130</v>
          </cell>
        </row>
        <row r="2528">
          <cell r="E2528" t="str">
            <v>ELLOREESCWEST MEMPHISAR</v>
          </cell>
          <cell r="F2528">
            <v>1620</v>
          </cell>
        </row>
        <row r="2529">
          <cell r="E2529" t="str">
            <v>ELLOREESCRAYVILLELA</v>
          </cell>
          <cell r="F2529">
            <v>1820</v>
          </cell>
        </row>
        <row r="2530">
          <cell r="E2530" t="str">
            <v>ELLOREESCECLECTICAL</v>
          </cell>
          <cell r="F2530">
            <v>1060</v>
          </cell>
        </row>
        <row r="2531">
          <cell r="E2531" t="str">
            <v>ELLOREESCMOBILEAL</v>
          </cell>
          <cell r="F2531">
            <v>1440</v>
          </cell>
        </row>
        <row r="2532">
          <cell r="E2532" t="str">
            <v>ELLOREESCRABUN GAPGA</v>
          </cell>
          <cell r="F2532">
            <v>710</v>
          </cell>
        </row>
        <row r="2533">
          <cell r="E2533" t="str">
            <v>ELLOREESCINDIANOLAMS</v>
          </cell>
          <cell r="F2533">
            <v>1630</v>
          </cell>
        </row>
        <row r="2534">
          <cell r="E2534" t="str">
            <v>ELLOREESCSANFORDNC</v>
          </cell>
          <cell r="F2534">
            <v>610</v>
          </cell>
        </row>
        <row r="2535">
          <cell r="E2535" t="str">
            <v>ELLOREESCGREENWOODSC</v>
          </cell>
          <cell r="F2535">
            <v>530</v>
          </cell>
        </row>
        <row r="2536">
          <cell r="E2536" t="str">
            <v>ELLOREESCMEMPHISTN</v>
          </cell>
          <cell r="F2536">
            <v>1610</v>
          </cell>
        </row>
        <row r="2537">
          <cell r="E2537" t="str">
            <v>ELLOREESCMOCKSVILLENC</v>
          </cell>
          <cell r="F2537">
            <v>640</v>
          </cell>
        </row>
        <row r="2538">
          <cell r="E2538" t="str">
            <v>ELLOREESCLUMBERTONNC</v>
          </cell>
          <cell r="F2538">
            <v>520</v>
          </cell>
        </row>
        <row r="2539">
          <cell r="E2539" t="str">
            <v>ELLOREESCENOREESC</v>
          </cell>
          <cell r="F2539">
            <v>510</v>
          </cell>
        </row>
        <row r="2540">
          <cell r="E2540" t="str">
            <v>ELLOREESCROCKINGHAMNC</v>
          </cell>
          <cell r="F2540">
            <v>530</v>
          </cell>
        </row>
        <row r="2541">
          <cell r="E2541" t="str">
            <v>ELLOREESCMINERAL SPRINGSNC</v>
          </cell>
          <cell r="F2541">
            <v>530</v>
          </cell>
        </row>
        <row r="2542">
          <cell r="E2542" t="str">
            <v>ELLOREESCGULFPORTMS</v>
          </cell>
          <cell r="F2542">
            <v>1710</v>
          </cell>
        </row>
        <row r="2543">
          <cell r="E2543" t="str">
            <v>ELLOREESCRINCONGA</v>
          </cell>
          <cell r="F2543">
            <v>600</v>
          </cell>
        </row>
        <row r="2544">
          <cell r="E2544" t="str">
            <v>ELLOREESCGarden CityGA</v>
          </cell>
          <cell r="F2544">
            <v>600</v>
          </cell>
        </row>
        <row r="2545">
          <cell r="E2545" t="str">
            <v>ELLOREESCPORT WENTWORTHGA</v>
          </cell>
          <cell r="F2545">
            <v>600</v>
          </cell>
        </row>
        <row r="2546">
          <cell r="E2546" t="str">
            <v>ELLOREESCTHOMASVILLENC</v>
          </cell>
          <cell r="F2546">
            <v>660</v>
          </cell>
        </row>
        <row r="2547">
          <cell r="E2547" t="str">
            <v>ELLOREESCNORFOLKVA</v>
          </cell>
          <cell r="F2547">
            <v>1020</v>
          </cell>
        </row>
        <row r="2548">
          <cell r="E2548" t="str">
            <v>ELLOREESCCLARKTONNC</v>
          </cell>
          <cell r="F2548">
            <v>560</v>
          </cell>
        </row>
        <row r="2549">
          <cell r="E2549" t="str">
            <v>ELLOREESCINDIAN LANDSC</v>
          </cell>
          <cell r="F2549">
            <v>530</v>
          </cell>
        </row>
        <row r="2550">
          <cell r="E2550" t="str">
            <v>ELLOREESCPORTSMOUTHVA</v>
          </cell>
          <cell r="F2550">
            <v>990</v>
          </cell>
        </row>
        <row r="2551">
          <cell r="E2551" t="str">
            <v>ELLOREESCJACKSONVILLEFL</v>
          </cell>
          <cell r="F2551">
            <v>700</v>
          </cell>
        </row>
        <row r="2552">
          <cell r="E2552" t="str">
            <v>ELLOREESCSTONEVILLENC</v>
          </cell>
          <cell r="F2552">
            <v>710</v>
          </cell>
        </row>
        <row r="2553">
          <cell r="E2553" t="str">
            <v>ELLOREESCMAYODANNC</v>
          </cell>
          <cell r="F2553">
            <v>700</v>
          </cell>
        </row>
        <row r="2554">
          <cell r="E2554" t="str">
            <v>ELLOREESCEDENTONNC</v>
          </cell>
          <cell r="F2554">
            <v>900</v>
          </cell>
        </row>
        <row r="2555">
          <cell r="E2555" t="str">
            <v>ELLOREESCCHARLOTTENC</v>
          </cell>
          <cell r="F2555">
            <v>550</v>
          </cell>
        </row>
        <row r="2556">
          <cell r="E2556" t="str">
            <v>ELLOREESCBELMONTNC</v>
          </cell>
          <cell r="F2556">
            <v>550</v>
          </cell>
        </row>
        <row r="2557">
          <cell r="E2557" t="str">
            <v>ELLOREESCLOWELLNC</v>
          </cell>
          <cell r="F2557">
            <v>560</v>
          </cell>
        </row>
        <row r="2558">
          <cell r="E2558" t="str">
            <v>ELLOREESCGREERSC</v>
          </cell>
          <cell r="F2558">
            <v>560</v>
          </cell>
        </row>
        <row r="2559">
          <cell r="E2559" t="str">
            <v>ELLOREESCGASTONIANC</v>
          </cell>
          <cell r="F2559">
            <v>570</v>
          </cell>
        </row>
        <row r="2560">
          <cell r="E2560" t="str">
            <v>ELLOREESCGAFFNEYSC</v>
          </cell>
          <cell r="F2560">
            <v>580</v>
          </cell>
        </row>
        <row r="2561">
          <cell r="E2561" t="str">
            <v>ELLOREESCERWINNC</v>
          </cell>
          <cell r="F2561">
            <v>610</v>
          </cell>
        </row>
        <row r="2562">
          <cell r="E2562" t="str">
            <v>ELLOREESCSHELBYNC</v>
          </cell>
          <cell r="F2562">
            <v>610</v>
          </cell>
        </row>
        <row r="2563">
          <cell r="E2563" t="str">
            <v>ELLOREESCSALISBURYNC</v>
          </cell>
          <cell r="F2563">
            <v>610</v>
          </cell>
        </row>
        <row r="2564">
          <cell r="E2564" t="str">
            <v>ELLOREESCHICKORYNC</v>
          </cell>
          <cell r="F2564">
            <v>620</v>
          </cell>
        </row>
        <row r="2565">
          <cell r="E2565" t="str">
            <v>ELLOREESCGRIFTONNC</v>
          </cell>
          <cell r="F2565">
            <v>850</v>
          </cell>
        </row>
        <row r="2566">
          <cell r="E2566" t="str">
            <v>ELLOREESCSPARTANC</v>
          </cell>
          <cell r="F2566">
            <v>710</v>
          </cell>
        </row>
        <row r="2567">
          <cell r="E2567" t="str">
            <v>ELM CITYNCENOREESC</v>
          </cell>
          <cell r="F2567">
            <v>860</v>
          </cell>
        </row>
        <row r="2568">
          <cell r="E2568" t="str">
            <v>ELM CITYNCROSSVILLETN</v>
          </cell>
          <cell r="F2568">
            <v>1960</v>
          </cell>
        </row>
        <row r="2569">
          <cell r="E2569" t="str">
            <v>ELM CITYNCGAFFNEYSC</v>
          </cell>
          <cell r="F2569">
            <v>760</v>
          </cell>
        </row>
        <row r="2570">
          <cell r="E2570" t="str">
            <v>ELM CITYNCMCCALLAAL</v>
          </cell>
          <cell r="F2570">
            <v>1570</v>
          </cell>
        </row>
        <row r="2571">
          <cell r="E2571" t="str">
            <v>ELM CITYNCBLYTHEVILLEAR</v>
          </cell>
          <cell r="F2571">
            <v>1980</v>
          </cell>
        </row>
        <row r="2572">
          <cell r="E2572" t="str">
            <v>ELM CITYNCMONEYMS</v>
          </cell>
          <cell r="F2572">
            <v>2050</v>
          </cell>
        </row>
        <row r="2573">
          <cell r="E2573" t="str">
            <v>ELM CITYNCCARTERSVILLEGA</v>
          </cell>
          <cell r="F2573">
            <v>1270</v>
          </cell>
        </row>
        <row r="2574">
          <cell r="E2574" t="str">
            <v>ELM CITYNCDREWMS</v>
          </cell>
          <cell r="F2574">
            <v>2100</v>
          </cell>
        </row>
        <row r="2575">
          <cell r="E2575" t="str">
            <v>ELM CITYNCJACKSONVILLEFL</v>
          </cell>
          <cell r="F2575">
            <v>1220</v>
          </cell>
        </row>
        <row r="2576">
          <cell r="E2576" t="str">
            <v>ELM CITYNCINDIANOLAMS</v>
          </cell>
          <cell r="F2576">
            <v>2080</v>
          </cell>
        </row>
        <row r="2577">
          <cell r="E2577" t="str">
            <v>ELM CITYNCRAYVILLELA</v>
          </cell>
          <cell r="F2577">
            <v>2260</v>
          </cell>
        </row>
        <row r="2578">
          <cell r="E2578" t="str">
            <v>ELM CITYNCNEW ORLEANSLA</v>
          </cell>
          <cell r="F2578">
            <v>2210</v>
          </cell>
        </row>
        <row r="2579">
          <cell r="E2579" t="str">
            <v>ELM CITYNCWEST MEMPHISAR</v>
          </cell>
          <cell r="F2579">
            <v>1970</v>
          </cell>
        </row>
        <row r="2580">
          <cell r="E2580" t="str">
            <v>ELM CITYNCMEMPHISTN</v>
          </cell>
          <cell r="F2580">
            <v>1990</v>
          </cell>
        </row>
        <row r="2581">
          <cell r="E2581" t="str">
            <v>ELM CITYNCDAWSONGA</v>
          </cell>
          <cell r="F2581">
            <v>1410</v>
          </cell>
        </row>
        <row r="2582">
          <cell r="E2582" t="str">
            <v>ELM CITYNCGREENWOODSC</v>
          </cell>
          <cell r="F2582">
            <v>900</v>
          </cell>
        </row>
        <row r="2583">
          <cell r="E2583" t="str">
            <v>ELM CITYNCMARIONAR</v>
          </cell>
          <cell r="F2583">
            <v>1970</v>
          </cell>
        </row>
        <row r="2584">
          <cell r="E2584" t="str">
            <v>ELM CITYNCMINERAL SPRINGSNC</v>
          </cell>
          <cell r="F2584">
            <v>640</v>
          </cell>
        </row>
        <row r="2585">
          <cell r="E2585" t="str">
            <v>ELM CITYNCGAINESVILLEGA</v>
          </cell>
          <cell r="F2585">
            <v>1100</v>
          </cell>
        </row>
        <row r="2586">
          <cell r="E2586" t="str">
            <v>ELM CITYNCECLECTICAL</v>
          </cell>
          <cell r="F2586">
            <v>1510</v>
          </cell>
        </row>
        <row r="2587">
          <cell r="E2587" t="str">
            <v>ELM CITYNCMOBILEAL</v>
          </cell>
          <cell r="F2587">
            <v>1890</v>
          </cell>
        </row>
        <row r="2588">
          <cell r="E2588" t="str">
            <v>ELM CITYNCSALISBURYNC</v>
          </cell>
          <cell r="F2588">
            <v>600</v>
          </cell>
        </row>
        <row r="2589">
          <cell r="E2589" t="str">
            <v>ELM CITYNCTUNICAMS</v>
          </cell>
          <cell r="F2589">
            <v>2030</v>
          </cell>
        </row>
        <row r="2590">
          <cell r="E2590" t="str">
            <v>ELM CITYNCGREERSC</v>
          </cell>
          <cell r="F2590">
            <v>840</v>
          </cell>
        </row>
        <row r="2591">
          <cell r="E2591" t="str">
            <v>ELM CITYNCTHOMASVILLENC</v>
          </cell>
          <cell r="F2591">
            <v>560</v>
          </cell>
        </row>
        <row r="2592">
          <cell r="E2592" t="str">
            <v>ELM CITYNCINDIAN LANDSC</v>
          </cell>
          <cell r="F2592">
            <v>670</v>
          </cell>
        </row>
        <row r="2593">
          <cell r="E2593" t="str">
            <v>ELM CITYNCCENTREAL</v>
          </cell>
          <cell r="F2593">
            <v>1380</v>
          </cell>
        </row>
        <row r="2594">
          <cell r="E2594" t="str">
            <v>ELM CITYNCTALLULAHLA</v>
          </cell>
          <cell r="F2594">
            <v>2180</v>
          </cell>
        </row>
        <row r="2595">
          <cell r="E2595" t="str">
            <v>ELM CITYNCGREENWOODMS</v>
          </cell>
          <cell r="F2595">
            <v>2010</v>
          </cell>
        </row>
        <row r="2596">
          <cell r="E2596" t="str">
            <v>ELM CITYNCMAYODANNC</v>
          </cell>
          <cell r="F2596">
            <v>570</v>
          </cell>
        </row>
        <row r="2597">
          <cell r="E2597" t="str">
            <v>ELM CITYNCCLARKTONNC</v>
          </cell>
          <cell r="F2597">
            <v>500</v>
          </cell>
        </row>
        <row r="2598">
          <cell r="E2598" t="str">
            <v>ELM CITYNCLUMBERTONNC</v>
          </cell>
          <cell r="F2598">
            <v>500</v>
          </cell>
        </row>
        <row r="2599">
          <cell r="E2599" t="str">
            <v>ELM CITYNCSANFORDNC</v>
          </cell>
          <cell r="F2599">
            <v>470</v>
          </cell>
        </row>
        <row r="2600">
          <cell r="E2600" t="str">
            <v>ELM CITYNCSTONEVILLENC</v>
          </cell>
          <cell r="F2600">
            <v>580</v>
          </cell>
        </row>
        <row r="2601">
          <cell r="E2601" t="str">
            <v>ELM CITYNCRINCONGA</v>
          </cell>
          <cell r="F2601">
            <v>1030</v>
          </cell>
        </row>
        <row r="2602">
          <cell r="E2602" t="str">
            <v>ELM CITYNCGULFPORTMS</v>
          </cell>
          <cell r="F2602">
            <v>2160</v>
          </cell>
        </row>
        <row r="2603">
          <cell r="E2603" t="str">
            <v>ELM CITYNCRABUN GAPGA</v>
          </cell>
          <cell r="F2603">
            <v>1080</v>
          </cell>
        </row>
        <row r="2604">
          <cell r="E2604" t="str">
            <v>ELM CITYNCROCKINGHAMNC</v>
          </cell>
          <cell r="F2604">
            <v>550</v>
          </cell>
        </row>
        <row r="2605">
          <cell r="E2605" t="str">
            <v>ELM CITYNCGarden CityGA</v>
          </cell>
          <cell r="F2605">
            <v>1020</v>
          </cell>
        </row>
        <row r="2606">
          <cell r="E2606" t="str">
            <v>ELM CITYNCKINSTONNC</v>
          </cell>
          <cell r="F2606">
            <v>390</v>
          </cell>
        </row>
        <row r="2607">
          <cell r="E2607" t="str">
            <v>ELM CITYNCPORT WENTWORTHGA</v>
          </cell>
          <cell r="F2607">
            <v>1020</v>
          </cell>
        </row>
        <row r="2608">
          <cell r="E2608" t="str">
            <v>ELM CITYNCERWINNC</v>
          </cell>
          <cell r="F2608">
            <v>420</v>
          </cell>
        </row>
        <row r="2609">
          <cell r="E2609" t="str">
            <v>ELM CITYNCGRIFTONNC</v>
          </cell>
          <cell r="F2609">
            <v>510</v>
          </cell>
        </row>
        <row r="2610">
          <cell r="E2610" t="str">
            <v>ELM CITYNCEDENTONNC</v>
          </cell>
          <cell r="F2610">
            <v>460</v>
          </cell>
        </row>
        <row r="2611">
          <cell r="E2611" t="str">
            <v>ELM CITYNCLEXINGTONNC</v>
          </cell>
          <cell r="F2611">
            <v>580</v>
          </cell>
        </row>
        <row r="2612">
          <cell r="E2612" t="str">
            <v>ELM CITYNCCHARLOTTENC</v>
          </cell>
          <cell r="F2612">
            <v>670</v>
          </cell>
        </row>
        <row r="2613">
          <cell r="E2613" t="str">
            <v>ELM CITYNCBELMONTNC</v>
          </cell>
          <cell r="F2613">
            <v>680</v>
          </cell>
        </row>
        <row r="2614">
          <cell r="E2614" t="str">
            <v>ELM CITYNCLOWELLNC</v>
          </cell>
          <cell r="F2614">
            <v>690</v>
          </cell>
        </row>
        <row r="2615">
          <cell r="E2615" t="str">
            <v>ELM CITYNCSHELBYNC</v>
          </cell>
          <cell r="F2615">
            <v>740</v>
          </cell>
        </row>
        <row r="2616">
          <cell r="E2616" t="str">
            <v>ELM CITYNCNORFOLKVA</v>
          </cell>
          <cell r="F2616">
            <v>560</v>
          </cell>
        </row>
        <row r="2617">
          <cell r="E2617" t="str">
            <v>ELM CITYNCGASTONIANC</v>
          </cell>
          <cell r="F2617">
            <v>700</v>
          </cell>
        </row>
        <row r="2618">
          <cell r="E2618" t="str">
            <v>ELM CITYNCPORTSMOUTHVA</v>
          </cell>
          <cell r="F2618">
            <v>540</v>
          </cell>
        </row>
        <row r="2619">
          <cell r="E2619" t="str">
            <v>ELM CITYNCMOCKSVILLENC</v>
          </cell>
          <cell r="F2619">
            <v>610</v>
          </cell>
        </row>
        <row r="2620">
          <cell r="E2620" t="str">
            <v>ELM CITYNCSPARTANC</v>
          </cell>
          <cell r="F2620">
            <v>680</v>
          </cell>
        </row>
        <row r="2621">
          <cell r="E2621" t="str">
            <v>ELM CITYNCHICKORYNC</v>
          </cell>
          <cell r="F2621">
            <v>680</v>
          </cell>
        </row>
        <row r="2622">
          <cell r="E2622" t="str">
            <v>ELM CITYNCROCKFORDTN</v>
          </cell>
          <cell r="F2622">
            <v>1110</v>
          </cell>
        </row>
        <row r="2623">
          <cell r="E2623" t="str">
            <v>ELORATNMEMPHISTN</v>
          </cell>
          <cell r="F2623">
            <v>700</v>
          </cell>
        </row>
        <row r="2624">
          <cell r="E2624" t="str">
            <v>ELORATNBLYTHEVILLEAR</v>
          </cell>
          <cell r="F2624">
            <v>820</v>
          </cell>
        </row>
        <row r="2625">
          <cell r="E2625" t="str">
            <v>ELORATNWEST MEMPHISAR</v>
          </cell>
          <cell r="F2625">
            <v>710</v>
          </cell>
        </row>
        <row r="2626">
          <cell r="E2626" t="str">
            <v>ELORATNMARIONAR</v>
          </cell>
          <cell r="F2626">
            <v>720</v>
          </cell>
        </row>
        <row r="2627">
          <cell r="E2627" t="str">
            <v>ELORATNTALLULAHLA</v>
          </cell>
          <cell r="F2627">
            <v>1110</v>
          </cell>
        </row>
        <row r="2628">
          <cell r="E2628" t="str">
            <v>ELORATNGREENWOODMS</v>
          </cell>
          <cell r="F2628">
            <v>870</v>
          </cell>
        </row>
        <row r="2629">
          <cell r="E2629" t="str">
            <v>ELORATNROSSVILLETN</v>
          </cell>
          <cell r="F2629">
            <v>670</v>
          </cell>
        </row>
        <row r="2630">
          <cell r="E2630" t="str">
            <v>ELORATNJACKSONVILLEFL</v>
          </cell>
          <cell r="F2630">
            <v>1390</v>
          </cell>
        </row>
        <row r="2631">
          <cell r="E2631" t="str">
            <v>ELORATNMAYODANNC</v>
          </cell>
          <cell r="F2631">
            <v>1240</v>
          </cell>
        </row>
        <row r="2632">
          <cell r="E2632" t="str">
            <v>ELORATNSANFORDNC</v>
          </cell>
          <cell r="F2632">
            <v>1350</v>
          </cell>
        </row>
        <row r="2633">
          <cell r="E2633" t="str">
            <v>ELORATNERWINNC</v>
          </cell>
          <cell r="F2633">
            <v>1430</v>
          </cell>
        </row>
        <row r="2634">
          <cell r="E2634" t="str">
            <v>ELORATNMOBILEAL</v>
          </cell>
          <cell r="F2634">
            <v>1020</v>
          </cell>
        </row>
        <row r="2635">
          <cell r="E2635" t="str">
            <v>ELORATNKINSTONNC</v>
          </cell>
          <cell r="F2635">
            <v>1590</v>
          </cell>
        </row>
        <row r="2636">
          <cell r="E2636" t="str">
            <v>ELORATNCLARKTONNC</v>
          </cell>
          <cell r="F2636">
            <v>1430</v>
          </cell>
        </row>
        <row r="2637">
          <cell r="E2637" t="str">
            <v>ELORATNRAYVILLELA</v>
          </cell>
          <cell r="F2637">
            <v>1180</v>
          </cell>
        </row>
        <row r="2638">
          <cell r="E2638" t="str">
            <v>ELORATNMOCKSVILLENC</v>
          </cell>
          <cell r="F2638">
            <v>1110</v>
          </cell>
        </row>
        <row r="2639">
          <cell r="E2639" t="str">
            <v>ELORATNTUNICAMS</v>
          </cell>
          <cell r="F2639">
            <v>740</v>
          </cell>
        </row>
        <row r="2640">
          <cell r="E2640" t="str">
            <v>ELORATNMONEYMS</v>
          </cell>
          <cell r="F2640">
            <v>840</v>
          </cell>
        </row>
        <row r="2641">
          <cell r="E2641" t="str">
            <v>ELORATNLUMBERTONNC</v>
          </cell>
          <cell r="F2641">
            <v>1380</v>
          </cell>
        </row>
        <row r="2642">
          <cell r="E2642" t="str">
            <v>ELORATNINDIANOLAMS</v>
          </cell>
          <cell r="F2642">
            <v>930</v>
          </cell>
        </row>
        <row r="2643">
          <cell r="E2643" t="str">
            <v>ELORATNNEW ORLEANSLA</v>
          </cell>
          <cell r="F2643">
            <v>1200</v>
          </cell>
        </row>
        <row r="2644">
          <cell r="E2644" t="str">
            <v>ELORATNMCCALLAAL</v>
          </cell>
          <cell r="F2644">
            <v>560</v>
          </cell>
        </row>
        <row r="2645">
          <cell r="E2645" t="str">
            <v>ELORATNGULFPORTMS</v>
          </cell>
          <cell r="F2645">
            <v>1220</v>
          </cell>
        </row>
        <row r="2646">
          <cell r="E2646" t="str">
            <v>ELORATNGRIFTONNC</v>
          </cell>
          <cell r="F2646">
            <v>1720</v>
          </cell>
        </row>
        <row r="2647">
          <cell r="E2647" t="str">
            <v>ELORATNCENTREAL</v>
          </cell>
          <cell r="F2647">
            <v>470</v>
          </cell>
        </row>
        <row r="2648">
          <cell r="E2648" t="str">
            <v>ELORATNLEXINGTONNC</v>
          </cell>
          <cell r="F2648">
            <v>1150</v>
          </cell>
        </row>
        <row r="2649">
          <cell r="E2649" t="str">
            <v>ELORATNTHOMASVILLENC</v>
          </cell>
          <cell r="F2649">
            <v>1180</v>
          </cell>
        </row>
        <row r="2650">
          <cell r="E2650" t="str">
            <v>ELORATNSTONEVILLENC</v>
          </cell>
          <cell r="F2650">
            <v>1250</v>
          </cell>
        </row>
        <row r="2651">
          <cell r="E2651" t="str">
            <v>ELORATNDREWMS</v>
          </cell>
          <cell r="F2651">
            <v>820</v>
          </cell>
        </row>
        <row r="2652">
          <cell r="E2652" t="str">
            <v>ELORATNSPARTANC</v>
          </cell>
          <cell r="F2652">
            <v>1080</v>
          </cell>
        </row>
        <row r="2653">
          <cell r="E2653" t="str">
            <v>ELORATNRINCONGA</v>
          </cell>
          <cell r="F2653">
            <v>1280</v>
          </cell>
        </row>
        <row r="2654">
          <cell r="E2654" t="str">
            <v>ELORATNSHELBYNC</v>
          </cell>
          <cell r="F2654">
            <v>1000</v>
          </cell>
        </row>
        <row r="2655">
          <cell r="E2655" t="str">
            <v>ELORATNPORT WENTWORTHGA</v>
          </cell>
          <cell r="F2655">
            <v>1270</v>
          </cell>
        </row>
        <row r="2656">
          <cell r="E2656" t="str">
            <v>ELORATNROCKFORDTN</v>
          </cell>
          <cell r="F2656">
            <v>630</v>
          </cell>
        </row>
        <row r="2657">
          <cell r="E2657" t="str">
            <v>ELORATNGarden CityGA</v>
          </cell>
          <cell r="F2657">
            <v>1250</v>
          </cell>
        </row>
        <row r="2658">
          <cell r="E2658" t="str">
            <v>ELORATNCARTERSVILLEGA</v>
          </cell>
          <cell r="F2658">
            <v>570</v>
          </cell>
        </row>
        <row r="2659">
          <cell r="E2659" t="str">
            <v>ELORATNDAWSONGA</v>
          </cell>
          <cell r="F2659">
            <v>970</v>
          </cell>
        </row>
        <row r="2660">
          <cell r="E2660" t="str">
            <v>ELORATNHICKORYNC</v>
          </cell>
          <cell r="F2660">
            <v>1010</v>
          </cell>
        </row>
        <row r="2661">
          <cell r="E2661" t="str">
            <v>ELORATNEDENTONNC</v>
          </cell>
          <cell r="F2661">
            <v>1710</v>
          </cell>
        </row>
        <row r="2662">
          <cell r="E2662" t="str">
            <v>ELORATNECLECTICAL</v>
          </cell>
          <cell r="F2662">
            <v>670</v>
          </cell>
        </row>
        <row r="2663">
          <cell r="E2663" t="str">
            <v>ELORATNGASTONIANC</v>
          </cell>
          <cell r="F2663">
            <v>1050</v>
          </cell>
        </row>
        <row r="2664">
          <cell r="E2664" t="str">
            <v>ELORATNLOWELLNC</v>
          </cell>
          <cell r="F2664">
            <v>1060</v>
          </cell>
        </row>
        <row r="2665">
          <cell r="E2665" t="str">
            <v>ELORATNBELMONTNC</v>
          </cell>
          <cell r="F2665">
            <v>1070</v>
          </cell>
        </row>
        <row r="2666">
          <cell r="E2666" t="str">
            <v>ELORATNGAINESVILLEGA</v>
          </cell>
          <cell r="F2666">
            <v>690</v>
          </cell>
        </row>
        <row r="2667">
          <cell r="E2667" t="str">
            <v>ELORATNSALISBURYNC</v>
          </cell>
          <cell r="F2667">
            <v>1130</v>
          </cell>
        </row>
        <row r="2668">
          <cell r="E2668" t="str">
            <v>ELORATNMINERAL SPRINGSNC</v>
          </cell>
          <cell r="F2668">
            <v>1160</v>
          </cell>
        </row>
        <row r="2669">
          <cell r="E2669" t="str">
            <v>ELORATNCHARLOTTENC</v>
          </cell>
          <cell r="F2669">
            <v>1100</v>
          </cell>
        </row>
        <row r="2670">
          <cell r="E2670" t="str">
            <v>ELORATNROCKINGHAMNC</v>
          </cell>
          <cell r="F2670">
            <v>1270</v>
          </cell>
        </row>
        <row r="2671">
          <cell r="E2671" t="str">
            <v>ELORATNNORFOLKVA</v>
          </cell>
          <cell r="F2671">
            <v>1760</v>
          </cell>
        </row>
        <row r="2672">
          <cell r="E2672" t="str">
            <v>ELORATNPORTSMOUTHVA</v>
          </cell>
          <cell r="F2672">
            <v>1740</v>
          </cell>
        </row>
        <row r="2673">
          <cell r="E2673" t="str">
            <v>ELORATNGAFFNEYSC</v>
          </cell>
          <cell r="F2673">
            <v>1000</v>
          </cell>
        </row>
        <row r="2674">
          <cell r="E2674" t="str">
            <v>ELORATNGREERSC</v>
          </cell>
          <cell r="F2674">
            <v>920</v>
          </cell>
        </row>
        <row r="2675">
          <cell r="E2675" t="str">
            <v>ELORATNGREENWOODSC</v>
          </cell>
          <cell r="F2675">
            <v>900</v>
          </cell>
        </row>
        <row r="2676">
          <cell r="E2676" t="str">
            <v>ELORATNINDIAN LANDSC</v>
          </cell>
          <cell r="F2676">
            <v>1130</v>
          </cell>
        </row>
        <row r="2677">
          <cell r="E2677" t="str">
            <v>ELORATNRABUN GAPGA</v>
          </cell>
          <cell r="F2677">
            <v>710</v>
          </cell>
        </row>
        <row r="2678">
          <cell r="E2678" t="str">
            <v>ELORATNENOREESC</v>
          </cell>
          <cell r="F2678">
            <v>970</v>
          </cell>
        </row>
        <row r="2679">
          <cell r="E2679" t="str">
            <v>ELORATNWESLACOTX</v>
          </cell>
          <cell r="F2679">
            <v>1615</v>
          </cell>
        </row>
        <row r="2680">
          <cell r="E2680" t="str">
            <v>EMPORIAVAROCKFORDTN</v>
          </cell>
          <cell r="F2680">
            <v>1180</v>
          </cell>
        </row>
        <row r="2681">
          <cell r="E2681" t="str">
            <v>EMPORIAVAGAFFNEYSC</v>
          </cell>
          <cell r="F2681">
            <v>820</v>
          </cell>
        </row>
        <row r="2682">
          <cell r="E2682" t="str">
            <v>EMPORIAVACHARLOTTENC</v>
          </cell>
          <cell r="F2682">
            <v>710</v>
          </cell>
        </row>
        <row r="2683">
          <cell r="E2683" t="str">
            <v>EMPORIAVAGREENWOODSC</v>
          </cell>
          <cell r="F2683">
            <v>1020</v>
          </cell>
        </row>
        <row r="2684">
          <cell r="E2684" t="str">
            <v>EMPORIAVALOWELLNC</v>
          </cell>
          <cell r="F2684">
            <v>740</v>
          </cell>
        </row>
        <row r="2685">
          <cell r="E2685" t="str">
            <v>EMPORIAVACARTERSVILLEGA</v>
          </cell>
          <cell r="F2685">
            <v>1330</v>
          </cell>
        </row>
        <row r="2686">
          <cell r="E2686" t="str">
            <v>EMPORIAVAJACKSONVILLEFL</v>
          </cell>
          <cell r="F2686">
            <v>1360</v>
          </cell>
        </row>
        <row r="2687">
          <cell r="E2687" t="str">
            <v>EMPORIAVADREWMS</v>
          </cell>
          <cell r="F2687">
            <v>2160</v>
          </cell>
        </row>
        <row r="2688">
          <cell r="E2688" t="str">
            <v>EMPORIAVAINDIANOLAMS</v>
          </cell>
          <cell r="F2688">
            <v>2140</v>
          </cell>
        </row>
        <row r="2689">
          <cell r="E2689" t="str">
            <v>EMPORIAVAWEST MEMPHISAR</v>
          </cell>
          <cell r="F2689">
            <v>2030</v>
          </cell>
        </row>
        <row r="2690">
          <cell r="E2690" t="str">
            <v>EMPORIAVARAYVILLELA</v>
          </cell>
          <cell r="F2690">
            <v>2320</v>
          </cell>
        </row>
        <row r="2691">
          <cell r="E2691" t="str">
            <v>EMPORIAVAECLECTICAL</v>
          </cell>
          <cell r="F2691">
            <v>1610</v>
          </cell>
        </row>
        <row r="2692">
          <cell r="E2692" t="str">
            <v>EMPORIAVAMOBILEAL</v>
          </cell>
          <cell r="F2692">
            <v>1990</v>
          </cell>
        </row>
        <row r="2693">
          <cell r="E2693" t="str">
            <v>EMPORIAVASALISBURYNC</v>
          </cell>
          <cell r="F2693">
            <v>650</v>
          </cell>
        </row>
        <row r="2694">
          <cell r="E2694" t="str">
            <v>EMPORIAVAMOCKSVILLENC</v>
          </cell>
          <cell r="F2694">
            <v>650</v>
          </cell>
        </row>
        <row r="2695">
          <cell r="E2695" t="str">
            <v>EMPORIAVAMEMPHISTN</v>
          </cell>
          <cell r="F2695">
            <v>2050</v>
          </cell>
        </row>
        <row r="2696">
          <cell r="E2696" t="str">
            <v>EMPORIAVAENOREESC</v>
          </cell>
          <cell r="F2696">
            <v>930</v>
          </cell>
        </row>
        <row r="2697">
          <cell r="E2697" t="str">
            <v>EMPORIAVADAWSONGA</v>
          </cell>
          <cell r="F2697">
            <v>1550</v>
          </cell>
        </row>
        <row r="2698">
          <cell r="E2698" t="str">
            <v>EMPORIAVAGAINESVILLEGA</v>
          </cell>
          <cell r="F2698">
            <v>1170</v>
          </cell>
        </row>
        <row r="2699">
          <cell r="E2699" t="str">
            <v>EMPORIAVAMARIONAR</v>
          </cell>
          <cell r="F2699">
            <v>2040</v>
          </cell>
        </row>
        <row r="2700">
          <cell r="E2700" t="str">
            <v>EMPORIAVATHOMASVILLENC</v>
          </cell>
          <cell r="F2700">
            <v>610</v>
          </cell>
        </row>
        <row r="2701">
          <cell r="E2701" t="str">
            <v>EMPORIAVASPARTANC</v>
          </cell>
          <cell r="F2701">
            <v>720</v>
          </cell>
        </row>
        <row r="2702">
          <cell r="E2702" t="str">
            <v>EMPORIAVAHICKORYNC</v>
          </cell>
          <cell r="F2702">
            <v>720</v>
          </cell>
        </row>
        <row r="2703">
          <cell r="E2703" t="str">
            <v>EMPORIAVAGREERSC</v>
          </cell>
          <cell r="F2703">
            <v>900</v>
          </cell>
        </row>
        <row r="2704">
          <cell r="E2704" t="str">
            <v>EMPORIAVAMAYODANNC</v>
          </cell>
          <cell r="F2704">
            <v>560</v>
          </cell>
        </row>
        <row r="2705">
          <cell r="E2705" t="str">
            <v>EMPORIAVATUNICAMS</v>
          </cell>
          <cell r="F2705">
            <v>2090</v>
          </cell>
        </row>
        <row r="2706">
          <cell r="E2706" t="str">
            <v>EMPORIAVASHELBYNC</v>
          </cell>
          <cell r="F2706">
            <v>800</v>
          </cell>
        </row>
        <row r="2707">
          <cell r="E2707" t="str">
            <v>EMPORIAVAGASTONIANC</v>
          </cell>
          <cell r="F2707">
            <v>750</v>
          </cell>
        </row>
        <row r="2708">
          <cell r="E2708" t="str">
            <v>EMPORIAVAGREENWOODMS</v>
          </cell>
          <cell r="F2708">
            <v>2070</v>
          </cell>
        </row>
        <row r="2709">
          <cell r="E2709" t="str">
            <v>EMPORIAVABELMONTNC</v>
          </cell>
          <cell r="F2709">
            <v>730</v>
          </cell>
        </row>
        <row r="2710">
          <cell r="E2710" t="str">
            <v>EMPORIAVAMINERAL SPRINGSNC</v>
          </cell>
          <cell r="F2710">
            <v>730</v>
          </cell>
        </row>
        <row r="2711">
          <cell r="E2711" t="str">
            <v>EMPORIAVAINDIAN LANDSC</v>
          </cell>
          <cell r="F2711">
            <v>760</v>
          </cell>
        </row>
        <row r="2712">
          <cell r="E2712" t="str">
            <v>EMPORIAVACENTREAL</v>
          </cell>
          <cell r="F2712">
            <v>1440</v>
          </cell>
        </row>
        <row r="2713">
          <cell r="E2713" t="str">
            <v>EMPORIAVATALLULAHLA</v>
          </cell>
          <cell r="F2713">
            <v>2240</v>
          </cell>
        </row>
        <row r="2714">
          <cell r="E2714" t="str">
            <v>EMPORIAVAROSSVILLETN</v>
          </cell>
          <cell r="F2714">
            <v>2020</v>
          </cell>
        </row>
        <row r="2715">
          <cell r="E2715" t="str">
            <v>EMPORIAVAMONEYMS</v>
          </cell>
          <cell r="F2715">
            <v>2110</v>
          </cell>
        </row>
        <row r="2716">
          <cell r="E2716" t="str">
            <v>EMPORIAVAMCCALLAAL</v>
          </cell>
          <cell r="F2716">
            <v>1630</v>
          </cell>
        </row>
        <row r="2717">
          <cell r="E2717" t="str">
            <v>EMPORIAVARABUN GAPGA</v>
          </cell>
          <cell r="F2717">
            <v>1150</v>
          </cell>
        </row>
        <row r="2718">
          <cell r="E2718" t="str">
            <v>EMPORIAVANEW ORLEANSLA</v>
          </cell>
          <cell r="F2718">
            <v>2300</v>
          </cell>
        </row>
        <row r="2719">
          <cell r="E2719" t="str">
            <v>EMPORIAVABLYTHEVILLEAR</v>
          </cell>
          <cell r="F2719">
            <v>2040</v>
          </cell>
        </row>
        <row r="2720">
          <cell r="E2720" t="str">
            <v>EMPORIAVASANFORDNC</v>
          </cell>
          <cell r="F2720">
            <v>550</v>
          </cell>
        </row>
        <row r="2721">
          <cell r="E2721" t="str">
            <v>EMPORIAVALEXINGTONNC</v>
          </cell>
          <cell r="F2721">
            <v>620</v>
          </cell>
        </row>
        <row r="2722">
          <cell r="E2722" t="str">
            <v>EMPORIAVAGarden CityGA</v>
          </cell>
          <cell r="F2722">
            <v>1170</v>
          </cell>
        </row>
        <row r="2723">
          <cell r="E2723" t="str">
            <v>EMPORIAVARINCONGA</v>
          </cell>
          <cell r="F2723">
            <v>1170</v>
          </cell>
        </row>
        <row r="2724">
          <cell r="E2724" t="str">
            <v>EMPORIAVALUMBERTONNC</v>
          </cell>
          <cell r="F2724">
            <v>600</v>
          </cell>
        </row>
        <row r="2725">
          <cell r="E2725" t="str">
            <v>EMPORIAVAERWINNC</v>
          </cell>
          <cell r="F2725">
            <v>520</v>
          </cell>
        </row>
        <row r="2726">
          <cell r="E2726" t="str">
            <v>EMPORIAVASTONEVILLENC</v>
          </cell>
          <cell r="F2726">
            <v>560</v>
          </cell>
        </row>
        <row r="2727">
          <cell r="E2727" t="str">
            <v>EMPORIAVAKINSTONNC</v>
          </cell>
          <cell r="F2727">
            <v>520</v>
          </cell>
        </row>
        <row r="2728">
          <cell r="E2728" t="str">
            <v>EMPORIAVAGULFPORTMS</v>
          </cell>
          <cell r="F2728">
            <v>2250</v>
          </cell>
        </row>
        <row r="2729">
          <cell r="E2729" t="str">
            <v>EMPORIAVAPORT WENTWORTHGA</v>
          </cell>
          <cell r="F2729">
            <v>1160</v>
          </cell>
        </row>
        <row r="2730">
          <cell r="E2730" t="str">
            <v>EMPORIAVAGRIFTONNC</v>
          </cell>
          <cell r="F2730">
            <v>600</v>
          </cell>
        </row>
        <row r="2731">
          <cell r="E2731" t="str">
            <v>EMPORIAVAEDENTONNC</v>
          </cell>
          <cell r="F2731">
            <v>470</v>
          </cell>
        </row>
        <row r="2732">
          <cell r="E2732" t="str">
            <v>EMPORIAVACLARKTONNC</v>
          </cell>
          <cell r="F2732">
            <v>610</v>
          </cell>
        </row>
        <row r="2733">
          <cell r="E2733" t="str">
            <v>EMPORIAVAROCKINGHAMNC</v>
          </cell>
          <cell r="F2733">
            <v>640</v>
          </cell>
        </row>
        <row r="2734">
          <cell r="E2734" t="str">
            <v>EMPORIAVANORFOLKVA</v>
          </cell>
          <cell r="F2734">
            <v>450</v>
          </cell>
        </row>
        <row r="2735">
          <cell r="E2735" t="str">
            <v>EMPORIAVAPORTSMOUTHVA</v>
          </cell>
          <cell r="F2735">
            <v>430</v>
          </cell>
        </row>
        <row r="2736">
          <cell r="E2736" t="str">
            <v>ENFIELDNCROCKFORDTN</v>
          </cell>
          <cell r="F2736">
            <v>1150</v>
          </cell>
        </row>
        <row r="2737">
          <cell r="E2737" t="str">
            <v>ENFIELDNCGAFFNEYSC</v>
          </cell>
          <cell r="F2737">
            <v>800</v>
          </cell>
        </row>
        <row r="2738">
          <cell r="E2738" t="str">
            <v>ENFIELDNCGREERSC</v>
          </cell>
          <cell r="F2738">
            <v>880</v>
          </cell>
        </row>
        <row r="2739">
          <cell r="E2739" t="str">
            <v>ENFIELDNCDAWSONGA</v>
          </cell>
          <cell r="F2739">
            <v>1470</v>
          </cell>
        </row>
        <row r="2740">
          <cell r="E2740" t="str">
            <v>ENFIELDNCGREENWOODSC</v>
          </cell>
          <cell r="F2740">
            <v>960</v>
          </cell>
        </row>
        <row r="2741">
          <cell r="E2741" t="str">
            <v>ENFIELDNCINDIAN LANDSC</v>
          </cell>
          <cell r="F2741">
            <v>740</v>
          </cell>
        </row>
        <row r="2742">
          <cell r="E2742" t="str">
            <v>ENFIELDNCCENTREAL</v>
          </cell>
          <cell r="F2742">
            <v>1420</v>
          </cell>
        </row>
        <row r="2743">
          <cell r="E2743" t="str">
            <v>ENFIELDNCMONEYMS</v>
          </cell>
          <cell r="F2743">
            <v>2090</v>
          </cell>
        </row>
        <row r="2744">
          <cell r="E2744" t="str">
            <v>ENFIELDNCECLECTICAL</v>
          </cell>
          <cell r="F2744">
            <v>1580</v>
          </cell>
        </row>
        <row r="2745">
          <cell r="E2745" t="str">
            <v>ENFIELDNCMOBILEAL</v>
          </cell>
          <cell r="F2745">
            <v>1960</v>
          </cell>
        </row>
        <row r="2746">
          <cell r="E2746" t="str">
            <v>ENFIELDNCMCCALLAAL</v>
          </cell>
          <cell r="F2746">
            <v>1610</v>
          </cell>
        </row>
        <row r="2747">
          <cell r="E2747" t="str">
            <v>ENFIELDNCBLYTHEVILLEAR</v>
          </cell>
          <cell r="F2747">
            <v>2020</v>
          </cell>
        </row>
        <row r="2748">
          <cell r="E2748" t="str">
            <v>ENFIELDNCCARTERSVILLEGA</v>
          </cell>
          <cell r="F2748">
            <v>1310</v>
          </cell>
        </row>
        <row r="2749">
          <cell r="E2749" t="str">
            <v>ENFIELDNCDREWMS</v>
          </cell>
          <cell r="F2749">
            <v>2140</v>
          </cell>
        </row>
        <row r="2750">
          <cell r="E2750" t="str">
            <v>ENFIELDNCINDIANOLAMS</v>
          </cell>
          <cell r="F2750">
            <v>2120</v>
          </cell>
        </row>
        <row r="2751">
          <cell r="E2751" t="str">
            <v>ENFIELDNCWEST MEMPHISAR</v>
          </cell>
          <cell r="F2751">
            <v>2010</v>
          </cell>
        </row>
        <row r="2752">
          <cell r="E2752" t="str">
            <v>ENFIELDNCRAYVILLELA</v>
          </cell>
          <cell r="F2752">
            <v>2300</v>
          </cell>
        </row>
        <row r="2753">
          <cell r="E2753" t="str">
            <v>ENFIELDNCMARIONAR</v>
          </cell>
          <cell r="F2753">
            <v>2020</v>
          </cell>
        </row>
        <row r="2754">
          <cell r="E2754" t="str">
            <v>ENFIELDNCMEMPHISTN</v>
          </cell>
          <cell r="F2754">
            <v>2020</v>
          </cell>
        </row>
        <row r="2755">
          <cell r="E2755" t="str">
            <v>ENFIELDNCJACKSONVILLEFL</v>
          </cell>
          <cell r="F2755">
            <v>1280</v>
          </cell>
        </row>
        <row r="2756">
          <cell r="E2756" t="str">
            <v>ENFIELDNCENOREESC</v>
          </cell>
          <cell r="F2756">
            <v>900</v>
          </cell>
        </row>
        <row r="2757">
          <cell r="E2757" t="str">
            <v>ENFIELDNCTUNICAMS</v>
          </cell>
          <cell r="F2757">
            <v>2070</v>
          </cell>
        </row>
        <row r="2758">
          <cell r="E2758" t="str">
            <v>ENFIELDNCGAINESVILLEGA</v>
          </cell>
          <cell r="F2758">
            <v>1140</v>
          </cell>
        </row>
        <row r="2759">
          <cell r="E2759" t="str">
            <v>ENFIELDNCSALISBURYNC</v>
          </cell>
          <cell r="F2759">
            <v>630</v>
          </cell>
        </row>
        <row r="2760">
          <cell r="E2760" t="str">
            <v>ENFIELDNCTALLULAHLA</v>
          </cell>
          <cell r="F2760">
            <v>2220</v>
          </cell>
        </row>
        <row r="2761">
          <cell r="E2761" t="str">
            <v>ENFIELDNCNORFOLKVA</v>
          </cell>
          <cell r="F2761">
            <v>510</v>
          </cell>
        </row>
        <row r="2762">
          <cell r="E2762" t="str">
            <v>ENFIELDNCROSSVILLETN</v>
          </cell>
          <cell r="F2762">
            <v>2000</v>
          </cell>
        </row>
        <row r="2763">
          <cell r="E2763" t="str">
            <v>ENFIELDNCNEW ORLEANSLA</v>
          </cell>
          <cell r="F2763">
            <v>2270</v>
          </cell>
        </row>
        <row r="2764">
          <cell r="E2764" t="str">
            <v>ENFIELDNCGREENWOODMS</v>
          </cell>
          <cell r="F2764">
            <v>2050</v>
          </cell>
        </row>
        <row r="2765">
          <cell r="E2765" t="str">
            <v>ENFIELDNCSANFORDNC</v>
          </cell>
          <cell r="F2765">
            <v>500</v>
          </cell>
        </row>
        <row r="2766">
          <cell r="E2766" t="str">
            <v>ENFIELDNCKINSTONNC</v>
          </cell>
          <cell r="F2766">
            <v>440</v>
          </cell>
        </row>
        <row r="2767">
          <cell r="E2767" t="str">
            <v>ENFIELDNCRABUN GAPGA</v>
          </cell>
          <cell r="F2767">
            <v>1130</v>
          </cell>
        </row>
        <row r="2768">
          <cell r="E2768" t="str">
            <v>ENFIELDNCPORT WENTWORTHGA</v>
          </cell>
          <cell r="F2768">
            <v>1090</v>
          </cell>
        </row>
        <row r="2769">
          <cell r="E2769" t="str">
            <v>ENFIELDNCLUMBERTONNC</v>
          </cell>
          <cell r="F2769">
            <v>550</v>
          </cell>
        </row>
        <row r="2770">
          <cell r="E2770" t="str">
            <v>ENFIELDNCPORTSMOUTHVA</v>
          </cell>
          <cell r="F2770">
            <v>490</v>
          </cell>
        </row>
        <row r="2771">
          <cell r="E2771" t="str">
            <v>ENFIELDNCERWINNC</v>
          </cell>
          <cell r="F2771">
            <v>460</v>
          </cell>
        </row>
        <row r="2772">
          <cell r="E2772" t="str">
            <v>ENFIELDNCEDENTONNC</v>
          </cell>
          <cell r="F2772">
            <v>430</v>
          </cell>
        </row>
        <row r="2773">
          <cell r="E2773" t="str">
            <v>ENFIELDNCRINCONGA</v>
          </cell>
          <cell r="F2773">
            <v>1090</v>
          </cell>
        </row>
        <row r="2774">
          <cell r="E2774" t="str">
            <v>ENFIELDNCGULFPORTMS</v>
          </cell>
          <cell r="F2774">
            <v>2220</v>
          </cell>
        </row>
        <row r="2775">
          <cell r="E2775" t="str">
            <v>ENFIELDNCGarden CityGA</v>
          </cell>
          <cell r="F2775">
            <v>1090</v>
          </cell>
        </row>
        <row r="2776">
          <cell r="E2776" t="str">
            <v>ENFIELDNCGRIFTONNC</v>
          </cell>
          <cell r="F2776">
            <v>540</v>
          </cell>
        </row>
        <row r="2777">
          <cell r="E2777" t="str">
            <v>ENFIELDNCMINERAL SPRINGSNC</v>
          </cell>
          <cell r="F2777">
            <v>670</v>
          </cell>
        </row>
        <row r="2778">
          <cell r="E2778" t="str">
            <v>ENFIELDNCTHOMASVILLENC</v>
          </cell>
          <cell r="F2778">
            <v>590</v>
          </cell>
        </row>
        <row r="2779">
          <cell r="E2779" t="str">
            <v>ENFIELDNCLOWELLNC</v>
          </cell>
          <cell r="F2779">
            <v>720</v>
          </cell>
        </row>
        <row r="2780">
          <cell r="E2780" t="str">
            <v>ENFIELDNCGASTONIANC</v>
          </cell>
          <cell r="F2780">
            <v>730</v>
          </cell>
        </row>
        <row r="2781">
          <cell r="E2781" t="str">
            <v>ENFIELDNCMAYODANNC</v>
          </cell>
          <cell r="F2781">
            <v>600</v>
          </cell>
        </row>
        <row r="2782">
          <cell r="E2782" t="str">
            <v>ENFIELDNCSTONEVILLENC</v>
          </cell>
          <cell r="F2782">
            <v>600</v>
          </cell>
        </row>
        <row r="2783">
          <cell r="E2783" t="str">
            <v>ENFIELDNCROCKINGHAMNC</v>
          </cell>
          <cell r="F2783">
            <v>580</v>
          </cell>
        </row>
        <row r="2784">
          <cell r="E2784" t="str">
            <v>ENFIELDNCCHARLOTTENC</v>
          </cell>
          <cell r="F2784">
            <v>700</v>
          </cell>
        </row>
        <row r="2785">
          <cell r="E2785" t="str">
            <v>ENFIELDNCLEXINGTONNC</v>
          </cell>
          <cell r="F2785">
            <v>610</v>
          </cell>
        </row>
        <row r="2786">
          <cell r="E2786" t="str">
            <v>ENFIELDNCSHELBYNC</v>
          </cell>
          <cell r="F2786">
            <v>780</v>
          </cell>
        </row>
        <row r="2787">
          <cell r="E2787" t="str">
            <v>ENFIELDNCCLARKTONNC</v>
          </cell>
          <cell r="F2787">
            <v>550</v>
          </cell>
        </row>
        <row r="2788">
          <cell r="E2788" t="str">
            <v>ENFIELDNCBELMONTNC</v>
          </cell>
          <cell r="F2788">
            <v>710</v>
          </cell>
        </row>
        <row r="2789">
          <cell r="E2789" t="str">
            <v>ENFIELDNCSPARTANC</v>
          </cell>
          <cell r="F2789">
            <v>710</v>
          </cell>
        </row>
        <row r="2790">
          <cell r="E2790" t="str">
            <v>ENFIELDNCMOCKSVILLENC</v>
          </cell>
          <cell r="F2790">
            <v>630</v>
          </cell>
        </row>
        <row r="2791">
          <cell r="E2791" t="str">
            <v>ENFIELDNCHICKORYNC</v>
          </cell>
          <cell r="F2791">
            <v>700</v>
          </cell>
        </row>
        <row r="2792">
          <cell r="E2792" t="str">
            <v>ENIGMAGAROCKFORDTN</v>
          </cell>
          <cell r="F2792">
            <v>1080</v>
          </cell>
        </row>
        <row r="2793">
          <cell r="E2793" t="str">
            <v>ENIGMAGAGAFFNEYSC</v>
          </cell>
          <cell r="F2793">
            <v>1000</v>
          </cell>
        </row>
        <row r="2794">
          <cell r="E2794" t="str">
            <v>ENIGMAGALUMBERTONNC</v>
          </cell>
          <cell r="F2794">
            <v>1030</v>
          </cell>
        </row>
        <row r="2795">
          <cell r="E2795" t="str">
            <v>ENIGMAGAROSSVILLETN</v>
          </cell>
          <cell r="F2795">
            <v>1290</v>
          </cell>
        </row>
        <row r="2796">
          <cell r="E2796" t="str">
            <v>ENIGMAGACHARLOTTENC</v>
          </cell>
          <cell r="F2796">
            <v>960</v>
          </cell>
        </row>
        <row r="2797">
          <cell r="E2797" t="str">
            <v>ENIGMAGASPARTANC</v>
          </cell>
          <cell r="F2797">
            <v>1190</v>
          </cell>
        </row>
        <row r="2798">
          <cell r="E2798" t="str">
            <v>ENIGMAGAINDIANOLAMS</v>
          </cell>
          <cell r="F2798">
            <v>1320</v>
          </cell>
        </row>
        <row r="2799">
          <cell r="E2799" t="str">
            <v>ENIGMAGAKINSTONNC</v>
          </cell>
          <cell r="F2799">
            <v>1320</v>
          </cell>
        </row>
        <row r="2800">
          <cell r="E2800" t="str">
            <v>ENIGMAGASHELBYNC</v>
          </cell>
          <cell r="F2800">
            <v>1040</v>
          </cell>
        </row>
        <row r="2801">
          <cell r="E2801" t="str">
            <v>ENIGMAGACARTERSVILLEGA</v>
          </cell>
          <cell r="F2801">
            <v>700</v>
          </cell>
        </row>
        <row r="2802">
          <cell r="E2802" t="str">
            <v>ENIGMAGAHICKORYNC</v>
          </cell>
          <cell r="F2802">
            <v>1150</v>
          </cell>
        </row>
        <row r="2803">
          <cell r="E2803" t="str">
            <v>ENIGMAGARAYVILLELA</v>
          </cell>
          <cell r="F2803">
            <v>1420</v>
          </cell>
        </row>
        <row r="2804">
          <cell r="E2804" t="str">
            <v>ENIGMAGAPORTSMOUTHVA</v>
          </cell>
          <cell r="F2804">
            <v>1590</v>
          </cell>
        </row>
        <row r="2805">
          <cell r="E2805" t="str">
            <v>ENIGMAGACENTREAL</v>
          </cell>
          <cell r="F2805">
            <v>780</v>
          </cell>
        </row>
        <row r="2806">
          <cell r="E2806" t="str">
            <v>ENIGMAGAMAYODANNC</v>
          </cell>
          <cell r="F2806">
            <v>1210</v>
          </cell>
        </row>
        <row r="2807">
          <cell r="E2807" t="str">
            <v>ENIGMAGABLYTHEVILLEAR</v>
          </cell>
          <cell r="F2807">
            <v>1450</v>
          </cell>
        </row>
        <row r="2808">
          <cell r="E2808" t="str">
            <v>ENIGMAGAEDENTONNC</v>
          </cell>
          <cell r="F2808">
            <v>1500</v>
          </cell>
        </row>
        <row r="2809">
          <cell r="E2809" t="str">
            <v>ENIGMAGASTONEVILLENC</v>
          </cell>
          <cell r="F2809">
            <v>1220</v>
          </cell>
        </row>
        <row r="2810">
          <cell r="E2810" t="str">
            <v>ENIGMAGAINDIAN LANDSC</v>
          </cell>
          <cell r="F2810">
            <v>940</v>
          </cell>
        </row>
        <row r="2811">
          <cell r="E2811" t="str">
            <v>ENIGMAGATHOMASVILLENC</v>
          </cell>
          <cell r="F2811">
            <v>1120</v>
          </cell>
        </row>
        <row r="2812">
          <cell r="E2812" t="str">
            <v>ENIGMAGAMOCKSVILLENC</v>
          </cell>
          <cell r="F2812">
            <v>1100</v>
          </cell>
        </row>
        <row r="2813">
          <cell r="E2813" t="str">
            <v>ENIGMAGAENOREESC</v>
          </cell>
          <cell r="F2813">
            <v>850</v>
          </cell>
        </row>
        <row r="2814">
          <cell r="E2814" t="str">
            <v>ENIGMAGAMEMPHISTN</v>
          </cell>
          <cell r="F2814">
            <v>1310</v>
          </cell>
        </row>
        <row r="2815">
          <cell r="E2815" t="str">
            <v>ENIGMAGAGAINESVILLEGA</v>
          </cell>
          <cell r="F2815">
            <v>700</v>
          </cell>
        </row>
        <row r="2816">
          <cell r="E2816" t="str">
            <v>ENIGMAGAGREENWOODSC</v>
          </cell>
          <cell r="F2816">
            <v>750</v>
          </cell>
        </row>
        <row r="2817">
          <cell r="E2817" t="str">
            <v>ENIGMAGANEW ORLEANSLA</v>
          </cell>
          <cell r="F2817">
            <v>1230</v>
          </cell>
        </row>
        <row r="2818">
          <cell r="E2818" t="str">
            <v>ENIGMAGAERWINNC</v>
          </cell>
          <cell r="F2818">
            <v>1170</v>
          </cell>
        </row>
        <row r="2819">
          <cell r="E2819" t="str">
            <v>ENIGMAGASANFORDNC</v>
          </cell>
          <cell r="F2819">
            <v>1170</v>
          </cell>
        </row>
        <row r="2820">
          <cell r="E2820" t="str">
            <v>ENIGMAGAGREENWOODMS</v>
          </cell>
          <cell r="F2820">
            <v>1260</v>
          </cell>
        </row>
        <row r="2821">
          <cell r="E2821" t="str">
            <v>ENIGMAGAMARIONAR</v>
          </cell>
          <cell r="F2821">
            <v>1330</v>
          </cell>
        </row>
        <row r="2822">
          <cell r="E2822" t="str">
            <v>ENIGMAGAMOBILEAL</v>
          </cell>
          <cell r="F2822">
            <v>910</v>
          </cell>
        </row>
        <row r="2823">
          <cell r="E2823" t="str">
            <v>ENIGMAGAGREERSC</v>
          </cell>
          <cell r="F2823">
            <v>920</v>
          </cell>
        </row>
        <row r="2824">
          <cell r="E2824" t="str">
            <v>ENIGMAGANORFOLKVA</v>
          </cell>
          <cell r="F2824">
            <v>1610</v>
          </cell>
        </row>
        <row r="2825">
          <cell r="E2825" t="str">
            <v>ENIGMAGATUNICAMS</v>
          </cell>
          <cell r="F2825">
            <v>1330</v>
          </cell>
        </row>
        <row r="2826">
          <cell r="E2826" t="str">
            <v>ENIGMAGASALISBURYNC</v>
          </cell>
          <cell r="F2826">
            <v>1050</v>
          </cell>
        </row>
        <row r="2827">
          <cell r="E2827" t="str">
            <v>ENIGMAGAWEST MEMPHISAR</v>
          </cell>
          <cell r="F2827">
            <v>1310</v>
          </cell>
        </row>
        <row r="2828">
          <cell r="E2828" t="str">
            <v>ENIGMAGACLARKTONNC</v>
          </cell>
          <cell r="F2828">
            <v>1080</v>
          </cell>
        </row>
        <row r="2829">
          <cell r="E2829" t="str">
            <v>ENIGMAGALOWELLNC</v>
          </cell>
          <cell r="F2829">
            <v>1080</v>
          </cell>
        </row>
        <row r="2830">
          <cell r="E2830" t="str">
            <v>ENIGMAGATALLULAHLA</v>
          </cell>
          <cell r="F2830">
            <v>1340</v>
          </cell>
        </row>
        <row r="2831">
          <cell r="E2831" t="str">
            <v>ENIGMAGAMCCALLAAL</v>
          </cell>
          <cell r="F2831">
            <v>810</v>
          </cell>
        </row>
        <row r="2832">
          <cell r="E2832" t="str">
            <v>ENIGMAGALEXINGTONNC</v>
          </cell>
          <cell r="F2832">
            <v>1090</v>
          </cell>
        </row>
        <row r="2833">
          <cell r="E2833" t="str">
            <v>ENIGMAGAROCKINGHAMNC</v>
          </cell>
          <cell r="F2833">
            <v>1040</v>
          </cell>
        </row>
        <row r="2834">
          <cell r="E2834" t="str">
            <v>ENIGMAGAMINERAL SPRINGSNC</v>
          </cell>
          <cell r="F2834">
            <v>940</v>
          </cell>
        </row>
        <row r="2835">
          <cell r="E2835" t="str">
            <v>ENIGMAGAGASTONIANC</v>
          </cell>
          <cell r="F2835">
            <v>1070</v>
          </cell>
        </row>
        <row r="2836">
          <cell r="E2836" t="str">
            <v>ENIGMAGABELMONTNC</v>
          </cell>
          <cell r="F2836">
            <v>970</v>
          </cell>
        </row>
        <row r="2837">
          <cell r="E2837" t="str">
            <v>ENIGMAGAMONEYMS</v>
          </cell>
          <cell r="F2837">
            <v>1290</v>
          </cell>
        </row>
        <row r="2838">
          <cell r="E2838" t="str">
            <v>ENIGMAGADREWMS</v>
          </cell>
          <cell r="F2838">
            <v>1340</v>
          </cell>
        </row>
        <row r="2839">
          <cell r="E2839" t="str">
            <v>ENIGMAGAGULFPORTMS</v>
          </cell>
          <cell r="F2839">
            <v>1180</v>
          </cell>
        </row>
        <row r="2840">
          <cell r="E2840" t="str">
            <v>ENIGMAGARABUN GAPGA</v>
          </cell>
          <cell r="F2840">
            <v>880</v>
          </cell>
        </row>
        <row r="2841">
          <cell r="E2841" t="str">
            <v>ENIGMAGAGRIFTONNC</v>
          </cell>
          <cell r="F2841">
            <v>1450</v>
          </cell>
        </row>
        <row r="2842">
          <cell r="E2842" t="str">
            <v>ENIGMAGARINCONGA</v>
          </cell>
          <cell r="F2842">
            <v>700</v>
          </cell>
        </row>
        <row r="2843">
          <cell r="E2843" t="str">
            <v>ENIGMAGAPORT WENTWORTHGA</v>
          </cell>
          <cell r="F2843">
            <v>690</v>
          </cell>
        </row>
        <row r="2844">
          <cell r="E2844" t="str">
            <v>ENIGMAGAGarden CityGA</v>
          </cell>
          <cell r="F2844">
            <v>680</v>
          </cell>
        </row>
        <row r="2845">
          <cell r="E2845" t="str">
            <v>ENIGMAGADAWSONGA</v>
          </cell>
          <cell r="F2845">
            <v>440</v>
          </cell>
        </row>
        <row r="2846">
          <cell r="E2846" t="str">
            <v>ENIGMAGAJACKSONVILLEFL</v>
          </cell>
          <cell r="F2846">
            <v>530</v>
          </cell>
        </row>
        <row r="2847">
          <cell r="E2847" t="str">
            <v>ENIGMAGAECLECTICAL</v>
          </cell>
          <cell r="F2847">
            <v>660</v>
          </cell>
        </row>
        <row r="2848">
          <cell r="E2848" t="str">
            <v>ENIGMAGAWESLACOTX</v>
          </cell>
          <cell r="F2848">
            <v>1660</v>
          </cell>
        </row>
        <row r="2849">
          <cell r="E2849" t="str">
            <v>ENTERPRISEALROCKFORDTN</v>
          </cell>
          <cell r="F2849">
            <v>1130</v>
          </cell>
        </row>
        <row r="2850">
          <cell r="E2850" t="str">
            <v>ENTERPRISEALSHELBYNC</v>
          </cell>
          <cell r="F2850">
            <v>1160</v>
          </cell>
        </row>
        <row r="2851">
          <cell r="E2851" t="str">
            <v>ENTERPRISEALGASTONIANC</v>
          </cell>
          <cell r="F2851">
            <v>1190</v>
          </cell>
        </row>
        <row r="2852">
          <cell r="E2852" t="str">
            <v>ENTERPRISEALGAINESVILLEGA</v>
          </cell>
          <cell r="F2852">
            <v>810</v>
          </cell>
        </row>
        <row r="2853">
          <cell r="E2853" t="str">
            <v>ENTERPRISEALHICKORYNC</v>
          </cell>
          <cell r="F2853">
            <v>1270</v>
          </cell>
        </row>
        <row r="2854">
          <cell r="E2854" t="str">
            <v>ENTERPRISEALCLARKTONNC</v>
          </cell>
          <cell r="F2854">
            <v>1500</v>
          </cell>
        </row>
        <row r="2855">
          <cell r="E2855" t="str">
            <v>ENTERPRISEALPORTSMOUTHVA</v>
          </cell>
          <cell r="F2855">
            <v>1960</v>
          </cell>
        </row>
        <row r="2856">
          <cell r="E2856" t="str">
            <v>ENTERPRISEALMINERAL SPRINGSNC</v>
          </cell>
          <cell r="F2856">
            <v>1300</v>
          </cell>
        </row>
        <row r="2857">
          <cell r="E2857" t="str">
            <v>ENTERPRISEALTALLULAHLA</v>
          </cell>
          <cell r="F2857">
            <v>1020</v>
          </cell>
        </row>
        <row r="2858">
          <cell r="E2858" t="str">
            <v>ENTERPRISEALGREENWOODMS</v>
          </cell>
          <cell r="F2858">
            <v>940</v>
          </cell>
        </row>
        <row r="2859">
          <cell r="E2859" t="str">
            <v>ENTERPRISEALGREENWOODSC</v>
          </cell>
          <cell r="F2859">
            <v>1010</v>
          </cell>
        </row>
        <row r="2860">
          <cell r="E2860" t="str">
            <v>ENTERPRISEALCHARLOTTENC</v>
          </cell>
          <cell r="F2860">
            <v>1240</v>
          </cell>
        </row>
        <row r="2861">
          <cell r="E2861" t="str">
            <v>ENTERPRISEALLEXINGTONNC</v>
          </cell>
          <cell r="F2861">
            <v>1370</v>
          </cell>
        </row>
        <row r="2862">
          <cell r="E2862" t="str">
            <v>ENTERPRISEALINDIAN LANDSC</v>
          </cell>
          <cell r="F2862">
            <v>1270</v>
          </cell>
        </row>
        <row r="2863">
          <cell r="E2863" t="str">
            <v>ENTERPRISEALLUMBERTONNC</v>
          </cell>
          <cell r="F2863">
            <v>1450</v>
          </cell>
        </row>
        <row r="2864">
          <cell r="E2864" t="str">
            <v>ENTERPRISEALNORFOLKVA</v>
          </cell>
          <cell r="F2864">
            <v>1990</v>
          </cell>
        </row>
        <row r="2865">
          <cell r="E2865" t="str">
            <v>ENTERPRISEALBLYTHEVILLEAR</v>
          </cell>
          <cell r="F2865">
            <v>1220</v>
          </cell>
        </row>
        <row r="2866">
          <cell r="E2866" t="str">
            <v>ENTERPRISEALKINSTONNC</v>
          </cell>
          <cell r="F2866">
            <v>1740</v>
          </cell>
        </row>
        <row r="2867">
          <cell r="E2867" t="str">
            <v>ENTERPRISEALSPARTANC</v>
          </cell>
          <cell r="F2867">
            <v>1460</v>
          </cell>
        </row>
        <row r="2868">
          <cell r="E2868" t="str">
            <v>ENTERPRISEALROSSVILLETN</v>
          </cell>
          <cell r="F2868">
            <v>1060</v>
          </cell>
        </row>
        <row r="2869">
          <cell r="E2869" t="str">
            <v>ENTERPRISEALCARTERSVILLEGA</v>
          </cell>
          <cell r="F2869">
            <v>780</v>
          </cell>
        </row>
        <row r="2870">
          <cell r="E2870" t="str">
            <v>ENTERPRISEALRAYVILLELA</v>
          </cell>
          <cell r="F2870">
            <v>1100</v>
          </cell>
        </row>
        <row r="2871">
          <cell r="E2871" t="str">
            <v>ENTERPRISEALTHOMASVILLENC</v>
          </cell>
          <cell r="F2871">
            <v>1400</v>
          </cell>
        </row>
        <row r="2872">
          <cell r="E2872" t="str">
            <v>ENTERPRISEALENOREESC</v>
          </cell>
          <cell r="F2872">
            <v>1100</v>
          </cell>
        </row>
        <row r="2873">
          <cell r="E2873" t="str">
            <v>ENTERPRISEALGREERSC</v>
          </cell>
          <cell r="F2873">
            <v>1050</v>
          </cell>
        </row>
        <row r="2874">
          <cell r="E2874" t="str">
            <v>ENTERPRISEALTUNICAMS</v>
          </cell>
          <cell r="F2874">
            <v>1110</v>
          </cell>
        </row>
        <row r="2875">
          <cell r="E2875" t="str">
            <v>ENTERPRISEALEDENTONNC</v>
          </cell>
          <cell r="F2875">
            <v>1920</v>
          </cell>
        </row>
        <row r="2876">
          <cell r="E2876" t="str">
            <v>ENTERPRISEALMONEYMS</v>
          </cell>
          <cell r="F2876">
            <v>970</v>
          </cell>
        </row>
        <row r="2877">
          <cell r="E2877" t="str">
            <v>ENTERPRISEALMAYODANNC</v>
          </cell>
          <cell r="F2877">
            <v>1480</v>
          </cell>
        </row>
        <row r="2878">
          <cell r="E2878" t="str">
            <v>ENTERPRISEALDREWMS</v>
          </cell>
          <cell r="F2878">
            <v>1020</v>
          </cell>
        </row>
        <row r="2879">
          <cell r="E2879" t="str">
            <v>ENTERPRISEALINDIANOLAMS</v>
          </cell>
          <cell r="F2879">
            <v>1000</v>
          </cell>
        </row>
        <row r="2880">
          <cell r="E2880" t="str">
            <v>ENTERPRISEALMOCKSVILLENC</v>
          </cell>
          <cell r="F2880">
            <v>1360</v>
          </cell>
        </row>
        <row r="2881">
          <cell r="E2881" t="str">
            <v>ENTERPRISEALMARIONAR</v>
          </cell>
          <cell r="F2881">
            <v>1090</v>
          </cell>
        </row>
        <row r="2882">
          <cell r="E2882" t="str">
            <v>ENTERPRISEALSTONEVILLENC</v>
          </cell>
          <cell r="F2882">
            <v>1490</v>
          </cell>
        </row>
        <row r="2883">
          <cell r="E2883" t="str">
            <v>ENTERPRISEALBELMONTNC</v>
          </cell>
          <cell r="F2883">
            <v>1210</v>
          </cell>
        </row>
        <row r="2884">
          <cell r="E2884" t="str">
            <v>ENTERPRISEALNEW ORLEANSLA</v>
          </cell>
          <cell r="F2884">
            <v>830</v>
          </cell>
        </row>
        <row r="2885">
          <cell r="E2885" t="str">
            <v>ENTERPRISEALWEST MEMPHISAR</v>
          </cell>
          <cell r="F2885">
            <v>1080</v>
          </cell>
        </row>
        <row r="2886">
          <cell r="E2886" t="str">
            <v>ENTERPRISEALGAFFNEYSC</v>
          </cell>
          <cell r="F2886">
            <v>1120</v>
          </cell>
        </row>
        <row r="2887">
          <cell r="E2887" t="str">
            <v>ENTERPRISEALERWINNC</v>
          </cell>
          <cell r="F2887">
            <v>1580</v>
          </cell>
        </row>
        <row r="2888">
          <cell r="E2888" t="str">
            <v>ENTERPRISEALMEMPHISTN</v>
          </cell>
          <cell r="F2888">
            <v>1070</v>
          </cell>
        </row>
        <row r="2889">
          <cell r="E2889" t="str">
            <v>ENTERPRISEALSANFORDNC</v>
          </cell>
          <cell r="F2889">
            <v>1530</v>
          </cell>
        </row>
        <row r="2890">
          <cell r="E2890" t="str">
            <v>ENTERPRISEALLOWELLNC</v>
          </cell>
          <cell r="F2890">
            <v>1200</v>
          </cell>
        </row>
        <row r="2891">
          <cell r="E2891" t="str">
            <v>ENTERPRISEALSALISBURYNC</v>
          </cell>
          <cell r="F2891">
            <v>1330</v>
          </cell>
        </row>
        <row r="2892">
          <cell r="E2892" t="str">
            <v>ENTERPRISEALROCKINGHAMNC</v>
          </cell>
          <cell r="F2892">
            <v>1410</v>
          </cell>
        </row>
        <row r="2893">
          <cell r="E2893" t="str">
            <v>ENTERPRISEALMCCALLAAL</v>
          </cell>
          <cell r="F2893">
            <v>610</v>
          </cell>
        </row>
        <row r="2894">
          <cell r="E2894" t="str">
            <v>ENTERPRISEALMOBILEAL</v>
          </cell>
          <cell r="F2894">
            <v>580</v>
          </cell>
        </row>
        <row r="2895">
          <cell r="E2895" t="str">
            <v>ENTERPRISEALECLECTICAL</v>
          </cell>
          <cell r="F2895">
            <v>490</v>
          </cell>
        </row>
        <row r="2896">
          <cell r="E2896" t="str">
            <v>ENTERPRISEALRINCONGA</v>
          </cell>
          <cell r="F2896">
            <v>1040</v>
          </cell>
        </row>
        <row r="2897">
          <cell r="E2897" t="str">
            <v>ENTERPRISEALDAWSONGA</v>
          </cell>
          <cell r="F2897">
            <v>510</v>
          </cell>
        </row>
        <row r="2898">
          <cell r="E2898" t="str">
            <v>ENTERPRISEALGRIFTONNC</v>
          </cell>
          <cell r="F2898">
            <v>1870</v>
          </cell>
        </row>
        <row r="2899">
          <cell r="E2899" t="str">
            <v>ENTERPRISEALRABUN GAPGA</v>
          </cell>
          <cell r="F2899">
            <v>1010</v>
          </cell>
        </row>
        <row r="2900">
          <cell r="E2900" t="str">
            <v>ENTERPRISEALGarden CityGA</v>
          </cell>
          <cell r="F2900">
            <v>1010</v>
          </cell>
        </row>
        <row r="2901">
          <cell r="E2901" t="str">
            <v>ENTERPRISEALPORT WENTWORTHGA</v>
          </cell>
          <cell r="F2901">
            <v>1020</v>
          </cell>
        </row>
        <row r="2902">
          <cell r="E2902" t="str">
            <v>ENTERPRISEALGULFPORTMS</v>
          </cell>
          <cell r="F2902">
            <v>790</v>
          </cell>
        </row>
        <row r="2903">
          <cell r="E2903" t="str">
            <v>ENTERPRISEALCENTREAL</v>
          </cell>
          <cell r="F2903">
            <v>720</v>
          </cell>
        </row>
        <row r="2904">
          <cell r="E2904" t="str">
            <v>ENTERPRISEALJACKSONVILLEFL</v>
          </cell>
          <cell r="F2904">
            <v>810</v>
          </cell>
        </row>
        <row r="2905">
          <cell r="E2905" t="str">
            <v>ERWINNCCARTERSVILLEGA</v>
          </cell>
          <cell r="F2905">
            <v>1170</v>
          </cell>
        </row>
        <row r="2906">
          <cell r="E2906" t="str">
            <v>ERWINNCENOREESC</v>
          </cell>
          <cell r="F2906">
            <v>740</v>
          </cell>
        </row>
        <row r="2907">
          <cell r="E2907" t="str">
            <v>ERWINNCMEMPHISTN</v>
          </cell>
          <cell r="F2907">
            <v>1890</v>
          </cell>
        </row>
        <row r="2908">
          <cell r="E2908" t="str">
            <v>ERWINNCTALLULAHLA</v>
          </cell>
          <cell r="F2908">
            <v>2070</v>
          </cell>
        </row>
        <row r="2909">
          <cell r="E2909" t="str">
            <v>ERWINNCGREENWOODMS</v>
          </cell>
          <cell r="F2909">
            <v>1900</v>
          </cell>
        </row>
        <row r="2910">
          <cell r="E2910" t="str">
            <v>ERWINNCNEW ORLEANSLA</v>
          </cell>
          <cell r="F2910">
            <v>2090</v>
          </cell>
        </row>
        <row r="2911">
          <cell r="E2911" t="str">
            <v>ERWINNCMONEYMS</v>
          </cell>
          <cell r="F2911">
            <v>1940</v>
          </cell>
        </row>
        <row r="2912">
          <cell r="E2912" t="str">
            <v>ERWINNCNORFOLKVA</v>
          </cell>
          <cell r="F2912">
            <v>650</v>
          </cell>
        </row>
        <row r="2913">
          <cell r="E2913" t="str">
            <v>ERWINNCGAFFNEYSC</v>
          </cell>
          <cell r="F2913">
            <v>660</v>
          </cell>
        </row>
        <row r="2914">
          <cell r="E2914" t="str">
            <v>ERWINNCTUNICAMS</v>
          </cell>
          <cell r="F2914">
            <v>1970</v>
          </cell>
        </row>
        <row r="2915">
          <cell r="E2915" t="str">
            <v>ERWINNCMCCALLAAL</v>
          </cell>
          <cell r="F2915">
            <v>1460</v>
          </cell>
        </row>
        <row r="2916">
          <cell r="E2916" t="str">
            <v>ERWINNCECLECTICAL</v>
          </cell>
          <cell r="F2916">
            <v>1400</v>
          </cell>
        </row>
        <row r="2917">
          <cell r="E2917" t="str">
            <v>ERWINNCROSSVILLETN</v>
          </cell>
          <cell r="F2917">
            <v>1870</v>
          </cell>
        </row>
        <row r="2918">
          <cell r="E2918" t="str">
            <v>ERWINNCCENTREAL</v>
          </cell>
          <cell r="F2918">
            <v>1290</v>
          </cell>
        </row>
        <row r="2919">
          <cell r="E2919" t="str">
            <v>ERWINNCBLYTHEVILLEAR</v>
          </cell>
          <cell r="F2919">
            <v>1890</v>
          </cell>
        </row>
        <row r="2920">
          <cell r="E2920" t="str">
            <v>ERWINNCMOBILEAL</v>
          </cell>
          <cell r="F2920">
            <v>1770</v>
          </cell>
        </row>
        <row r="2921">
          <cell r="E2921" t="str">
            <v>ERWINNCGAINESVILLEGA</v>
          </cell>
          <cell r="F2921">
            <v>970</v>
          </cell>
        </row>
        <row r="2922">
          <cell r="E2922" t="str">
            <v>ERWINNCDAWSONGA</v>
          </cell>
          <cell r="F2922">
            <v>1280</v>
          </cell>
        </row>
        <row r="2923">
          <cell r="E2923" t="str">
            <v>ERWINNCGREENWOODSC</v>
          </cell>
          <cell r="F2923">
            <v>770</v>
          </cell>
        </row>
        <row r="2924">
          <cell r="E2924" t="str">
            <v>ERWINNCBELMONTNC</v>
          </cell>
          <cell r="F2924">
            <v>590</v>
          </cell>
        </row>
        <row r="2925">
          <cell r="E2925" t="str">
            <v>ERWINNCDREWMS</v>
          </cell>
          <cell r="F2925">
            <v>1980</v>
          </cell>
        </row>
        <row r="2926">
          <cell r="E2926" t="str">
            <v>ERWINNCWEST MEMPHISAR</v>
          </cell>
          <cell r="F2926">
            <v>1870</v>
          </cell>
        </row>
        <row r="2927">
          <cell r="E2927" t="str">
            <v>ERWINNCINDIANOLAMS</v>
          </cell>
          <cell r="F2927">
            <v>1960</v>
          </cell>
        </row>
        <row r="2928">
          <cell r="E2928" t="str">
            <v>ERWINNCINDIAN LANDSC</v>
          </cell>
          <cell r="F2928">
            <v>570</v>
          </cell>
        </row>
        <row r="2929">
          <cell r="E2929" t="str">
            <v>ERWINNCRAYVILLELA</v>
          </cell>
          <cell r="F2929">
            <v>2140</v>
          </cell>
        </row>
        <row r="2930">
          <cell r="E2930" t="str">
            <v>ERWINNCMARIONAR</v>
          </cell>
          <cell r="F2930">
            <v>1880</v>
          </cell>
        </row>
        <row r="2931">
          <cell r="E2931" t="str">
            <v>ERWINNCRABUN GAPGA</v>
          </cell>
          <cell r="F2931">
            <v>980</v>
          </cell>
        </row>
        <row r="2932">
          <cell r="E2932" t="str">
            <v>ERWINNCSPARTANC</v>
          </cell>
          <cell r="F2932">
            <v>610</v>
          </cell>
        </row>
        <row r="2933">
          <cell r="E2933" t="str">
            <v>ERWINNCHICKORYNC</v>
          </cell>
          <cell r="F2933">
            <v>610</v>
          </cell>
        </row>
        <row r="2934">
          <cell r="E2934" t="str">
            <v>ERWINNCSTONEVILLENC</v>
          </cell>
          <cell r="F2934">
            <v>520</v>
          </cell>
        </row>
        <row r="2935">
          <cell r="E2935" t="str">
            <v>ERWINNCTHOMASVILLENC</v>
          </cell>
          <cell r="F2935">
            <v>490</v>
          </cell>
        </row>
        <row r="2936">
          <cell r="E2936" t="str">
            <v>ERWINNCPORT WENTWORTHGA</v>
          </cell>
          <cell r="F2936">
            <v>900</v>
          </cell>
        </row>
        <row r="2937">
          <cell r="E2937" t="str">
            <v>ERWINNCPORTSMOUTHVA</v>
          </cell>
          <cell r="F2937">
            <v>630</v>
          </cell>
        </row>
        <row r="2938">
          <cell r="E2938" t="str">
            <v>ERWINNCLOWELLNC</v>
          </cell>
          <cell r="F2938">
            <v>600</v>
          </cell>
        </row>
        <row r="2939">
          <cell r="E2939" t="str">
            <v>ERWINNCGASTONIANC</v>
          </cell>
          <cell r="F2939">
            <v>610</v>
          </cell>
        </row>
        <row r="2940">
          <cell r="E2940" t="str">
            <v>ERWINNCCHARLOTTENC</v>
          </cell>
          <cell r="F2940">
            <v>580</v>
          </cell>
        </row>
        <row r="2941">
          <cell r="E2941" t="str">
            <v>ERWINNCMINERAL SPRINGSNC</v>
          </cell>
          <cell r="F2941">
            <v>550</v>
          </cell>
        </row>
        <row r="2942">
          <cell r="E2942" t="str">
            <v>ERWINNCGULFPORTMS</v>
          </cell>
          <cell r="F2942">
            <v>2040</v>
          </cell>
        </row>
        <row r="2943">
          <cell r="E2943" t="str">
            <v>ERWINNCCLARKTONNC</v>
          </cell>
          <cell r="F2943">
            <v>440</v>
          </cell>
        </row>
        <row r="2944">
          <cell r="E2944" t="str">
            <v>ERWINNCRINCONGA</v>
          </cell>
          <cell r="F2944">
            <v>910</v>
          </cell>
        </row>
        <row r="2945">
          <cell r="E2945" t="str">
            <v>ERWINNCEDENTONNC</v>
          </cell>
          <cell r="F2945">
            <v>570</v>
          </cell>
        </row>
        <row r="2946">
          <cell r="E2946" t="str">
            <v>ERWINNCSALISBURYNC</v>
          </cell>
          <cell r="F2946">
            <v>520</v>
          </cell>
        </row>
        <row r="2947">
          <cell r="E2947" t="str">
            <v>ERWINNCMAYODANNC</v>
          </cell>
          <cell r="F2947">
            <v>520</v>
          </cell>
        </row>
        <row r="2948">
          <cell r="E2948" t="str">
            <v>ERWINNCLUMBERTONNC</v>
          </cell>
          <cell r="F2948">
            <v>410</v>
          </cell>
        </row>
        <row r="2949">
          <cell r="E2949" t="str">
            <v>ERWINNCLEXINGTONNC</v>
          </cell>
          <cell r="F2949">
            <v>490</v>
          </cell>
        </row>
        <row r="2950">
          <cell r="E2950" t="str">
            <v>ERWINNCKINSTONNC</v>
          </cell>
          <cell r="F2950">
            <v>440</v>
          </cell>
        </row>
        <row r="2951">
          <cell r="E2951" t="str">
            <v>ERWINNCSANFORDNC</v>
          </cell>
          <cell r="F2951">
            <v>370</v>
          </cell>
        </row>
        <row r="2952">
          <cell r="E2952" t="str">
            <v>ERWINNCGRIFTONNC</v>
          </cell>
          <cell r="F2952">
            <v>560</v>
          </cell>
        </row>
        <row r="2953">
          <cell r="E2953" t="str">
            <v>ERWINNCSHELBYNC</v>
          </cell>
          <cell r="F2953">
            <v>640</v>
          </cell>
        </row>
        <row r="2954">
          <cell r="E2954" t="str">
            <v>ERWINNCJACKSONVILLEFL</v>
          </cell>
          <cell r="F2954">
            <v>1100</v>
          </cell>
        </row>
        <row r="2955">
          <cell r="E2955" t="str">
            <v>ERWINNCMOCKSVILLENC</v>
          </cell>
          <cell r="F2955">
            <v>540</v>
          </cell>
        </row>
        <row r="2956">
          <cell r="E2956" t="str">
            <v>ERWINNCGarden CityGA</v>
          </cell>
          <cell r="F2956">
            <v>900</v>
          </cell>
        </row>
        <row r="2957">
          <cell r="E2957" t="str">
            <v>ERWINNCROCKINGHAMNC</v>
          </cell>
          <cell r="F2957">
            <v>460</v>
          </cell>
        </row>
        <row r="2958">
          <cell r="E2958" t="str">
            <v>ERWINNCGREERSC</v>
          </cell>
          <cell r="F2958">
            <v>710</v>
          </cell>
        </row>
        <row r="2959">
          <cell r="E2959" t="str">
            <v>ERWINNCROCKFORDTN</v>
          </cell>
          <cell r="F2959">
            <v>1020</v>
          </cell>
        </row>
        <row r="2960">
          <cell r="E2960" t="str">
            <v>EVERETTSNCGREERSC</v>
          </cell>
          <cell r="F2960">
            <v>930</v>
          </cell>
        </row>
        <row r="2961">
          <cell r="E2961" t="str">
            <v>EVERETTSNCDAWSONGA</v>
          </cell>
          <cell r="F2961">
            <v>1520</v>
          </cell>
        </row>
        <row r="2962">
          <cell r="E2962" t="str">
            <v>EVERETTSNCGASTONIANC</v>
          </cell>
          <cell r="F2962">
            <v>780</v>
          </cell>
        </row>
        <row r="2963">
          <cell r="E2963" t="str">
            <v>EVERETTSNCGREENWOODSC</v>
          </cell>
          <cell r="F2963">
            <v>1010</v>
          </cell>
        </row>
        <row r="2964">
          <cell r="E2964" t="str">
            <v>EVERETTSNCINDIAN LANDSC</v>
          </cell>
          <cell r="F2964">
            <v>790</v>
          </cell>
        </row>
        <row r="2965">
          <cell r="E2965" t="str">
            <v>EVERETTSNCROSSVILLETN</v>
          </cell>
          <cell r="F2965">
            <v>2050</v>
          </cell>
        </row>
        <row r="2966">
          <cell r="E2966" t="str">
            <v>EVERETTSNCGAFFNEYSC</v>
          </cell>
          <cell r="F2966">
            <v>850</v>
          </cell>
        </row>
        <row r="2967">
          <cell r="E2967" t="str">
            <v>EVERETTSNCCENTREAL</v>
          </cell>
          <cell r="F2967">
            <v>1470</v>
          </cell>
        </row>
        <row r="2968">
          <cell r="E2968" t="str">
            <v>EVERETTSNCTALLULAHLA</v>
          </cell>
          <cell r="F2968">
            <v>2270</v>
          </cell>
        </row>
        <row r="2969">
          <cell r="E2969" t="str">
            <v>EVERETTSNCECLECTICAL</v>
          </cell>
          <cell r="F2969">
            <v>1630</v>
          </cell>
        </row>
        <row r="2970">
          <cell r="E2970" t="str">
            <v>EVERETTSNCMOBILEAL</v>
          </cell>
          <cell r="F2970">
            <v>2010</v>
          </cell>
        </row>
        <row r="2971">
          <cell r="E2971" t="str">
            <v>EVERETTSNCMCCALLAAL</v>
          </cell>
          <cell r="F2971">
            <v>1660</v>
          </cell>
        </row>
        <row r="2972">
          <cell r="E2972" t="str">
            <v>EVERETTSNCCARTERSVILLEGA</v>
          </cell>
          <cell r="F2972">
            <v>1360</v>
          </cell>
        </row>
        <row r="2973">
          <cell r="E2973" t="str">
            <v>EVERETTSNCBLYTHEVILLEAR</v>
          </cell>
          <cell r="F2973">
            <v>2070</v>
          </cell>
        </row>
        <row r="2974">
          <cell r="E2974" t="str">
            <v>EVERETTSNCMONEYMS</v>
          </cell>
          <cell r="F2974">
            <v>2140</v>
          </cell>
        </row>
        <row r="2975">
          <cell r="E2975" t="str">
            <v>EVERETTSNCDREWMS</v>
          </cell>
          <cell r="F2975">
            <v>2190</v>
          </cell>
        </row>
        <row r="2976">
          <cell r="E2976" t="str">
            <v>EVERETTSNCINDIANOLAMS</v>
          </cell>
          <cell r="F2976">
            <v>2170</v>
          </cell>
        </row>
        <row r="2977">
          <cell r="E2977" t="str">
            <v>EVERETTSNCRAYVILLELA</v>
          </cell>
          <cell r="F2977">
            <v>2350</v>
          </cell>
        </row>
        <row r="2978">
          <cell r="E2978" t="str">
            <v>EVERETTSNCMEMPHISTN</v>
          </cell>
          <cell r="F2978">
            <v>2070</v>
          </cell>
        </row>
        <row r="2979">
          <cell r="E2979" t="str">
            <v>EVERETTSNCJACKSONVILLEFL</v>
          </cell>
          <cell r="F2979">
            <v>1330</v>
          </cell>
        </row>
        <row r="2980">
          <cell r="E2980" t="str">
            <v>EVERETTSNCENOREESC</v>
          </cell>
          <cell r="F2980">
            <v>950</v>
          </cell>
        </row>
        <row r="2981">
          <cell r="E2981" t="str">
            <v>EVERETTSNCWEST MEMPHISAR</v>
          </cell>
          <cell r="F2981">
            <v>2050</v>
          </cell>
        </row>
        <row r="2982">
          <cell r="E2982" t="str">
            <v>EVERETTSNCGAINESVILLEGA</v>
          </cell>
          <cell r="F2982">
            <v>1190</v>
          </cell>
        </row>
        <row r="2983">
          <cell r="E2983" t="str">
            <v>EVERETTSNCMARIONAR</v>
          </cell>
          <cell r="F2983">
            <v>2060</v>
          </cell>
        </row>
        <row r="2984">
          <cell r="E2984" t="str">
            <v>EVERETTSNCTUNICAMS</v>
          </cell>
          <cell r="F2984">
            <v>2120</v>
          </cell>
        </row>
        <row r="2985">
          <cell r="E2985" t="str">
            <v>EVERETTSNCNEW ORLEANSLA</v>
          </cell>
          <cell r="F2985">
            <v>2320</v>
          </cell>
        </row>
        <row r="2986">
          <cell r="E2986" t="str">
            <v>EVERETTSNCSANFORDNC</v>
          </cell>
          <cell r="F2986">
            <v>530</v>
          </cell>
        </row>
        <row r="2987">
          <cell r="E2987" t="str">
            <v>EVERETTSNCNORFOLKVA</v>
          </cell>
          <cell r="F2987">
            <v>500</v>
          </cell>
        </row>
        <row r="2988">
          <cell r="E2988" t="str">
            <v>EVERETTSNCGREENWOODMS</v>
          </cell>
          <cell r="F2988">
            <v>2100</v>
          </cell>
        </row>
        <row r="2989">
          <cell r="E2989" t="str">
            <v>EVERETTSNCRABUN GAPGA</v>
          </cell>
          <cell r="F2989">
            <v>1180</v>
          </cell>
        </row>
        <row r="2990">
          <cell r="E2990" t="str">
            <v>EVERETTSNCERWINNC</v>
          </cell>
          <cell r="F2990">
            <v>500</v>
          </cell>
        </row>
        <row r="2991">
          <cell r="E2991" t="str">
            <v>EVERETTSNCPORTSMOUTHVA</v>
          </cell>
          <cell r="F2991">
            <v>480</v>
          </cell>
        </row>
        <row r="2992">
          <cell r="E2992" t="str">
            <v>EVERETTSNCPORT WENTWORTHGA</v>
          </cell>
          <cell r="F2992">
            <v>1140</v>
          </cell>
        </row>
        <row r="2993">
          <cell r="E2993" t="str">
            <v>EVERETTSNCRINCONGA</v>
          </cell>
          <cell r="F2993">
            <v>1140</v>
          </cell>
        </row>
        <row r="2994">
          <cell r="E2994" t="str">
            <v>EVERETTSNCKINSTONNC</v>
          </cell>
          <cell r="F2994">
            <v>410</v>
          </cell>
        </row>
        <row r="2995">
          <cell r="E2995" t="str">
            <v>EVERETTSNCGarden CityGA</v>
          </cell>
          <cell r="F2995">
            <v>1140</v>
          </cell>
        </row>
        <row r="2996">
          <cell r="E2996" t="str">
            <v>EVERETTSNCGULFPORTMS</v>
          </cell>
          <cell r="F2996">
            <v>2270</v>
          </cell>
        </row>
        <row r="2997">
          <cell r="E2997" t="str">
            <v>EVERETTSNCSALISBURYNC</v>
          </cell>
          <cell r="F2997">
            <v>670</v>
          </cell>
        </row>
        <row r="2998">
          <cell r="E2998" t="str">
            <v>EVERETTSNCCHARLOTTENC</v>
          </cell>
          <cell r="F2998">
            <v>740</v>
          </cell>
        </row>
        <row r="2999">
          <cell r="E2999" t="str">
            <v>EVERETTSNCLUMBERTONNC</v>
          </cell>
          <cell r="F2999">
            <v>580</v>
          </cell>
        </row>
        <row r="3000">
          <cell r="E3000" t="str">
            <v>EVERETTSNCBELMONTNC</v>
          </cell>
          <cell r="F3000">
            <v>760</v>
          </cell>
        </row>
        <row r="3001">
          <cell r="E3001" t="str">
            <v>EVERETTSNCMINERAL SPRINGSNC</v>
          </cell>
          <cell r="F3001">
            <v>710</v>
          </cell>
        </row>
        <row r="3002">
          <cell r="E3002" t="str">
            <v>EVERETTSNCLOWELLNC</v>
          </cell>
          <cell r="F3002">
            <v>770</v>
          </cell>
        </row>
        <row r="3003">
          <cell r="E3003" t="str">
            <v>EVERETTSNCSPARTANC</v>
          </cell>
          <cell r="F3003">
            <v>750</v>
          </cell>
        </row>
        <row r="3004">
          <cell r="E3004" t="str">
            <v>EVERETTSNCHICKORYNC</v>
          </cell>
          <cell r="F3004">
            <v>750</v>
          </cell>
        </row>
        <row r="3005">
          <cell r="E3005" t="str">
            <v>EVERETTSNCSHELBYNC</v>
          </cell>
          <cell r="F3005">
            <v>830</v>
          </cell>
        </row>
        <row r="3006">
          <cell r="E3006" t="str">
            <v>EVERETTSNCTHOMASVILLENC</v>
          </cell>
          <cell r="F3006">
            <v>620</v>
          </cell>
        </row>
        <row r="3007">
          <cell r="E3007" t="str">
            <v>EVERETTSNCMAYODANNC</v>
          </cell>
          <cell r="F3007">
            <v>630</v>
          </cell>
        </row>
        <row r="3008">
          <cell r="E3008" t="str">
            <v>EVERETTSNCSTONEVILLENC</v>
          </cell>
          <cell r="F3008">
            <v>640</v>
          </cell>
        </row>
        <row r="3009">
          <cell r="E3009" t="str">
            <v>EVERETTSNCEDENTONNC</v>
          </cell>
          <cell r="F3009">
            <v>380</v>
          </cell>
        </row>
        <row r="3010">
          <cell r="E3010" t="str">
            <v>EVERETTSNCROCKINGHAMNC</v>
          </cell>
          <cell r="F3010">
            <v>620</v>
          </cell>
        </row>
        <row r="3011">
          <cell r="E3011" t="str">
            <v>EVERETTSNCLEXINGTONNC</v>
          </cell>
          <cell r="F3011">
            <v>640</v>
          </cell>
        </row>
        <row r="3012">
          <cell r="E3012" t="str">
            <v>EVERETTSNCCLARKTONNC</v>
          </cell>
          <cell r="F3012">
            <v>560</v>
          </cell>
        </row>
        <row r="3013">
          <cell r="E3013" t="str">
            <v>EVERETTSNCGRIFTONNC</v>
          </cell>
          <cell r="F3013">
            <v>500</v>
          </cell>
        </row>
        <row r="3014">
          <cell r="E3014" t="str">
            <v>EVERETTSNCMOCKSVILLENC</v>
          </cell>
          <cell r="F3014">
            <v>670</v>
          </cell>
        </row>
        <row r="3015">
          <cell r="E3015" t="str">
            <v>EVERETTSNCROCKFORDTN</v>
          </cell>
          <cell r="F3015">
            <v>1200</v>
          </cell>
        </row>
        <row r="3016">
          <cell r="E3016" t="str">
            <v>FABENSTXDallasTX</v>
          </cell>
          <cell r="F3016">
            <v>972</v>
          </cell>
        </row>
        <row r="3017">
          <cell r="E3017" t="str">
            <v>FABENSTXBaytownTX</v>
          </cell>
          <cell r="F3017">
            <v>1425</v>
          </cell>
        </row>
        <row r="3018">
          <cell r="E3018" t="str">
            <v>FABENSTXHoustonTX</v>
          </cell>
          <cell r="F3018">
            <v>1394</v>
          </cell>
        </row>
        <row r="3019">
          <cell r="E3019" t="str">
            <v>FABENSTXHOUSTONTX</v>
          </cell>
          <cell r="F3019">
            <v>3132</v>
          </cell>
        </row>
        <row r="3020">
          <cell r="E3020" t="str">
            <v>FABENSTXWESLACOTX</v>
          </cell>
          <cell r="F3020">
            <v>1540</v>
          </cell>
        </row>
        <row r="3021">
          <cell r="E3021" t="str">
            <v>FERRIDAYLAROCKFORDTN</v>
          </cell>
          <cell r="F3021">
            <v>1570</v>
          </cell>
        </row>
        <row r="3022">
          <cell r="E3022" t="str">
            <v>FERRIDAYLANORFOLKVA</v>
          </cell>
          <cell r="F3022">
            <v>2610</v>
          </cell>
        </row>
        <row r="3023">
          <cell r="E3023" t="str">
            <v>FERRIDAYLAEDENTONNC</v>
          </cell>
          <cell r="F3023">
            <v>2550</v>
          </cell>
        </row>
        <row r="3024">
          <cell r="E3024" t="str">
            <v>FERRIDAYLASPARTANC</v>
          </cell>
          <cell r="F3024">
            <v>2060</v>
          </cell>
        </row>
        <row r="3025">
          <cell r="E3025" t="str">
            <v>FERRIDAYLATHOMASVILLENC</v>
          </cell>
          <cell r="F3025">
            <v>2020</v>
          </cell>
        </row>
        <row r="3026">
          <cell r="E3026" t="str">
            <v>FERRIDAYLAMAYODANNC</v>
          </cell>
          <cell r="F3026">
            <v>2110</v>
          </cell>
        </row>
        <row r="3027">
          <cell r="E3027" t="str">
            <v>FERRIDAYLAERWINNC</v>
          </cell>
          <cell r="F3027">
            <v>2250</v>
          </cell>
        </row>
        <row r="3028">
          <cell r="E3028" t="str">
            <v>FERRIDAYLASTONEVILLENC</v>
          </cell>
          <cell r="F3028">
            <v>2120</v>
          </cell>
        </row>
        <row r="3029">
          <cell r="E3029" t="str">
            <v>FERRIDAYLAPORTSMOUTHVA</v>
          </cell>
          <cell r="F3029">
            <v>2590</v>
          </cell>
        </row>
        <row r="3030">
          <cell r="E3030" t="str">
            <v>FERRIDAYLAMOCKSVILLENC</v>
          </cell>
          <cell r="F3030">
            <v>1990</v>
          </cell>
        </row>
        <row r="3031">
          <cell r="E3031" t="str">
            <v>FERRIDAYLAENOREESC</v>
          </cell>
          <cell r="F3031">
            <v>1720</v>
          </cell>
        </row>
        <row r="3032">
          <cell r="E3032" t="str">
            <v>FERRIDAYLASANFORDNC</v>
          </cell>
          <cell r="F3032">
            <v>2160</v>
          </cell>
        </row>
        <row r="3033">
          <cell r="E3033" t="str">
            <v>FERRIDAYLAGREERSC</v>
          </cell>
          <cell r="F3033">
            <v>1660</v>
          </cell>
        </row>
        <row r="3034">
          <cell r="E3034" t="str">
            <v>FERRIDAYLABELMONTNC</v>
          </cell>
          <cell r="F3034">
            <v>1830</v>
          </cell>
        </row>
        <row r="3035">
          <cell r="E3035" t="str">
            <v>FERRIDAYLACLARKTONNC</v>
          </cell>
          <cell r="F3035">
            <v>2160</v>
          </cell>
        </row>
        <row r="3036">
          <cell r="E3036" t="str">
            <v>FERRIDAYLAJACKSONVILLEFL</v>
          </cell>
          <cell r="F3036">
            <v>1640</v>
          </cell>
        </row>
        <row r="3037">
          <cell r="E3037" t="str">
            <v>FERRIDAYLAROCKINGHAMNC</v>
          </cell>
          <cell r="F3037">
            <v>2030</v>
          </cell>
        </row>
        <row r="3038">
          <cell r="E3038" t="str">
            <v>FERRIDAYLASALISBURYNC</v>
          </cell>
          <cell r="F3038">
            <v>1950</v>
          </cell>
        </row>
        <row r="3039">
          <cell r="E3039" t="str">
            <v>FERRIDAYLALOWELLNC</v>
          </cell>
          <cell r="F3039">
            <v>1820</v>
          </cell>
        </row>
        <row r="3040">
          <cell r="E3040" t="str">
            <v>FERRIDAYLADAWSONGA</v>
          </cell>
          <cell r="F3040">
            <v>1300</v>
          </cell>
        </row>
        <row r="3041">
          <cell r="E3041" t="str">
            <v>FERRIDAYLAGAFFNEYSC</v>
          </cell>
          <cell r="F3041">
            <v>1740</v>
          </cell>
        </row>
        <row r="3042">
          <cell r="E3042" t="str">
            <v>FERRIDAYLAKINSTONNC</v>
          </cell>
          <cell r="F3042">
            <v>2400</v>
          </cell>
        </row>
        <row r="3043">
          <cell r="E3043" t="str">
            <v>FERRIDAYLASHELBYNC</v>
          </cell>
          <cell r="F3043">
            <v>1780</v>
          </cell>
        </row>
        <row r="3044">
          <cell r="E3044" t="str">
            <v>FERRIDAYLAHICKORYNC</v>
          </cell>
          <cell r="F3044">
            <v>1890</v>
          </cell>
        </row>
        <row r="3045">
          <cell r="E3045" t="str">
            <v>FERRIDAYLALUMBERTONNC</v>
          </cell>
          <cell r="F3045">
            <v>2110</v>
          </cell>
        </row>
        <row r="3046">
          <cell r="E3046" t="str">
            <v>FERRIDAYLAGASTONIANC</v>
          </cell>
          <cell r="F3046">
            <v>1810</v>
          </cell>
        </row>
        <row r="3047">
          <cell r="E3047" t="str">
            <v>FERRIDAYLAMINERAL SPRINGSNC</v>
          </cell>
          <cell r="F3047">
            <v>1920</v>
          </cell>
        </row>
        <row r="3048">
          <cell r="E3048" t="str">
            <v>FERRIDAYLALEXINGTONNC</v>
          </cell>
          <cell r="F3048">
            <v>1990</v>
          </cell>
        </row>
        <row r="3049">
          <cell r="E3049" t="str">
            <v>FERRIDAYLACHARLOTTENC</v>
          </cell>
          <cell r="F3049">
            <v>1860</v>
          </cell>
        </row>
        <row r="3050">
          <cell r="E3050" t="str">
            <v>FERRIDAYLAINDIAN LANDSC</v>
          </cell>
          <cell r="F3050">
            <v>1890</v>
          </cell>
        </row>
        <row r="3051">
          <cell r="E3051" t="str">
            <v>FERRIDAYLAGAINESVILLEGA</v>
          </cell>
          <cell r="F3051">
            <v>1430</v>
          </cell>
        </row>
        <row r="3052">
          <cell r="E3052" t="str">
            <v>FERRIDAYLAECLECTICAL</v>
          </cell>
          <cell r="F3052">
            <v>1060</v>
          </cell>
        </row>
        <row r="3053">
          <cell r="E3053" t="str">
            <v>FERRIDAYLAGREENWOODSC</v>
          </cell>
          <cell r="F3053">
            <v>1650</v>
          </cell>
        </row>
        <row r="3054">
          <cell r="E3054" t="str">
            <v>FERRIDAYLAROSSVILLETN</v>
          </cell>
          <cell r="F3054">
            <v>940</v>
          </cell>
        </row>
        <row r="3055">
          <cell r="E3055" t="str">
            <v>FERRIDAYLABLYTHEVILLEAR</v>
          </cell>
          <cell r="F3055">
            <v>1050</v>
          </cell>
        </row>
        <row r="3056">
          <cell r="E3056" t="str">
            <v>FERRIDAYLAMCCALLAAL</v>
          </cell>
          <cell r="F3056">
            <v>910</v>
          </cell>
        </row>
        <row r="3057">
          <cell r="E3057" t="str">
            <v>FERRIDAYLACENTREAL</v>
          </cell>
          <cell r="F3057">
            <v>1150</v>
          </cell>
        </row>
        <row r="3058">
          <cell r="E3058" t="str">
            <v>FERRIDAYLAPORT WENTWORTHGA</v>
          </cell>
          <cell r="F3058">
            <v>1970</v>
          </cell>
        </row>
        <row r="3059">
          <cell r="E3059" t="str">
            <v>FERRIDAYLAGRIFTONNC</v>
          </cell>
          <cell r="F3059">
            <v>2530</v>
          </cell>
        </row>
        <row r="3060">
          <cell r="E3060" t="str">
            <v>FERRIDAYLARABUN GAPGA</v>
          </cell>
          <cell r="F3060">
            <v>1670</v>
          </cell>
        </row>
        <row r="3061">
          <cell r="E3061" t="str">
            <v>FERRIDAYLAMARIONAR</v>
          </cell>
          <cell r="F3061">
            <v>920</v>
          </cell>
        </row>
        <row r="3062">
          <cell r="E3062" t="str">
            <v>FERRIDAYLAMEMPHISTN</v>
          </cell>
          <cell r="F3062">
            <v>800</v>
          </cell>
        </row>
        <row r="3063">
          <cell r="E3063" t="str">
            <v>FERRIDAYLAWEST MEMPHISAR</v>
          </cell>
          <cell r="F3063">
            <v>910</v>
          </cell>
        </row>
        <row r="3064">
          <cell r="E3064" t="str">
            <v>FERRIDAYLAMONEYMS</v>
          </cell>
          <cell r="F3064">
            <v>640</v>
          </cell>
        </row>
        <row r="3065">
          <cell r="E3065" t="str">
            <v>FERRIDAYLATUNICAMS</v>
          </cell>
          <cell r="F3065">
            <v>720</v>
          </cell>
        </row>
        <row r="3066">
          <cell r="E3066" t="str">
            <v>FERRIDAYLAGarden CityGA</v>
          </cell>
          <cell r="F3066">
            <v>1960</v>
          </cell>
        </row>
        <row r="3067">
          <cell r="E3067" t="str">
            <v>FERRIDAYLARINCONGA</v>
          </cell>
          <cell r="F3067">
            <v>1990</v>
          </cell>
        </row>
        <row r="3068">
          <cell r="E3068" t="str">
            <v>FERRIDAYLATALLULAHLA</v>
          </cell>
          <cell r="F3068">
            <v>420</v>
          </cell>
        </row>
        <row r="3069">
          <cell r="E3069" t="str">
            <v>FERRIDAYLAGULFPORTMS</v>
          </cell>
          <cell r="F3069">
            <v>780</v>
          </cell>
        </row>
        <row r="3070">
          <cell r="E3070" t="str">
            <v>FERRIDAYLARAYVILLELA</v>
          </cell>
          <cell r="F3070">
            <v>420</v>
          </cell>
        </row>
        <row r="3071">
          <cell r="E3071" t="str">
            <v>FERRIDAYLACARTERSVILLEGA</v>
          </cell>
          <cell r="F3071">
            <v>1300</v>
          </cell>
        </row>
        <row r="3072">
          <cell r="E3072" t="str">
            <v>FERRIDAYLAMOBILEAL</v>
          </cell>
          <cell r="F3072">
            <v>720</v>
          </cell>
        </row>
        <row r="3073">
          <cell r="E3073" t="str">
            <v>FERRIDAYLAINDIANOLAMS</v>
          </cell>
          <cell r="F3073">
            <v>580</v>
          </cell>
        </row>
        <row r="3074">
          <cell r="E3074" t="str">
            <v>FERRIDAYLAGREENWOODMS</v>
          </cell>
          <cell r="F3074">
            <v>610</v>
          </cell>
        </row>
        <row r="3075">
          <cell r="E3075" t="str">
            <v>FERRIDAYLANEW ORLEANSLA</v>
          </cell>
          <cell r="F3075">
            <v>600</v>
          </cell>
        </row>
        <row r="3076">
          <cell r="E3076" t="str">
            <v>FERRIDAYLADREWMS</v>
          </cell>
          <cell r="F3076">
            <v>620</v>
          </cell>
        </row>
        <row r="3077">
          <cell r="E3077" t="str">
            <v>FERRIDAYLAHoustonTX</v>
          </cell>
          <cell r="F3077">
            <v>963</v>
          </cell>
        </row>
        <row r="3078">
          <cell r="E3078" t="str">
            <v>FERRIDAYLABaytownTX</v>
          </cell>
          <cell r="F3078">
            <v>911</v>
          </cell>
        </row>
        <row r="3079">
          <cell r="E3079" t="str">
            <v>FERRIDAYLAWESLACOTX</v>
          </cell>
          <cell r="F3079">
            <v>1156</v>
          </cell>
        </row>
        <row r="3080">
          <cell r="E3080" t="str">
            <v>FLORENCEALROCKFORDTN</v>
          </cell>
          <cell r="F3080">
            <v>790</v>
          </cell>
        </row>
        <row r="3081">
          <cell r="E3081" t="str">
            <v>FLORENCEALDAWSONGA</v>
          </cell>
          <cell r="F3081">
            <v>900</v>
          </cell>
        </row>
        <row r="3082">
          <cell r="E3082" t="str">
            <v>FLORENCEALTHOMASVILLENC</v>
          </cell>
          <cell r="F3082">
            <v>1390</v>
          </cell>
        </row>
        <row r="3083">
          <cell r="E3083" t="str">
            <v>FLORENCEALENOREESC</v>
          </cell>
          <cell r="F3083">
            <v>1170</v>
          </cell>
        </row>
        <row r="3084">
          <cell r="E3084" t="str">
            <v>FLORENCEALGREERSC</v>
          </cell>
          <cell r="F3084">
            <v>1120</v>
          </cell>
        </row>
        <row r="3085">
          <cell r="E3085" t="str">
            <v>FLORENCEALLOWELLNC</v>
          </cell>
          <cell r="F3085">
            <v>1280</v>
          </cell>
        </row>
        <row r="3086">
          <cell r="E3086" t="str">
            <v>FLORENCEALMONEYMS</v>
          </cell>
          <cell r="F3086">
            <v>690</v>
          </cell>
        </row>
        <row r="3087">
          <cell r="E3087" t="str">
            <v>FLORENCEALLEXINGTONNC</v>
          </cell>
          <cell r="F3087">
            <v>1360</v>
          </cell>
        </row>
        <row r="3088">
          <cell r="E3088" t="str">
            <v>FLORENCEALBELMONTNC</v>
          </cell>
          <cell r="F3088">
            <v>1290</v>
          </cell>
        </row>
        <row r="3089">
          <cell r="E3089" t="str">
            <v>FLORENCEALRAYVILLELA</v>
          </cell>
          <cell r="F3089">
            <v>1030</v>
          </cell>
        </row>
        <row r="3090">
          <cell r="E3090" t="str">
            <v>FLORENCEALGASTONIANC</v>
          </cell>
          <cell r="F3090">
            <v>1270</v>
          </cell>
        </row>
        <row r="3091">
          <cell r="E3091" t="str">
            <v>FLORENCEALGAFFNEYSC</v>
          </cell>
          <cell r="F3091">
            <v>1200</v>
          </cell>
        </row>
        <row r="3092">
          <cell r="E3092" t="str">
            <v>FLORENCEALJACKSONVILLEFL</v>
          </cell>
          <cell r="F3092">
            <v>1410</v>
          </cell>
        </row>
        <row r="3093">
          <cell r="E3093" t="str">
            <v>FLORENCEALSPARTANC</v>
          </cell>
          <cell r="F3093">
            <v>1290</v>
          </cell>
        </row>
        <row r="3094">
          <cell r="E3094" t="str">
            <v>FLORENCEALCHARLOTTENC</v>
          </cell>
          <cell r="F3094">
            <v>1320</v>
          </cell>
        </row>
        <row r="3095">
          <cell r="E3095" t="str">
            <v>FLORENCEALMAYODANNC</v>
          </cell>
          <cell r="F3095">
            <v>1450</v>
          </cell>
        </row>
        <row r="3096">
          <cell r="E3096" t="str">
            <v>FLORENCEALTUNICAMS</v>
          </cell>
          <cell r="F3096">
            <v>610</v>
          </cell>
        </row>
        <row r="3097">
          <cell r="E3097" t="str">
            <v>FLORENCEALGAINESVILLEGA</v>
          </cell>
          <cell r="F3097">
            <v>890</v>
          </cell>
        </row>
        <row r="3098">
          <cell r="E3098" t="str">
            <v>FLORENCEALMINERAL SPRINGSNC</v>
          </cell>
          <cell r="F3098">
            <v>1380</v>
          </cell>
        </row>
        <row r="3099">
          <cell r="E3099" t="str">
            <v>FLORENCEALSANFORDNC</v>
          </cell>
          <cell r="F3099">
            <v>1560</v>
          </cell>
        </row>
        <row r="3100">
          <cell r="E3100" t="str">
            <v>FLORENCEALSTONEVILLENC</v>
          </cell>
          <cell r="F3100">
            <v>1460</v>
          </cell>
        </row>
        <row r="3101">
          <cell r="E3101" t="str">
            <v>FLORENCEALEDENTONNC</v>
          </cell>
          <cell r="F3101">
            <v>1920</v>
          </cell>
        </row>
        <row r="3102">
          <cell r="E3102" t="str">
            <v>FLORENCEALINDIANOLAMS</v>
          </cell>
          <cell r="F3102">
            <v>780</v>
          </cell>
        </row>
        <row r="3103">
          <cell r="E3103" t="str">
            <v>FLORENCEALTALLULAHLA</v>
          </cell>
          <cell r="F3103">
            <v>950</v>
          </cell>
        </row>
        <row r="3104">
          <cell r="E3104" t="str">
            <v>FLORENCEALGREENWOODSC</v>
          </cell>
          <cell r="F3104">
            <v>1100</v>
          </cell>
        </row>
        <row r="3105">
          <cell r="E3105" t="str">
            <v>FLORENCEALKINSTONNC</v>
          </cell>
          <cell r="F3105">
            <v>1790</v>
          </cell>
        </row>
        <row r="3106">
          <cell r="E3106" t="str">
            <v>FLORENCEALBLYTHEVILLEAR</v>
          </cell>
          <cell r="F3106">
            <v>670</v>
          </cell>
        </row>
        <row r="3107">
          <cell r="E3107" t="str">
            <v>FLORENCEALINDIAN LANDSC</v>
          </cell>
          <cell r="F3107">
            <v>1340</v>
          </cell>
        </row>
        <row r="3108">
          <cell r="E3108" t="str">
            <v>FLORENCEALMEMPHISTN</v>
          </cell>
          <cell r="F3108">
            <v>570</v>
          </cell>
        </row>
        <row r="3109">
          <cell r="E3109" t="str">
            <v>FLORENCEALMOCKSVILLENC</v>
          </cell>
          <cell r="F3109">
            <v>1320</v>
          </cell>
        </row>
        <row r="3110">
          <cell r="E3110" t="str">
            <v>FLORENCEALMOBILEAL</v>
          </cell>
          <cell r="F3110">
            <v>1000</v>
          </cell>
        </row>
        <row r="3111">
          <cell r="E3111" t="str">
            <v>FLORENCEALNEW ORLEANSLA</v>
          </cell>
          <cell r="F3111">
            <v>1090</v>
          </cell>
        </row>
        <row r="3112">
          <cell r="E3112" t="str">
            <v>FLORENCEALWEST MEMPHISAR</v>
          </cell>
          <cell r="F3112">
            <v>580</v>
          </cell>
        </row>
        <row r="3113">
          <cell r="E3113" t="str">
            <v>FLORENCEALMCCALLAAL</v>
          </cell>
          <cell r="F3113">
            <v>550</v>
          </cell>
        </row>
        <row r="3114">
          <cell r="E3114" t="str">
            <v>FLORENCEALMARIONAR</v>
          </cell>
          <cell r="F3114">
            <v>590</v>
          </cell>
        </row>
        <row r="3115">
          <cell r="E3115" t="str">
            <v>FLORENCEALROSSVILLETN</v>
          </cell>
          <cell r="F3115">
            <v>540</v>
          </cell>
        </row>
        <row r="3116">
          <cell r="E3116" t="str">
            <v>FLORENCEALCENTREAL</v>
          </cell>
          <cell r="F3116">
            <v>560</v>
          </cell>
        </row>
        <row r="3117">
          <cell r="E3117" t="str">
            <v>FLORENCEALGULFPORTMS</v>
          </cell>
          <cell r="F3117">
            <v>1100</v>
          </cell>
        </row>
        <row r="3118">
          <cell r="E3118" t="str">
            <v>FLORENCEALSHELBYNC</v>
          </cell>
          <cell r="F3118">
            <v>1210</v>
          </cell>
        </row>
        <row r="3119">
          <cell r="E3119" t="str">
            <v>FLORENCEALGREENWOODMS</v>
          </cell>
          <cell r="F3119">
            <v>710</v>
          </cell>
        </row>
        <row r="3120">
          <cell r="E3120" t="str">
            <v>FLORENCEALHICKORYNC</v>
          </cell>
          <cell r="F3120">
            <v>1220</v>
          </cell>
        </row>
        <row r="3121">
          <cell r="E3121" t="str">
            <v>FLORENCEALCARTERSVILLEGA</v>
          </cell>
          <cell r="F3121">
            <v>650</v>
          </cell>
        </row>
        <row r="3122">
          <cell r="E3122" t="str">
            <v>FLORENCEALRINCONGA</v>
          </cell>
          <cell r="F3122">
            <v>1440</v>
          </cell>
        </row>
        <row r="3123">
          <cell r="E3123" t="str">
            <v>FLORENCEALGarden CityGA</v>
          </cell>
          <cell r="F3123">
            <v>1410</v>
          </cell>
        </row>
        <row r="3124">
          <cell r="E3124" t="str">
            <v>FLORENCEALSALISBURYNC</v>
          </cell>
          <cell r="F3124">
            <v>1340</v>
          </cell>
        </row>
        <row r="3125">
          <cell r="E3125" t="str">
            <v>FLORENCEALRABUN GAPGA</v>
          </cell>
          <cell r="F3125">
            <v>920</v>
          </cell>
        </row>
        <row r="3126">
          <cell r="E3126" t="str">
            <v>FLORENCEALPORT WENTWORTHGA</v>
          </cell>
          <cell r="F3126">
            <v>1430</v>
          </cell>
        </row>
        <row r="3127">
          <cell r="E3127" t="str">
            <v>FLORENCEALECLECTICAL</v>
          </cell>
          <cell r="F3127">
            <v>660</v>
          </cell>
        </row>
        <row r="3128">
          <cell r="E3128" t="str">
            <v>FLORENCEALDREWMS</v>
          </cell>
          <cell r="F3128">
            <v>680</v>
          </cell>
        </row>
        <row r="3129">
          <cell r="E3129" t="str">
            <v>FLORENCEALNORFOLKVA</v>
          </cell>
          <cell r="F3129">
            <v>1970</v>
          </cell>
        </row>
        <row r="3130">
          <cell r="E3130" t="str">
            <v>FLORENCEALPORTSMOUTHVA</v>
          </cell>
          <cell r="F3130">
            <v>1950</v>
          </cell>
        </row>
        <row r="3131">
          <cell r="E3131" t="str">
            <v>FLORENCEALROCKINGHAMNC</v>
          </cell>
          <cell r="F3131">
            <v>1490</v>
          </cell>
        </row>
        <row r="3132">
          <cell r="E3132" t="str">
            <v>FLORENCEALCLARKTONNC</v>
          </cell>
          <cell r="F3132">
            <v>1620</v>
          </cell>
        </row>
        <row r="3133">
          <cell r="E3133" t="str">
            <v>FLORENCEALGRIFTONNC</v>
          </cell>
          <cell r="F3133">
            <v>1930</v>
          </cell>
        </row>
        <row r="3134">
          <cell r="E3134" t="str">
            <v>FLORENCEALLUMBERTONNC</v>
          </cell>
          <cell r="F3134">
            <v>1570</v>
          </cell>
        </row>
        <row r="3135">
          <cell r="E3135" t="str">
            <v>FLORENCEALERWINNC</v>
          </cell>
          <cell r="F3135">
            <v>1630</v>
          </cell>
        </row>
        <row r="3136">
          <cell r="E3136" t="str">
            <v>FLOWER MOUNDTXHoustonTX</v>
          </cell>
          <cell r="F3136">
            <v>698</v>
          </cell>
        </row>
        <row r="3137">
          <cell r="E3137" t="str">
            <v>FLOWER MOUNDTXBaytownTX</v>
          </cell>
          <cell r="F3137">
            <v>738</v>
          </cell>
        </row>
        <row r="3138">
          <cell r="E3138" t="str">
            <v>FLOWER MOUNDTXDallasTX</v>
          </cell>
          <cell r="F3138">
            <v>316</v>
          </cell>
        </row>
        <row r="3139">
          <cell r="E3139" t="str">
            <v>FORREST CITYARROCKFORDTN</v>
          </cell>
          <cell r="F3139">
            <v>1150</v>
          </cell>
        </row>
        <row r="3140">
          <cell r="E3140" t="str">
            <v>FORREST CITYARKINSTONNC</v>
          </cell>
          <cell r="F3140">
            <v>2160</v>
          </cell>
        </row>
        <row r="3141">
          <cell r="E3141" t="str">
            <v>FORREST CITYARMAYODANNC</v>
          </cell>
          <cell r="F3141">
            <v>1810</v>
          </cell>
        </row>
        <row r="3142">
          <cell r="E3142" t="str">
            <v>FORREST CITYARSTONEVILLENC</v>
          </cell>
          <cell r="F3142">
            <v>1820</v>
          </cell>
        </row>
        <row r="3143">
          <cell r="E3143" t="str">
            <v>FORREST CITYARCLARKTONNC</v>
          </cell>
          <cell r="F3143">
            <v>1990</v>
          </cell>
        </row>
        <row r="3144">
          <cell r="E3144" t="str">
            <v>FORREST CITYARLUMBERTONNC</v>
          </cell>
          <cell r="F3144">
            <v>1940</v>
          </cell>
        </row>
        <row r="3145">
          <cell r="E3145" t="str">
            <v>FORREST CITYARERWINNC</v>
          </cell>
          <cell r="F3145">
            <v>1990</v>
          </cell>
        </row>
        <row r="3146">
          <cell r="E3146" t="str">
            <v>FORREST CITYARINDIAN LANDSC</v>
          </cell>
          <cell r="F3146">
            <v>1690</v>
          </cell>
        </row>
        <row r="3147">
          <cell r="E3147" t="str">
            <v>FORREST CITYARTHOMASVILLENC</v>
          </cell>
          <cell r="F3147">
            <v>1750</v>
          </cell>
        </row>
        <row r="3148">
          <cell r="E3148" t="str">
            <v>FORREST CITYARMOCKSVILLENC</v>
          </cell>
          <cell r="F3148">
            <v>1680</v>
          </cell>
        </row>
        <row r="3149">
          <cell r="E3149" t="str">
            <v>FORREST CITYARLOWELLNC</v>
          </cell>
          <cell r="F3149">
            <v>1630</v>
          </cell>
        </row>
        <row r="3150">
          <cell r="E3150" t="str">
            <v>FORREST CITYARLEXINGTONNC</v>
          </cell>
          <cell r="F3150">
            <v>1720</v>
          </cell>
        </row>
        <row r="3151">
          <cell r="E3151" t="str">
            <v>FORREST CITYARBELMONTNC</v>
          </cell>
          <cell r="F3151">
            <v>1640</v>
          </cell>
        </row>
        <row r="3152">
          <cell r="E3152" t="str">
            <v>FORREST CITYARGASTONIANC</v>
          </cell>
          <cell r="F3152">
            <v>1620</v>
          </cell>
        </row>
        <row r="3153">
          <cell r="E3153" t="str">
            <v>FORREST CITYARROCKINGHAMNC</v>
          </cell>
          <cell r="F3153">
            <v>1840</v>
          </cell>
        </row>
        <row r="3154">
          <cell r="E3154" t="str">
            <v>FORREST CITYARCHARLOTTENC</v>
          </cell>
          <cell r="F3154">
            <v>1670</v>
          </cell>
        </row>
        <row r="3155">
          <cell r="E3155" t="str">
            <v>FORREST CITYARSALISBURYNC</v>
          </cell>
          <cell r="F3155">
            <v>1700</v>
          </cell>
        </row>
        <row r="3156">
          <cell r="E3156" t="str">
            <v>FORREST CITYARMINERAL SPRINGSNC</v>
          </cell>
          <cell r="F3156">
            <v>1730</v>
          </cell>
        </row>
        <row r="3157">
          <cell r="E3157" t="str">
            <v>FORREST CITYARENOREESC</v>
          </cell>
          <cell r="F3157">
            <v>1540</v>
          </cell>
        </row>
        <row r="3158">
          <cell r="E3158" t="str">
            <v>FORREST CITYARSPARTANC</v>
          </cell>
          <cell r="F3158">
            <v>1650</v>
          </cell>
        </row>
        <row r="3159">
          <cell r="E3159" t="str">
            <v>FORREST CITYARSHELBYNC</v>
          </cell>
          <cell r="F3159">
            <v>1570</v>
          </cell>
        </row>
        <row r="3160">
          <cell r="E3160" t="str">
            <v>FORREST CITYARRAYVILLELA</v>
          </cell>
          <cell r="F3160">
            <v>700</v>
          </cell>
        </row>
        <row r="3161">
          <cell r="E3161" t="str">
            <v>FORREST CITYARHICKORYNC</v>
          </cell>
          <cell r="F3161">
            <v>1580</v>
          </cell>
        </row>
        <row r="3162">
          <cell r="E3162" t="str">
            <v>FORREST CITYARMCCALLAAL</v>
          </cell>
          <cell r="F3162">
            <v>820</v>
          </cell>
        </row>
        <row r="3163">
          <cell r="E3163" t="str">
            <v>FORREST CITYARRABUN GAPGA</v>
          </cell>
          <cell r="F3163">
            <v>1480</v>
          </cell>
        </row>
        <row r="3164">
          <cell r="E3164" t="str">
            <v>FORREST CITYARGULFPORTMS</v>
          </cell>
          <cell r="F3164">
            <v>1170</v>
          </cell>
        </row>
        <row r="3165">
          <cell r="E3165" t="str">
            <v>FORREST CITYARGREENWOODMS</v>
          </cell>
          <cell r="F3165">
            <v>520</v>
          </cell>
        </row>
        <row r="3166">
          <cell r="E3166" t="str">
            <v>FORREST CITYARMONEYMS</v>
          </cell>
          <cell r="F3166">
            <v>510</v>
          </cell>
        </row>
        <row r="3167">
          <cell r="E3167" t="str">
            <v>FORREST CITYARROSSVILLETN</v>
          </cell>
          <cell r="F3167">
            <v>450</v>
          </cell>
        </row>
        <row r="3168">
          <cell r="E3168" t="str">
            <v>FORREST CITYARTUNICAMS</v>
          </cell>
          <cell r="F3168">
            <v>450</v>
          </cell>
        </row>
        <row r="3169">
          <cell r="E3169" t="str">
            <v>FORREST CITYARDREWMS</v>
          </cell>
          <cell r="F3169">
            <v>480</v>
          </cell>
        </row>
        <row r="3170">
          <cell r="E3170" t="str">
            <v>FORREST CITYARINDIANOLAMS</v>
          </cell>
          <cell r="F3170">
            <v>530</v>
          </cell>
        </row>
        <row r="3171">
          <cell r="E3171" t="str">
            <v>FORREST CITYARSANFORDNC</v>
          </cell>
          <cell r="F3171">
            <v>1920</v>
          </cell>
        </row>
        <row r="3172">
          <cell r="E3172" t="str">
            <v>FORREST CITYARGRIFTONNC</v>
          </cell>
          <cell r="F3172">
            <v>2290</v>
          </cell>
        </row>
        <row r="3173">
          <cell r="E3173" t="str">
            <v>FORREST CITYARGREERSC</v>
          </cell>
          <cell r="F3173">
            <v>1490</v>
          </cell>
        </row>
        <row r="3174">
          <cell r="E3174" t="str">
            <v>FORREST CITYARBLYTHEVILLEAR</v>
          </cell>
          <cell r="F3174">
            <v>470</v>
          </cell>
        </row>
        <row r="3175">
          <cell r="E3175" t="str">
            <v>FORREST CITYARTALLULAHLA</v>
          </cell>
          <cell r="F3175">
            <v>670</v>
          </cell>
        </row>
        <row r="3176">
          <cell r="E3176" t="str">
            <v>FORREST CITYARRINCONGA</v>
          </cell>
          <cell r="F3176">
            <v>1810</v>
          </cell>
        </row>
        <row r="3177">
          <cell r="E3177" t="str">
            <v>FORREST CITYARCARTERSVILLEGA</v>
          </cell>
          <cell r="F3177">
            <v>1120</v>
          </cell>
        </row>
        <row r="3178">
          <cell r="E3178" t="str">
            <v>FORREST CITYARCENTREAL</v>
          </cell>
          <cell r="F3178">
            <v>980</v>
          </cell>
        </row>
        <row r="3179">
          <cell r="E3179" t="str">
            <v>FORREST CITYARPORT WENTWORTHGA</v>
          </cell>
          <cell r="F3179">
            <v>1800</v>
          </cell>
        </row>
        <row r="3180">
          <cell r="E3180" t="str">
            <v>FORREST CITYARMOBILEAL</v>
          </cell>
          <cell r="F3180">
            <v>1140</v>
          </cell>
        </row>
        <row r="3181">
          <cell r="E3181" t="str">
            <v>FORREST CITYARNEW ORLEANSLA</v>
          </cell>
          <cell r="F3181">
            <v>1140</v>
          </cell>
        </row>
        <row r="3182">
          <cell r="E3182" t="str">
            <v>FORREST CITYARGarden CityGA</v>
          </cell>
          <cell r="F3182">
            <v>1780</v>
          </cell>
        </row>
        <row r="3183">
          <cell r="E3183" t="str">
            <v>FORREST CITYARWEST MEMPHISAR</v>
          </cell>
          <cell r="F3183">
            <v>380</v>
          </cell>
        </row>
        <row r="3184">
          <cell r="E3184" t="str">
            <v>FORREST CITYARMEMPHISTN</v>
          </cell>
          <cell r="F3184">
            <v>400</v>
          </cell>
        </row>
        <row r="3185">
          <cell r="E3185" t="str">
            <v>FORREST CITYARMARIONAR</v>
          </cell>
          <cell r="F3185">
            <v>380</v>
          </cell>
        </row>
        <row r="3186">
          <cell r="E3186" t="str">
            <v>FORREST CITYARDAWSONGA</v>
          </cell>
          <cell r="F3186">
            <v>1270</v>
          </cell>
        </row>
        <row r="3187">
          <cell r="E3187" t="str">
            <v>FORREST CITYARNORFOLKVA</v>
          </cell>
          <cell r="F3187">
            <v>2330</v>
          </cell>
        </row>
        <row r="3188">
          <cell r="E3188" t="str">
            <v>FORREST CITYARPORTSMOUTHVA</v>
          </cell>
          <cell r="F3188">
            <v>2320</v>
          </cell>
        </row>
        <row r="3189">
          <cell r="E3189" t="str">
            <v>FORREST CITYARGREENWOODSC</v>
          </cell>
          <cell r="F3189">
            <v>1470</v>
          </cell>
        </row>
        <row r="3190">
          <cell r="E3190" t="str">
            <v>FORREST CITYAREDENTONNC</v>
          </cell>
          <cell r="F3190">
            <v>2280</v>
          </cell>
        </row>
        <row r="3191">
          <cell r="E3191" t="str">
            <v>FORREST CITYARGAINESVILLEGA</v>
          </cell>
          <cell r="F3191">
            <v>1250</v>
          </cell>
        </row>
        <row r="3192">
          <cell r="E3192" t="str">
            <v>FORREST CITYARJACKSONVILLEFL</v>
          </cell>
          <cell r="F3192">
            <v>1780</v>
          </cell>
        </row>
        <row r="3193">
          <cell r="E3193" t="str">
            <v>FORREST CITYARGAFFNEYSC</v>
          </cell>
          <cell r="F3193">
            <v>1560</v>
          </cell>
        </row>
        <row r="3194">
          <cell r="E3194" t="str">
            <v>FORREST CITYARECLECTICAL</v>
          </cell>
          <cell r="F3194">
            <v>1000</v>
          </cell>
        </row>
        <row r="3195">
          <cell r="E3195" t="str">
            <v>Fort WorthTXHoustonTX</v>
          </cell>
          <cell r="F3195">
            <v>685</v>
          </cell>
        </row>
        <row r="3196">
          <cell r="E3196" t="str">
            <v>Fort WorthTXBaytownTX</v>
          </cell>
          <cell r="F3196">
            <v>725</v>
          </cell>
        </row>
        <row r="3197">
          <cell r="E3197" t="str">
            <v>Fort WorthTXDallasTX</v>
          </cell>
          <cell r="F3197">
            <v>315</v>
          </cell>
        </row>
        <row r="3198">
          <cell r="E3198" t="str">
            <v>FORT WORTHTXHASLETTX</v>
          </cell>
          <cell r="F3198">
            <v>269</v>
          </cell>
        </row>
        <row r="3199">
          <cell r="E3199" t="str">
            <v>FORT WORTHTXWILMERTX</v>
          </cell>
          <cell r="F3199">
            <v>321</v>
          </cell>
        </row>
        <row r="3200">
          <cell r="E3200" t="str">
            <v>FORT WORTHTXWYLIETX</v>
          </cell>
          <cell r="F3200">
            <v>423</v>
          </cell>
        </row>
        <row r="3201">
          <cell r="E3201" t="str">
            <v>FORT WORTHTXWESLACOTX</v>
          </cell>
          <cell r="F3201">
            <v>729</v>
          </cell>
        </row>
        <row r="3202">
          <cell r="E3202" t="str">
            <v>FREDERICKOKDallasTX</v>
          </cell>
          <cell r="F3202">
            <v>484</v>
          </cell>
        </row>
        <row r="3203">
          <cell r="E3203" t="str">
            <v>FREDERICKOKHoustonTX</v>
          </cell>
          <cell r="F3203">
            <v>1044</v>
          </cell>
        </row>
        <row r="3204">
          <cell r="E3204" t="str">
            <v>FREDERICKOKBaytownTX</v>
          </cell>
          <cell r="F3204">
            <v>1079</v>
          </cell>
        </row>
        <row r="3205">
          <cell r="E3205" t="str">
            <v>Ft Worth TXBaytownTX</v>
          </cell>
          <cell r="F3205">
            <v>524</v>
          </cell>
        </row>
        <row r="3206">
          <cell r="E3206" t="str">
            <v>Ft Worth TXHoustonTX</v>
          </cell>
          <cell r="F3206">
            <v>524</v>
          </cell>
        </row>
        <row r="3207">
          <cell r="E3207" t="str">
            <v>Ft Worth TXDallasTX</v>
          </cell>
          <cell r="F3207">
            <v>315</v>
          </cell>
        </row>
        <row r="3208">
          <cell r="E3208" t="str">
            <v>FUNSTONGAWESLACOTX</v>
          </cell>
          <cell r="F3208">
            <v>1599</v>
          </cell>
        </row>
        <row r="3209">
          <cell r="E3209" t="str">
            <v>GALVESTONTXHoustonTX</v>
          </cell>
          <cell r="F3209">
            <v>414</v>
          </cell>
        </row>
        <row r="3210">
          <cell r="E3210" t="str">
            <v>GALVESTONTXBaytownTX</v>
          </cell>
          <cell r="F3210">
            <v>414</v>
          </cell>
        </row>
        <row r="3211">
          <cell r="E3211" t="str">
            <v>GALVESTONTXHASLETTX</v>
          </cell>
          <cell r="F3211">
            <v>1570</v>
          </cell>
        </row>
        <row r="3212">
          <cell r="E3212" t="str">
            <v>GALVESTONTXHOUSTONTX</v>
          </cell>
          <cell r="F3212">
            <v>379</v>
          </cell>
        </row>
        <row r="3213">
          <cell r="E3213" t="str">
            <v>GALVESTONTXWILMERTX</v>
          </cell>
          <cell r="F3213">
            <v>1356</v>
          </cell>
        </row>
        <row r="3214">
          <cell r="E3214" t="str">
            <v>GALVESTONTXWYLIETX</v>
          </cell>
        </row>
        <row r="3215">
          <cell r="E3215" t="str">
            <v>GALVESTONTXDallasTX</v>
          </cell>
        </row>
        <row r="3216">
          <cell r="E3216" t="str">
            <v>GALVESTONTXWESLACOTX</v>
          </cell>
          <cell r="F3216">
            <v>731</v>
          </cell>
        </row>
        <row r="3217">
          <cell r="E3217" t="str">
            <v>Garden CityTXHoustonTX</v>
          </cell>
          <cell r="F3217">
            <v>945</v>
          </cell>
        </row>
        <row r="3218">
          <cell r="E3218" t="str">
            <v>Garden CityTXBaytownTX</v>
          </cell>
          <cell r="F3218">
            <v>978</v>
          </cell>
        </row>
        <row r="3219">
          <cell r="E3219" t="str">
            <v>Garden CityTXDallasTX</v>
          </cell>
          <cell r="F3219">
            <v>549</v>
          </cell>
        </row>
        <row r="3220">
          <cell r="E3220" t="str">
            <v>GARDEN CITYGAWESLACOTX</v>
          </cell>
          <cell r="F3220">
            <v>2390</v>
          </cell>
        </row>
        <row r="3221">
          <cell r="E3221" t="str">
            <v>GARDEN CITYTXWESLACOTX</v>
          </cell>
          <cell r="F3221">
            <v>1067</v>
          </cell>
        </row>
        <row r="3222">
          <cell r="E3222" t="str">
            <v>GarlandTXBaytownTX</v>
          </cell>
          <cell r="F3222">
            <v>698</v>
          </cell>
        </row>
        <row r="3223">
          <cell r="E3223" t="str">
            <v>GarlandTXHoustonTX</v>
          </cell>
          <cell r="F3223">
            <v>658</v>
          </cell>
        </row>
        <row r="3224">
          <cell r="E3224" t="str">
            <v>GarlandTXDallasTX</v>
          </cell>
          <cell r="F3224">
            <v>315</v>
          </cell>
        </row>
        <row r="3225">
          <cell r="E3225" t="str">
            <v>GARYSBURGNCROCKFORDTN</v>
          </cell>
          <cell r="F3225">
            <v>1140</v>
          </cell>
        </row>
        <row r="3226">
          <cell r="E3226" t="str">
            <v>GARYSBURGNCGREERSC</v>
          </cell>
          <cell r="F3226">
            <v>870</v>
          </cell>
        </row>
        <row r="3227">
          <cell r="E3227" t="str">
            <v>GARYSBURGNCGREENWOODSC</v>
          </cell>
          <cell r="F3227">
            <v>1000</v>
          </cell>
        </row>
        <row r="3228">
          <cell r="E3228" t="str">
            <v>GARYSBURGNCINDIAN LANDSC</v>
          </cell>
          <cell r="F3228">
            <v>730</v>
          </cell>
        </row>
        <row r="3229">
          <cell r="E3229" t="str">
            <v>GARYSBURGNCCENTREAL</v>
          </cell>
          <cell r="F3229">
            <v>1410</v>
          </cell>
        </row>
        <row r="3230">
          <cell r="E3230" t="str">
            <v>GARYSBURGNCROSSVILLETN</v>
          </cell>
          <cell r="F3230">
            <v>1990</v>
          </cell>
        </row>
        <row r="3231">
          <cell r="E3231" t="str">
            <v>GARYSBURGNCGAFFNEYSC</v>
          </cell>
          <cell r="F3231">
            <v>790</v>
          </cell>
        </row>
        <row r="3232">
          <cell r="E3232" t="str">
            <v>GARYSBURGNCMCCALLAAL</v>
          </cell>
          <cell r="F3232">
            <v>1600</v>
          </cell>
        </row>
        <row r="3233">
          <cell r="E3233" t="str">
            <v>GARYSBURGNCNEW ORLEANSLA</v>
          </cell>
          <cell r="F3233">
            <v>2270</v>
          </cell>
        </row>
        <row r="3234">
          <cell r="E3234" t="str">
            <v>GARYSBURGNCBLYTHEVILLEAR</v>
          </cell>
          <cell r="F3234">
            <v>2010</v>
          </cell>
        </row>
        <row r="3235">
          <cell r="E3235" t="str">
            <v>GARYSBURGNCMONEYMS</v>
          </cell>
          <cell r="F3235">
            <v>2080</v>
          </cell>
        </row>
        <row r="3236">
          <cell r="E3236" t="str">
            <v>GARYSBURGNCCARTERSVILLEGA</v>
          </cell>
          <cell r="F3236">
            <v>1300</v>
          </cell>
        </row>
        <row r="3237">
          <cell r="E3237" t="str">
            <v>GARYSBURGNCDREWMS</v>
          </cell>
          <cell r="F3237">
            <v>2130</v>
          </cell>
        </row>
        <row r="3238">
          <cell r="E3238" t="str">
            <v>GARYSBURGNCINDIANOLAMS</v>
          </cell>
          <cell r="F3238">
            <v>2110</v>
          </cell>
        </row>
        <row r="3239">
          <cell r="E3239" t="str">
            <v>GARYSBURGNCRAYVILLELA</v>
          </cell>
          <cell r="F3239">
            <v>2290</v>
          </cell>
        </row>
        <row r="3240">
          <cell r="E3240" t="str">
            <v>GARYSBURGNCECLECTICAL</v>
          </cell>
          <cell r="F3240">
            <v>1580</v>
          </cell>
        </row>
        <row r="3241">
          <cell r="E3241" t="str">
            <v>GARYSBURGNCMOBILEAL</v>
          </cell>
          <cell r="F3241">
            <v>1960</v>
          </cell>
        </row>
        <row r="3242">
          <cell r="E3242" t="str">
            <v>GARYSBURGNCMEMPHISTN</v>
          </cell>
          <cell r="F3242">
            <v>2020</v>
          </cell>
        </row>
        <row r="3243">
          <cell r="E3243" t="str">
            <v>GARYSBURGNCWEST MEMPHISAR</v>
          </cell>
          <cell r="F3243">
            <v>2000</v>
          </cell>
        </row>
        <row r="3244">
          <cell r="E3244" t="str">
            <v>GARYSBURGNCENOREESC</v>
          </cell>
          <cell r="F3244">
            <v>900</v>
          </cell>
        </row>
        <row r="3245">
          <cell r="E3245" t="str">
            <v>GARYSBURGNCSALISBURYNC</v>
          </cell>
          <cell r="F3245">
            <v>620</v>
          </cell>
        </row>
        <row r="3246">
          <cell r="E3246" t="str">
            <v>GARYSBURGNCGAINESVILLEGA</v>
          </cell>
          <cell r="F3246">
            <v>1130</v>
          </cell>
        </row>
        <row r="3247">
          <cell r="E3247" t="str">
            <v>GARYSBURGNCMARIONAR</v>
          </cell>
          <cell r="F3247">
            <v>2000</v>
          </cell>
        </row>
        <row r="3248">
          <cell r="E3248" t="str">
            <v>GARYSBURGNCJACKSONVILLEFL</v>
          </cell>
          <cell r="F3248">
            <v>1320</v>
          </cell>
        </row>
        <row r="3249">
          <cell r="E3249" t="str">
            <v>GARYSBURGNCTUNICAMS</v>
          </cell>
          <cell r="F3249">
            <v>2060</v>
          </cell>
        </row>
        <row r="3250">
          <cell r="E3250" t="str">
            <v>GARYSBURGNCDAWSONGA</v>
          </cell>
          <cell r="F3250">
            <v>1510</v>
          </cell>
        </row>
        <row r="3251">
          <cell r="E3251" t="str">
            <v>GARYSBURGNCTALLULAHLA</v>
          </cell>
          <cell r="F3251">
            <v>2210</v>
          </cell>
        </row>
        <row r="3252">
          <cell r="E3252" t="str">
            <v>GARYSBURGNCGREENWOODMS</v>
          </cell>
          <cell r="F3252">
            <v>2040</v>
          </cell>
        </row>
        <row r="3253">
          <cell r="E3253" t="str">
            <v>GARYSBURGNCKINSTONNC</v>
          </cell>
          <cell r="F3253">
            <v>500</v>
          </cell>
        </row>
        <row r="3254">
          <cell r="E3254" t="str">
            <v>GARYSBURGNCSTONEVILLENC</v>
          </cell>
          <cell r="F3254">
            <v>600</v>
          </cell>
        </row>
        <row r="3255">
          <cell r="E3255" t="str">
            <v>GARYSBURGNCRABUN GAPGA</v>
          </cell>
          <cell r="F3255">
            <v>1120</v>
          </cell>
        </row>
        <row r="3256">
          <cell r="E3256" t="str">
            <v>GARYSBURGNCSANFORDNC</v>
          </cell>
          <cell r="F3256">
            <v>520</v>
          </cell>
        </row>
        <row r="3257">
          <cell r="E3257" t="str">
            <v>GARYSBURGNCPORT WENTWORTHGA</v>
          </cell>
          <cell r="F3257">
            <v>1120</v>
          </cell>
        </row>
        <row r="3258">
          <cell r="E3258" t="str">
            <v>GARYSBURGNCRINCONGA</v>
          </cell>
          <cell r="F3258">
            <v>1130</v>
          </cell>
        </row>
        <row r="3259">
          <cell r="E3259" t="str">
            <v>GARYSBURGNCPORTSMOUTHVA</v>
          </cell>
          <cell r="F3259">
            <v>440</v>
          </cell>
        </row>
        <row r="3260">
          <cell r="E3260" t="str">
            <v>GARYSBURGNCGarden CityGA</v>
          </cell>
          <cell r="F3260">
            <v>1130</v>
          </cell>
        </row>
        <row r="3261">
          <cell r="E3261" t="str">
            <v>GARYSBURGNCERWINNC</v>
          </cell>
          <cell r="F3261">
            <v>490</v>
          </cell>
        </row>
        <row r="3262">
          <cell r="E3262" t="str">
            <v>GARYSBURGNCEDENTONNC</v>
          </cell>
          <cell r="F3262">
            <v>430</v>
          </cell>
        </row>
        <row r="3263">
          <cell r="E3263" t="str">
            <v>GARYSBURGNCNORFOLKVA</v>
          </cell>
          <cell r="F3263">
            <v>460</v>
          </cell>
        </row>
        <row r="3264">
          <cell r="E3264" t="str">
            <v>GARYSBURGNCGULFPORTMS</v>
          </cell>
          <cell r="F3264">
            <v>2220</v>
          </cell>
        </row>
        <row r="3265">
          <cell r="E3265" t="str">
            <v>GARYSBURGNCGRIFTONNC</v>
          </cell>
          <cell r="F3265">
            <v>580</v>
          </cell>
        </row>
        <row r="3266">
          <cell r="E3266" t="str">
            <v>GARYSBURGNCTHOMASVILLENC</v>
          </cell>
          <cell r="F3266">
            <v>580</v>
          </cell>
        </row>
        <row r="3267">
          <cell r="E3267" t="str">
            <v>GARYSBURGNCMAYODANNC</v>
          </cell>
          <cell r="F3267">
            <v>590</v>
          </cell>
        </row>
        <row r="3268">
          <cell r="E3268" t="str">
            <v>GARYSBURGNCLUMBERTONNC</v>
          </cell>
          <cell r="F3268">
            <v>570</v>
          </cell>
        </row>
        <row r="3269">
          <cell r="E3269" t="str">
            <v>GARYSBURGNCCHARLOTTENC</v>
          </cell>
          <cell r="F3269">
            <v>690</v>
          </cell>
        </row>
        <row r="3270">
          <cell r="E3270" t="str">
            <v>GARYSBURGNCMINERAL SPRINGSNC</v>
          </cell>
          <cell r="F3270">
            <v>700</v>
          </cell>
        </row>
        <row r="3271">
          <cell r="E3271" t="str">
            <v>GARYSBURGNCLEXINGTONNC</v>
          </cell>
          <cell r="F3271">
            <v>600</v>
          </cell>
        </row>
        <row r="3272">
          <cell r="E3272" t="str">
            <v>GARYSBURGNCSHELBYNC</v>
          </cell>
          <cell r="F3272">
            <v>770</v>
          </cell>
        </row>
        <row r="3273">
          <cell r="E3273" t="str">
            <v>GARYSBURGNCBELMONTNC</v>
          </cell>
          <cell r="F3273">
            <v>700</v>
          </cell>
        </row>
        <row r="3274">
          <cell r="E3274" t="str">
            <v>GARYSBURGNCLOWELLNC</v>
          </cell>
          <cell r="F3274">
            <v>710</v>
          </cell>
        </row>
        <row r="3275">
          <cell r="E3275" t="str">
            <v>GARYSBURGNCGASTONIANC</v>
          </cell>
          <cell r="F3275">
            <v>720</v>
          </cell>
        </row>
        <row r="3276">
          <cell r="E3276" t="str">
            <v>GARYSBURGNCCLARKTONNC</v>
          </cell>
          <cell r="F3276">
            <v>580</v>
          </cell>
        </row>
        <row r="3277">
          <cell r="E3277" t="str">
            <v>GARYSBURGNCSPARTANC</v>
          </cell>
          <cell r="F3277">
            <v>700</v>
          </cell>
        </row>
        <row r="3278">
          <cell r="E3278" t="str">
            <v>GARYSBURGNCROCKINGHAMNC</v>
          </cell>
          <cell r="F3278">
            <v>610</v>
          </cell>
        </row>
        <row r="3279">
          <cell r="E3279" t="str">
            <v>GARYSBURGNCMOCKSVILLENC</v>
          </cell>
          <cell r="F3279">
            <v>630</v>
          </cell>
        </row>
        <row r="3280">
          <cell r="E3280" t="str">
            <v>GARYSBURGNCHICKORYNC</v>
          </cell>
          <cell r="F3280">
            <v>700</v>
          </cell>
        </row>
        <row r="3281">
          <cell r="E3281" t="str">
            <v>GASTONIANCCARTERSVILLEGA</v>
          </cell>
          <cell r="F3281">
            <v>770</v>
          </cell>
        </row>
        <row r="3282">
          <cell r="E3282" t="str">
            <v>GASTONIANCKINSTONNC</v>
          </cell>
          <cell r="F3282">
            <v>810</v>
          </cell>
        </row>
        <row r="3283">
          <cell r="E3283" t="str">
            <v>GASTONIANCEDENTONNC</v>
          </cell>
          <cell r="F3283">
            <v>940</v>
          </cell>
        </row>
        <row r="3284">
          <cell r="E3284" t="str">
            <v>GASTONIANCNORFOLKVA</v>
          </cell>
          <cell r="F3284">
            <v>1000</v>
          </cell>
        </row>
        <row r="3285">
          <cell r="E3285" t="str">
            <v>GASTONIANCMCCALLAAL</v>
          </cell>
          <cell r="F3285">
            <v>1100</v>
          </cell>
        </row>
        <row r="3286">
          <cell r="E3286" t="str">
            <v>GASTONIANCCENTREAL</v>
          </cell>
          <cell r="F3286">
            <v>900</v>
          </cell>
        </row>
        <row r="3287">
          <cell r="E3287" t="str">
            <v>GASTONIANCGAINESVILLEGA</v>
          </cell>
          <cell r="F3287">
            <v>640</v>
          </cell>
        </row>
        <row r="3288">
          <cell r="E3288" t="str">
            <v>GASTONIANCMOBILEAL</v>
          </cell>
          <cell r="F3288">
            <v>1490</v>
          </cell>
        </row>
        <row r="3289">
          <cell r="E3289" t="str">
            <v>GASTONIANCINDIANOLAMS</v>
          </cell>
          <cell r="F3289">
            <v>1650</v>
          </cell>
        </row>
        <row r="3290">
          <cell r="E3290" t="str">
            <v>GASTONIANCGREENWOODMS</v>
          </cell>
          <cell r="F3290">
            <v>1580</v>
          </cell>
        </row>
        <row r="3291">
          <cell r="E3291" t="str">
            <v>GASTONIANCDAWSONGA</v>
          </cell>
          <cell r="F3291">
            <v>1120</v>
          </cell>
        </row>
        <row r="3292">
          <cell r="E3292" t="str">
            <v>GASTONIANCCLARKTONNC</v>
          </cell>
          <cell r="F3292">
            <v>630</v>
          </cell>
        </row>
        <row r="3293">
          <cell r="E3293" t="str">
            <v>GASTONIANCLEXINGTONNC</v>
          </cell>
          <cell r="F3293">
            <v>460</v>
          </cell>
        </row>
        <row r="3294">
          <cell r="E3294" t="str">
            <v>GASTONIANCLUMBERTONNC</v>
          </cell>
          <cell r="F3294">
            <v>590</v>
          </cell>
        </row>
        <row r="3295">
          <cell r="E3295" t="str">
            <v>GASTONIANCMAYODANNC</v>
          </cell>
          <cell r="F3295">
            <v>550</v>
          </cell>
        </row>
        <row r="3296">
          <cell r="E3296" t="str">
            <v>GASTONIANCECLECTICAL</v>
          </cell>
          <cell r="F3296">
            <v>1080</v>
          </cell>
        </row>
        <row r="3297">
          <cell r="E3297" t="str">
            <v>GASTONIANCTHOMASVILLENC</v>
          </cell>
          <cell r="F3297">
            <v>480</v>
          </cell>
        </row>
        <row r="3298">
          <cell r="E3298" t="str">
            <v>GASTONIANCGREERSC</v>
          </cell>
          <cell r="F3298">
            <v>430</v>
          </cell>
        </row>
        <row r="3299">
          <cell r="E3299" t="str">
            <v>GASTONIANCROSSVILLETN</v>
          </cell>
          <cell r="F3299">
            <v>1590</v>
          </cell>
        </row>
        <row r="3300">
          <cell r="E3300" t="str">
            <v>GASTONIANCGREENWOODSC</v>
          </cell>
          <cell r="F3300">
            <v>520</v>
          </cell>
        </row>
        <row r="3301">
          <cell r="E3301" t="str">
            <v>GASTONIANCSPARTANC</v>
          </cell>
          <cell r="F3301">
            <v>520</v>
          </cell>
        </row>
        <row r="3302">
          <cell r="E3302" t="str">
            <v>GASTONIANCENOREESC</v>
          </cell>
          <cell r="F3302">
            <v>450</v>
          </cell>
        </row>
        <row r="3303">
          <cell r="E3303" t="str">
            <v>GASTONIANCJACKSONVILLEFL</v>
          </cell>
          <cell r="F3303">
            <v>1110</v>
          </cell>
        </row>
        <row r="3304">
          <cell r="E3304" t="str">
            <v>GASTONIANCSTONEVILLENC</v>
          </cell>
          <cell r="F3304">
            <v>550</v>
          </cell>
        </row>
        <row r="3305">
          <cell r="E3305" t="str">
            <v>GASTONIANCMOCKSVILLENC</v>
          </cell>
          <cell r="F3305">
            <v>450</v>
          </cell>
        </row>
        <row r="3306">
          <cell r="E3306" t="str">
            <v>GASTONIANCPORT WENTWORTHGA</v>
          </cell>
          <cell r="F3306">
            <v>890</v>
          </cell>
        </row>
        <row r="3307">
          <cell r="E3307" t="str">
            <v>GASTONIANCNEW ORLEANSLA</v>
          </cell>
          <cell r="F3307">
            <v>1820</v>
          </cell>
        </row>
        <row r="3308">
          <cell r="E3308" t="str">
            <v>GASTONIANCDREWMS</v>
          </cell>
          <cell r="F3308">
            <v>1670</v>
          </cell>
        </row>
        <row r="3309">
          <cell r="E3309" t="str">
            <v>GASTONIANCTALLULAHLA</v>
          </cell>
          <cell r="F3309">
            <v>1760</v>
          </cell>
        </row>
        <row r="3310">
          <cell r="E3310" t="str">
            <v>GASTONIANCRAYVILLELA</v>
          </cell>
          <cell r="F3310">
            <v>1840</v>
          </cell>
        </row>
        <row r="3311">
          <cell r="E3311" t="str">
            <v>GASTONIANCRABUN GAPGA</v>
          </cell>
          <cell r="F3311">
            <v>620</v>
          </cell>
        </row>
        <row r="3312">
          <cell r="E3312" t="str">
            <v>GASTONIANCBLYTHEVILLEAR</v>
          </cell>
          <cell r="F3312">
            <v>1620</v>
          </cell>
        </row>
        <row r="3313">
          <cell r="E3313" t="str">
            <v>GASTONIANCRINCONGA</v>
          </cell>
          <cell r="F3313">
            <v>900</v>
          </cell>
        </row>
        <row r="3314">
          <cell r="E3314" t="str">
            <v>GASTONIANCTUNICAMS</v>
          </cell>
          <cell r="F3314">
            <v>1650</v>
          </cell>
        </row>
        <row r="3315">
          <cell r="E3315" t="str">
            <v>GASTONIANCMEMPHISTN</v>
          </cell>
          <cell r="F3315">
            <v>1620</v>
          </cell>
        </row>
        <row r="3316">
          <cell r="E3316" t="str">
            <v>GASTONIANCWEST MEMPHISAR</v>
          </cell>
          <cell r="F3316">
            <v>1610</v>
          </cell>
        </row>
        <row r="3317">
          <cell r="E3317" t="str">
            <v>GASTONIANCMARIONAR</v>
          </cell>
          <cell r="F3317">
            <v>1620</v>
          </cell>
        </row>
        <row r="3318">
          <cell r="E3318" t="str">
            <v>GASTONIANCMONEYMS</v>
          </cell>
          <cell r="F3318">
            <v>1620</v>
          </cell>
        </row>
        <row r="3319">
          <cell r="E3319" t="str">
            <v>GASTONIANCGarden CityGA</v>
          </cell>
          <cell r="F3319">
            <v>900</v>
          </cell>
        </row>
        <row r="3320">
          <cell r="E3320" t="str">
            <v>GASTONIANCSALISBURYNC</v>
          </cell>
          <cell r="F3320">
            <v>430</v>
          </cell>
        </row>
        <row r="3321">
          <cell r="E3321" t="str">
            <v>GASTONIANCCHARLOTTENC</v>
          </cell>
          <cell r="F3321">
            <v>360</v>
          </cell>
        </row>
        <row r="3322">
          <cell r="E3322" t="str">
            <v>GASTONIANCGULFPORTMS</v>
          </cell>
          <cell r="F3322">
            <v>1760</v>
          </cell>
        </row>
        <row r="3323">
          <cell r="E3323" t="str">
            <v>GASTONIANCLOWELLNC</v>
          </cell>
          <cell r="F3323">
            <v>330</v>
          </cell>
        </row>
        <row r="3324">
          <cell r="E3324" t="str">
            <v>GASTONIANCPORTSMOUTHVA</v>
          </cell>
          <cell r="F3324">
            <v>970</v>
          </cell>
        </row>
        <row r="3325">
          <cell r="E3325" t="str">
            <v>GASTONIANCROCKINGHAMNC</v>
          </cell>
          <cell r="F3325">
            <v>490</v>
          </cell>
        </row>
        <row r="3326">
          <cell r="E3326" t="str">
            <v>GASTONIANCSHELBYNC</v>
          </cell>
          <cell r="F3326">
            <v>360</v>
          </cell>
        </row>
        <row r="3327">
          <cell r="E3327" t="str">
            <v>GASTONIANCGAFFNEYSC</v>
          </cell>
          <cell r="F3327">
            <v>370</v>
          </cell>
        </row>
        <row r="3328">
          <cell r="E3328" t="str">
            <v>GASTONIANCSANFORDNC</v>
          </cell>
          <cell r="F3328">
            <v>580</v>
          </cell>
        </row>
        <row r="3329">
          <cell r="E3329" t="str">
            <v>GASTONIANCMINERAL SPRINGSNC</v>
          </cell>
          <cell r="F3329">
            <v>400</v>
          </cell>
        </row>
        <row r="3330">
          <cell r="E3330" t="str">
            <v>GASTONIANCGRIFTONNC</v>
          </cell>
          <cell r="F3330">
            <v>940</v>
          </cell>
        </row>
        <row r="3331">
          <cell r="E3331" t="str">
            <v>GASTONIANCERWINNC</v>
          </cell>
          <cell r="F3331">
            <v>640</v>
          </cell>
        </row>
        <row r="3332">
          <cell r="E3332" t="str">
            <v>GASTONIANCBELMONTNC</v>
          </cell>
          <cell r="F3332">
            <v>330</v>
          </cell>
        </row>
        <row r="3333">
          <cell r="E3333" t="str">
            <v>GASTONIANCINDIAN LANDSC</v>
          </cell>
          <cell r="F3333">
            <v>380</v>
          </cell>
        </row>
        <row r="3334">
          <cell r="E3334" t="str">
            <v>GASTONIANCROCKFORDTN</v>
          </cell>
          <cell r="F3334">
            <v>700</v>
          </cell>
        </row>
        <row r="3335">
          <cell r="E3335" t="str">
            <v>GASTONIANCHICKORYNC</v>
          </cell>
          <cell r="F3335">
            <v>380</v>
          </cell>
        </row>
        <row r="3336">
          <cell r="E3336" t="str">
            <v>GATESNCROCKFORDTN</v>
          </cell>
          <cell r="F3336">
            <v>1270</v>
          </cell>
        </row>
        <row r="3337">
          <cell r="E3337" t="str">
            <v>GATESNCGAINESVILLEGA</v>
          </cell>
          <cell r="F3337">
            <v>1260</v>
          </cell>
        </row>
        <row r="3338">
          <cell r="E3338" t="str">
            <v>GATESNCJACKSONVILLEFL</v>
          </cell>
          <cell r="F3338">
            <v>1450</v>
          </cell>
        </row>
        <row r="3339">
          <cell r="E3339" t="str">
            <v>GATESNCMEMPHISTN</v>
          </cell>
          <cell r="F3339">
            <v>2140</v>
          </cell>
        </row>
        <row r="3340">
          <cell r="E3340" t="str">
            <v>GATESNCSPARTANC</v>
          </cell>
          <cell r="F3340">
            <v>820</v>
          </cell>
        </row>
        <row r="3341">
          <cell r="E3341" t="str">
            <v>GATESNCGREENWOODSC</v>
          </cell>
          <cell r="F3341">
            <v>1130</v>
          </cell>
        </row>
        <row r="3342">
          <cell r="E3342" t="str">
            <v>GATESNCINDIAN LANDSC</v>
          </cell>
          <cell r="F3342">
            <v>860</v>
          </cell>
        </row>
        <row r="3343">
          <cell r="E3343" t="str">
            <v>GATESNCTUNICAMS</v>
          </cell>
          <cell r="F3343">
            <v>2190</v>
          </cell>
        </row>
        <row r="3344">
          <cell r="E3344" t="str">
            <v>GATESNCROSSVILLETN</v>
          </cell>
          <cell r="F3344">
            <v>2120</v>
          </cell>
        </row>
        <row r="3345">
          <cell r="E3345" t="str">
            <v>GATESNCGAFFNEYSC</v>
          </cell>
          <cell r="F3345">
            <v>920</v>
          </cell>
        </row>
        <row r="3346">
          <cell r="E3346" t="str">
            <v>GATESNCGREERSC</v>
          </cell>
          <cell r="F3346">
            <v>1000</v>
          </cell>
        </row>
        <row r="3347">
          <cell r="E3347" t="str">
            <v>GATESNCDAWSONGA</v>
          </cell>
          <cell r="F3347">
            <v>1640</v>
          </cell>
        </row>
        <row r="3348">
          <cell r="E3348" t="str">
            <v>GATESNCCENTREAL</v>
          </cell>
          <cell r="F3348">
            <v>1540</v>
          </cell>
        </row>
        <row r="3349">
          <cell r="E3349" t="str">
            <v>GATESNCTALLULAHLA</v>
          </cell>
          <cell r="F3349">
            <v>2340</v>
          </cell>
        </row>
        <row r="3350">
          <cell r="E3350" t="str">
            <v>GATESNCGREENWOODMS</v>
          </cell>
          <cell r="F3350">
            <v>2170</v>
          </cell>
        </row>
        <row r="3351">
          <cell r="E3351" t="str">
            <v>GATESNCNEW ORLEANSLA</v>
          </cell>
          <cell r="F3351">
            <v>2400</v>
          </cell>
        </row>
        <row r="3352">
          <cell r="E3352" t="str">
            <v>GATESNCMINERAL SPRINGSNC</v>
          </cell>
          <cell r="F3352">
            <v>820</v>
          </cell>
        </row>
        <row r="3353">
          <cell r="E3353" t="str">
            <v>GATESNCBLYTHEVILLEAR</v>
          </cell>
          <cell r="F3353">
            <v>2130</v>
          </cell>
        </row>
        <row r="3354">
          <cell r="E3354" t="str">
            <v>GATESNCMONEYMS</v>
          </cell>
          <cell r="F3354">
            <v>2200</v>
          </cell>
        </row>
        <row r="3355">
          <cell r="E3355" t="str">
            <v>GATESNCDREWMS</v>
          </cell>
          <cell r="F3355">
            <v>2250</v>
          </cell>
        </row>
        <row r="3356">
          <cell r="E3356" t="str">
            <v>GATESNCCARTERSVILLEGA</v>
          </cell>
          <cell r="F3356">
            <v>1420</v>
          </cell>
        </row>
        <row r="3357">
          <cell r="E3357" t="str">
            <v>GATESNCMCCALLAAL</v>
          </cell>
          <cell r="F3357">
            <v>1720</v>
          </cell>
        </row>
        <row r="3358">
          <cell r="E3358" t="str">
            <v>GATESNCRAYVILLELA</v>
          </cell>
          <cell r="F3358">
            <v>2410</v>
          </cell>
        </row>
        <row r="3359">
          <cell r="E3359" t="str">
            <v>GATESNCSALISBURYNC</v>
          </cell>
          <cell r="F3359">
            <v>710</v>
          </cell>
        </row>
        <row r="3360">
          <cell r="E3360" t="str">
            <v>GATESNCMOBILEAL</v>
          </cell>
          <cell r="F3360">
            <v>2080</v>
          </cell>
        </row>
        <row r="3361">
          <cell r="E3361" t="str">
            <v>GATESNCENOREESC</v>
          </cell>
          <cell r="F3361">
            <v>1020</v>
          </cell>
        </row>
        <row r="3362">
          <cell r="E3362" t="str">
            <v>GATESNCINDIANOLAMS</v>
          </cell>
          <cell r="F3362">
            <v>2230</v>
          </cell>
        </row>
        <row r="3363">
          <cell r="E3363" t="str">
            <v>GATESNCWEST MEMPHISAR</v>
          </cell>
          <cell r="F3363">
            <v>2120</v>
          </cell>
        </row>
        <row r="3364">
          <cell r="E3364" t="str">
            <v>GATESNCECLECTICAL</v>
          </cell>
          <cell r="F3364">
            <v>1700</v>
          </cell>
        </row>
        <row r="3365">
          <cell r="E3365" t="str">
            <v>GATESNCMARIONAR</v>
          </cell>
          <cell r="F3365">
            <v>2130</v>
          </cell>
        </row>
        <row r="3366">
          <cell r="E3366" t="str">
            <v>GATESNCGarden CityGA</v>
          </cell>
          <cell r="F3366">
            <v>1260</v>
          </cell>
        </row>
        <row r="3367">
          <cell r="E3367" t="str">
            <v>GATESNCKINSTONNC</v>
          </cell>
          <cell r="F3367">
            <v>500</v>
          </cell>
        </row>
        <row r="3368">
          <cell r="E3368" t="str">
            <v>GATESNCGULFPORTMS</v>
          </cell>
          <cell r="F3368">
            <v>2340</v>
          </cell>
        </row>
        <row r="3369">
          <cell r="E3369" t="str">
            <v>GATESNCRABUN GAPGA</v>
          </cell>
          <cell r="F3369">
            <v>1250</v>
          </cell>
        </row>
        <row r="3370">
          <cell r="E3370" t="str">
            <v>GATESNCPORT WENTWORTHGA</v>
          </cell>
          <cell r="F3370">
            <v>1250</v>
          </cell>
        </row>
        <row r="3371">
          <cell r="E3371" t="str">
            <v>GATESNCRINCONGA</v>
          </cell>
          <cell r="F3371">
            <v>1260</v>
          </cell>
        </row>
        <row r="3372">
          <cell r="E3372" t="str">
            <v>GATESNCGRIFTONNC</v>
          </cell>
          <cell r="F3372">
            <v>590</v>
          </cell>
        </row>
        <row r="3373">
          <cell r="E3373" t="str">
            <v>GATESNCCHARLOTTENC</v>
          </cell>
          <cell r="F3373">
            <v>810</v>
          </cell>
        </row>
        <row r="3374">
          <cell r="E3374" t="str">
            <v>GATESNCERWINNC</v>
          </cell>
          <cell r="F3374">
            <v>580</v>
          </cell>
        </row>
        <row r="3375">
          <cell r="E3375" t="str">
            <v>GATESNCSANFORDNC</v>
          </cell>
          <cell r="F3375">
            <v>610</v>
          </cell>
        </row>
        <row r="3376">
          <cell r="E3376" t="str">
            <v>GATESNCBELMONTNC</v>
          </cell>
          <cell r="F3376">
            <v>830</v>
          </cell>
        </row>
        <row r="3377">
          <cell r="E3377" t="str">
            <v>GATESNCGASTONIANC</v>
          </cell>
          <cell r="F3377">
            <v>850</v>
          </cell>
        </row>
        <row r="3378">
          <cell r="E3378" t="str">
            <v>GATESNCLOWELLNC</v>
          </cell>
          <cell r="F3378">
            <v>830</v>
          </cell>
        </row>
        <row r="3379">
          <cell r="E3379" t="str">
            <v>GATESNCHICKORYNC</v>
          </cell>
          <cell r="F3379">
            <v>820</v>
          </cell>
        </row>
        <row r="3380">
          <cell r="E3380" t="str">
            <v>GATESNCNORFOLKVA</v>
          </cell>
          <cell r="F3380">
            <v>400</v>
          </cell>
        </row>
        <row r="3381">
          <cell r="E3381" t="str">
            <v>GATESNCSHELBYNC</v>
          </cell>
          <cell r="F3381">
            <v>900</v>
          </cell>
        </row>
        <row r="3382">
          <cell r="E3382" t="str">
            <v>GATESNCSTONEVILLENC</v>
          </cell>
          <cell r="F3382">
            <v>680</v>
          </cell>
        </row>
        <row r="3383">
          <cell r="E3383" t="str">
            <v>GATESNCTHOMASVILLENC</v>
          </cell>
          <cell r="F3383">
            <v>670</v>
          </cell>
        </row>
        <row r="3384">
          <cell r="E3384" t="str">
            <v>GATESNCMAYODANNC</v>
          </cell>
          <cell r="F3384">
            <v>680</v>
          </cell>
        </row>
        <row r="3385">
          <cell r="E3385" t="str">
            <v>GATESNCLUMBERTONNC</v>
          </cell>
          <cell r="F3385">
            <v>660</v>
          </cell>
        </row>
        <row r="3386">
          <cell r="E3386" t="str">
            <v>GATESNCEDENTONNC</v>
          </cell>
          <cell r="F3386">
            <v>380</v>
          </cell>
        </row>
        <row r="3387">
          <cell r="E3387" t="str">
            <v>GATESNCLEXINGTONNC</v>
          </cell>
          <cell r="F3387">
            <v>690</v>
          </cell>
        </row>
        <row r="3388">
          <cell r="E3388" t="str">
            <v>GATESNCROCKINGHAMNC</v>
          </cell>
          <cell r="F3388">
            <v>700</v>
          </cell>
        </row>
        <row r="3389">
          <cell r="E3389" t="str">
            <v>GATESNCMOCKSVILLENC</v>
          </cell>
          <cell r="F3389">
            <v>710</v>
          </cell>
        </row>
        <row r="3390">
          <cell r="E3390" t="str">
            <v>GATESNCCLARKTONNC</v>
          </cell>
          <cell r="F3390">
            <v>670</v>
          </cell>
        </row>
        <row r="3391">
          <cell r="E3391" t="str">
            <v>GATESNCPORTSMOUTHVA</v>
          </cell>
          <cell r="F3391">
            <v>380</v>
          </cell>
        </row>
        <row r="3392">
          <cell r="E3392" t="str">
            <v>GATESVILLENCROCKFORDTN</v>
          </cell>
          <cell r="F3392">
            <v>1260</v>
          </cell>
        </row>
        <row r="3393">
          <cell r="E3393" t="str">
            <v>GATESVILLENCJACKSONVILLEFL</v>
          </cell>
          <cell r="F3393">
            <v>1440</v>
          </cell>
        </row>
        <row r="3394">
          <cell r="E3394" t="str">
            <v>GATESVILLENCINDIAN LANDSC</v>
          </cell>
          <cell r="F3394">
            <v>850</v>
          </cell>
        </row>
        <row r="3395">
          <cell r="E3395" t="str">
            <v>GATESVILLENCTUNICAMS</v>
          </cell>
          <cell r="F3395">
            <v>2180</v>
          </cell>
        </row>
        <row r="3396">
          <cell r="E3396" t="str">
            <v>GATESVILLENCROSSVILLETN</v>
          </cell>
          <cell r="F3396">
            <v>2110</v>
          </cell>
        </row>
        <row r="3397">
          <cell r="E3397" t="str">
            <v>GATESVILLENCGAFFNEYSC</v>
          </cell>
          <cell r="F3397">
            <v>910</v>
          </cell>
        </row>
        <row r="3398">
          <cell r="E3398" t="str">
            <v>GATESVILLENCGREERSC</v>
          </cell>
          <cell r="F3398">
            <v>990</v>
          </cell>
        </row>
        <row r="3399">
          <cell r="E3399" t="str">
            <v>GATESVILLENCDAWSONGA</v>
          </cell>
          <cell r="F3399">
            <v>1630</v>
          </cell>
        </row>
        <row r="3400">
          <cell r="E3400" t="str">
            <v>GATESVILLENCGREENWOODSC</v>
          </cell>
          <cell r="F3400">
            <v>1120</v>
          </cell>
        </row>
        <row r="3401">
          <cell r="E3401" t="str">
            <v>GATESVILLENCCENTREAL</v>
          </cell>
          <cell r="F3401">
            <v>1530</v>
          </cell>
        </row>
        <row r="3402">
          <cell r="E3402" t="str">
            <v>GATESVILLENCTALLULAHLA</v>
          </cell>
          <cell r="F3402">
            <v>2330</v>
          </cell>
        </row>
        <row r="3403">
          <cell r="E3403" t="str">
            <v>GATESVILLENCGREENWOODMS</v>
          </cell>
          <cell r="F3403">
            <v>2160</v>
          </cell>
        </row>
        <row r="3404">
          <cell r="E3404" t="str">
            <v>GATESVILLENCSALISBURYNC</v>
          </cell>
          <cell r="F3404">
            <v>710</v>
          </cell>
        </row>
        <row r="3405">
          <cell r="E3405" t="str">
            <v>GATESVILLENCMINERAL SPRINGSNC</v>
          </cell>
          <cell r="F3405">
            <v>820</v>
          </cell>
        </row>
        <row r="3406">
          <cell r="E3406" t="str">
            <v>GATESVILLENCMONEYMS</v>
          </cell>
          <cell r="F3406">
            <v>2200</v>
          </cell>
        </row>
        <row r="3407">
          <cell r="E3407" t="str">
            <v>GATESVILLENCDREWMS</v>
          </cell>
          <cell r="F3407">
            <v>2240</v>
          </cell>
        </row>
        <row r="3408">
          <cell r="E3408" t="str">
            <v>GATESVILLENCCARTERSVILLEGA</v>
          </cell>
          <cell r="F3408">
            <v>1410</v>
          </cell>
        </row>
        <row r="3409">
          <cell r="E3409" t="str">
            <v>GATESVILLENCMCCALLAAL</v>
          </cell>
          <cell r="F3409">
            <v>1710</v>
          </cell>
        </row>
        <row r="3410">
          <cell r="E3410" t="str">
            <v>GATESVILLENCNEW ORLEANSLA</v>
          </cell>
          <cell r="F3410">
            <v>2380</v>
          </cell>
        </row>
        <row r="3411">
          <cell r="E3411" t="str">
            <v>GATESVILLENCMOBILEAL</v>
          </cell>
          <cell r="F3411">
            <v>2070</v>
          </cell>
        </row>
        <row r="3412">
          <cell r="E3412" t="str">
            <v>GATESVILLENCERWINNC</v>
          </cell>
          <cell r="F3412">
            <v>570</v>
          </cell>
        </row>
        <row r="3413">
          <cell r="E3413" t="str">
            <v>GATESVILLENCENOREESC</v>
          </cell>
          <cell r="F3413">
            <v>1010</v>
          </cell>
        </row>
        <row r="3414">
          <cell r="E3414" t="str">
            <v>GATESVILLENCBLYTHEVILLEAR</v>
          </cell>
          <cell r="F3414">
            <v>2120</v>
          </cell>
        </row>
        <row r="3415">
          <cell r="E3415" t="str">
            <v>GATESVILLENCGAINESVILLEGA</v>
          </cell>
          <cell r="F3415">
            <v>1250</v>
          </cell>
        </row>
        <row r="3416">
          <cell r="E3416" t="str">
            <v>GATESVILLENCINDIANOLAMS</v>
          </cell>
          <cell r="F3416">
            <v>2220</v>
          </cell>
        </row>
        <row r="3417">
          <cell r="E3417" t="str">
            <v>GATESVILLENCWEST MEMPHISAR</v>
          </cell>
          <cell r="F3417">
            <v>2110</v>
          </cell>
        </row>
        <row r="3418">
          <cell r="E3418" t="str">
            <v>GATESVILLENCRAYVILLELA</v>
          </cell>
          <cell r="F3418">
            <v>2400</v>
          </cell>
        </row>
        <row r="3419">
          <cell r="E3419" t="str">
            <v>GATESVILLENCECLECTICAL</v>
          </cell>
          <cell r="F3419">
            <v>1690</v>
          </cell>
        </row>
        <row r="3420">
          <cell r="E3420" t="str">
            <v>GATESVILLENCMEMPHISTN</v>
          </cell>
          <cell r="F3420">
            <v>2130</v>
          </cell>
        </row>
        <row r="3421">
          <cell r="E3421" t="str">
            <v>GATESVILLENCMARIONAR</v>
          </cell>
          <cell r="F3421">
            <v>2120</v>
          </cell>
        </row>
        <row r="3422">
          <cell r="E3422" t="str">
            <v>GATESVILLENCKINSTONNC</v>
          </cell>
          <cell r="F3422">
            <v>490</v>
          </cell>
        </row>
        <row r="3423">
          <cell r="E3423" t="str">
            <v>GATESVILLENCGarden CityGA</v>
          </cell>
          <cell r="F3423">
            <v>1250</v>
          </cell>
        </row>
        <row r="3424">
          <cell r="E3424" t="str">
            <v>GATESVILLENCGULFPORTMS</v>
          </cell>
          <cell r="F3424">
            <v>2340</v>
          </cell>
        </row>
        <row r="3425">
          <cell r="E3425" t="str">
            <v>GATESVILLENCRABUN GAPGA</v>
          </cell>
          <cell r="F3425">
            <v>1240</v>
          </cell>
        </row>
        <row r="3426">
          <cell r="E3426" t="str">
            <v>GATESVILLENCPORT WENTWORTHGA</v>
          </cell>
          <cell r="F3426">
            <v>1240</v>
          </cell>
        </row>
        <row r="3427">
          <cell r="E3427" t="str">
            <v>GATESVILLENCRINCONGA</v>
          </cell>
          <cell r="F3427">
            <v>1250</v>
          </cell>
        </row>
        <row r="3428">
          <cell r="E3428" t="str">
            <v>GATESVILLENCGRIFTONNC</v>
          </cell>
          <cell r="F3428">
            <v>580</v>
          </cell>
        </row>
        <row r="3429">
          <cell r="E3429" t="str">
            <v>GATESVILLENCSTONEVILLENC</v>
          </cell>
          <cell r="F3429">
            <v>680</v>
          </cell>
        </row>
        <row r="3430">
          <cell r="E3430" t="str">
            <v>GATESVILLENCSANFORDNC</v>
          </cell>
          <cell r="F3430">
            <v>610</v>
          </cell>
        </row>
        <row r="3431">
          <cell r="E3431" t="str">
            <v>GATESVILLENCCHARLOTTENC</v>
          </cell>
          <cell r="F3431">
            <v>790</v>
          </cell>
        </row>
        <row r="3432">
          <cell r="E3432" t="str">
            <v>GATESVILLENCBELMONTNC</v>
          </cell>
          <cell r="F3432">
            <v>820</v>
          </cell>
        </row>
        <row r="3433">
          <cell r="E3433" t="str">
            <v>GATESVILLENCLOWELLNC</v>
          </cell>
          <cell r="F3433">
            <v>820</v>
          </cell>
        </row>
        <row r="3434">
          <cell r="E3434" t="str">
            <v>GATESVILLENCGASTONIANC</v>
          </cell>
          <cell r="F3434">
            <v>840</v>
          </cell>
        </row>
        <row r="3435">
          <cell r="E3435" t="str">
            <v>GATESVILLENCSPARTANC</v>
          </cell>
          <cell r="F3435">
            <v>810</v>
          </cell>
        </row>
        <row r="3436">
          <cell r="E3436" t="str">
            <v>GATESVILLENCNORFOLKVA</v>
          </cell>
          <cell r="F3436">
            <v>410</v>
          </cell>
        </row>
        <row r="3437">
          <cell r="E3437" t="str">
            <v>GATESVILLENCHICKORYNC</v>
          </cell>
          <cell r="F3437">
            <v>810</v>
          </cell>
        </row>
        <row r="3438">
          <cell r="E3438" t="str">
            <v>GATESVILLENCSHELBYNC</v>
          </cell>
          <cell r="F3438">
            <v>890</v>
          </cell>
        </row>
        <row r="3439">
          <cell r="E3439" t="str">
            <v>GATESVILLENCPORTSMOUTHVA</v>
          </cell>
          <cell r="F3439">
            <v>390</v>
          </cell>
        </row>
        <row r="3440">
          <cell r="E3440" t="str">
            <v>GATESVILLENCTHOMASVILLENC</v>
          </cell>
          <cell r="F3440">
            <v>660</v>
          </cell>
        </row>
        <row r="3441">
          <cell r="E3441" t="str">
            <v>GATESVILLENCMAYODANNC</v>
          </cell>
          <cell r="F3441">
            <v>670</v>
          </cell>
        </row>
        <row r="3442">
          <cell r="E3442" t="str">
            <v>GATESVILLENCLUMBERTONNC</v>
          </cell>
          <cell r="F3442">
            <v>650</v>
          </cell>
        </row>
        <row r="3443">
          <cell r="E3443" t="str">
            <v>GATESVILLENCLEXINGTONNC</v>
          </cell>
          <cell r="F3443">
            <v>680</v>
          </cell>
        </row>
        <row r="3444">
          <cell r="E3444" t="str">
            <v>GATESVILLENCROCKINGHAMNC</v>
          </cell>
          <cell r="F3444">
            <v>690</v>
          </cell>
        </row>
        <row r="3445">
          <cell r="E3445" t="str">
            <v>GATESVILLENCMOCKSVILLENC</v>
          </cell>
          <cell r="F3445">
            <v>710</v>
          </cell>
        </row>
        <row r="3446">
          <cell r="E3446" t="str">
            <v>GATESVILLENCCLARKTONNC</v>
          </cell>
          <cell r="F3446">
            <v>660</v>
          </cell>
        </row>
        <row r="3447">
          <cell r="E3447" t="str">
            <v>GATESVILLENCEDENTONNC</v>
          </cell>
          <cell r="F3447">
            <v>370</v>
          </cell>
        </row>
        <row r="3448">
          <cell r="E3448" t="str">
            <v>Grand PrairieTXHoustonTX</v>
          </cell>
          <cell r="F3448">
            <v>661</v>
          </cell>
        </row>
        <row r="3449">
          <cell r="E3449" t="str">
            <v>Grand PrairieTXBaytownTX</v>
          </cell>
          <cell r="F3449">
            <v>698</v>
          </cell>
        </row>
        <row r="3450">
          <cell r="E3450" t="str">
            <v>Grand PrairieTXDallasTX</v>
          </cell>
          <cell r="F3450">
            <v>315</v>
          </cell>
        </row>
        <row r="3451">
          <cell r="E3451" t="str">
            <v>GRAND PRAIRIETXHASLETTX</v>
          </cell>
          <cell r="F3451">
            <v>304</v>
          </cell>
        </row>
        <row r="3452">
          <cell r="E3452" t="str">
            <v>GRAND PRAIRIETXHOUSTONTX</v>
          </cell>
          <cell r="F3452">
            <v>1201</v>
          </cell>
        </row>
        <row r="3453">
          <cell r="E3453" t="str">
            <v>GRAND PRAIRIETXWILMERTX</v>
          </cell>
          <cell r="F3453">
            <v>304</v>
          </cell>
        </row>
        <row r="3454">
          <cell r="E3454" t="str">
            <v>GRAND PRAIRIETXWYLIETX</v>
          </cell>
        </row>
        <row r="3455">
          <cell r="E3455" t="str">
            <v>GRAND PRAIRIETXWESLACOTX</v>
          </cell>
          <cell r="F3455">
            <v>760</v>
          </cell>
        </row>
        <row r="3456">
          <cell r="E3456" t="str">
            <v>GREENVILLEMSWESLACOTX</v>
          </cell>
          <cell r="F3456">
            <v>1419</v>
          </cell>
        </row>
        <row r="3457">
          <cell r="E3457" t="str">
            <v>GREENWOODMSROCKFORDTN</v>
          </cell>
          <cell r="F3457">
            <v>1240</v>
          </cell>
        </row>
        <row r="3458">
          <cell r="E3458" t="str">
            <v>GREENWOODMSENOREESC</v>
          </cell>
          <cell r="F3458">
            <v>1390</v>
          </cell>
        </row>
        <row r="3459">
          <cell r="E3459" t="str">
            <v>GREENWOODMSDAWSONGA</v>
          </cell>
          <cell r="F3459">
            <v>1110</v>
          </cell>
        </row>
        <row r="3460">
          <cell r="E3460" t="str">
            <v>GREENWOODMSGREERSC</v>
          </cell>
          <cell r="F3460">
            <v>1340</v>
          </cell>
        </row>
        <row r="3461">
          <cell r="E3461" t="str">
            <v>GREENWOODMSLOWELLNC</v>
          </cell>
          <cell r="F3461">
            <v>1500</v>
          </cell>
        </row>
        <row r="3462">
          <cell r="E3462" t="str">
            <v>GREENWOODMSCENTREAL</v>
          </cell>
          <cell r="F3462">
            <v>840</v>
          </cell>
        </row>
        <row r="3463">
          <cell r="E3463" t="str">
            <v>GREENWOODMSCLARKTONNC</v>
          </cell>
          <cell r="F3463">
            <v>1840</v>
          </cell>
        </row>
        <row r="3464">
          <cell r="E3464" t="str">
            <v>GREENWOODMSBELMONTNC</v>
          </cell>
          <cell r="F3464">
            <v>1510</v>
          </cell>
        </row>
        <row r="3465">
          <cell r="E3465" t="str">
            <v>GREENWOODMSERWINNC</v>
          </cell>
          <cell r="F3465">
            <v>1920</v>
          </cell>
        </row>
        <row r="3466">
          <cell r="E3466" t="str">
            <v>GREENWOODMSGASTONIANC</v>
          </cell>
          <cell r="F3466">
            <v>1490</v>
          </cell>
        </row>
        <row r="3467">
          <cell r="E3467" t="str">
            <v>GREENWOODMSPORTSMOUTHVA</v>
          </cell>
          <cell r="F3467">
            <v>2260</v>
          </cell>
        </row>
        <row r="3468">
          <cell r="E3468" t="str">
            <v>GREENWOODMSGAFFNEYSC</v>
          </cell>
          <cell r="F3468">
            <v>1420</v>
          </cell>
        </row>
        <row r="3469">
          <cell r="E3469" t="str">
            <v>GREENWOODMSSANFORDNC</v>
          </cell>
          <cell r="F3469">
            <v>1830</v>
          </cell>
        </row>
        <row r="3470">
          <cell r="E3470" t="str">
            <v>GREENWOODMSSALISBURYNC</v>
          </cell>
          <cell r="F3470">
            <v>1630</v>
          </cell>
        </row>
        <row r="3471">
          <cell r="E3471" t="str">
            <v>GREENWOODMSROCKINGHAMNC</v>
          </cell>
          <cell r="F3471">
            <v>1710</v>
          </cell>
        </row>
        <row r="3472">
          <cell r="E3472" t="str">
            <v>GREENWOODMSLUMBERTONNC</v>
          </cell>
          <cell r="F3472">
            <v>1790</v>
          </cell>
        </row>
        <row r="3473">
          <cell r="E3473" t="str">
            <v>GREENWOODMSMCCALLAAL</v>
          </cell>
          <cell r="F3473">
            <v>630</v>
          </cell>
        </row>
        <row r="3474">
          <cell r="E3474" t="str">
            <v>GREENWOODMSSHELBYNC</v>
          </cell>
          <cell r="F3474">
            <v>1460</v>
          </cell>
        </row>
        <row r="3475">
          <cell r="E3475" t="str">
            <v>GREENWOODMSCHARLOTTENC</v>
          </cell>
          <cell r="F3475">
            <v>1540</v>
          </cell>
        </row>
        <row r="3476">
          <cell r="E3476" t="str">
            <v>GREENWOODMSLEXINGTONNC</v>
          </cell>
          <cell r="F3476">
            <v>1670</v>
          </cell>
        </row>
        <row r="3477">
          <cell r="E3477" t="str">
            <v>GREENWOODMSGAINESVILLEGA</v>
          </cell>
          <cell r="F3477">
            <v>1110</v>
          </cell>
        </row>
        <row r="3478">
          <cell r="E3478" t="str">
            <v>GREENWOODMSHICKORYNC</v>
          </cell>
          <cell r="F3478">
            <v>1570</v>
          </cell>
        </row>
        <row r="3479">
          <cell r="E3479" t="str">
            <v>GREENWOODMSMINERAL SPRINGSNC</v>
          </cell>
          <cell r="F3479">
            <v>1600</v>
          </cell>
        </row>
        <row r="3480">
          <cell r="E3480" t="str">
            <v>GREENWOODMSGREENWOODSC</v>
          </cell>
          <cell r="F3480">
            <v>1330</v>
          </cell>
        </row>
        <row r="3481">
          <cell r="E3481" t="str">
            <v>GREENWOODMSSPARTANC</v>
          </cell>
          <cell r="F3481">
            <v>1740</v>
          </cell>
        </row>
        <row r="3482">
          <cell r="E3482" t="str">
            <v>GREENWOODMSKINSTONNC</v>
          </cell>
          <cell r="F3482">
            <v>2070</v>
          </cell>
        </row>
        <row r="3483">
          <cell r="E3483" t="str">
            <v>GREENWOODMSINDIAN LANDSC</v>
          </cell>
          <cell r="F3483">
            <v>1560</v>
          </cell>
        </row>
        <row r="3484">
          <cell r="E3484" t="str">
            <v>GREENWOODMSNORFOLKVA</v>
          </cell>
          <cell r="F3484">
            <v>2280</v>
          </cell>
        </row>
        <row r="3485">
          <cell r="E3485" t="str">
            <v>GREENWOODMSBLYTHEVILLEAR</v>
          </cell>
          <cell r="F3485">
            <v>640</v>
          </cell>
        </row>
        <row r="3486">
          <cell r="E3486" t="str">
            <v>GREENWOODMSMAYODANNC</v>
          </cell>
          <cell r="F3486">
            <v>1780</v>
          </cell>
        </row>
        <row r="3487">
          <cell r="E3487" t="str">
            <v>GREENWOODMSEDENTONNC</v>
          </cell>
          <cell r="F3487">
            <v>2220</v>
          </cell>
        </row>
        <row r="3488">
          <cell r="E3488" t="str">
            <v>GREENWOODMSMOCKSVILLENC</v>
          </cell>
          <cell r="F3488">
            <v>1660</v>
          </cell>
        </row>
        <row r="3489">
          <cell r="E3489" t="str">
            <v>GREENWOODMSSTONEVILLENC</v>
          </cell>
          <cell r="F3489">
            <v>1790</v>
          </cell>
        </row>
        <row r="3490">
          <cell r="E3490" t="str">
            <v>GREENWOODMSTHOMASVILLENC</v>
          </cell>
          <cell r="F3490">
            <v>1690</v>
          </cell>
        </row>
        <row r="3491">
          <cell r="E3491" t="str">
            <v>GREENWOODMSWEST MEMPHISAR</v>
          </cell>
          <cell r="F3491">
            <v>550</v>
          </cell>
        </row>
        <row r="3492">
          <cell r="E3492" t="str">
            <v>GREENWOODMSMEMPHISTN</v>
          </cell>
          <cell r="F3492">
            <v>540</v>
          </cell>
        </row>
        <row r="3493">
          <cell r="E3493" t="str">
            <v>GREENWOODMSMARIONAR</v>
          </cell>
          <cell r="F3493">
            <v>560</v>
          </cell>
        </row>
        <row r="3494">
          <cell r="E3494" t="str">
            <v>GREENWOODMSROSSVILLETN</v>
          </cell>
          <cell r="F3494">
            <v>570</v>
          </cell>
        </row>
        <row r="3495">
          <cell r="E3495" t="str">
            <v>GREENWOODMSRABUN GAPGA</v>
          </cell>
          <cell r="F3495">
            <v>1320</v>
          </cell>
        </row>
        <row r="3496">
          <cell r="E3496" t="str">
            <v>GREENWOODMSGarden CityGA</v>
          </cell>
          <cell r="F3496">
            <v>1630</v>
          </cell>
        </row>
        <row r="3497">
          <cell r="E3497" t="str">
            <v>GREENWOODMSGULFPORTMS</v>
          </cell>
          <cell r="F3497">
            <v>850</v>
          </cell>
        </row>
        <row r="3498">
          <cell r="E3498" t="str">
            <v>GREENWOODMSGRIFTONNC</v>
          </cell>
          <cell r="F3498">
            <v>2200</v>
          </cell>
        </row>
        <row r="3499">
          <cell r="E3499" t="str">
            <v>GREENWOODMSRINCONGA</v>
          </cell>
          <cell r="F3499">
            <v>1660</v>
          </cell>
        </row>
        <row r="3500">
          <cell r="E3500" t="str">
            <v>GREENWOODMSTUNICAMS</v>
          </cell>
          <cell r="F3500">
            <v>460</v>
          </cell>
        </row>
        <row r="3501">
          <cell r="E3501" t="str">
            <v>GREENWOODMSPORT WENTWORTHGA</v>
          </cell>
          <cell r="F3501">
            <v>1650</v>
          </cell>
        </row>
        <row r="3502">
          <cell r="E3502" t="str">
            <v>GREENWOODMSDREWMS</v>
          </cell>
          <cell r="F3502">
            <v>380</v>
          </cell>
        </row>
        <row r="3503">
          <cell r="E3503" t="str">
            <v>GREENWOODMSMONEYMS</v>
          </cell>
          <cell r="F3503">
            <v>350</v>
          </cell>
        </row>
        <row r="3504">
          <cell r="E3504" t="str">
            <v>GREENWOODMSINDIANOLAMS</v>
          </cell>
          <cell r="F3504">
            <v>370</v>
          </cell>
        </row>
        <row r="3505">
          <cell r="E3505" t="str">
            <v>GREENWOODMSMOBILEAL</v>
          </cell>
          <cell r="F3505">
            <v>820</v>
          </cell>
        </row>
        <row r="3506">
          <cell r="E3506" t="str">
            <v>GREENWOODMSCARTERSVILLEGA</v>
          </cell>
          <cell r="F3506">
            <v>970</v>
          </cell>
        </row>
        <row r="3507">
          <cell r="E3507" t="str">
            <v>GREENWOODMSECLECTICAL</v>
          </cell>
          <cell r="F3507">
            <v>790</v>
          </cell>
        </row>
        <row r="3508">
          <cell r="E3508" t="str">
            <v>GREENWOODMSTALLULAHLA</v>
          </cell>
          <cell r="F3508">
            <v>510</v>
          </cell>
        </row>
        <row r="3509">
          <cell r="E3509" t="str">
            <v>GREENWOODMSJACKSONVILLEFL</v>
          </cell>
          <cell r="F3509">
            <v>1580</v>
          </cell>
        </row>
        <row r="3510">
          <cell r="E3510" t="str">
            <v>GREENWOODMSRAYVILLELA</v>
          </cell>
          <cell r="F3510">
            <v>550</v>
          </cell>
        </row>
        <row r="3511">
          <cell r="E3511" t="str">
            <v>GREENWOODMSNEW ORLEANSLA</v>
          </cell>
          <cell r="F3511">
            <v>820</v>
          </cell>
        </row>
        <row r="3512">
          <cell r="E3512" t="str">
            <v>GREENWOODMSWESLACOTX</v>
          </cell>
          <cell r="F3512">
            <v>1584</v>
          </cell>
        </row>
        <row r="3513">
          <cell r="E3513" t="str">
            <v>GREERSCKINSTONNC</v>
          </cell>
          <cell r="F3513">
            <v>910</v>
          </cell>
        </row>
        <row r="3514">
          <cell r="E3514" t="str">
            <v>GREERSCDAWSONGA</v>
          </cell>
          <cell r="F3514">
            <v>900</v>
          </cell>
        </row>
        <row r="3515">
          <cell r="E3515" t="str">
            <v>GREERSCJACKSONVILLEFL</v>
          </cell>
          <cell r="F3515">
            <v>1030</v>
          </cell>
        </row>
        <row r="3516">
          <cell r="E3516" t="str">
            <v>GREERSCMEMPHISTN</v>
          </cell>
          <cell r="F3516">
            <v>1370</v>
          </cell>
        </row>
        <row r="3517">
          <cell r="E3517" t="str">
            <v>GREERSCTALLULAHLA</v>
          </cell>
          <cell r="F3517">
            <v>1500</v>
          </cell>
        </row>
        <row r="3518">
          <cell r="E3518" t="str">
            <v>GREERSCGREENWOODMS</v>
          </cell>
          <cell r="F3518">
            <v>1330</v>
          </cell>
        </row>
        <row r="3519">
          <cell r="E3519" t="str">
            <v>GREERSCMARIONAR</v>
          </cell>
          <cell r="F3519">
            <v>1390</v>
          </cell>
        </row>
        <row r="3520">
          <cell r="E3520" t="str">
            <v>GREERSCMONEYMS</v>
          </cell>
          <cell r="F3520">
            <v>1370</v>
          </cell>
        </row>
        <row r="3521">
          <cell r="E3521" t="str">
            <v>GREERSCTUNICAMS</v>
          </cell>
          <cell r="F3521">
            <v>1400</v>
          </cell>
        </row>
        <row r="3522">
          <cell r="E3522" t="str">
            <v>GREERSCMCCALLAAL</v>
          </cell>
          <cell r="F3522">
            <v>890</v>
          </cell>
        </row>
        <row r="3523">
          <cell r="E3523" t="str">
            <v>GREERSCWEST MEMPHISAR</v>
          </cell>
          <cell r="F3523">
            <v>1370</v>
          </cell>
        </row>
        <row r="3524">
          <cell r="E3524" t="str">
            <v>GREERSCNEW ORLEANSLA</v>
          </cell>
          <cell r="F3524">
            <v>1550</v>
          </cell>
        </row>
        <row r="3525">
          <cell r="E3525" t="str">
            <v>GREERSCMOBILEAL</v>
          </cell>
          <cell r="F3525">
            <v>1240</v>
          </cell>
        </row>
        <row r="3526">
          <cell r="E3526" t="str">
            <v>GREERSCBLYTHEVILLEAR</v>
          </cell>
          <cell r="F3526">
            <v>1420</v>
          </cell>
        </row>
        <row r="3527">
          <cell r="E3527" t="str">
            <v>GREERSCSTONEVILLENC</v>
          </cell>
          <cell r="F3527">
            <v>630</v>
          </cell>
        </row>
        <row r="3528">
          <cell r="E3528" t="str">
            <v>GREERSCMOCKSVILLENC</v>
          </cell>
          <cell r="F3528">
            <v>540</v>
          </cell>
        </row>
        <row r="3529">
          <cell r="E3529" t="str">
            <v>GREERSCDREWMS</v>
          </cell>
          <cell r="F3529">
            <v>1410</v>
          </cell>
        </row>
        <row r="3530">
          <cell r="E3530" t="str">
            <v>GREERSCINDIANOLAMS</v>
          </cell>
          <cell r="F3530">
            <v>1390</v>
          </cell>
        </row>
        <row r="3531">
          <cell r="E3531" t="str">
            <v>GREERSCROSSVILLETN</v>
          </cell>
          <cell r="F3531">
            <v>1350</v>
          </cell>
        </row>
        <row r="3532">
          <cell r="E3532" t="str">
            <v>GREERSCRAYVILLELA</v>
          </cell>
          <cell r="F3532">
            <v>1570</v>
          </cell>
        </row>
        <row r="3533">
          <cell r="E3533" t="str">
            <v>GREERSCSALISBURYNC</v>
          </cell>
          <cell r="F3533">
            <v>520</v>
          </cell>
        </row>
        <row r="3534">
          <cell r="E3534" t="str">
            <v>GREERSCSANFORDNC</v>
          </cell>
          <cell r="F3534">
            <v>660</v>
          </cell>
        </row>
        <row r="3535">
          <cell r="E3535" t="str">
            <v>GREERSCMINERAL SPRINGSNC</v>
          </cell>
          <cell r="F3535">
            <v>500</v>
          </cell>
        </row>
        <row r="3536">
          <cell r="E3536" t="str">
            <v>GREERSCMAYODANNC</v>
          </cell>
          <cell r="F3536">
            <v>630</v>
          </cell>
        </row>
        <row r="3537">
          <cell r="E3537" t="str">
            <v>GREERSCROCKFORDTN</v>
          </cell>
          <cell r="F3537">
            <v>600</v>
          </cell>
        </row>
        <row r="3538">
          <cell r="E3538" t="str">
            <v>GREERSCHICKORYNC</v>
          </cell>
          <cell r="F3538">
            <v>480</v>
          </cell>
        </row>
        <row r="3539">
          <cell r="E3539" t="str">
            <v>GREERSCSPARTANC</v>
          </cell>
          <cell r="F3539">
            <v>610</v>
          </cell>
        </row>
        <row r="3540">
          <cell r="E3540" t="str">
            <v>GREERSCCHARLOTTENC</v>
          </cell>
          <cell r="F3540">
            <v>460</v>
          </cell>
        </row>
        <row r="3541">
          <cell r="E3541" t="str">
            <v>GREERSCRINCONGA</v>
          </cell>
          <cell r="F3541">
            <v>840</v>
          </cell>
        </row>
        <row r="3542">
          <cell r="E3542" t="str">
            <v>GREERSCROCKINGHAMNC</v>
          </cell>
          <cell r="F3542">
            <v>580</v>
          </cell>
        </row>
        <row r="3543">
          <cell r="E3543" t="str">
            <v>GREERSCLEXINGTONNC</v>
          </cell>
          <cell r="F3543">
            <v>550</v>
          </cell>
        </row>
        <row r="3544">
          <cell r="E3544" t="str">
            <v>GREERSCGULFPORTMS</v>
          </cell>
          <cell r="F3544">
            <v>1510</v>
          </cell>
        </row>
        <row r="3545">
          <cell r="E3545" t="str">
            <v>GREERSCTHOMASVILLENC</v>
          </cell>
          <cell r="F3545">
            <v>570</v>
          </cell>
        </row>
        <row r="3546">
          <cell r="E3546" t="str">
            <v>GREERSCRABUN GAPGA</v>
          </cell>
          <cell r="F3546">
            <v>480</v>
          </cell>
        </row>
        <row r="3547">
          <cell r="E3547" t="str">
            <v>GREERSCGarden CityGA</v>
          </cell>
          <cell r="F3547">
            <v>840</v>
          </cell>
        </row>
        <row r="3548">
          <cell r="E3548" t="str">
            <v>GREERSCGAINESVILLEGA</v>
          </cell>
          <cell r="F3548">
            <v>500</v>
          </cell>
        </row>
        <row r="3549">
          <cell r="E3549" t="str">
            <v>GREERSCGASTONIANC</v>
          </cell>
          <cell r="F3549">
            <v>420</v>
          </cell>
        </row>
        <row r="3550">
          <cell r="E3550" t="str">
            <v>GREERSCLOWELLNC</v>
          </cell>
          <cell r="F3550">
            <v>430</v>
          </cell>
        </row>
        <row r="3551">
          <cell r="E3551" t="str">
            <v>GREERSCSHELBYNC</v>
          </cell>
          <cell r="F3551">
            <v>400</v>
          </cell>
        </row>
        <row r="3552">
          <cell r="E3552" t="str">
            <v>GREERSCPORT WENTWORTHGA</v>
          </cell>
          <cell r="F3552">
            <v>830</v>
          </cell>
        </row>
        <row r="3553">
          <cell r="E3553" t="str">
            <v>GREERSCENOREESC</v>
          </cell>
          <cell r="F3553">
            <v>360</v>
          </cell>
        </row>
        <row r="3554">
          <cell r="E3554" t="str">
            <v>GREERSCBELMONTNC</v>
          </cell>
          <cell r="F3554">
            <v>440</v>
          </cell>
        </row>
        <row r="3555">
          <cell r="E3555" t="str">
            <v>GREERSCECLECTICAL</v>
          </cell>
          <cell r="F3555">
            <v>860</v>
          </cell>
        </row>
        <row r="3556">
          <cell r="E3556" t="str">
            <v>GREERSCCENTREAL</v>
          </cell>
          <cell r="F3556">
            <v>700</v>
          </cell>
        </row>
        <row r="3557">
          <cell r="E3557" t="str">
            <v>GREERSCGAFFNEYSC</v>
          </cell>
          <cell r="F3557">
            <v>380</v>
          </cell>
        </row>
        <row r="3558">
          <cell r="E3558" t="str">
            <v>GREERSCCARTERSVILLEGA</v>
          </cell>
          <cell r="F3558">
            <v>620</v>
          </cell>
        </row>
        <row r="3559">
          <cell r="E3559" t="str">
            <v>GREERSCNORFOLKVA</v>
          </cell>
          <cell r="F3559">
            <v>1090</v>
          </cell>
        </row>
        <row r="3560">
          <cell r="E3560" t="str">
            <v>GREERSCLUMBERTONNC</v>
          </cell>
          <cell r="F3560">
            <v>670</v>
          </cell>
        </row>
        <row r="3561">
          <cell r="E3561" t="str">
            <v>GREERSCGREENWOODSC</v>
          </cell>
          <cell r="F3561">
            <v>420</v>
          </cell>
        </row>
        <row r="3562">
          <cell r="E3562" t="str">
            <v>GREERSCERWINNC</v>
          </cell>
          <cell r="F3562">
            <v>720</v>
          </cell>
        </row>
        <row r="3563">
          <cell r="E3563" t="str">
            <v>GREERSCPORTSMOUTHVA</v>
          </cell>
          <cell r="F3563">
            <v>1070</v>
          </cell>
        </row>
        <row r="3564">
          <cell r="E3564" t="str">
            <v>GREERSCGRIFTONNC</v>
          </cell>
          <cell r="F3564">
            <v>1050</v>
          </cell>
        </row>
        <row r="3565">
          <cell r="E3565" t="str">
            <v>GREERSCEDENTONNC</v>
          </cell>
          <cell r="F3565">
            <v>1030</v>
          </cell>
        </row>
        <row r="3566">
          <cell r="E3566" t="str">
            <v>GREERSCCLARKTONNC</v>
          </cell>
          <cell r="F3566">
            <v>700</v>
          </cell>
        </row>
        <row r="3567">
          <cell r="E3567" t="str">
            <v>GREERSCINDIAN LANDSC</v>
          </cell>
          <cell r="F3567">
            <v>480</v>
          </cell>
        </row>
        <row r="3568">
          <cell r="E3568" t="str">
            <v>GRENADAMSROCKFORDTN</v>
          </cell>
          <cell r="F3568">
            <v>1250</v>
          </cell>
        </row>
        <row r="3569">
          <cell r="E3569" t="str">
            <v>GRENADAMSMAYODANNC</v>
          </cell>
          <cell r="F3569">
            <v>1780</v>
          </cell>
        </row>
        <row r="3570">
          <cell r="E3570" t="str">
            <v>GRENADAMSEDENTONNC</v>
          </cell>
          <cell r="F3570">
            <v>2220</v>
          </cell>
        </row>
        <row r="3571">
          <cell r="E3571" t="str">
            <v>GRENADAMSSTONEVILLENC</v>
          </cell>
          <cell r="F3571">
            <v>1790</v>
          </cell>
        </row>
        <row r="3572">
          <cell r="E3572" t="str">
            <v>GRENADAMSSPARTANC</v>
          </cell>
          <cell r="F3572">
            <v>1740</v>
          </cell>
        </row>
        <row r="3573">
          <cell r="E3573" t="str">
            <v>GRENADAMSTHOMASVILLENC</v>
          </cell>
          <cell r="F3573">
            <v>1690</v>
          </cell>
        </row>
        <row r="3574">
          <cell r="E3574" t="str">
            <v>GRENADAMSENOREESC</v>
          </cell>
          <cell r="F3574">
            <v>1390</v>
          </cell>
        </row>
        <row r="3575">
          <cell r="E3575" t="str">
            <v>GRENADAMSDAWSONGA</v>
          </cell>
          <cell r="F3575">
            <v>1110</v>
          </cell>
        </row>
        <row r="3576">
          <cell r="E3576" t="str">
            <v>GRENADAMSGREERSC</v>
          </cell>
          <cell r="F3576">
            <v>1340</v>
          </cell>
        </row>
        <row r="3577">
          <cell r="E3577" t="str">
            <v>GRENADAMSLOWELLNC</v>
          </cell>
          <cell r="F3577">
            <v>1500</v>
          </cell>
        </row>
        <row r="3578">
          <cell r="E3578" t="str">
            <v>GRENADAMSMOCKSVILLENC</v>
          </cell>
          <cell r="F3578">
            <v>1660</v>
          </cell>
        </row>
        <row r="3579">
          <cell r="E3579" t="str">
            <v>GRENADAMSCENTREAL</v>
          </cell>
          <cell r="F3579">
            <v>840</v>
          </cell>
        </row>
        <row r="3580">
          <cell r="E3580" t="str">
            <v>GRENADAMSBELMONTNC</v>
          </cell>
          <cell r="F3580">
            <v>1510</v>
          </cell>
        </row>
        <row r="3581">
          <cell r="E3581" t="str">
            <v>GRENADAMSERWINNC</v>
          </cell>
          <cell r="F3581">
            <v>1920</v>
          </cell>
        </row>
        <row r="3582">
          <cell r="E3582" t="str">
            <v>GRENADAMSGASTONIANC</v>
          </cell>
          <cell r="F3582">
            <v>1490</v>
          </cell>
        </row>
        <row r="3583">
          <cell r="E3583" t="str">
            <v>GRENADAMSPORTSMOUTHVA</v>
          </cell>
          <cell r="F3583">
            <v>2260</v>
          </cell>
        </row>
        <row r="3584">
          <cell r="E3584" t="str">
            <v>GRENADAMSGAFFNEYSC</v>
          </cell>
          <cell r="F3584">
            <v>1420</v>
          </cell>
        </row>
        <row r="3585">
          <cell r="E3585" t="str">
            <v>GRENADAMSSANFORDNC</v>
          </cell>
          <cell r="F3585">
            <v>1830</v>
          </cell>
        </row>
        <row r="3586">
          <cell r="E3586" t="str">
            <v>GRENADAMSMCCALLAAL</v>
          </cell>
          <cell r="F3586">
            <v>630</v>
          </cell>
        </row>
        <row r="3587">
          <cell r="E3587" t="str">
            <v>GRENADAMSSALISBURYNC</v>
          </cell>
          <cell r="F3587">
            <v>1630</v>
          </cell>
        </row>
        <row r="3588">
          <cell r="E3588" t="str">
            <v>GRENADAMSROCKINGHAMNC</v>
          </cell>
          <cell r="F3588">
            <v>1710</v>
          </cell>
        </row>
        <row r="3589">
          <cell r="E3589" t="str">
            <v>GRENADAMSCLARKTONNC</v>
          </cell>
          <cell r="F3589">
            <v>1840</v>
          </cell>
        </row>
        <row r="3590">
          <cell r="E3590" t="str">
            <v>GRENADAMSLUMBERTONNC</v>
          </cell>
          <cell r="F3590">
            <v>1790</v>
          </cell>
        </row>
        <row r="3591">
          <cell r="E3591" t="str">
            <v>GRENADAMSSHELBYNC</v>
          </cell>
          <cell r="F3591">
            <v>1460</v>
          </cell>
        </row>
        <row r="3592">
          <cell r="E3592" t="str">
            <v>GRENADAMSCHARLOTTENC</v>
          </cell>
          <cell r="F3592">
            <v>1530</v>
          </cell>
        </row>
        <row r="3593">
          <cell r="E3593" t="str">
            <v>GRENADAMSBLYTHEVILLEAR</v>
          </cell>
          <cell r="F3593">
            <v>570</v>
          </cell>
        </row>
        <row r="3594">
          <cell r="E3594" t="str">
            <v>GRENADAMSGAINESVILLEGA</v>
          </cell>
          <cell r="F3594">
            <v>1100</v>
          </cell>
        </row>
        <row r="3595">
          <cell r="E3595" t="str">
            <v>GRENADAMSHICKORYNC</v>
          </cell>
          <cell r="F3595">
            <v>1560</v>
          </cell>
        </row>
        <row r="3596">
          <cell r="E3596" t="str">
            <v>GRENADAMSMINERAL SPRINGSNC</v>
          </cell>
          <cell r="F3596">
            <v>1590</v>
          </cell>
        </row>
        <row r="3597">
          <cell r="E3597" t="str">
            <v>GRENADAMSGREENWOODSC</v>
          </cell>
          <cell r="F3597">
            <v>1320</v>
          </cell>
        </row>
        <row r="3598">
          <cell r="E3598" t="str">
            <v>GRENADAMSLEXINGTONNC</v>
          </cell>
          <cell r="F3598">
            <v>1660</v>
          </cell>
        </row>
        <row r="3599">
          <cell r="E3599" t="str">
            <v>GRENADAMSKINSTONNC</v>
          </cell>
          <cell r="F3599">
            <v>2070</v>
          </cell>
        </row>
        <row r="3600">
          <cell r="E3600" t="str">
            <v>GRENADAMSINDIAN LANDSC</v>
          </cell>
          <cell r="F3600">
            <v>1560</v>
          </cell>
        </row>
        <row r="3601">
          <cell r="E3601" t="str">
            <v>GRENADAMSNORFOLKVA</v>
          </cell>
          <cell r="F3601">
            <v>2280</v>
          </cell>
        </row>
        <row r="3602">
          <cell r="E3602" t="str">
            <v>GRENADAMSMARIONAR</v>
          </cell>
          <cell r="F3602">
            <v>490</v>
          </cell>
        </row>
        <row r="3603">
          <cell r="E3603" t="str">
            <v>GRENADAMSMEMPHISTN</v>
          </cell>
          <cell r="F3603">
            <v>470</v>
          </cell>
        </row>
        <row r="3604">
          <cell r="E3604" t="str">
            <v>GRENADAMSPORT WENTWORTHGA</v>
          </cell>
          <cell r="F3604">
            <v>1650</v>
          </cell>
        </row>
        <row r="3605">
          <cell r="E3605" t="str">
            <v>GRENADAMSROSSVILLETN</v>
          </cell>
          <cell r="F3605">
            <v>500</v>
          </cell>
        </row>
        <row r="3606">
          <cell r="E3606" t="str">
            <v>GRENADAMSTUNICAMS</v>
          </cell>
          <cell r="F3606">
            <v>480</v>
          </cell>
        </row>
        <row r="3607">
          <cell r="E3607" t="str">
            <v>GRENADAMSRABUN GAPGA</v>
          </cell>
          <cell r="F3607">
            <v>1320</v>
          </cell>
        </row>
        <row r="3608">
          <cell r="E3608" t="str">
            <v>GRENADAMSGarden CityGA</v>
          </cell>
          <cell r="F3608">
            <v>1630</v>
          </cell>
        </row>
        <row r="3609">
          <cell r="E3609" t="str">
            <v>GRENADAMSGULFPORTMS</v>
          </cell>
          <cell r="F3609">
            <v>850</v>
          </cell>
        </row>
        <row r="3610">
          <cell r="E3610" t="str">
            <v>GRENADAMSWEST MEMPHISAR</v>
          </cell>
          <cell r="F3610">
            <v>480</v>
          </cell>
        </row>
        <row r="3611">
          <cell r="E3611" t="str">
            <v>GRENADAMSGRIFTONNC</v>
          </cell>
          <cell r="F3611">
            <v>2200</v>
          </cell>
        </row>
        <row r="3612">
          <cell r="E3612" t="str">
            <v>GRENADAMSRINCONGA</v>
          </cell>
          <cell r="F3612">
            <v>1660</v>
          </cell>
        </row>
        <row r="3613">
          <cell r="E3613" t="str">
            <v>GRENADAMSINDIANOLAMS</v>
          </cell>
          <cell r="F3613">
            <v>440</v>
          </cell>
        </row>
        <row r="3614">
          <cell r="E3614" t="str">
            <v>GRENADAMSMONEYMS</v>
          </cell>
          <cell r="F3614">
            <v>390</v>
          </cell>
        </row>
        <row r="3615">
          <cell r="E3615" t="str">
            <v>GRENADAMSDREWMS</v>
          </cell>
          <cell r="F3615">
            <v>390</v>
          </cell>
        </row>
        <row r="3616">
          <cell r="E3616" t="str">
            <v>GRENADAMSGREENWOODMS</v>
          </cell>
          <cell r="F3616">
            <v>390</v>
          </cell>
        </row>
        <row r="3617">
          <cell r="E3617" t="str">
            <v>GRENADAMSCARTERSVILLEGA</v>
          </cell>
          <cell r="F3617">
            <v>970</v>
          </cell>
        </row>
        <row r="3618">
          <cell r="E3618" t="str">
            <v>GRENADAMSECLECTICAL</v>
          </cell>
          <cell r="F3618">
            <v>790</v>
          </cell>
        </row>
        <row r="3619">
          <cell r="E3619" t="str">
            <v>GRENADAMSMOBILEAL</v>
          </cell>
          <cell r="F3619">
            <v>820</v>
          </cell>
        </row>
        <row r="3620">
          <cell r="E3620" t="str">
            <v>GRENADAMSJACKSONVILLEFL</v>
          </cell>
          <cell r="F3620">
            <v>1580</v>
          </cell>
        </row>
        <row r="3621">
          <cell r="E3621" t="str">
            <v>GRENADAMSRAYVILLELA</v>
          </cell>
          <cell r="F3621">
            <v>640</v>
          </cell>
        </row>
        <row r="3622">
          <cell r="E3622" t="str">
            <v>GRENADAMSNEW ORLEANSLA</v>
          </cell>
          <cell r="F3622">
            <v>820</v>
          </cell>
        </row>
        <row r="3623">
          <cell r="E3623" t="str">
            <v>GRENADAMSTALLULAHLA</v>
          </cell>
          <cell r="F3623">
            <v>590</v>
          </cell>
        </row>
        <row r="3624">
          <cell r="E3624" t="str">
            <v>GRENADAMSWESLACOTX</v>
          </cell>
          <cell r="F3624">
            <v>1614</v>
          </cell>
        </row>
        <row r="3625">
          <cell r="E3625" t="str">
            <v>HALLSTNROCKFORDTN</v>
          </cell>
          <cell r="F3625">
            <v>940</v>
          </cell>
        </row>
        <row r="3626">
          <cell r="E3626" t="str">
            <v>HALLSTNHICKORYNC</v>
          </cell>
          <cell r="F3626">
            <v>1360</v>
          </cell>
        </row>
        <row r="3627">
          <cell r="E3627" t="str">
            <v>HALLSTNGREERSC</v>
          </cell>
          <cell r="F3627">
            <v>1310</v>
          </cell>
        </row>
        <row r="3628">
          <cell r="E3628" t="str">
            <v>HALLSTNLUMBERTONNC</v>
          </cell>
          <cell r="F3628">
            <v>1750</v>
          </cell>
        </row>
        <row r="3629">
          <cell r="E3629" t="str">
            <v>HALLSTNSANFORDNC</v>
          </cell>
          <cell r="F3629">
            <v>1700</v>
          </cell>
        </row>
        <row r="3630">
          <cell r="E3630" t="str">
            <v>HALLSTNENOREESC</v>
          </cell>
          <cell r="F3630">
            <v>1370</v>
          </cell>
        </row>
        <row r="3631">
          <cell r="E3631" t="str">
            <v>HALLSTNSTONEVILLENC</v>
          </cell>
          <cell r="F3631">
            <v>1600</v>
          </cell>
        </row>
        <row r="3632">
          <cell r="E3632" t="str">
            <v>HALLSTNMCCALLAAL</v>
          </cell>
          <cell r="F3632">
            <v>810</v>
          </cell>
        </row>
        <row r="3633">
          <cell r="E3633" t="str">
            <v>HALLSTNERWINNC</v>
          </cell>
          <cell r="F3633">
            <v>1780</v>
          </cell>
        </row>
        <row r="3634">
          <cell r="E3634" t="str">
            <v>HALLSTNKINSTONNC</v>
          </cell>
          <cell r="F3634">
            <v>1940</v>
          </cell>
        </row>
        <row r="3635">
          <cell r="E3635" t="str">
            <v>HALLSTNMOCKSVILLENC</v>
          </cell>
          <cell r="F3635">
            <v>1470</v>
          </cell>
        </row>
        <row r="3636">
          <cell r="E3636" t="str">
            <v>HALLSTNTHOMASVILLENC</v>
          </cell>
          <cell r="F3636">
            <v>1540</v>
          </cell>
        </row>
        <row r="3637">
          <cell r="E3637" t="str">
            <v>HALLSTNLOWELLNC</v>
          </cell>
          <cell r="F3637">
            <v>1420</v>
          </cell>
        </row>
        <row r="3638">
          <cell r="E3638" t="str">
            <v>HALLSTNBELMONTNC</v>
          </cell>
          <cell r="F3638">
            <v>1430</v>
          </cell>
        </row>
        <row r="3639">
          <cell r="E3639" t="str">
            <v>HALLSTNLEXINGTONNC</v>
          </cell>
          <cell r="F3639">
            <v>1510</v>
          </cell>
        </row>
        <row r="3640">
          <cell r="E3640" t="str">
            <v>HALLSTNGASTONIANC</v>
          </cell>
          <cell r="F3640">
            <v>1410</v>
          </cell>
        </row>
        <row r="3641">
          <cell r="E3641" t="str">
            <v>HALLSTNNEW ORLEANSLA</v>
          </cell>
          <cell r="F3641">
            <v>1170</v>
          </cell>
        </row>
        <row r="3642">
          <cell r="E3642" t="str">
            <v>HALLSTNGREENWOODSC</v>
          </cell>
          <cell r="F3642">
            <v>1380</v>
          </cell>
        </row>
        <row r="3643">
          <cell r="E3643" t="str">
            <v>HALLSTNROCKINGHAMNC</v>
          </cell>
          <cell r="F3643">
            <v>1620</v>
          </cell>
        </row>
        <row r="3644">
          <cell r="E3644" t="str">
            <v>HALLSTNCLARKTONNC</v>
          </cell>
          <cell r="F3644">
            <v>1800</v>
          </cell>
        </row>
        <row r="3645">
          <cell r="E3645" t="str">
            <v>HALLSTNCHARLOTTENC</v>
          </cell>
          <cell r="F3645">
            <v>1450</v>
          </cell>
        </row>
        <row r="3646">
          <cell r="E3646" t="str">
            <v>HALLSTNSHELBYNC</v>
          </cell>
          <cell r="F3646">
            <v>1350</v>
          </cell>
        </row>
        <row r="3647">
          <cell r="E3647" t="str">
            <v>HALLSTNSALISBURYNC</v>
          </cell>
          <cell r="F3647">
            <v>1480</v>
          </cell>
        </row>
        <row r="3648">
          <cell r="E3648" t="str">
            <v>HALLSTNINDIAN LANDSC</v>
          </cell>
          <cell r="F3648">
            <v>1480</v>
          </cell>
        </row>
        <row r="3649">
          <cell r="E3649" t="str">
            <v>HALLSTNSPARTANC</v>
          </cell>
          <cell r="F3649">
            <v>1430</v>
          </cell>
        </row>
        <row r="3650">
          <cell r="E3650" t="str">
            <v>HALLSTNMINERAL SPRINGSNC</v>
          </cell>
          <cell r="F3650">
            <v>1510</v>
          </cell>
        </row>
        <row r="3651">
          <cell r="E3651" t="str">
            <v>HALLSTNMAYODANNC</v>
          </cell>
          <cell r="F3651">
            <v>1590</v>
          </cell>
        </row>
        <row r="3652">
          <cell r="E3652" t="str">
            <v>HALLSTNGREENWOODMS</v>
          </cell>
          <cell r="F3652">
            <v>640</v>
          </cell>
        </row>
        <row r="3653">
          <cell r="E3653" t="str">
            <v>HALLSTNMONEYMS</v>
          </cell>
          <cell r="F3653">
            <v>620</v>
          </cell>
        </row>
        <row r="3654">
          <cell r="E3654" t="str">
            <v>HALLSTNMEMPHISTN</v>
          </cell>
          <cell r="F3654">
            <v>440</v>
          </cell>
        </row>
        <row r="3655">
          <cell r="E3655" t="str">
            <v>HALLSTNDREWMS</v>
          </cell>
          <cell r="F3655">
            <v>590</v>
          </cell>
        </row>
        <row r="3656">
          <cell r="E3656" t="str">
            <v>HALLSTNBLYTHEVILLEAR</v>
          </cell>
          <cell r="F3656">
            <v>420</v>
          </cell>
        </row>
        <row r="3657">
          <cell r="E3657" t="str">
            <v>HALLSTNGRIFTONNC</v>
          </cell>
          <cell r="F3657">
            <v>2080</v>
          </cell>
        </row>
        <row r="3658">
          <cell r="E3658" t="str">
            <v>HALLSTNWEST MEMPHISAR</v>
          </cell>
          <cell r="F3658">
            <v>440</v>
          </cell>
        </row>
        <row r="3659">
          <cell r="E3659" t="str">
            <v>HALLSTNRABUN GAPGA</v>
          </cell>
          <cell r="F3659">
            <v>1210</v>
          </cell>
        </row>
        <row r="3660">
          <cell r="E3660" t="str">
            <v>HALLSTNGULFPORTMS</v>
          </cell>
          <cell r="F3660">
            <v>1210</v>
          </cell>
        </row>
        <row r="3661">
          <cell r="E3661" t="str">
            <v>HALLSTNMARIONAR</v>
          </cell>
          <cell r="F3661">
            <v>440</v>
          </cell>
        </row>
        <row r="3662">
          <cell r="E3662" t="str">
            <v>HALLSTNROSSVILLETN</v>
          </cell>
          <cell r="F3662">
            <v>440</v>
          </cell>
        </row>
        <row r="3663">
          <cell r="E3663" t="str">
            <v>HALLSTNINDIANOLAMS</v>
          </cell>
          <cell r="F3663">
            <v>630</v>
          </cell>
        </row>
        <row r="3664">
          <cell r="E3664" t="str">
            <v>HALLSTNTUNICAMS</v>
          </cell>
          <cell r="F3664">
            <v>490</v>
          </cell>
        </row>
        <row r="3665">
          <cell r="E3665" t="str">
            <v>HALLSTNTALLULAHLA</v>
          </cell>
          <cell r="F3665">
            <v>900</v>
          </cell>
        </row>
        <row r="3666">
          <cell r="E3666" t="str">
            <v>HALLSTNRINCONGA</v>
          </cell>
          <cell r="F3666">
            <v>1760</v>
          </cell>
        </row>
        <row r="3667">
          <cell r="E3667" t="str">
            <v>HALLSTNPORT WENTWORTHGA</v>
          </cell>
          <cell r="F3667">
            <v>1750</v>
          </cell>
        </row>
        <row r="3668">
          <cell r="E3668" t="str">
            <v>HALLSTNMOBILEAL</v>
          </cell>
          <cell r="F3668">
            <v>1170</v>
          </cell>
        </row>
        <row r="3669">
          <cell r="E3669" t="str">
            <v>HALLSTNCENTREAL</v>
          </cell>
          <cell r="F3669">
            <v>800</v>
          </cell>
        </row>
        <row r="3670">
          <cell r="E3670" t="str">
            <v>HALLSTNGAINESVILLEGA</v>
          </cell>
          <cell r="F3670">
            <v>1170</v>
          </cell>
        </row>
        <row r="3671">
          <cell r="E3671" t="str">
            <v>HALLSTNGarden CityGA</v>
          </cell>
          <cell r="F3671">
            <v>1730</v>
          </cell>
        </row>
        <row r="3672">
          <cell r="E3672" t="str">
            <v>HALLSTNCARTERSVILLEGA</v>
          </cell>
          <cell r="F3672">
            <v>990</v>
          </cell>
        </row>
        <row r="3673">
          <cell r="E3673" t="str">
            <v>HALLSTNGAFFNEYSC</v>
          </cell>
          <cell r="F3673">
            <v>1360</v>
          </cell>
        </row>
        <row r="3674">
          <cell r="E3674" t="str">
            <v>HALLSTNDAWSONGA</v>
          </cell>
          <cell r="F3674">
            <v>1220</v>
          </cell>
        </row>
        <row r="3675">
          <cell r="E3675" t="str">
            <v>HALLSTNNORFOLKVA</v>
          </cell>
          <cell r="F3675">
            <v>2110</v>
          </cell>
        </row>
        <row r="3676">
          <cell r="E3676" t="str">
            <v>HALLSTNPORTSMOUTHVA</v>
          </cell>
          <cell r="F3676">
            <v>2100</v>
          </cell>
        </row>
        <row r="3677">
          <cell r="E3677" t="str">
            <v>HALLSTNEDENTONNC</v>
          </cell>
          <cell r="F3677">
            <v>2060</v>
          </cell>
        </row>
        <row r="3678">
          <cell r="E3678" t="str">
            <v>HALLSTNRAYVILLELA</v>
          </cell>
          <cell r="F3678">
            <v>850</v>
          </cell>
        </row>
        <row r="3679">
          <cell r="E3679" t="str">
            <v>HALLSTNJACKSONVILLEFL</v>
          </cell>
          <cell r="F3679">
            <v>1870</v>
          </cell>
        </row>
        <row r="3680">
          <cell r="E3680" t="str">
            <v>HALLSTNECLECTICAL</v>
          </cell>
          <cell r="F3680">
            <v>950</v>
          </cell>
        </row>
        <row r="3681">
          <cell r="E3681" t="str">
            <v>HALLSTNWESLACOTX</v>
          </cell>
          <cell r="F3681">
            <v>1577</v>
          </cell>
        </row>
        <row r="3682">
          <cell r="E3682" t="str">
            <v>HAMLINTXBaytownTX</v>
          </cell>
          <cell r="F3682">
            <v>831</v>
          </cell>
        </row>
        <row r="3683">
          <cell r="E3683" t="str">
            <v>HAMLINTXHoustonTX</v>
          </cell>
          <cell r="F3683">
            <v>803</v>
          </cell>
        </row>
        <row r="3684">
          <cell r="E3684" t="str">
            <v>HAMLINTXDallasTX</v>
          </cell>
          <cell r="F3684">
            <v>502</v>
          </cell>
        </row>
        <row r="3685">
          <cell r="E3685" t="str">
            <v>HARLINGENTXHoustonTX</v>
          </cell>
          <cell r="F3685">
            <v>1098</v>
          </cell>
        </row>
        <row r="3686">
          <cell r="E3686" t="str">
            <v>HARLINGENTXBaytownTX</v>
          </cell>
          <cell r="F3686">
            <v>1150</v>
          </cell>
        </row>
        <row r="3687">
          <cell r="E3687" t="str">
            <v>HARLINGENTXHOUSTONTX</v>
          </cell>
          <cell r="F3687">
            <v>1526</v>
          </cell>
        </row>
        <row r="3688">
          <cell r="E3688" t="str">
            <v>HARLINGENTXDallasTX</v>
          </cell>
        </row>
        <row r="3689">
          <cell r="E3689" t="str">
            <v>HARLINGENTXWESLACOTX</v>
          </cell>
          <cell r="F3689">
            <v>354</v>
          </cell>
        </row>
        <row r="3690">
          <cell r="E3690" t="str">
            <v>HARTFORDALROCKFORDTN</v>
          </cell>
          <cell r="F3690">
            <v>1150</v>
          </cell>
        </row>
        <row r="3691">
          <cell r="E3691" t="str">
            <v>HARTFORDALSPARTANC</v>
          </cell>
          <cell r="F3691">
            <v>1440</v>
          </cell>
        </row>
        <row r="3692">
          <cell r="E3692" t="str">
            <v>HARTFORDALNORFOLKVA</v>
          </cell>
          <cell r="F3692">
            <v>1970</v>
          </cell>
        </row>
        <row r="3693">
          <cell r="E3693" t="str">
            <v>HARTFORDALGREENWOODMS</v>
          </cell>
          <cell r="F3693">
            <v>980</v>
          </cell>
        </row>
        <row r="3694">
          <cell r="E3694" t="str">
            <v>HARTFORDALKINSTONNC</v>
          </cell>
          <cell r="F3694">
            <v>1720</v>
          </cell>
        </row>
        <row r="3695">
          <cell r="E3695" t="str">
            <v>HARTFORDALEDENTONNC</v>
          </cell>
          <cell r="F3695">
            <v>1900</v>
          </cell>
        </row>
        <row r="3696">
          <cell r="E3696" t="str">
            <v>HARTFORDALMAYODANNC</v>
          </cell>
          <cell r="F3696">
            <v>1470</v>
          </cell>
        </row>
        <row r="3697">
          <cell r="E3697" t="str">
            <v>HARTFORDALTALLULAHLA</v>
          </cell>
          <cell r="F3697">
            <v>1010</v>
          </cell>
        </row>
        <row r="3698">
          <cell r="E3698" t="str">
            <v>HARTFORDALCARTERSVILLEGA</v>
          </cell>
          <cell r="F3698">
            <v>760</v>
          </cell>
        </row>
        <row r="3699">
          <cell r="E3699" t="str">
            <v>HARTFORDALMOCKSVILLENC</v>
          </cell>
          <cell r="F3699">
            <v>1350</v>
          </cell>
        </row>
        <row r="3700">
          <cell r="E3700" t="str">
            <v>HARTFORDALNEW ORLEANSLA</v>
          </cell>
          <cell r="F3700">
            <v>860</v>
          </cell>
        </row>
        <row r="3701">
          <cell r="E3701" t="str">
            <v>HARTFORDALBLYTHEVILLEAR</v>
          </cell>
          <cell r="F3701">
            <v>1260</v>
          </cell>
        </row>
        <row r="3702">
          <cell r="E3702" t="str">
            <v>HARTFORDALSTONEVILLENC</v>
          </cell>
          <cell r="F3702">
            <v>1480</v>
          </cell>
        </row>
        <row r="3703">
          <cell r="E3703" t="str">
            <v>HARTFORDALTHOMASVILLENC</v>
          </cell>
          <cell r="F3703">
            <v>1380</v>
          </cell>
        </row>
        <row r="3704">
          <cell r="E3704" t="str">
            <v>HARTFORDALROSSVILLETN</v>
          </cell>
          <cell r="F3704">
            <v>1100</v>
          </cell>
        </row>
        <row r="3705">
          <cell r="E3705" t="str">
            <v>HARTFORDALMONEYMS</v>
          </cell>
          <cell r="F3705">
            <v>1020</v>
          </cell>
        </row>
        <row r="3706">
          <cell r="E3706" t="str">
            <v>HARTFORDALMCCALLAAL</v>
          </cell>
          <cell r="F3706">
            <v>640</v>
          </cell>
        </row>
        <row r="3707">
          <cell r="E3707" t="str">
            <v>HARTFORDALLOWELLNC</v>
          </cell>
          <cell r="F3707">
            <v>1190</v>
          </cell>
        </row>
        <row r="3708">
          <cell r="E3708" t="str">
            <v>HARTFORDALTUNICAMS</v>
          </cell>
          <cell r="F3708">
            <v>1150</v>
          </cell>
        </row>
        <row r="3709">
          <cell r="E3709" t="str">
            <v>HARTFORDALBELMONTNC</v>
          </cell>
          <cell r="F3709">
            <v>1200</v>
          </cell>
        </row>
        <row r="3710">
          <cell r="E3710" t="str">
            <v>HARTFORDALWEST MEMPHISAR</v>
          </cell>
          <cell r="F3710">
            <v>1130</v>
          </cell>
        </row>
        <row r="3711">
          <cell r="E3711" t="str">
            <v>HARTFORDALGASTONIANC</v>
          </cell>
          <cell r="F3711">
            <v>1180</v>
          </cell>
        </row>
        <row r="3712">
          <cell r="E3712" t="str">
            <v>HARTFORDALRAYVILLELA</v>
          </cell>
          <cell r="F3712">
            <v>1090</v>
          </cell>
        </row>
        <row r="3713">
          <cell r="E3713" t="str">
            <v>HARTFORDALCLARKTONNC</v>
          </cell>
          <cell r="F3713">
            <v>1480</v>
          </cell>
        </row>
        <row r="3714">
          <cell r="E3714" t="str">
            <v>HARTFORDALPORTSMOUTHVA</v>
          </cell>
          <cell r="F3714">
            <v>1940</v>
          </cell>
        </row>
        <row r="3715">
          <cell r="E3715" t="str">
            <v>HARTFORDALERWINNC</v>
          </cell>
          <cell r="F3715">
            <v>1560</v>
          </cell>
        </row>
        <row r="3716">
          <cell r="E3716" t="str">
            <v>HARTFORDALMARIONAR</v>
          </cell>
          <cell r="F3716">
            <v>1130</v>
          </cell>
        </row>
        <row r="3717">
          <cell r="E3717" t="str">
            <v>HARTFORDALSANFORDNC</v>
          </cell>
          <cell r="F3717">
            <v>1510</v>
          </cell>
        </row>
        <row r="3718">
          <cell r="E3718" t="str">
            <v>HARTFORDALSALISBURYNC</v>
          </cell>
          <cell r="F3718">
            <v>1310</v>
          </cell>
        </row>
        <row r="3719">
          <cell r="E3719" t="str">
            <v>HARTFORDALROCKINGHAMNC</v>
          </cell>
          <cell r="F3719">
            <v>1390</v>
          </cell>
        </row>
        <row r="3720">
          <cell r="E3720" t="str">
            <v>HARTFORDALMEMPHISTN</v>
          </cell>
          <cell r="F3720">
            <v>1110</v>
          </cell>
        </row>
        <row r="3721">
          <cell r="E3721" t="str">
            <v>HARTFORDALSHELBYNC</v>
          </cell>
          <cell r="F3721">
            <v>1140</v>
          </cell>
        </row>
        <row r="3722">
          <cell r="E3722" t="str">
            <v>HARTFORDALCHARLOTTENC</v>
          </cell>
          <cell r="F3722">
            <v>1220</v>
          </cell>
        </row>
        <row r="3723">
          <cell r="E3723" t="str">
            <v>HARTFORDALLEXINGTONNC</v>
          </cell>
          <cell r="F3723">
            <v>1350</v>
          </cell>
        </row>
        <row r="3724">
          <cell r="E3724" t="str">
            <v>HARTFORDALHICKORYNC</v>
          </cell>
          <cell r="F3724">
            <v>1250</v>
          </cell>
        </row>
        <row r="3725">
          <cell r="E3725" t="str">
            <v>HARTFORDALLUMBERTONNC</v>
          </cell>
          <cell r="F3725">
            <v>1430</v>
          </cell>
        </row>
        <row r="3726">
          <cell r="E3726" t="str">
            <v>HARTFORDALMINERAL SPRINGSNC</v>
          </cell>
          <cell r="F3726">
            <v>1280</v>
          </cell>
        </row>
        <row r="3727">
          <cell r="E3727" t="str">
            <v>HARTFORDALMOBILEAL</v>
          </cell>
          <cell r="F3727">
            <v>590</v>
          </cell>
        </row>
        <row r="3728">
          <cell r="E3728" t="str">
            <v>HARTFORDALPORT WENTWORTHGA</v>
          </cell>
          <cell r="F3728">
            <v>1000</v>
          </cell>
        </row>
        <row r="3729">
          <cell r="E3729" t="str">
            <v>HARTFORDALECLECTICAL</v>
          </cell>
          <cell r="F3729">
            <v>520</v>
          </cell>
        </row>
        <row r="3730">
          <cell r="E3730" t="str">
            <v>HARTFORDALRINCONGA</v>
          </cell>
          <cell r="F3730">
            <v>1010</v>
          </cell>
        </row>
        <row r="3731">
          <cell r="E3731" t="str">
            <v>HARTFORDALDAWSONGA</v>
          </cell>
          <cell r="F3731">
            <v>490</v>
          </cell>
        </row>
        <row r="3732">
          <cell r="E3732" t="str">
            <v>HARTFORDALGarden CityGA</v>
          </cell>
          <cell r="F3732">
            <v>980</v>
          </cell>
        </row>
        <row r="3733">
          <cell r="E3733" t="str">
            <v>HARTFORDALGRIFTONNC</v>
          </cell>
          <cell r="F3733">
            <v>1850</v>
          </cell>
        </row>
        <row r="3734">
          <cell r="E3734" t="str">
            <v>HARTFORDALINDIANOLAMS</v>
          </cell>
          <cell r="F3734">
            <v>1040</v>
          </cell>
        </row>
        <row r="3735">
          <cell r="E3735" t="str">
            <v>HARTFORDALDREWMS</v>
          </cell>
          <cell r="F3735">
            <v>1060</v>
          </cell>
        </row>
        <row r="3736">
          <cell r="E3736" t="str">
            <v>HARTFORDALRABUN GAPGA</v>
          </cell>
          <cell r="F3736">
            <v>990</v>
          </cell>
        </row>
        <row r="3737">
          <cell r="E3737" t="str">
            <v>HARTFORDALGAINESVILLEGA</v>
          </cell>
          <cell r="F3737">
            <v>790</v>
          </cell>
        </row>
        <row r="3738">
          <cell r="E3738" t="str">
            <v>HARTFORDALGREERSC</v>
          </cell>
          <cell r="F3738">
            <v>1030</v>
          </cell>
        </row>
        <row r="3739">
          <cell r="E3739" t="str">
            <v>HARTFORDALENOREESC</v>
          </cell>
          <cell r="F3739">
            <v>1080</v>
          </cell>
        </row>
        <row r="3740">
          <cell r="E3740" t="str">
            <v>HARTFORDALGAFFNEYSC</v>
          </cell>
          <cell r="F3740">
            <v>1100</v>
          </cell>
        </row>
        <row r="3741">
          <cell r="E3741" t="str">
            <v>HARTFORDALINDIAN LANDSC</v>
          </cell>
          <cell r="F3741">
            <v>1250</v>
          </cell>
        </row>
        <row r="3742">
          <cell r="E3742" t="str">
            <v>HARTFORDALGREENWOODSC</v>
          </cell>
          <cell r="F3742">
            <v>990</v>
          </cell>
        </row>
        <row r="3743">
          <cell r="E3743" t="str">
            <v>HARTFORDALJACKSONVILLEFL</v>
          </cell>
          <cell r="F3743">
            <v>770</v>
          </cell>
        </row>
        <row r="3744">
          <cell r="E3744" t="str">
            <v>HARTFORDALGULFPORTMS</v>
          </cell>
          <cell r="F3744">
            <v>810</v>
          </cell>
        </row>
        <row r="3745">
          <cell r="E3745" t="str">
            <v>HARTFORDALCENTREAL</v>
          </cell>
          <cell r="F3745">
            <v>760</v>
          </cell>
        </row>
        <row r="3746">
          <cell r="E3746" t="str">
            <v>HARTSVILLESCROCKFORDTN</v>
          </cell>
          <cell r="F3746">
            <v>920</v>
          </cell>
        </row>
        <row r="3747">
          <cell r="E3747" t="str">
            <v>HARTSVILLESCGAINESVILLEGA</v>
          </cell>
          <cell r="F3747">
            <v>770</v>
          </cell>
        </row>
        <row r="3748">
          <cell r="E3748" t="str">
            <v>HARTSVILLESCECLECTICAL</v>
          </cell>
          <cell r="F3748">
            <v>1140</v>
          </cell>
        </row>
        <row r="3749">
          <cell r="E3749" t="str">
            <v>HARTSVILLESCMEMPHISTN</v>
          </cell>
          <cell r="F3749">
            <v>1690</v>
          </cell>
        </row>
        <row r="3750">
          <cell r="E3750" t="str">
            <v>HARTSVILLESCDAWSONGA</v>
          </cell>
          <cell r="F3750">
            <v>1030</v>
          </cell>
        </row>
        <row r="3751">
          <cell r="E3751" t="str">
            <v>HARTSVILLESCKINSTONNC</v>
          </cell>
          <cell r="F3751">
            <v>640</v>
          </cell>
        </row>
        <row r="3752">
          <cell r="E3752" t="str">
            <v>HARTSVILLESCBLYTHEVILLEAR</v>
          </cell>
          <cell r="F3752">
            <v>1770</v>
          </cell>
        </row>
        <row r="3753">
          <cell r="E3753" t="str">
            <v>HARTSVILLESCCARTERSVILLEGA</v>
          </cell>
          <cell r="F3753">
            <v>920</v>
          </cell>
        </row>
        <row r="3754">
          <cell r="E3754" t="str">
            <v>HARTSVILLESCTALLULAHLA</v>
          </cell>
          <cell r="F3754">
            <v>1820</v>
          </cell>
        </row>
        <row r="3755">
          <cell r="E3755" t="str">
            <v>HARTSVILLESCMAYODANNC</v>
          </cell>
          <cell r="F3755">
            <v>580</v>
          </cell>
        </row>
        <row r="3756">
          <cell r="E3756" t="str">
            <v>HARTSVILLESCGREENWOODMS</v>
          </cell>
          <cell r="F3756">
            <v>1640</v>
          </cell>
        </row>
        <row r="3757">
          <cell r="E3757" t="str">
            <v>HARTSVILLESCTUNICAMS</v>
          </cell>
          <cell r="F3757">
            <v>1710</v>
          </cell>
        </row>
        <row r="3758">
          <cell r="E3758" t="str">
            <v>HARTSVILLESCMCCALLAAL</v>
          </cell>
          <cell r="F3758">
            <v>1200</v>
          </cell>
        </row>
        <row r="3759">
          <cell r="E3759" t="str">
            <v>HARTSVILLESCWEST MEMPHISAR</v>
          </cell>
          <cell r="F3759">
            <v>1690</v>
          </cell>
        </row>
        <row r="3760">
          <cell r="E3760" t="str">
            <v>HARTSVILLESCROSSVILLETN</v>
          </cell>
          <cell r="F3760">
            <v>1670</v>
          </cell>
        </row>
        <row r="3761">
          <cell r="E3761" t="str">
            <v>HARTSVILLESCGAFFNEYSC</v>
          </cell>
          <cell r="F3761">
            <v>540</v>
          </cell>
        </row>
        <row r="3762">
          <cell r="E3762" t="str">
            <v>HARTSVILLESCCENTREAL</v>
          </cell>
          <cell r="F3762">
            <v>1030</v>
          </cell>
        </row>
        <row r="3763">
          <cell r="E3763" t="str">
            <v>HARTSVILLESCNEW ORLEANSLA</v>
          </cell>
          <cell r="F3763">
            <v>1830</v>
          </cell>
        </row>
        <row r="3764">
          <cell r="E3764" t="str">
            <v>HARTSVILLESCMOBILEAL</v>
          </cell>
          <cell r="F3764">
            <v>1520</v>
          </cell>
        </row>
        <row r="3765">
          <cell r="E3765" t="str">
            <v>HARTSVILLESCMARIONAR</v>
          </cell>
          <cell r="F3765">
            <v>1700</v>
          </cell>
        </row>
        <row r="3766">
          <cell r="E3766" t="str">
            <v>HARTSVILLESCMONEYMS</v>
          </cell>
          <cell r="F3766">
            <v>1680</v>
          </cell>
        </row>
        <row r="3767">
          <cell r="E3767" t="str">
            <v>HARTSVILLESCDREWMS</v>
          </cell>
          <cell r="F3767">
            <v>1730</v>
          </cell>
        </row>
        <row r="3768">
          <cell r="E3768" t="str">
            <v>HARTSVILLESCINDIANOLAMS</v>
          </cell>
          <cell r="F3768">
            <v>1710</v>
          </cell>
        </row>
        <row r="3769">
          <cell r="E3769" t="str">
            <v>HARTSVILLESCRAYVILLELA</v>
          </cell>
          <cell r="F3769">
            <v>1890</v>
          </cell>
        </row>
        <row r="3770">
          <cell r="E3770" t="str">
            <v>HARTSVILLESCSTONEVILLENC</v>
          </cell>
          <cell r="F3770">
            <v>580</v>
          </cell>
        </row>
        <row r="3771">
          <cell r="E3771" t="str">
            <v>HARTSVILLESCSHELBYNC</v>
          </cell>
          <cell r="F3771">
            <v>530</v>
          </cell>
        </row>
        <row r="3772">
          <cell r="E3772" t="str">
            <v>HARTSVILLESCSALISBURYNC</v>
          </cell>
          <cell r="F3772">
            <v>510</v>
          </cell>
        </row>
        <row r="3773">
          <cell r="E3773" t="str">
            <v>HARTSVILLESCBELMONTNC</v>
          </cell>
          <cell r="F3773">
            <v>480</v>
          </cell>
        </row>
        <row r="3774">
          <cell r="E3774" t="str">
            <v>HARTSVILLESCSANFORDNC</v>
          </cell>
          <cell r="F3774">
            <v>480</v>
          </cell>
        </row>
        <row r="3775">
          <cell r="E3775" t="str">
            <v>HARTSVILLESCMOCKSVILLENC</v>
          </cell>
          <cell r="F3775">
            <v>540</v>
          </cell>
        </row>
        <row r="3776">
          <cell r="E3776" t="str">
            <v>HARTSVILLESCRABUN GAPGA</v>
          </cell>
          <cell r="F3776">
            <v>770</v>
          </cell>
        </row>
        <row r="3777">
          <cell r="E3777" t="str">
            <v>HARTSVILLESCTHOMASVILLENC</v>
          </cell>
          <cell r="F3777">
            <v>530</v>
          </cell>
        </row>
        <row r="3778">
          <cell r="E3778" t="str">
            <v>HARTSVILLESCINDIAN LANDSC</v>
          </cell>
          <cell r="F3778">
            <v>440</v>
          </cell>
        </row>
        <row r="3779">
          <cell r="E3779" t="str">
            <v>HARTSVILLESCLOWELLNC</v>
          </cell>
          <cell r="F3779">
            <v>490</v>
          </cell>
        </row>
        <row r="3780">
          <cell r="E3780" t="str">
            <v>HARTSVILLESCLUMBERTONNC</v>
          </cell>
          <cell r="F3780">
            <v>440</v>
          </cell>
        </row>
        <row r="3781">
          <cell r="E3781" t="str">
            <v>HARTSVILLESCLEXINGTONNC</v>
          </cell>
          <cell r="F3781">
            <v>540</v>
          </cell>
        </row>
        <row r="3782">
          <cell r="E3782" t="str">
            <v>HARTSVILLESCGULFPORTMS</v>
          </cell>
          <cell r="F3782">
            <v>1780</v>
          </cell>
        </row>
        <row r="3783">
          <cell r="E3783" t="str">
            <v>HARTSVILLESCENOREESC</v>
          </cell>
          <cell r="F3783">
            <v>550</v>
          </cell>
        </row>
        <row r="3784">
          <cell r="E3784" t="str">
            <v>HARTSVILLESCGASTONIANC</v>
          </cell>
          <cell r="F3784">
            <v>490</v>
          </cell>
        </row>
        <row r="3785">
          <cell r="E3785" t="str">
            <v>HARTSVILLESCCHARLOTTENC</v>
          </cell>
          <cell r="F3785">
            <v>450</v>
          </cell>
        </row>
        <row r="3786">
          <cell r="E3786" t="str">
            <v>HARTSVILLESCCLARKTONNC</v>
          </cell>
          <cell r="F3786">
            <v>470</v>
          </cell>
        </row>
        <row r="3787">
          <cell r="E3787" t="str">
            <v>HARTSVILLESCMINERAL SPRINGSNC</v>
          </cell>
          <cell r="F3787">
            <v>430</v>
          </cell>
        </row>
        <row r="3788">
          <cell r="E3788" t="str">
            <v>HARTSVILLESCRINCONGA</v>
          </cell>
          <cell r="F3788">
            <v>720</v>
          </cell>
        </row>
        <row r="3789">
          <cell r="E3789" t="str">
            <v>HARTSVILLESCGarden CityGA</v>
          </cell>
          <cell r="F3789">
            <v>720</v>
          </cell>
        </row>
        <row r="3790">
          <cell r="E3790" t="str">
            <v>HARTSVILLESCROCKINGHAMNC</v>
          </cell>
          <cell r="F3790">
            <v>400</v>
          </cell>
        </row>
        <row r="3791">
          <cell r="E3791" t="str">
            <v>HARTSVILLESCPORT WENTWORTHGA</v>
          </cell>
          <cell r="F3791">
            <v>710</v>
          </cell>
        </row>
        <row r="3792">
          <cell r="E3792" t="str">
            <v>HARTSVILLESCNORFOLKVA</v>
          </cell>
          <cell r="F3792">
            <v>900</v>
          </cell>
        </row>
        <row r="3793">
          <cell r="E3793" t="str">
            <v>HARTSVILLESCPORTSMOUTHVA</v>
          </cell>
          <cell r="F3793">
            <v>870</v>
          </cell>
        </row>
        <row r="3794">
          <cell r="E3794" t="str">
            <v>HARTSVILLESCERWINNC</v>
          </cell>
          <cell r="F3794">
            <v>530</v>
          </cell>
        </row>
        <row r="3795">
          <cell r="E3795" t="str">
            <v>HARTSVILLESCGREENWOODSC</v>
          </cell>
          <cell r="F3795">
            <v>580</v>
          </cell>
        </row>
        <row r="3796">
          <cell r="E3796" t="str">
            <v>HARTSVILLESCHICKORYNC</v>
          </cell>
          <cell r="F3796">
            <v>550</v>
          </cell>
        </row>
        <row r="3797">
          <cell r="E3797" t="str">
            <v>HARTSVILLESCEDENTONNC</v>
          </cell>
          <cell r="F3797">
            <v>780</v>
          </cell>
        </row>
        <row r="3798">
          <cell r="E3798" t="str">
            <v>HARTSVILLESCGREERSC</v>
          </cell>
          <cell r="F3798">
            <v>600</v>
          </cell>
        </row>
        <row r="3799">
          <cell r="E3799" t="str">
            <v>HARTSVILLESCGRIFTONNC</v>
          </cell>
          <cell r="F3799">
            <v>760</v>
          </cell>
        </row>
        <row r="3800">
          <cell r="E3800" t="str">
            <v>HARTSVILLESCJACKSONVILLEFL</v>
          </cell>
          <cell r="F3800">
            <v>870</v>
          </cell>
        </row>
        <row r="3801">
          <cell r="E3801" t="str">
            <v>HARTSVILLESCSPARTANC</v>
          </cell>
          <cell r="F3801">
            <v>620</v>
          </cell>
        </row>
        <row r="3802">
          <cell r="E3802" t="str">
            <v>HaskellTXHoustonTX</v>
          </cell>
          <cell r="F3802">
            <v>751</v>
          </cell>
        </row>
        <row r="3803">
          <cell r="E3803" t="str">
            <v>HaskellTXBaytownTX</v>
          </cell>
          <cell r="F3803">
            <v>777</v>
          </cell>
        </row>
        <row r="3804">
          <cell r="E3804" t="str">
            <v>HaskellTXDallasTX</v>
          </cell>
          <cell r="F3804">
            <v>449</v>
          </cell>
        </row>
        <row r="3805">
          <cell r="E3805" t="str">
            <v>HASLETTXDallasTX</v>
          </cell>
          <cell r="F3805">
            <v>315</v>
          </cell>
        </row>
        <row r="3806">
          <cell r="E3806" t="str">
            <v>HASLETTXHoustonTX</v>
          </cell>
          <cell r="F3806">
            <v>739</v>
          </cell>
        </row>
        <row r="3807">
          <cell r="E3807" t="str">
            <v>HASLETTXBaytownTX</v>
          </cell>
          <cell r="F3807">
            <v>780</v>
          </cell>
        </row>
        <row r="3808">
          <cell r="E3808" t="str">
            <v>HAWKINSVILLEGAROCKFORDTN</v>
          </cell>
          <cell r="F3808">
            <v>940</v>
          </cell>
        </row>
        <row r="3809">
          <cell r="E3809" t="str">
            <v>HAWKINSVILLEGASALISBURYNC</v>
          </cell>
          <cell r="F3809">
            <v>920</v>
          </cell>
        </row>
        <row r="3810">
          <cell r="E3810" t="str">
            <v>HAWKINSVILLEGAHICKORYNC</v>
          </cell>
          <cell r="F3810">
            <v>1000</v>
          </cell>
        </row>
        <row r="3811">
          <cell r="E3811" t="str">
            <v>HAWKINSVILLEGAMINERAL SPRINGSNC</v>
          </cell>
          <cell r="F3811">
            <v>810</v>
          </cell>
        </row>
        <row r="3812">
          <cell r="E3812" t="str">
            <v>HAWKINSVILLEGABELMONTNC</v>
          </cell>
          <cell r="F3812">
            <v>840</v>
          </cell>
        </row>
        <row r="3813">
          <cell r="E3813" t="str">
            <v>HAWKINSVILLEGARAYVILLELA</v>
          </cell>
          <cell r="F3813">
            <v>1350</v>
          </cell>
        </row>
        <row r="3814">
          <cell r="E3814" t="str">
            <v>HAWKINSVILLEGABLYTHEVILLEAR</v>
          </cell>
          <cell r="F3814">
            <v>1440</v>
          </cell>
        </row>
        <row r="3815">
          <cell r="E3815" t="str">
            <v>HAWKINSVILLEGALOWELLNC</v>
          </cell>
          <cell r="F3815">
            <v>850</v>
          </cell>
        </row>
        <row r="3816">
          <cell r="E3816" t="str">
            <v>HAWKINSVILLEGANEW ORLEANSLA</v>
          </cell>
          <cell r="F3816">
            <v>1270</v>
          </cell>
        </row>
        <row r="3817">
          <cell r="E3817" t="str">
            <v>HAWKINSVILLEGAKINSTONNC</v>
          </cell>
          <cell r="F3817">
            <v>1210</v>
          </cell>
        </row>
        <row r="3818">
          <cell r="E3818" t="str">
            <v>HAWKINSVILLEGAMOBILEAL</v>
          </cell>
          <cell r="F3818">
            <v>960</v>
          </cell>
        </row>
        <row r="3819">
          <cell r="E3819" t="str">
            <v>HAWKINSVILLEGAEDENTONNC</v>
          </cell>
          <cell r="F3819">
            <v>1390</v>
          </cell>
        </row>
        <row r="3820">
          <cell r="E3820" t="str">
            <v>HAWKINSVILLEGACHARLOTTENC</v>
          </cell>
          <cell r="F3820">
            <v>830</v>
          </cell>
        </row>
        <row r="3821">
          <cell r="E3821" t="str">
            <v>HAWKINSVILLEGASPARTANC</v>
          </cell>
          <cell r="F3821">
            <v>1060</v>
          </cell>
        </row>
        <row r="3822">
          <cell r="E3822" t="str">
            <v>HAWKINSVILLEGALEXINGTONNC</v>
          </cell>
          <cell r="F3822">
            <v>960</v>
          </cell>
        </row>
        <row r="3823">
          <cell r="E3823" t="str">
            <v>HAWKINSVILLEGAMEMPHISTN</v>
          </cell>
          <cell r="F3823">
            <v>1300</v>
          </cell>
        </row>
        <row r="3824">
          <cell r="E3824" t="str">
            <v>HAWKINSVILLEGAPORTSMOUTHVA</v>
          </cell>
          <cell r="F3824">
            <v>1480</v>
          </cell>
        </row>
        <row r="3825">
          <cell r="E3825" t="str">
            <v>HAWKINSVILLEGAROCKINGHAMNC</v>
          </cell>
          <cell r="F3825">
            <v>870</v>
          </cell>
        </row>
        <row r="3826">
          <cell r="E3826" t="str">
            <v>HAWKINSVILLEGAMAYODANNC</v>
          </cell>
          <cell r="F3826">
            <v>1080</v>
          </cell>
        </row>
        <row r="3827">
          <cell r="E3827" t="str">
            <v>HAWKINSVILLEGAECLECTICAL</v>
          </cell>
          <cell r="F3827">
            <v>620</v>
          </cell>
        </row>
        <row r="3828">
          <cell r="E3828" t="str">
            <v>HAWKINSVILLEGASTONEVILLENC</v>
          </cell>
          <cell r="F3828">
            <v>1090</v>
          </cell>
        </row>
        <row r="3829">
          <cell r="E3829" t="str">
            <v>HAWKINSVILLEGAINDIAN LANDSC</v>
          </cell>
          <cell r="F3829">
            <v>810</v>
          </cell>
        </row>
        <row r="3830">
          <cell r="E3830" t="str">
            <v>HAWKINSVILLEGAGREENWOODMS</v>
          </cell>
          <cell r="F3830">
            <v>1190</v>
          </cell>
        </row>
        <row r="3831">
          <cell r="E3831" t="str">
            <v>HAWKINSVILLEGASANFORDNC</v>
          </cell>
          <cell r="F3831">
            <v>990</v>
          </cell>
        </row>
        <row r="3832">
          <cell r="E3832" t="str">
            <v>HAWKINSVILLEGATHOMASVILLENC</v>
          </cell>
          <cell r="F3832">
            <v>990</v>
          </cell>
        </row>
        <row r="3833">
          <cell r="E3833" t="str">
            <v>HAWKINSVILLEGATALLULAHLA</v>
          </cell>
          <cell r="F3833">
            <v>1280</v>
          </cell>
        </row>
        <row r="3834">
          <cell r="E3834" t="str">
            <v>HAWKINSVILLEGAMOCKSVILLENC</v>
          </cell>
          <cell r="F3834">
            <v>970</v>
          </cell>
        </row>
        <row r="3835">
          <cell r="E3835" t="str">
            <v>HAWKINSVILLEGACENTREAL</v>
          </cell>
          <cell r="F3835">
            <v>660</v>
          </cell>
        </row>
        <row r="3836">
          <cell r="E3836" t="str">
            <v>HAWKINSVILLEGATUNICAMS</v>
          </cell>
          <cell r="F3836">
            <v>1330</v>
          </cell>
        </row>
        <row r="3837">
          <cell r="E3837" t="str">
            <v>HAWKINSVILLEGANORFOLKVA</v>
          </cell>
          <cell r="F3837">
            <v>1510</v>
          </cell>
        </row>
        <row r="3838">
          <cell r="E3838" t="str">
            <v>HAWKINSVILLEGAWEST MEMPHISAR</v>
          </cell>
          <cell r="F3838">
            <v>1310</v>
          </cell>
        </row>
        <row r="3839">
          <cell r="E3839" t="str">
            <v>HAWKINSVILLEGAGASTONIANC</v>
          </cell>
          <cell r="F3839">
            <v>920</v>
          </cell>
        </row>
        <row r="3840">
          <cell r="E3840" t="str">
            <v>HAWKINSVILLEGAMONEYMS</v>
          </cell>
          <cell r="F3840">
            <v>1220</v>
          </cell>
        </row>
        <row r="3841">
          <cell r="E3841" t="str">
            <v>HAWKINSVILLEGAMARIONAR</v>
          </cell>
          <cell r="F3841">
            <v>1310</v>
          </cell>
        </row>
        <row r="3842">
          <cell r="E3842" t="str">
            <v>HAWKINSVILLEGAMCCALLAAL</v>
          </cell>
          <cell r="F3842">
            <v>740</v>
          </cell>
        </row>
        <row r="3843">
          <cell r="E3843" t="str">
            <v>HAWKINSVILLEGASHELBYNC</v>
          </cell>
          <cell r="F3843">
            <v>890</v>
          </cell>
        </row>
        <row r="3844">
          <cell r="E3844" t="str">
            <v>HAWKINSVILLEGAROSSVILLETN</v>
          </cell>
          <cell r="F3844">
            <v>1280</v>
          </cell>
        </row>
        <row r="3845">
          <cell r="E3845" t="str">
            <v>HAWKINSVILLEGADREWMS</v>
          </cell>
          <cell r="F3845">
            <v>1270</v>
          </cell>
        </row>
        <row r="3846">
          <cell r="E3846" t="str">
            <v>HAWKINSVILLEGAINDIANOLAMS</v>
          </cell>
          <cell r="F3846">
            <v>1250</v>
          </cell>
        </row>
        <row r="3847">
          <cell r="E3847" t="str">
            <v>HAWKINSVILLEGAGREENWOODSC</v>
          </cell>
          <cell r="F3847">
            <v>620</v>
          </cell>
        </row>
        <row r="3848">
          <cell r="E3848" t="str">
            <v>HAWKINSVILLEGAGRIFTONNC</v>
          </cell>
          <cell r="F3848">
            <v>1340</v>
          </cell>
        </row>
        <row r="3849">
          <cell r="E3849" t="str">
            <v>HAWKINSVILLEGADAWSONGA</v>
          </cell>
          <cell r="F3849">
            <v>450</v>
          </cell>
        </row>
        <row r="3850">
          <cell r="E3850" t="str">
            <v>HAWKINSVILLEGAGULFPORTMS</v>
          </cell>
          <cell r="F3850">
            <v>1220</v>
          </cell>
        </row>
        <row r="3851">
          <cell r="E3851" t="str">
            <v>HAWKINSVILLEGAPORT WENTWORTHGA</v>
          </cell>
          <cell r="F3851">
            <v>670</v>
          </cell>
        </row>
        <row r="3852">
          <cell r="E3852" t="str">
            <v>HAWKINSVILLEGARINCONGA</v>
          </cell>
          <cell r="F3852">
            <v>670</v>
          </cell>
        </row>
        <row r="3853">
          <cell r="E3853" t="str">
            <v>HAWKINSVILLEGAGarden CityGA</v>
          </cell>
          <cell r="F3853">
            <v>650</v>
          </cell>
        </row>
        <row r="3854">
          <cell r="E3854" t="str">
            <v>HAWKINSVILLEGALUMBERTONNC</v>
          </cell>
          <cell r="F3854">
            <v>920</v>
          </cell>
        </row>
        <row r="3855">
          <cell r="E3855" t="str">
            <v>HAWKINSVILLEGAGAINESVILLEGA</v>
          </cell>
          <cell r="F3855">
            <v>590</v>
          </cell>
        </row>
        <row r="3856">
          <cell r="E3856" t="str">
            <v>HAWKINSVILLEGAENOREESC</v>
          </cell>
          <cell r="F3856">
            <v>690</v>
          </cell>
        </row>
        <row r="3857">
          <cell r="E3857" t="str">
            <v>HAWKINSVILLEGACARTERSVILLEGA</v>
          </cell>
          <cell r="F3857">
            <v>600</v>
          </cell>
        </row>
        <row r="3858">
          <cell r="E3858" t="str">
            <v>HAWKINSVILLEGAERWINNC</v>
          </cell>
          <cell r="F3858">
            <v>1060</v>
          </cell>
        </row>
        <row r="3859">
          <cell r="E3859" t="str">
            <v>HAWKINSVILLEGACLARKTONNC</v>
          </cell>
          <cell r="F3859">
            <v>970</v>
          </cell>
        </row>
        <row r="3860">
          <cell r="E3860" t="str">
            <v>HAWKINSVILLEGAGREERSC</v>
          </cell>
          <cell r="F3860">
            <v>780</v>
          </cell>
        </row>
        <row r="3861">
          <cell r="E3861" t="str">
            <v>HAWKINSVILLEGAGAFFNEYSC</v>
          </cell>
          <cell r="F3861">
            <v>860</v>
          </cell>
        </row>
        <row r="3862">
          <cell r="E3862" t="str">
            <v>HAWKINSVILLEGAJACKSONVILLEFL</v>
          </cell>
          <cell r="F3862">
            <v>620</v>
          </cell>
        </row>
        <row r="3863">
          <cell r="E3863" t="str">
            <v>HAWKINSVILLEGARABUN GAPGA</v>
          </cell>
          <cell r="F3863">
            <v>730</v>
          </cell>
        </row>
        <row r="3864">
          <cell r="E3864" t="str">
            <v>HAWKINSVILLEGAWESLACOTX</v>
          </cell>
          <cell r="F3864">
            <v>1953</v>
          </cell>
        </row>
        <row r="3865">
          <cell r="E3865" t="str">
            <v>HAYTIMOGRIFTONNC</v>
          </cell>
          <cell r="F3865">
            <v>2290</v>
          </cell>
        </row>
        <row r="3866">
          <cell r="E3866" t="str">
            <v>HAYTIMOERWINNC</v>
          </cell>
          <cell r="F3866">
            <v>1990</v>
          </cell>
        </row>
        <row r="3867">
          <cell r="E3867" t="str">
            <v>HAYTIMOLUMBERTONNC</v>
          </cell>
          <cell r="F3867">
            <v>1970</v>
          </cell>
        </row>
        <row r="3868">
          <cell r="E3868" t="str">
            <v>HAYTIMOJACKSONVILLEFL</v>
          </cell>
          <cell r="F3868">
            <v>2080</v>
          </cell>
        </row>
        <row r="3869">
          <cell r="E3869" t="str">
            <v>HAYTIMOMOCKSVILLENC</v>
          </cell>
          <cell r="F3869">
            <v>1680</v>
          </cell>
        </row>
        <row r="3870">
          <cell r="E3870" t="str">
            <v>HAYTIMOGREENWOODMS</v>
          </cell>
          <cell r="F3870">
            <v>820</v>
          </cell>
        </row>
        <row r="3871">
          <cell r="E3871" t="str">
            <v>HAYTIMOEDENTONNC</v>
          </cell>
          <cell r="F3871">
            <v>2280</v>
          </cell>
        </row>
        <row r="3872">
          <cell r="E3872" t="str">
            <v>HAYTIMOROCKFORDTN</v>
          </cell>
          <cell r="F3872">
            <v>1160</v>
          </cell>
        </row>
        <row r="3873">
          <cell r="E3873" t="str">
            <v>HAYTIMOMCCALLAAL</v>
          </cell>
          <cell r="F3873">
            <v>1060</v>
          </cell>
        </row>
        <row r="3874">
          <cell r="E3874" t="str">
            <v>HAYTIMOKINSTONNC</v>
          </cell>
          <cell r="F3874">
            <v>2150</v>
          </cell>
        </row>
        <row r="3875">
          <cell r="E3875" t="str">
            <v>HAYTIMODREWMS</v>
          </cell>
          <cell r="F3875">
            <v>760</v>
          </cell>
        </row>
        <row r="3876">
          <cell r="E3876" t="str">
            <v>HAYTIMOROSSVILLETN</v>
          </cell>
          <cell r="F3876">
            <v>660</v>
          </cell>
        </row>
        <row r="3877">
          <cell r="E3877" t="str">
            <v>HAYTIMOMONEYMS</v>
          </cell>
          <cell r="F3877">
            <v>790</v>
          </cell>
        </row>
        <row r="3878">
          <cell r="E3878" t="str">
            <v>HAYTIMOTUNICAMS</v>
          </cell>
          <cell r="F3878">
            <v>660</v>
          </cell>
        </row>
        <row r="3879">
          <cell r="E3879" t="str">
            <v>HAYTIMOMARIONAR</v>
          </cell>
          <cell r="F3879">
            <v>580</v>
          </cell>
        </row>
        <row r="3880">
          <cell r="E3880" t="str">
            <v>HAYTIMOGULFPORTMS</v>
          </cell>
          <cell r="F3880">
            <v>1410</v>
          </cell>
        </row>
        <row r="3881">
          <cell r="E3881" t="str">
            <v>HAYTIMOMEMPHISTN</v>
          </cell>
          <cell r="F3881">
            <v>610</v>
          </cell>
        </row>
        <row r="3882">
          <cell r="E3882" t="str">
            <v>HAYTIMOWEST MEMPHISAR</v>
          </cell>
          <cell r="F3882">
            <v>590</v>
          </cell>
        </row>
        <row r="3883">
          <cell r="E3883" t="str">
            <v>HAYTIMOBLYTHEVILLEAR</v>
          </cell>
          <cell r="F3883">
            <v>500</v>
          </cell>
        </row>
        <row r="3884">
          <cell r="E3884" t="str">
            <v>HAYTIMOCLARKTONNC</v>
          </cell>
          <cell r="F3884">
            <v>2020</v>
          </cell>
        </row>
        <row r="3885">
          <cell r="E3885" t="str">
            <v>HAYTIMOINDIANOLAMS</v>
          </cell>
          <cell r="F3885">
            <v>810</v>
          </cell>
        </row>
        <row r="3886">
          <cell r="E3886" t="str">
            <v>HAYTIMOBELMONTNC</v>
          </cell>
          <cell r="F3886">
            <v>1640</v>
          </cell>
        </row>
        <row r="3887">
          <cell r="E3887" t="str">
            <v>HAYTIMOECLECTICAL</v>
          </cell>
          <cell r="F3887">
            <v>1240</v>
          </cell>
        </row>
        <row r="3888">
          <cell r="E3888" t="str">
            <v>HAYTIMOMOBILEAL</v>
          </cell>
          <cell r="F3888">
            <v>1370</v>
          </cell>
        </row>
        <row r="3889">
          <cell r="E3889" t="str">
            <v>HAYTIMONEW ORLEANSLA</v>
          </cell>
          <cell r="F3889">
            <v>1370</v>
          </cell>
        </row>
        <row r="3890">
          <cell r="E3890" t="str">
            <v>HAYTIMOGarden CityGA</v>
          </cell>
          <cell r="F3890">
            <v>1950</v>
          </cell>
        </row>
        <row r="3891">
          <cell r="E3891" t="str">
            <v>HAYTIMOSPARTANC</v>
          </cell>
          <cell r="F3891">
            <v>1650</v>
          </cell>
        </row>
        <row r="3892">
          <cell r="E3892" t="str">
            <v>HAYTIMOTALLULAHLA</v>
          </cell>
          <cell r="F3892">
            <v>1100</v>
          </cell>
        </row>
        <row r="3893">
          <cell r="E3893" t="str">
            <v>HAYTIMOGREERSC</v>
          </cell>
          <cell r="F3893">
            <v>1530</v>
          </cell>
        </row>
        <row r="3894">
          <cell r="E3894" t="str">
            <v>HAYTIMOCARTERSVILLEGA</v>
          </cell>
          <cell r="F3894">
            <v>1200</v>
          </cell>
        </row>
        <row r="3895">
          <cell r="E3895" t="str">
            <v>HAYTIMONORFOLKVA</v>
          </cell>
          <cell r="F3895">
            <v>2330</v>
          </cell>
        </row>
        <row r="3896">
          <cell r="E3896" t="str">
            <v>HAYTIMOGAFFNEYSC</v>
          </cell>
          <cell r="F3896">
            <v>1580</v>
          </cell>
        </row>
        <row r="3897">
          <cell r="E3897" t="str">
            <v>HAYTIMOENOREESC</v>
          </cell>
          <cell r="F3897">
            <v>1590</v>
          </cell>
        </row>
        <row r="3898">
          <cell r="E3898" t="str">
            <v>HAYTIMOPORTSMOUTHVA</v>
          </cell>
          <cell r="F3898">
            <v>2310</v>
          </cell>
        </row>
        <row r="3899">
          <cell r="E3899" t="str">
            <v>HAYTIMOGREENWOODSC</v>
          </cell>
          <cell r="F3899">
            <v>1600</v>
          </cell>
        </row>
        <row r="3900">
          <cell r="E3900" t="str">
            <v>HAYTIMOSHELBYNC</v>
          </cell>
          <cell r="F3900">
            <v>1570</v>
          </cell>
        </row>
        <row r="3901">
          <cell r="E3901" t="str">
            <v>HAYTIMOHICKORYNC</v>
          </cell>
          <cell r="F3901">
            <v>1580</v>
          </cell>
        </row>
        <row r="3902">
          <cell r="E3902" t="str">
            <v>HAYTIMOCHARLOTTENC</v>
          </cell>
          <cell r="F3902">
            <v>1670</v>
          </cell>
        </row>
        <row r="3903">
          <cell r="E3903" t="str">
            <v>HAYTIMOLOWELLNC</v>
          </cell>
          <cell r="F3903">
            <v>1630</v>
          </cell>
        </row>
        <row r="3904">
          <cell r="E3904" t="str">
            <v>HAYTIMOGASTONIANC</v>
          </cell>
          <cell r="F3904">
            <v>1620</v>
          </cell>
        </row>
        <row r="3905">
          <cell r="E3905" t="str">
            <v>HAYTIMOMINERAL SPRINGSNC</v>
          </cell>
          <cell r="F3905">
            <v>1730</v>
          </cell>
        </row>
        <row r="3906">
          <cell r="E3906" t="str">
            <v>HAYTIMOSALISBURYNC</v>
          </cell>
          <cell r="F3906">
            <v>1700</v>
          </cell>
        </row>
        <row r="3907">
          <cell r="E3907" t="str">
            <v>HAYTIMOINDIAN LANDSC</v>
          </cell>
          <cell r="F3907">
            <v>1700</v>
          </cell>
        </row>
        <row r="3908">
          <cell r="E3908" t="str">
            <v>HAYTIMORINCONGA</v>
          </cell>
          <cell r="F3908">
            <v>1980</v>
          </cell>
        </row>
        <row r="3909">
          <cell r="E3909" t="str">
            <v>HAYTIMORAYVILLELA</v>
          </cell>
          <cell r="F3909">
            <v>1040</v>
          </cell>
        </row>
        <row r="3910">
          <cell r="E3910" t="str">
            <v>HAYTIMORABUN GAPGA</v>
          </cell>
          <cell r="F3910">
            <v>1430</v>
          </cell>
        </row>
        <row r="3911">
          <cell r="E3911" t="str">
            <v>HAYTIMOPORT WENTWORTHGA</v>
          </cell>
          <cell r="F3911">
            <v>1970</v>
          </cell>
        </row>
        <row r="3912">
          <cell r="E3912" t="str">
            <v>HAYTIMODAWSONGA</v>
          </cell>
          <cell r="F3912">
            <v>1510</v>
          </cell>
        </row>
        <row r="3913">
          <cell r="E3913" t="str">
            <v>HAYTIMOCENTREAL</v>
          </cell>
          <cell r="F3913">
            <v>1020</v>
          </cell>
        </row>
        <row r="3914">
          <cell r="E3914" t="str">
            <v>HAYTIMOGAINESVILLEGA</v>
          </cell>
          <cell r="F3914">
            <v>1380</v>
          </cell>
        </row>
        <row r="3915">
          <cell r="E3915" t="str">
            <v>HAYTIMOROCKINGHAMNC</v>
          </cell>
          <cell r="F3915">
            <v>1840</v>
          </cell>
        </row>
        <row r="3916">
          <cell r="E3916" t="str">
            <v>HAYTIMOSANFORDNC</v>
          </cell>
          <cell r="F3916">
            <v>1920</v>
          </cell>
        </row>
        <row r="3917">
          <cell r="E3917" t="str">
            <v>HAYTIMOLEXINGTONNC</v>
          </cell>
          <cell r="F3917">
            <v>1720</v>
          </cell>
        </row>
        <row r="3918">
          <cell r="E3918" t="str">
            <v>HAYTIMOTHOMASVILLENC</v>
          </cell>
          <cell r="F3918">
            <v>1750</v>
          </cell>
        </row>
        <row r="3919">
          <cell r="E3919" t="str">
            <v>HAYTIMOMAYODANNC</v>
          </cell>
          <cell r="F3919">
            <v>1810</v>
          </cell>
        </row>
        <row r="3920">
          <cell r="E3920" t="str">
            <v>HAYTIMOSTONEVILLENC</v>
          </cell>
          <cell r="F3920">
            <v>1820</v>
          </cell>
        </row>
        <row r="3921">
          <cell r="E3921" t="str">
            <v>HAYTIMOWESLACOTX</v>
          </cell>
          <cell r="F3921">
            <v>1966</v>
          </cell>
        </row>
        <row r="3922">
          <cell r="E3922" t="str">
            <v>HAZLEHURSTGAROCKFORDTN</v>
          </cell>
          <cell r="F3922">
            <v>1070</v>
          </cell>
        </row>
        <row r="3923">
          <cell r="E3923" t="str">
            <v>HAZLEHURSTGASPARTANC</v>
          </cell>
          <cell r="F3923">
            <v>1050</v>
          </cell>
        </row>
        <row r="3924">
          <cell r="E3924" t="str">
            <v>HAZLEHURSTGAINDIAN LANDSC</v>
          </cell>
          <cell r="F3924">
            <v>800</v>
          </cell>
        </row>
        <row r="3925">
          <cell r="E3925" t="str">
            <v>HAZLEHURSTGATHOMASVILLENC</v>
          </cell>
          <cell r="F3925">
            <v>980</v>
          </cell>
        </row>
        <row r="3926">
          <cell r="E3926" t="str">
            <v>HAZLEHURSTGAECLECTICAL</v>
          </cell>
          <cell r="F3926">
            <v>720</v>
          </cell>
        </row>
        <row r="3927">
          <cell r="E3927" t="str">
            <v>HAZLEHURSTGAEDENTONNC</v>
          </cell>
          <cell r="F3927">
            <v>1370</v>
          </cell>
        </row>
        <row r="3928">
          <cell r="E3928" t="str">
            <v>HAZLEHURSTGAGAINESVILLEGA</v>
          </cell>
          <cell r="F3928">
            <v>690</v>
          </cell>
        </row>
        <row r="3929">
          <cell r="E3929" t="str">
            <v>HAZLEHURSTGADREWMS</v>
          </cell>
          <cell r="F3929">
            <v>1480</v>
          </cell>
        </row>
        <row r="3930">
          <cell r="E3930" t="str">
            <v>HAZLEHURSTGACENTREAL</v>
          </cell>
          <cell r="F3930">
            <v>770</v>
          </cell>
        </row>
        <row r="3931">
          <cell r="E3931" t="str">
            <v>HAZLEHURSTGAMCCALLAAL</v>
          </cell>
          <cell r="F3931">
            <v>950</v>
          </cell>
        </row>
        <row r="3932">
          <cell r="E3932" t="str">
            <v>HAZLEHURSTGAWEST MEMPHISAR</v>
          </cell>
          <cell r="F3932">
            <v>1440</v>
          </cell>
        </row>
        <row r="3933">
          <cell r="E3933" t="str">
            <v>HAZLEHURSTGASTONEVILLENC</v>
          </cell>
          <cell r="F3933">
            <v>1080</v>
          </cell>
        </row>
        <row r="3934">
          <cell r="E3934" t="str">
            <v>HAZLEHURSTGAMOCKSVILLENC</v>
          </cell>
          <cell r="F3934">
            <v>960</v>
          </cell>
        </row>
        <row r="3935">
          <cell r="E3935" t="str">
            <v>HAZLEHURSTGAROSSVILLETN</v>
          </cell>
          <cell r="F3935">
            <v>1420</v>
          </cell>
        </row>
        <row r="3936">
          <cell r="E3936" t="str">
            <v>HAZLEHURSTGASANFORDNC</v>
          </cell>
          <cell r="F3936">
            <v>1040</v>
          </cell>
        </row>
        <row r="3937">
          <cell r="E3937" t="str">
            <v>HAZLEHURSTGAINDIANOLAMS</v>
          </cell>
          <cell r="F3937">
            <v>1460</v>
          </cell>
        </row>
        <row r="3938">
          <cell r="E3938" t="str">
            <v>HAZLEHURSTGASALISBURYNC</v>
          </cell>
          <cell r="F3938">
            <v>920</v>
          </cell>
        </row>
        <row r="3939">
          <cell r="E3939" t="str">
            <v>HAZLEHURSTGATALLULAHLA</v>
          </cell>
          <cell r="F3939">
            <v>1420</v>
          </cell>
        </row>
        <row r="3940">
          <cell r="E3940" t="str">
            <v>HAZLEHURSTGAGAFFNEYSC</v>
          </cell>
          <cell r="F3940">
            <v>770</v>
          </cell>
        </row>
        <row r="3941">
          <cell r="E3941" t="str">
            <v>HAZLEHURSTGANORFOLKVA</v>
          </cell>
          <cell r="F3941">
            <v>1490</v>
          </cell>
        </row>
        <row r="3942">
          <cell r="E3942" t="str">
            <v>HAZLEHURSTGAGASTONIANC</v>
          </cell>
          <cell r="F3942">
            <v>860</v>
          </cell>
        </row>
        <row r="3943">
          <cell r="E3943" t="str">
            <v>HAZLEHURSTGASHELBYNC</v>
          </cell>
          <cell r="F3943">
            <v>810</v>
          </cell>
        </row>
        <row r="3944">
          <cell r="E3944" t="str">
            <v>HAZLEHURSTGAMINERAL SPRINGSNC</v>
          </cell>
          <cell r="F3944">
            <v>810</v>
          </cell>
        </row>
        <row r="3945">
          <cell r="E3945" t="str">
            <v>HAZLEHURSTGAHICKORYNC</v>
          </cell>
          <cell r="F3945">
            <v>940</v>
          </cell>
        </row>
        <row r="3946">
          <cell r="E3946" t="str">
            <v>HAZLEHURSTGABELMONTNC</v>
          </cell>
          <cell r="F3946">
            <v>840</v>
          </cell>
        </row>
        <row r="3947">
          <cell r="E3947" t="str">
            <v>HAZLEHURSTGAMOBILEAL</v>
          </cell>
          <cell r="F3947">
            <v>1040</v>
          </cell>
        </row>
        <row r="3948">
          <cell r="E3948" t="str">
            <v>HAZLEHURSTGAROCKINGHAMNC</v>
          </cell>
          <cell r="F3948">
            <v>920</v>
          </cell>
        </row>
        <row r="3949">
          <cell r="E3949" t="str">
            <v>HAZLEHURSTGALOWELLNC</v>
          </cell>
          <cell r="F3949">
            <v>840</v>
          </cell>
        </row>
        <row r="3950">
          <cell r="E3950" t="str">
            <v>HAZLEHURSTGABLYTHEVILLEAR</v>
          </cell>
          <cell r="F3950">
            <v>1570</v>
          </cell>
        </row>
        <row r="3951">
          <cell r="E3951" t="str">
            <v>HAZLEHURSTGAMEMPHISTN</v>
          </cell>
          <cell r="F3951">
            <v>1430</v>
          </cell>
        </row>
        <row r="3952">
          <cell r="E3952" t="str">
            <v>HAZLEHURSTGAGREENWOODSC</v>
          </cell>
          <cell r="F3952">
            <v>610</v>
          </cell>
        </row>
        <row r="3953">
          <cell r="E3953" t="str">
            <v>HAZLEHURSTGANEW ORLEANSLA</v>
          </cell>
          <cell r="F3953">
            <v>1350</v>
          </cell>
        </row>
        <row r="3954">
          <cell r="E3954" t="str">
            <v>HAZLEHURSTGACHARLOTTENC</v>
          </cell>
          <cell r="F3954">
            <v>820</v>
          </cell>
        </row>
        <row r="3955">
          <cell r="E3955" t="str">
            <v>HAZLEHURSTGAENOREESC</v>
          </cell>
          <cell r="F3955">
            <v>680</v>
          </cell>
        </row>
        <row r="3956">
          <cell r="E3956" t="str">
            <v>HAZLEHURSTGALEXINGTONNC</v>
          </cell>
          <cell r="F3956">
            <v>950</v>
          </cell>
        </row>
        <row r="3957">
          <cell r="E3957" t="str">
            <v>HAZLEHURSTGALUMBERTONNC</v>
          </cell>
          <cell r="F3957">
            <v>900</v>
          </cell>
        </row>
        <row r="3958">
          <cell r="E3958" t="str">
            <v>HAZLEHURSTGACARTERSVILLEGA</v>
          </cell>
          <cell r="F3958">
            <v>690</v>
          </cell>
        </row>
        <row r="3959">
          <cell r="E3959" t="str">
            <v>HAZLEHURSTGAKINSTONNC</v>
          </cell>
          <cell r="F3959">
            <v>1190</v>
          </cell>
        </row>
        <row r="3960">
          <cell r="E3960" t="str">
            <v>HAZLEHURSTGAGREENWOODMS</v>
          </cell>
          <cell r="F3960">
            <v>1390</v>
          </cell>
        </row>
        <row r="3961">
          <cell r="E3961" t="str">
            <v>HAZLEHURSTGAGREERSC</v>
          </cell>
          <cell r="F3961">
            <v>710</v>
          </cell>
        </row>
        <row r="3962">
          <cell r="E3962" t="str">
            <v>HAZLEHURSTGAMAYODANNC</v>
          </cell>
          <cell r="F3962">
            <v>1070</v>
          </cell>
        </row>
        <row r="3963">
          <cell r="E3963" t="str">
            <v>HAZLEHURSTGATUNICAMS</v>
          </cell>
          <cell r="F3963">
            <v>1460</v>
          </cell>
        </row>
        <row r="3964">
          <cell r="E3964" t="str">
            <v>HAZLEHURSTGAPORTSMOUTHVA</v>
          </cell>
          <cell r="F3964">
            <v>1460</v>
          </cell>
        </row>
        <row r="3965">
          <cell r="E3965" t="str">
            <v>HAZLEHURSTGARAYVILLELA</v>
          </cell>
          <cell r="F3965">
            <v>1490</v>
          </cell>
        </row>
        <row r="3966">
          <cell r="E3966" t="str">
            <v>HAZLEHURSTGAMARIONAR</v>
          </cell>
          <cell r="F3966">
            <v>1450</v>
          </cell>
        </row>
        <row r="3967">
          <cell r="E3967" t="str">
            <v>HAZLEHURSTGAMONEYMS</v>
          </cell>
          <cell r="F3967">
            <v>1430</v>
          </cell>
        </row>
        <row r="3968">
          <cell r="E3968" t="str">
            <v>HAZLEHURSTGARABUN GAPGA</v>
          </cell>
          <cell r="F3968">
            <v>780</v>
          </cell>
        </row>
        <row r="3969">
          <cell r="E3969" t="str">
            <v>HAZLEHURSTGAGULFPORTMS</v>
          </cell>
          <cell r="F3969">
            <v>1310</v>
          </cell>
        </row>
        <row r="3970">
          <cell r="E3970" t="str">
            <v>HAZLEHURSTGADAWSONGA</v>
          </cell>
          <cell r="F3970">
            <v>520</v>
          </cell>
        </row>
        <row r="3971">
          <cell r="E3971" t="str">
            <v>HAZLEHURSTGARINCONGA</v>
          </cell>
          <cell r="F3971">
            <v>610</v>
          </cell>
        </row>
        <row r="3972">
          <cell r="E3972" t="str">
            <v>HAZLEHURSTGAPORT WENTWORTHGA</v>
          </cell>
          <cell r="F3972">
            <v>600</v>
          </cell>
        </row>
        <row r="3973">
          <cell r="E3973" t="str">
            <v>HAZLEHURSTGAGarden CityGA</v>
          </cell>
          <cell r="F3973">
            <v>590</v>
          </cell>
        </row>
        <row r="3974">
          <cell r="E3974" t="str">
            <v>HAZLEHURSTGAJACKSONVILLEFL</v>
          </cell>
          <cell r="F3974">
            <v>520</v>
          </cell>
        </row>
        <row r="3975">
          <cell r="E3975" t="str">
            <v>HAZLEHURSTGAERWINNC</v>
          </cell>
          <cell r="F3975">
            <v>1040</v>
          </cell>
        </row>
        <row r="3976">
          <cell r="E3976" t="str">
            <v>HAZLEHURSTGAGRIFTONNC</v>
          </cell>
          <cell r="F3976">
            <v>1320</v>
          </cell>
        </row>
        <row r="3977">
          <cell r="E3977" t="str">
            <v>HAZLEHURSTGACLARKTONNC</v>
          </cell>
          <cell r="F3977">
            <v>960</v>
          </cell>
        </row>
        <row r="3978">
          <cell r="E3978" t="str">
            <v>HAZLEHURSTGAWESLACOTX</v>
          </cell>
          <cell r="F3978">
            <v>2261</v>
          </cell>
        </row>
        <row r="3979">
          <cell r="E3979" t="str">
            <v>HEADLANDALROCKFORDTN</v>
          </cell>
          <cell r="F3979">
            <v>1070</v>
          </cell>
        </row>
        <row r="3980">
          <cell r="E3980" t="str">
            <v>HEADLANDALGAINESVILLEGA</v>
          </cell>
          <cell r="F3980">
            <v>720</v>
          </cell>
        </row>
        <row r="3981">
          <cell r="E3981" t="str">
            <v>HEADLANDALTALLULAHLA</v>
          </cell>
          <cell r="F3981">
            <v>1080</v>
          </cell>
        </row>
        <row r="3982">
          <cell r="E3982" t="str">
            <v>HEADLANDALCHARLOTTENC</v>
          </cell>
          <cell r="F3982">
            <v>1150</v>
          </cell>
        </row>
        <row r="3983">
          <cell r="E3983" t="str">
            <v>HEADLANDALLEXINGTONNC</v>
          </cell>
          <cell r="F3983">
            <v>1280</v>
          </cell>
        </row>
        <row r="3984">
          <cell r="E3984" t="str">
            <v>HEADLANDALHICKORYNC</v>
          </cell>
          <cell r="F3984">
            <v>1180</v>
          </cell>
        </row>
        <row r="3985">
          <cell r="E3985" t="str">
            <v>HEADLANDALLUMBERTONNC</v>
          </cell>
          <cell r="F3985">
            <v>1360</v>
          </cell>
        </row>
        <row r="3986">
          <cell r="E3986" t="str">
            <v>HEADLANDALMINERAL SPRINGSNC</v>
          </cell>
          <cell r="F3986">
            <v>1210</v>
          </cell>
        </row>
        <row r="3987">
          <cell r="E3987" t="str">
            <v>HEADLANDALKINSTONNC</v>
          </cell>
          <cell r="F3987">
            <v>1650</v>
          </cell>
        </row>
        <row r="3988">
          <cell r="E3988" t="str">
            <v>HEADLANDALSPARTANC</v>
          </cell>
          <cell r="F3988">
            <v>1370</v>
          </cell>
        </row>
        <row r="3989">
          <cell r="E3989" t="str">
            <v>HEADLANDALBLYTHEVILLEAR</v>
          </cell>
          <cell r="F3989">
            <v>1280</v>
          </cell>
        </row>
        <row r="3990">
          <cell r="E3990" t="str">
            <v>HEADLANDALROSSVILLETN</v>
          </cell>
          <cell r="F3990">
            <v>1120</v>
          </cell>
        </row>
        <row r="3991">
          <cell r="E3991" t="str">
            <v>HEADLANDALGREENWOODMS</v>
          </cell>
          <cell r="F3991">
            <v>1000</v>
          </cell>
        </row>
        <row r="3992">
          <cell r="E3992" t="str">
            <v>HEADLANDALTHOMASVILLENC</v>
          </cell>
          <cell r="F3992">
            <v>1310</v>
          </cell>
        </row>
        <row r="3993">
          <cell r="E3993" t="str">
            <v>HEADLANDALNORFOLKVA</v>
          </cell>
          <cell r="F3993">
            <v>1900</v>
          </cell>
        </row>
        <row r="3994">
          <cell r="E3994" t="str">
            <v>HEADLANDALEDENTONNC</v>
          </cell>
          <cell r="F3994">
            <v>1830</v>
          </cell>
        </row>
        <row r="3995">
          <cell r="E3995" t="str">
            <v>HEADLANDALMAYODANNC</v>
          </cell>
          <cell r="F3995">
            <v>1400</v>
          </cell>
        </row>
        <row r="3996">
          <cell r="E3996" t="str">
            <v>HEADLANDALTUNICAMS</v>
          </cell>
          <cell r="F3996">
            <v>1170</v>
          </cell>
        </row>
        <row r="3997">
          <cell r="E3997" t="str">
            <v>HEADLANDALMONEYMS</v>
          </cell>
          <cell r="F3997">
            <v>1040</v>
          </cell>
        </row>
        <row r="3998">
          <cell r="E3998" t="str">
            <v>HEADLANDALMOCKSVILLENC</v>
          </cell>
          <cell r="F3998">
            <v>1280</v>
          </cell>
        </row>
        <row r="3999">
          <cell r="E3999" t="str">
            <v>HEADLANDALSTONEVILLENC</v>
          </cell>
          <cell r="F3999">
            <v>1410</v>
          </cell>
        </row>
        <row r="4000">
          <cell r="E4000" t="str">
            <v>HEADLANDALDREWMS</v>
          </cell>
          <cell r="F4000">
            <v>1090</v>
          </cell>
        </row>
        <row r="4001">
          <cell r="E4001" t="str">
            <v>HEADLANDALBELMONTNC</v>
          </cell>
          <cell r="F4001">
            <v>1130</v>
          </cell>
        </row>
        <row r="4002">
          <cell r="E4002" t="str">
            <v>HEADLANDALINDIANOLAMS</v>
          </cell>
          <cell r="F4002">
            <v>1060</v>
          </cell>
        </row>
        <row r="4003">
          <cell r="E4003" t="str">
            <v>HEADLANDALMARIONAR</v>
          </cell>
          <cell r="F4003">
            <v>1150</v>
          </cell>
        </row>
        <row r="4004">
          <cell r="E4004" t="str">
            <v>HEADLANDALRAYVILLELA</v>
          </cell>
          <cell r="F4004">
            <v>1150</v>
          </cell>
        </row>
        <row r="4005">
          <cell r="E4005" t="str">
            <v>HEADLANDALMEMPHISTN</v>
          </cell>
          <cell r="F4005">
            <v>1130</v>
          </cell>
        </row>
        <row r="4006">
          <cell r="E4006" t="str">
            <v>HEADLANDALERWINNC</v>
          </cell>
          <cell r="F4006">
            <v>1490</v>
          </cell>
        </row>
        <row r="4007">
          <cell r="E4007" t="str">
            <v>HEADLANDALCARTERSVILLEGA</v>
          </cell>
          <cell r="F4007">
            <v>690</v>
          </cell>
        </row>
        <row r="4008">
          <cell r="E4008" t="str">
            <v>HEADLANDALSANFORDNC</v>
          </cell>
          <cell r="F4008">
            <v>1440</v>
          </cell>
        </row>
        <row r="4009">
          <cell r="E4009" t="str">
            <v>HEADLANDALLOWELLNC</v>
          </cell>
          <cell r="F4009">
            <v>1110</v>
          </cell>
        </row>
        <row r="4010">
          <cell r="E4010" t="str">
            <v>HEADLANDALWEST MEMPHISAR</v>
          </cell>
          <cell r="F4010">
            <v>1140</v>
          </cell>
        </row>
        <row r="4011">
          <cell r="E4011" t="str">
            <v>HEADLANDALSALISBURYNC</v>
          </cell>
          <cell r="F4011">
            <v>1240</v>
          </cell>
        </row>
        <row r="4012">
          <cell r="E4012" t="str">
            <v>HEADLANDALROCKINGHAMNC</v>
          </cell>
          <cell r="F4012">
            <v>1320</v>
          </cell>
        </row>
        <row r="4013">
          <cell r="E4013" t="str">
            <v>HEADLANDALSHELBYNC</v>
          </cell>
          <cell r="F4013">
            <v>1070</v>
          </cell>
        </row>
        <row r="4014">
          <cell r="E4014" t="str">
            <v>HEADLANDALGASTONIANC</v>
          </cell>
          <cell r="F4014">
            <v>1100</v>
          </cell>
        </row>
        <row r="4015">
          <cell r="E4015" t="str">
            <v>HEADLANDALNEW ORLEANSLA</v>
          </cell>
          <cell r="F4015">
            <v>930</v>
          </cell>
        </row>
        <row r="4016">
          <cell r="E4016" t="str">
            <v>HEADLANDALCLARKTONNC</v>
          </cell>
          <cell r="F4016">
            <v>1410</v>
          </cell>
        </row>
        <row r="4017">
          <cell r="E4017" t="str">
            <v>HEADLANDALPORTSMOUTHVA</v>
          </cell>
          <cell r="F4017">
            <v>1870</v>
          </cell>
        </row>
        <row r="4018">
          <cell r="E4018" t="str">
            <v>HEADLANDALMCCALLAAL</v>
          </cell>
          <cell r="F4018">
            <v>650</v>
          </cell>
        </row>
        <row r="4019">
          <cell r="E4019" t="str">
            <v>HEADLANDALRABUN GAPGA</v>
          </cell>
          <cell r="F4019">
            <v>910</v>
          </cell>
        </row>
        <row r="4020">
          <cell r="E4020" t="str">
            <v>HEADLANDALMOBILEAL</v>
          </cell>
          <cell r="F4020">
            <v>640</v>
          </cell>
        </row>
        <row r="4021">
          <cell r="E4021" t="str">
            <v>HEADLANDALECLECTICAL</v>
          </cell>
          <cell r="F4021">
            <v>530</v>
          </cell>
        </row>
        <row r="4022">
          <cell r="E4022" t="str">
            <v>HEADLANDALDAWSONGA</v>
          </cell>
          <cell r="F4022">
            <v>450</v>
          </cell>
        </row>
        <row r="4023">
          <cell r="E4023" t="str">
            <v>HEADLANDALGRIFTONNC</v>
          </cell>
          <cell r="F4023">
            <v>1780</v>
          </cell>
        </row>
        <row r="4024">
          <cell r="E4024" t="str">
            <v>HEADLANDALRINCONGA</v>
          </cell>
          <cell r="F4024">
            <v>990</v>
          </cell>
        </row>
        <row r="4025">
          <cell r="E4025" t="str">
            <v>HEADLANDALGarden CityGA</v>
          </cell>
          <cell r="F4025">
            <v>950</v>
          </cell>
        </row>
        <row r="4026">
          <cell r="E4026" t="str">
            <v>HEADLANDALGULFPORTMS</v>
          </cell>
          <cell r="F4026">
            <v>880</v>
          </cell>
        </row>
        <row r="4027">
          <cell r="E4027" t="str">
            <v>HEADLANDALPORT WENTWORTHGA</v>
          </cell>
          <cell r="F4027">
            <v>970</v>
          </cell>
        </row>
        <row r="4028">
          <cell r="E4028" t="str">
            <v>HEADLANDALGREERSC</v>
          </cell>
          <cell r="F4028">
            <v>960</v>
          </cell>
        </row>
        <row r="4029">
          <cell r="E4029" t="str">
            <v>HEADLANDALENOREESC</v>
          </cell>
          <cell r="F4029">
            <v>1010</v>
          </cell>
        </row>
        <row r="4030">
          <cell r="E4030" t="str">
            <v>HEADLANDALGREENWOODSC</v>
          </cell>
          <cell r="F4030">
            <v>920</v>
          </cell>
        </row>
        <row r="4031">
          <cell r="E4031" t="str">
            <v>HEADLANDALGAFFNEYSC</v>
          </cell>
          <cell r="F4031">
            <v>1030</v>
          </cell>
        </row>
        <row r="4032">
          <cell r="E4032" t="str">
            <v>HEADLANDALINDIAN LANDSC</v>
          </cell>
          <cell r="F4032">
            <v>1180</v>
          </cell>
        </row>
        <row r="4033">
          <cell r="E4033" t="str">
            <v>HEADLANDALCENTREAL</v>
          </cell>
          <cell r="F4033">
            <v>700</v>
          </cell>
        </row>
        <row r="4034">
          <cell r="E4034" t="str">
            <v>HEADLANDALJACKSONVILLEFL</v>
          </cell>
          <cell r="F4034">
            <v>750</v>
          </cell>
        </row>
        <row r="4035">
          <cell r="E4035" t="str">
            <v>HERTFORDNCSALISBURYNC</v>
          </cell>
          <cell r="F4035">
            <v>770</v>
          </cell>
        </row>
        <row r="4036">
          <cell r="E4036" t="str">
            <v>HERTFORDNCMEMPHISTN</v>
          </cell>
          <cell r="F4036">
            <v>2200</v>
          </cell>
        </row>
        <row r="4037">
          <cell r="E4037" t="str">
            <v>HERTFORDNCJACKSONVILLEFL</v>
          </cell>
          <cell r="F4037">
            <v>1460</v>
          </cell>
        </row>
        <row r="4038">
          <cell r="E4038" t="str">
            <v>HERTFORDNCENOREESC</v>
          </cell>
          <cell r="F4038">
            <v>1080</v>
          </cell>
        </row>
        <row r="4039">
          <cell r="E4039" t="str">
            <v>HERTFORDNCWEST MEMPHISAR</v>
          </cell>
          <cell r="F4039">
            <v>2180</v>
          </cell>
        </row>
        <row r="4040">
          <cell r="E4040" t="str">
            <v>HERTFORDNCGAINESVILLEGA</v>
          </cell>
          <cell r="F4040">
            <v>1320</v>
          </cell>
        </row>
        <row r="4041">
          <cell r="E4041" t="str">
            <v>HERTFORDNCGREERSC</v>
          </cell>
          <cell r="F4041">
            <v>1060</v>
          </cell>
        </row>
        <row r="4042">
          <cell r="E4042" t="str">
            <v>HERTFORDNCDAWSONGA</v>
          </cell>
          <cell r="F4042">
            <v>1650</v>
          </cell>
        </row>
        <row r="4043">
          <cell r="E4043" t="str">
            <v>HERTFORDNCGREENWOODSC</v>
          </cell>
          <cell r="F4043">
            <v>1140</v>
          </cell>
        </row>
        <row r="4044">
          <cell r="E4044" t="str">
            <v>HERTFORDNCMARIONAR</v>
          </cell>
          <cell r="F4044">
            <v>2190</v>
          </cell>
        </row>
        <row r="4045">
          <cell r="E4045" t="str">
            <v>HERTFORDNCINDIAN LANDSC</v>
          </cell>
          <cell r="F4045">
            <v>920</v>
          </cell>
        </row>
        <row r="4046">
          <cell r="E4046" t="str">
            <v>HERTFORDNCROSSVILLETN</v>
          </cell>
          <cell r="F4046">
            <v>2170</v>
          </cell>
        </row>
        <row r="4047">
          <cell r="E4047" t="str">
            <v>HERTFORDNCGAFFNEYSC</v>
          </cell>
          <cell r="F4047">
            <v>970</v>
          </cell>
        </row>
        <row r="4048">
          <cell r="E4048" t="str">
            <v>HERTFORDNCTUNICAMS</v>
          </cell>
          <cell r="F4048">
            <v>2240</v>
          </cell>
        </row>
        <row r="4049">
          <cell r="E4049" t="str">
            <v>HERTFORDNCNEW ORLEANSLA</v>
          </cell>
          <cell r="F4049">
            <v>2440</v>
          </cell>
        </row>
        <row r="4050">
          <cell r="E4050" t="str">
            <v>HERTFORDNCGREENWOODMS</v>
          </cell>
          <cell r="F4050">
            <v>2220</v>
          </cell>
        </row>
        <row r="4051">
          <cell r="E4051" t="str">
            <v>HERTFORDNCCENTREAL</v>
          </cell>
          <cell r="F4051">
            <v>1590</v>
          </cell>
        </row>
        <row r="4052">
          <cell r="E4052" t="str">
            <v>HERTFORDNCTALLULAHLA</v>
          </cell>
          <cell r="F4052">
            <v>2390</v>
          </cell>
        </row>
        <row r="4053">
          <cell r="E4053" t="str">
            <v>HERTFORDNCLOWELLNC</v>
          </cell>
          <cell r="F4053">
            <v>890</v>
          </cell>
        </row>
        <row r="4054">
          <cell r="E4054" t="str">
            <v>HERTFORDNCCARTERSVILLEGA</v>
          </cell>
          <cell r="F4054">
            <v>1480</v>
          </cell>
        </row>
        <row r="4055">
          <cell r="E4055" t="str">
            <v>HERTFORDNCMONEYMS</v>
          </cell>
          <cell r="F4055">
            <v>2260</v>
          </cell>
        </row>
        <row r="4056">
          <cell r="E4056" t="str">
            <v>HERTFORDNCECLECTICAL</v>
          </cell>
          <cell r="F4056">
            <v>1750</v>
          </cell>
        </row>
        <row r="4057">
          <cell r="E4057" t="str">
            <v>HERTFORDNCMOBILEAL</v>
          </cell>
          <cell r="F4057">
            <v>2130</v>
          </cell>
        </row>
        <row r="4058">
          <cell r="E4058" t="str">
            <v>HERTFORDNCMCCALLAAL</v>
          </cell>
          <cell r="F4058">
            <v>1780</v>
          </cell>
        </row>
        <row r="4059">
          <cell r="E4059" t="str">
            <v>HERTFORDNCBLYTHEVILLEAR</v>
          </cell>
          <cell r="F4059">
            <v>2190</v>
          </cell>
        </row>
        <row r="4060">
          <cell r="E4060" t="str">
            <v>HERTFORDNCDREWMS</v>
          </cell>
          <cell r="F4060">
            <v>2310</v>
          </cell>
        </row>
        <row r="4061">
          <cell r="E4061" t="str">
            <v>HERTFORDNCINDIANOLAMS</v>
          </cell>
          <cell r="F4061">
            <v>2290</v>
          </cell>
        </row>
        <row r="4062">
          <cell r="E4062" t="str">
            <v>HERTFORDNCRAYVILLELA</v>
          </cell>
          <cell r="F4062">
            <v>2470</v>
          </cell>
        </row>
        <row r="4063">
          <cell r="E4063" t="str">
            <v>HERTFORDNCRINCONGA</v>
          </cell>
          <cell r="F4063">
            <v>1270</v>
          </cell>
        </row>
        <row r="4064">
          <cell r="E4064" t="str">
            <v>HERTFORDNCSANFORDNC</v>
          </cell>
          <cell r="F4064">
            <v>620</v>
          </cell>
        </row>
        <row r="4065">
          <cell r="E4065" t="str">
            <v>HERTFORDNCKINSTONNC</v>
          </cell>
          <cell r="F4065">
            <v>500</v>
          </cell>
        </row>
        <row r="4066">
          <cell r="E4066" t="str">
            <v>HERTFORDNCGarden CityGA</v>
          </cell>
          <cell r="F4066">
            <v>1270</v>
          </cell>
        </row>
        <row r="4067">
          <cell r="E4067" t="str">
            <v>HERTFORDNCRABUN GAPGA</v>
          </cell>
          <cell r="F4067">
            <v>1320</v>
          </cell>
        </row>
        <row r="4068">
          <cell r="E4068" t="str">
            <v>HERTFORDNCPORTSMOUTHVA</v>
          </cell>
          <cell r="F4068">
            <v>410</v>
          </cell>
        </row>
        <row r="4069">
          <cell r="E4069" t="str">
            <v>HERTFORDNCGULFPORTMS</v>
          </cell>
          <cell r="F4069">
            <v>2390</v>
          </cell>
        </row>
        <row r="4070">
          <cell r="E4070" t="str">
            <v>HERTFORDNCPORT WENTWORTHGA</v>
          </cell>
          <cell r="F4070">
            <v>1260</v>
          </cell>
        </row>
        <row r="4071">
          <cell r="E4071" t="str">
            <v>HERTFORDNCEDENTONNC</v>
          </cell>
          <cell r="F4071">
            <v>340</v>
          </cell>
        </row>
        <row r="4072">
          <cell r="E4072" t="str">
            <v>HERTFORDNCNORFOLKVA</v>
          </cell>
          <cell r="F4072">
            <v>420</v>
          </cell>
        </row>
        <row r="4073">
          <cell r="E4073" t="str">
            <v>HERTFORDNCGRIFTONNC</v>
          </cell>
          <cell r="F4073">
            <v>590</v>
          </cell>
        </row>
        <row r="4074">
          <cell r="E4074" t="str">
            <v>HERTFORDNCMINERAL SPRINGSNC</v>
          </cell>
          <cell r="F4074">
            <v>830</v>
          </cell>
        </row>
        <row r="4075">
          <cell r="E4075" t="str">
            <v>HERTFORDNCERWINNC</v>
          </cell>
          <cell r="F4075">
            <v>590</v>
          </cell>
        </row>
        <row r="4076">
          <cell r="E4076" t="str">
            <v>HERTFORDNCCHARLOTTENC</v>
          </cell>
          <cell r="F4076">
            <v>860</v>
          </cell>
        </row>
        <row r="4077">
          <cell r="E4077" t="str">
            <v>HERTFORDNCBELMONTNC</v>
          </cell>
          <cell r="F4077">
            <v>890</v>
          </cell>
        </row>
        <row r="4078">
          <cell r="E4078" t="str">
            <v>HERTFORDNCGASTONIANC</v>
          </cell>
          <cell r="F4078">
            <v>910</v>
          </cell>
        </row>
        <row r="4079">
          <cell r="E4079" t="str">
            <v>HERTFORDNCSPARTANC</v>
          </cell>
          <cell r="F4079">
            <v>880</v>
          </cell>
        </row>
        <row r="4080">
          <cell r="E4080" t="str">
            <v>HERTFORDNCHICKORYNC</v>
          </cell>
          <cell r="F4080">
            <v>880</v>
          </cell>
        </row>
        <row r="4081">
          <cell r="E4081" t="str">
            <v>HERTFORDNCSHELBYNC</v>
          </cell>
          <cell r="F4081">
            <v>960</v>
          </cell>
        </row>
        <row r="4082">
          <cell r="E4082" t="str">
            <v>HERTFORDNCMAYODANNC</v>
          </cell>
          <cell r="F4082">
            <v>720</v>
          </cell>
        </row>
        <row r="4083">
          <cell r="E4083" t="str">
            <v>HERTFORDNCSTONEVILLENC</v>
          </cell>
          <cell r="F4083">
            <v>730</v>
          </cell>
        </row>
        <row r="4084">
          <cell r="E4084" t="str">
            <v>HERTFORDNCLUMBERTONNC</v>
          </cell>
          <cell r="F4084">
            <v>670</v>
          </cell>
        </row>
        <row r="4085">
          <cell r="E4085" t="str">
            <v>HERTFORDNCLEXINGTONNC</v>
          </cell>
          <cell r="F4085">
            <v>730</v>
          </cell>
        </row>
        <row r="4086">
          <cell r="E4086" t="str">
            <v>HERTFORDNCTHOMASVILLENC</v>
          </cell>
          <cell r="F4086">
            <v>710</v>
          </cell>
        </row>
        <row r="4087">
          <cell r="E4087" t="str">
            <v>HERTFORDNCMOCKSVILLENC</v>
          </cell>
          <cell r="F4087">
            <v>770</v>
          </cell>
        </row>
        <row r="4088">
          <cell r="E4088" t="str">
            <v>HERTFORDNCROCKINGHAMNC</v>
          </cell>
          <cell r="F4088">
            <v>710</v>
          </cell>
        </row>
        <row r="4089">
          <cell r="E4089" t="str">
            <v>HERTFORDNCCLARKTONNC</v>
          </cell>
          <cell r="F4089">
            <v>650</v>
          </cell>
        </row>
        <row r="4090">
          <cell r="E4090" t="str">
            <v>HERTFORDNCROCKFORDTN</v>
          </cell>
          <cell r="F4090">
            <v>1330</v>
          </cell>
        </row>
        <row r="4091">
          <cell r="E4091" t="str">
            <v>HILLSBOROALROCKFORDTN</v>
          </cell>
          <cell r="F4091">
            <v>720</v>
          </cell>
        </row>
        <row r="4092">
          <cell r="E4092" t="str">
            <v>HILLSBOROALGREERSC</v>
          </cell>
          <cell r="F4092">
            <v>1050</v>
          </cell>
        </row>
        <row r="4093">
          <cell r="E4093" t="str">
            <v>HILLSBOROALLOWELLNC</v>
          </cell>
          <cell r="F4093">
            <v>1210</v>
          </cell>
        </row>
        <row r="4094">
          <cell r="E4094" t="str">
            <v>HILLSBOROALDAWSONGA</v>
          </cell>
          <cell r="F4094">
            <v>830</v>
          </cell>
        </row>
        <row r="4095">
          <cell r="E4095" t="str">
            <v>HILLSBOROALNEW ORLEANSLA</v>
          </cell>
          <cell r="F4095">
            <v>1120</v>
          </cell>
        </row>
        <row r="4096">
          <cell r="E4096" t="str">
            <v>HILLSBOROALRAYVILLELA</v>
          </cell>
          <cell r="F4096">
            <v>1100</v>
          </cell>
        </row>
        <row r="4097">
          <cell r="E4097" t="str">
            <v>HILLSBOROALBELMONTNC</v>
          </cell>
          <cell r="F4097">
            <v>1220</v>
          </cell>
        </row>
        <row r="4098">
          <cell r="E4098" t="str">
            <v>HILLSBOROALLEXINGTONNC</v>
          </cell>
          <cell r="F4098">
            <v>1280</v>
          </cell>
        </row>
        <row r="4099">
          <cell r="E4099" t="str">
            <v>HILLSBOROALGAFFNEYSC</v>
          </cell>
          <cell r="F4099">
            <v>1130</v>
          </cell>
        </row>
        <row r="4100">
          <cell r="E4100" t="str">
            <v>HILLSBOROALSHELBYNC</v>
          </cell>
          <cell r="F4100">
            <v>1130</v>
          </cell>
        </row>
        <row r="4101">
          <cell r="E4101" t="str">
            <v>HILLSBOROALSALISBURYNC</v>
          </cell>
          <cell r="F4101">
            <v>1260</v>
          </cell>
        </row>
        <row r="4102">
          <cell r="E4102" t="str">
            <v>HILLSBOROALSPARTANC</v>
          </cell>
          <cell r="F4102">
            <v>1210</v>
          </cell>
        </row>
        <row r="4103">
          <cell r="E4103" t="str">
            <v>HILLSBOROALJACKSONVILLEFL</v>
          </cell>
          <cell r="F4103">
            <v>1340</v>
          </cell>
        </row>
        <row r="4104">
          <cell r="E4104" t="str">
            <v>HILLSBOROALROCKINGHAMNC</v>
          </cell>
          <cell r="F4104">
            <v>1420</v>
          </cell>
        </row>
        <row r="4105">
          <cell r="E4105" t="str">
            <v>HILLSBOROALMAYODANNC</v>
          </cell>
          <cell r="F4105">
            <v>1370</v>
          </cell>
        </row>
        <row r="4106">
          <cell r="E4106" t="str">
            <v>HILLSBOROALCHARLOTTENC</v>
          </cell>
          <cell r="F4106">
            <v>1250</v>
          </cell>
        </row>
        <row r="4107">
          <cell r="E4107" t="str">
            <v>HILLSBOROALSANFORDNC</v>
          </cell>
          <cell r="F4107">
            <v>1480</v>
          </cell>
        </row>
        <row r="4108">
          <cell r="E4108" t="str">
            <v>HILLSBOROALGASTONIANC</v>
          </cell>
          <cell r="F4108">
            <v>1200</v>
          </cell>
        </row>
        <row r="4109">
          <cell r="E4109" t="str">
            <v>HILLSBOROALEDENTONNC</v>
          </cell>
          <cell r="F4109">
            <v>1840</v>
          </cell>
        </row>
        <row r="4110">
          <cell r="E4110" t="str">
            <v>HILLSBOROALTUNICAMS</v>
          </cell>
          <cell r="F4110">
            <v>630</v>
          </cell>
        </row>
        <row r="4111">
          <cell r="E4111" t="str">
            <v>HILLSBOROALGAINESVILLEGA</v>
          </cell>
          <cell r="F4111">
            <v>820</v>
          </cell>
        </row>
        <row r="4112">
          <cell r="E4112" t="str">
            <v>HILLSBOROALMINERAL SPRINGSNC</v>
          </cell>
          <cell r="F4112">
            <v>1310</v>
          </cell>
        </row>
        <row r="4113">
          <cell r="E4113" t="str">
            <v>HILLSBOROALKINSTONNC</v>
          </cell>
          <cell r="F4113">
            <v>1720</v>
          </cell>
        </row>
        <row r="4114">
          <cell r="E4114" t="str">
            <v>HILLSBOROALTALLULAHLA</v>
          </cell>
          <cell r="F4114">
            <v>1030</v>
          </cell>
        </row>
        <row r="4115">
          <cell r="E4115" t="str">
            <v>HILLSBOROALGREENWOODSC</v>
          </cell>
          <cell r="F4115">
            <v>1040</v>
          </cell>
        </row>
        <row r="4116">
          <cell r="E4116" t="str">
            <v>HILLSBOROALMEMPHISTN</v>
          </cell>
          <cell r="F4116">
            <v>600</v>
          </cell>
        </row>
        <row r="4117">
          <cell r="E4117" t="str">
            <v>HILLSBOROALSTONEVILLENC</v>
          </cell>
          <cell r="F4117">
            <v>1380</v>
          </cell>
        </row>
        <row r="4118">
          <cell r="E4118" t="str">
            <v>HILLSBOROALMOBILEAL</v>
          </cell>
          <cell r="F4118">
            <v>930</v>
          </cell>
        </row>
        <row r="4119">
          <cell r="E4119" t="str">
            <v>HILLSBOROALMONEYMS</v>
          </cell>
          <cell r="F4119">
            <v>710</v>
          </cell>
        </row>
        <row r="4120">
          <cell r="E4120" t="str">
            <v>HILLSBOROALWEST MEMPHISAR</v>
          </cell>
          <cell r="F4120">
            <v>600</v>
          </cell>
        </row>
        <row r="4121">
          <cell r="E4121" t="str">
            <v>HILLSBOROALENOREESC</v>
          </cell>
          <cell r="F4121">
            <v>1100</v>
          </cell>
        </row>
        <row r="4122">
          <cell r="E4122" t="str">
            <v>HILLSBOROALROSSVILLETN</v>
          </cell>
          <cell r="F4122">
            <v>560</v>
          </cell>
        </row>
        <row r="4123">
          <cell r="E4123" t="str">
            <v>HILLSBOROALMARIONAR</v>
          </cell>
          <cell r="F4123">
            <v>610</v>
          </cell>
        </row>
        <row r="4124">
          <cell r="E4124" t="str">
            <v>HILLSBOROALCARTERSVILLEGA</v>
          </cell>
          <cell r="F4124">
            <v>600</v>
          </cell>
        </row>
        <row r="4125">
          <cell r="E4125" t="str">
            <v>HILLSBOROALGULFPORTMS</v>
          </cell>
          <cell r="F4125">
            <v>1140</v>
          </cell>
        </row>
        <row r="4126">
          <cell r="E4126" t="str">
            <v>HILLSBOROALMCCALLAAL</v>
          </cell>
          <cell r="F4126">
            <v>500</v>
          </cell>
        </row>
        <row r="4127">
          <cell r="E4127" t="str">
            <v>HILLSBOROALGarden CityGA</v>
          </cell>
          <cell r="F4127">
            <v>1340</v>
          </cell>
        </row>
        <row r="4128">
          <cell r="E4128" t="str">
            <v>HILLSBOROALRINCONGA</v>
          </cell>
          <cell r="F4128">
            <v>1370</v>
          </cell>
        </row>
        <row r="4129">
          <cell r="E4129" t="str">
            <v>HILLSBOROALPORT WENTWORTHGA</v>
          </cell>
          <cell r="F4129">
            <v>1360</v>
          </cell>
        </row>
        <row r="4130">
          <cell r="E4130" t="str">
            <v>HILLSBOROALGREENWOODMS</v>
          </cell>
          <cell r="F4130">
            <v>740</v>
          </cell>
        </row>
        <row r="4131">
          <cell r="E4131" t="str">
            <v>HILLSBOROALHICKORYNC</v>
          </cell>
          <cell r="F4131">
            <v>1140</v>
          </cell>
        </row>
        <row r="4132">
          <cell r="E4132" t="str">
            <v>HILLSBOROALINDIAN LANDSC</v>
          </cell>
          <cell r="F4132">
            <v>1280</v>
          </cell>
        </row>
        <row r="4133">
          <cell r="E4133" t="str">
            <v>HILLSBOROALBLYTHEVILLEAR</v>
          </cell>
          <cell r="F4133">
            <v>700</v>
          </cell>
        </row>
        <row r="4134">
          <cell r="E4134" t="str">
            <v>HILLSBOROALCENTREAL</v>
          </cell>
          <cell r="F4134">
            <v>510</v>
          </cell>
        </row>
        <row r="4135">
          <cell r="E4135" t="str">
            <v>HILLSBOROALCLARKTONNC</v>
          </cell>
          <cell r="F4135">
            <v>1550</v>
          </cell>
        </row>
        <row r="4136">
          <cell r="E4136" t="str">
            <v>HILLSBOROALRABUN GAPGA</v>
          </cell>
          <cell r="F4136">
            <v>840</v>
          </cell>
        </row>
        <row r="4137">
          <cell r="E4137" t="str">
            <v>HILLSBOROALINDIANOLAMS</v>
          </cell>
          <cell r="F4137">
            <v>810</v>
          </cell>
        </row>
        <row r="4138">
          <cell r="E4138" t="str">
            <v>HILLSBOROALMOCKSVILLENC</v>
          </cell>
          <cell r="F4138">
            <v>1240</v>
          </cell>
        </row>
        <row r="4139">
          <cell r="E4139" t="str">
            <v>HILLSBOROALECLECTICAL</v>
          </cell>
          <cell r="F4139">
            <v>610</v>
          </cell>
        </row>
        <row r="4140">
          <cell r="E4140" t="str">
            <v>HILLSBOROALTHOMASVILLENC</v>
          </cell>
          <cell r="F4140">
            <v>1310</v>
          </cell>
        </row>
        <row r="4141">
          <cell r="E4141" t="str">
            <v>HILLSBOROALNORFOLKVA</v>
          </cell>
          <cell r="F4141">
            <v>1890</v>
          </cell>
        </row>
        <row r="4142">
          <cell r="E4142" t="str">
            <v>HILLSBOROALDREWMS</v>
          </cell>
          <cell r="F4142">
            <v>700</v>
          </cell>
        </row>
        <row r="4143">
          <cell r="E4143" t="str">
            <v>HILLSBOROALLUMBERTONNC</v>
          </cell>
          <cell r="F4143">
            <v>1500</v>
          </cell>
        </row>
        <row r="4144">
          <cell r="E4144" t="str">
            <v>HILLSBOROALPORTSMOUTHVA</v>
          </cell>
          <cell r="F4144">
            <v>1870</v>
          </cell>
        </row>
        <row r="4145">
          <cell r="E4145" t="str">
            <v>HILLSBOROALGRIFTONNC</v>
          </cell>
          <cell r="F4145">
            <v>1850</v>
          </cell>
        </row>
        <row r="4146">
          <cell r="E4146" t="str">
            <v>HILLSBOROALERWINNC</v>
          </cell>
          <cell r="F4146">
            <v>1560</v>
          </cell>
        </row>
        <row r="4147">
          <cell r="E4147" t="str">
            <v>HOUSTONTXDallasTX</v>
          </cell>
          <cell r="F4147">
            <v>549</v>
          </cell>
        </row>
        <row r="4148">
          <cell r="E4148" t="str">
            <v>HOUSTONTXBaytownTX</v>
          </cell>
          <cell r="F4148">
            <v>374</v>
          </cell>
        </row>
        <row r="4149">
          <cell r="E4149" t="str">
            <v>HOUSTONTXHoustonTX</v>
          </cell>
          <cell r="F4149">
            <v>368</v>
          </cell>
        </row>
        <row r="4150">
          <cell r="E4150" t="str">
            <v>HOUSTONTXHOUSTONTX</v>
          </cell>
          <cell r="F4150">
            <v>305</v>
          </cell>
        </row>
        <row r="4151">
          <cell r="E4151" t="str">
            <v>HOUSTONTXWILMERTX</v>
          </cell>
          <cell r="F4151">
            <v>936</v>
          </cell>
        </row>
        <row r="4152">
          <cell r="E4152" t="str">
            <v>HOUSTONTXWESLACOTX</v>
          </cell>
          <cell r="F4152">
            <v>634</v>
          </cell>
        </row>
        <row r="4153">
          <cell r="E4153" t="str">
            <v>HUMBOLDTTNNORFOLKVA</v>
          </cell>
          <cell r="F4153">
            <v>2050</v>
          </cell>
        </row>
        <row r="4154">
          <cell r="E4154" t="str">
            <v>HUMBOLDTTNROCKFORDTN</v>
          </cell>
          <cell r="F4154">
            <v>880</v>
          </cell>
        </row>
        <row r="4155">
          <cell r="E4155" t="str">
            <v>HUMBOLDTTNCHARLOTTENC</v>
          </cell>
          <cell r="F4155">
            <v>1390</v>
          </cell>
        </row>
        <row r="4156">
          <cell r="E4156" t="str">
            <v>HUMBOLDTTNINDIAN LANDSC</v>
          </cell>
          <cell r="F4156">
            <v>1420</v>
          </cell>
        </row>
        <row r="4157">
          <cell r="E4157" t="str">
            <v>HUMBOLDTTNSPARTANC</v>
          </cell>
          <cell r="F4157">
            <v>1370</v>
          </cell>
        </row>
        <row r="4158">
          <cell r="E4158" t="str">
            <v>HUMBOLDTTNMINERAL SPRINGSNC</v>
          </cell>
          <cell r="F4158">
            <v>1450</v>
          </cell>
        </row>
        <row r="4159">
          <cell r="E4159" t="str">
            <v>HUMBOLDTTNMAYODANNC</v>
          </cell>
          <cell r="F4159">
            <v>1530</v>
          </cell>
        </row>
        <row r="4160">
          <cell r="E4160" t="str">
            <v>HUMBOLDTTNMCCALLAAL</v>
          </cell>
          <cell r="F4160">
            <v>750</v>
          </cell>
        </row>
        <row r="4161">
          <cell r="E4161" t="str">
            <v>HUMBOLDTTNSANFORDNC</v>
          </cell>
          <cell r="F4161">
            <v>1640</v>
          </cell>
        </row>
        <row r="4162">
          <cell r="E4162" t="str">
            <v>HUMBOLDTTNENOREESC</v>
          </cell>
          <cell r="F4162">
            <v>1310</v>
          </cell>
        </row>
        <row r="4163">
          <cell r="E4163" t="str">
            <v>HUMBOLDTTNSTONEVILLENC</v>
          </cell>
          <cell r="F4163">
            <v>1540</v>
          </cell>
        </row>
        <row r="4164">
          <cell r="E4164" t="str">
            <v>HUMBOLDTTNERWINNC</v>
          </cell>
          <cell r="F4164">
            <v>1720</v>
          </cell>
        </row>
        <row r="4165">
          <cell r="E4165" t="str">
            <v>HUMBOLDTTNKINSTONNC</v>
          </cell>
          <cell r="F4165">
            <v>1880</v>
          </cell>
        </row>
        <row r="4166">
          <cell r="E4166" t="str">
            <v>HUMBOLDTTNJACKSONVILLEFL</v>
          </cell>
          <cell r="F4166">
            <v>1810</v>
          </cell>
        </row>
        <row r="4167">
          <cell r="E4167" t="str">
            <v>HUMBOLDTTNTHOMASVILLENC</v>
          </cell>
          <cell r="F4167">
            <v>1480</v>
          </cell>
        </row>
        <row r="4168">
          <cell r="E4168" t="str">
            <v>HUMBOLDTTNMOCKSVILLENC</v>
          </cell>
          <cell r="F4168">
            <v>1410</v>
          </cell>
        </row>
        <row r="4169">
          <cell r="E4169" t="str">
            <v>HUMBOLDTTNMONEYMS</v>
          </cell>
          <cell r="F4169">
            <v>660</v>
          </cell>
        </row>
        <row r="4170">
          <cell r="E4170" t="str">
            <v>HUMBOLDTTNBELMONTNC</v>
          </cell>
          <cell r="F4170">
            <v>1370</v>
          </cell>
        </row>
        <row r="4171">
          <cell r="E4171" t="str">
            <v>HUMBOLDTTNLOWELLNC</v>
          </cell>
          <cell r="F4171">
            <v>1360</v>
          </cell>
        </row>
        <row r="4172">
          <cell r="E4172" t="str">
            <v>HUMBOLDTTNROCKINGHAMNC</v>
          </cell>
          <cell r="F4172">
            <v>1560</v>
          </cell>
        </row>
        <row r="4173">
          <cell r="E4173" t="str">
            <v>HUMBOLDTTNCLARKTONNC</v>
          </cell>
          <cell r="F4173">
            <v>1740</v>
          </cell>
        </row>
        <row r="4174">
          <cell r="E4174" t="str">
            <v>HUMBOLDTTNLEXINGTONNC</v>
          </cell>
          <cell r="F4174">
            <v>1440</v>
          </cell>
        </row>
        <row r="4175">
          <cell r="E4175" t="str">
            <v>HUMBOLDTTNGASTONIANC</v>
          </cell>
          <cell r="F4175">
            <v>1340</v>
          </cell>
        </row>
        <row r="4176">
          <cell r="E4176" t="str">
            <v>HUMBOLDTTNSALISBURYNC</v>
          </cell>
          <cell r="F4176">
            <v>1420</v>
          </cell>
        </row>
        <row r="4177">
          <cell r="E4177" t="str">
            <v>HUMBOLDTTNGREENWOODSC</v>
          </cell>
          <cell r="F4177">
            <v>1320</v>
          </cell>
        </row>
        <row r="4178">
          <cell r="E4178" t="str">
            <v>HUMBOLDTTNHICKORYNC</v>
          </cell>
          <cell r="F4178">
            <v>1300</v>
          </cell>
        </row>
        <row r="4179">
          <cell r="E4179" t="str">
            <v>HUMBOLDTTNLUMBERTONNC</v>
          </cell>
          <cell r="F4179">
            <v>1690</v>
          </cell>
        </row>
        <row r="4180">
          <cell r="E4180" t="str">
            <v>HUMBOLDTTNBLYTHEVILLEAR</v>
          </cell>
          <cell r="F4180">
            <v>460</v>
          </cell>
        </row>
        <row r="4181">
          <cell r="E4181" t="str">
            <v>HUMBOLDTTNRABUN GAPGA</v>
          </cell>
          <cell r="F4181">
            <v>1150</v>
          </cell>
        </row>
        <row r="4182">
          <cell r="E4182" t="str">
            <v>HUMBOLDTTNMEMPHISTN</v>
          </cell>
          <cell r="F4182">
            <v>480</v>
          </cell>
        </row>
        <row r="4183">
          <cell r="E4183" t="str">
            <v>HUMBOLDTTNGULFPORTMS</v>
          </cell>
          <cell r="F4183">
            <v>1200</v>
          </cell>
        </row>
        <row r="4184">
          <cell r="E4184" t="str">
            <v>HUMBOLDTTNGRIFTONNC</v>
          </cell>
          <cell r="F4184">
            <v>2010</v>
          </cell>
        </row>
        <row r="4185">
          <cell r="E4185" t="str">
            <v>HUMBOLDTTNROSSVILLETN</v>
          </cell>
          <cell r="F4185">
            <v>460</v>
          </cell>
        </row>
        <row r="4186">
          <cell r="E4186" t="str">
            <v>HUMBOLDTTNGREENWOODMS</v>
          </cell>
          <cell r="F4186">
            <v>680</v>
          </cell>
        </row>
        <row r="4187">
          <cell r="E4187" t="str">
            <v>HUMBOLDTTNDREWMS</v>
          </cell>
          <cell r="F4187">
            <v>630</v>
          </cell>
        </row>
        <row r="4188">
          <cell r="E4188" t="str">
            <v>HUMBOLDTTNWEST MEMPHISAR</v>
          </cell>
          <cell r="F4188">
            <v>480</v>
          </cell>
        </row>
        <row r="4189">
          <cell r="E4189" t="str">
            <v>HUMBOLDTTNSHELBYNC</v>
          </cell>
          <cell r="F4189">
            <v>1290</v>
          </cell>
        </row>
        <row r="4190">
          <cell r="E4190" t="str">
            <v>HUMBOLDTTNNEW ORLEANSLA</v>
          </cell>
          <cell r="F4190">
            <v>1230</v>
          </cell>
        </row>
        <row r="4191">
          <cell r="E4191" t="str">
            <v>HUMBOLDTTNMARIONAR</v>
          </cell>
          <cell r="F4191">
            <v>480</v>
          </cell>
        </row>
        <row r="4192">
          <cell r="E4192" t="str">
            <v>HUMBOLDTTNINDIANOLAMS</v>
          </cell>
          <cell r="F4192">
            <v>670</v>
          </cell>
        </row>
        <row r="4193">
          <cell r="E4193" t="str">
            <v>HUMBOLDTTNRINCONGA</v>
          </cell>
          <cell r="F4193">
            <v>1700</v>
          </cell>
        </row>
        <row r="4194">
          <cell r="E4194" t="str">
            <v>HUMBOLDTTNGAINESVILLEGA</v>
          </cell>
          <cell r="F4194">
            <v>1110</v>
          </cell>
        </row>
        <row r="4195">
          <cell r="E4195" t="str">
            <v>HUMBOLDTTNMOBILEAL</v>
          </cell>
          <cell r="F4195">
            <v>1040</v>
          </cell>
        </row>
        <row r="4196">
          <cell r="E4196" t="str">
            <v>HUMBOLDTTNTUNICAMS</v>
          </cell>
          <cell r="F4196">
            <v>530</v>
          </cell>
        </row>
        <row r="4197">
          <cell r="E4197" t="str">
            <v>HUMBOLDTTNPORT WENTWORTHGA</v>
          </cell>
          <cell r="F4197">
            <v>1690</v>
          </cell>
        </row>
        <row r="4198">
          <cell r="E4198" t="str">
            <v>HUMBOLDTTNCENTREAL</v>
          </cell>
          <cell r="F4198">
            <v>740</v>
          </cell>
        </row>
        <row r="4199">
          <cell r="E4199" t="str">
            <v>HUMBOLDTTNTALLULAHLA</v>
          </cell>
          <cell r="F4199">
            <v>960</v>
          </cell>
        </row>
        <row r="4200">
          <cell r="E4200" t="str">
            <v>HUMBOLDTTNCARTERSVILLEGA</v>
          </cell>
          <cell r="F4200">
            <v>930</v>
          </cell>
        </row>
        <row r="4201">
          <cell r="E4201" t="str">
            <v>HUMBOLDTTNGarden CityGA</v>
          </cell>
          <cell r="F4201">
            <v>1670</v>
          </cell>
        </row>
        <row r="4202">
          <cell r="E4202" t="str">
            <v>HUMBOLDTTNDAWSONGA</v>
          </cell>
          <cell r="F4202">
            <v>1150</v>
          </cell>
        </row>
        <row r="4203">
          <cell r="E4203" t="str">
            <v>HUMBOLDTTNEDENTONNC</v>
          </cell>
          <cell r="F4203">
            <v>2000</v>
          </cell>
        </row>
        <row r="4204">
          <cell r="E4204" t="str">
            <v>HUMBOLDTTNPORTSMOUTHVA</v>
          </cell>
          <cell r="F4204">
            <v>2040</v>
          </cell>
        </row>
        <row r="4205">
          <cell r="E4205" t="str">
            <v>HUMBOLDTTNECLECTICAL</v>
          </cell>
          <cell r="F4205">
            <v>890</v>
          </cell>
        </row>
        <row r="4206">
          <cell r="E4206" t="str">
            <v>HUMBOLDTTNGREERSC</v>
          </cell>
          <cell r="F4206">
            <v>1250</v>
          </cell>
        </row>
        <row r="4207">
          <cell r="E4207" t="str">
            <v>HUMBOLDTTNGAFFNEYSC</v>
          </cell>
          <cell r="F4207">
            <v>1300</v>
          </cell>
        </row>
        <row r="4208">
          <cell r="E4208" t="str">
            <v>HUMBOLDTTNRAYVILLELA</v>
          </cell>
          <cell r="F4208">
            <v>900</v>
          </cell>
        </row>
        <row r="4209">
          <cell r="E4209" t="str">
            <v>HUMBOLDTTNWESLACOTX</v>
          </cell>
          <cell r="F4209">
            <v>1866</v>
          </cell>
        </row>
        <row r="4210">
          <cell r="E4210" t="str">
            <v>HutchinsTXBaytownTX</v>
          </cell>
          <cell r="F4210">
            <v>650</v>
          </cell>
        </row>
        <row r="4211">
          <cell r="E4211" t="str">
            <v>HutchinsTXHoustonTX</v>
          </cell>
          <cell r="F4211">
            <v>606</v>
          </cell>
        </row>
        <row r="4212">
          <cell r="E4212" t="str">
            <v>HutchinsTXDallasTX</v>
          </cell>
          <cell r="F4212">
            <v>315</v>
          </cell>
        </row>
        <row r="4213">
          <cell r="E4213" t="str">
            <v>INDIANOLAMSROCKFORDTN</v>
          </cell>
          <cell r="F4213">
            <v>1310</v>
          </cell>
        </row>
        <row r="4214">
          <cell r="E4214" t="str">
            <v>INDIANOLAMSGREENWOODSC</v>
          </cell>
          <cell r="F4214">
            <v>1390</v>
          </cell>
        </row>
        <row r="4215">
          <cell r="E4215" t="str">
            <v>INDIANOLAMSSPARTANC</v>
          </cell>
          <cell r="F4215">
            <v>1800</v>
          </cell>
        </row>
        <row r="4216">
          <cell r="E4216" t="str">
            <v>INDIANOLAMSTHOMASVILLENC</v>
          </cell>
          <cell r="F4216">
            <v>1760</v>
          </cell>
        </row>
        <row r="4217">
          <cell r="E4217" t="str">
            <v>INDIANOLAMSNORFOLKVA</v>
          </cell>
          <cell r="F4217">
            <v>2350</v>
          </cell>
        </row>
        <row r="4218">
          <cell r="E4218" t="str">
            <v>INDIANOLAMSENOREESC</v>
          </cell>
          <cell r="F4218">
            <v>1460</v>
          </cell>
        </row>
        <row r="4219">
          <cell r="E4219" t="str">
            <v>INDIANOLAMSGREERSC</v>
          </cell>
          <cell r="F4219">
            <v>1410</v>
          </cell>
        </row>
        <row r="4220">
          <cell r="E4220" t="str">
            <v>INDIANOLAMSMAYODANNC</v>
          </cell>
          <cell r="F4220">
            <v>1850</v>
          </cell>
        </row>
        <row r="4221">
          <cell r="E4221" t="str">
            <v>INDIANOLAMSMOCKSVILLENC</v>
          </cell>
          <cell r="F4221">
            <v>1730</v>
          </cell>
        </row>
        <row r="4222">
          <cell r="E4222" t="str">
            <v>INDIANOLAMSSTONEVILLENC</v>
          </cell>
          <cell r="F4222">
            <v>1860</v>
          </cell>
        </row>
        <row r="4223">
          <cell r="E4223" t="str">
            <v>INDIANOLAMSBELMONTNC</v>
          </cell>
          <cell r="F4223">
            <v>1580</v>
          </cell>
        </row>
        <row r="4224">
          <cell r="E4224" t="str">
            <v>INDIANOLAMSERWINNC</v>
          </cell>
          <cell r="F4224">
            <v>1990</v>
          </cell>
        </row>
        <row r="4225">
          <cell r="E4225" t="str">
            <v>INDIANOLAMSGAFFNEYSC</v>
          </cell>
          <cell r="F4225">
            <v>1490</v>
          </cell>
        </row>
        <row r="4226">
          <cell r="E4226" t="str">
            <v>INDIANOLAMSSANFORDNC</v>
          </cell>
          <cell r="F4226">
            <v>1900</v>
          </cell>
        </row>
        <row r="4227">
          <cell r="E4227" t="str">
            <v>INDIANOLAMSLOWELLNC</v>
          </cell>
          <cell r="F4227">
            <v>1570</v>
          </cell>
        </row>
        <row r="4228">
          <cell r="E4228" t="str">
            <v>INDIANOLAMSSALISBURYNC</v>
          </cell>
          <cell r="F4228">
            <v>1700</v>
          </cell>
        </row>
        <row r="4229">
          <cell r="E4229" t="str">
            <v>INDIANOLAMSROCKINGHAMNC</v>
          </cell>
          <cell r="F4229">
            <v>1780</v>
          </cell>
        </row>
        <row r="4230">
          <cell r="E4230" t="str">
            <v>INDIANOLAMSCLARKTONNC</v>
          </cell>
          <cell r="F4230">
            <v>1910</v>
          </cell>
        </row>
        <row r="4231">
          <cell r="E4231" t="str">
            <v>INDIANOLAMSSHELBYNC</v>
          </cell>
          <cell r="F4231">
            <v>1530</v>
          </cell>
        </row>
        <row r="4232">
          <cell r="E4232" t="str">
            <v>INDIANOLAMSGASTONIANC</v>
          </cell>
          <cell r="F4232">
            <v>1560</v>
          </cell>
        </row>
        <row r="4233">
          <cell r="E4233" t="str">
            <v>INDIANOLAMSCENTREAL</v>
          </cell>
          <cell r="F4233">
            <v>910</v>
          </cell>
        </row>
        <row r="4234">
          <cell r="E4234" t="str">
            <v>INDIANOLAMSGAINESVILLEGA</v>
          </cell>
          <cell r="F4234">
            <v>1180</v>
          </cell>
        </row>
        <row r="4235">
          <cell r="E4235" t="str">
            <v>INDIANOLAMSPORTSMOUTHVA</v>
          </cell>
          <cell r="F4235">
            <v>2330</v>
          </cell>
        </row>
        <row r="4236">
          <cell r="E4236" t="str">
            <v>INDIANOLAMSLUMBERTONNC</v>
          </cell>
          <cell r="F4236">
            <v>1850</v>
          </cell>
        </row>
        <row r="4237">
          <cell r="E4237" t="str">
            <v>INDIANOLAMSCHARLOTTENC</v>
          </cell>
          <cell r="F4237">
            <v>1600</v>
          </cell>
        </row>
        <row r="4238">
          <cell r="E4238" t="str">
            <v>INDIANOLAMSLEXINGTONNC</v>
          </cell>
          <cell r="F4238">
            <v>1730</v>
          </cell>
        </row>
        <row r="4239">
          <cell r="E4239" t="str">
            <v>INDIANOLAMSKINSTONNC</v>
          </cell>
          <cell r="F4239">
            <v>2140</v>
          </cell>
        </row>
        <row r="4240">
          <cell r="E4240" t="str">
            <v>INDIANOLAMSHICKORYNC</v>
          </cell>
          <cell r="F4240">
            <v>1630</v>
          </cell>
        </row>
        <row r="4241">
          <cell r="E4241" t="str">
            <v>INDIANOLAMSINDIAN LANDSC</v>
          </cell>
          <cell r="F4241">
            <v>1630</v>
          </cell>
        </row>
        <row r="4242">
          <cell r="E4242" t="str">
            <v>INDIANOLAMSMCCALLAAL</v>
          </cell>
          <cell r="F4242">
            <v>670</v>
          </cell>
        </row>
        <row r="4243">
          <cell r="E4243" t="str">
            <v>INDIANOLAMSMINERAL SPRINGSNC</v>
          </cell>
          <cell r="F4243">
            <v>1660</v>
          </cell>
        </row>
        <row r="4244">
          <cell r="E4244" t="str">
            <v>INDIANOLAMSMARIONAR</v>
          </cell>
          <cell r="F4244">
            <v>540</v>
          </cell>
        </row>
        <row r="4245">
          <cell r="E4245" t="str">
            <v>INDIANOLAMSEDENTONNC</v>
          </cell>
          <cell r="F4245">
            <v>2290</v>
          </cell>
        </row>
        <row r="4246">
          <cell r="E4246" t="str">
            <v>INDIANOLAMSROSSVILLETN</v>
          </cell>
          <cell r="F4246">
            <v>570</v>
          </cell>
        </row>
        <row r="4247">
          <cell r="E4247" t="str">
            <v>INDIANOLAMSMEMPHISTN</v>
          </cell>
          <cell r="F4247">
            <v>520</v>
          </cell>
        </row>
        <row r="4248">
          <cell r="E4248" t="str">
            <v>INDIANOLAMSBLYTHEVILLEAR</v>
          </cell>
          <cell r="F4248">
            <v>630</v>
          </cell>
        </row>
        <row r="4249">
          <cell r="E4249" t="str">
            <v>INDIANOLAMSRABUN GAPGA</v>
          </cell>
          <cell r="F4249">
            <v>1400</v>
          </cell>
        </row>
        <row r="4250">
          <cell r="E4250" t="str">
            <v>INDIANOLAMSPORT WENTWORTHGA</v>
          </cell>
          <cell r="F4250">
            <v>1720</v>
          </cell>
        </row>
        <row r="4251">
          <cell r="E4251" t="str">
            <v>INDIANOLAMSWEST MEMPHISAR</v>
          </cell>
          <cell r="F4251">
            <v>540</v>
          </cell>
        </row>
        <row r="4252">
          <cell r="E4252" t="str">
            <v>INDIANOLAMSTUNICAMS</v>
          </cell>
          <cell r="F4252">
            <v>460</v>
          </cell>
        </row>
        <row r="4253">
          <cell r="E4253" t="str">
            <v>INDIANOLAMSDREWMS</v>
          </cell>
          <cell r="F4253">
            <v>360</v>
          </cell>
        </row>
        <row r="4254">
          <cell r="E4254" t="str">
            <v>INDIANOLAMSGRIFTONNC</v>
          </cell>
          <cell r="F4254">
            <v>2270</v>
          </cell>
        </row>
        <row r="4255">
          <cell r="E4255" t="str">
            <v>INDIANOLAMSGULFPORTMS</v>
          </cell>
          <cell r="F4255">
            <v>810</v>
          </cell>
        </row>
        <row r="4256">
          <cell r="E4256" t="str">
            <v>INDIANOLAMSGarden CityGA</v>
          </cell>
          <cell r="F4256">
            <v>1700</v>
          </cell>
        </row>
        <row r="4257">
          <cell r="E4257" t="str">
            <v>INDIANOLAMSRINCONGA</v>
          </cell>
          <cell r="F4257">
            <v>1730</v>
          </cell>
        </row>
        <row r="4258">
          <cell r="E4258" t="str">
            <v>INDIANOLAMSMONEYMS</v>
          </cell>
          <cell r="F4258">
            <v>380</v>
          </cell>
        </row>
        <row r="4259">
          <cell r="E4259" t="str">
            <v>INDIANOLAMSGREENWOODMS</v>
          </cell>
          <cell r="F4259">
            <v>370</v>
          </cell>
        </row>
        <row r="4260">
          <cell r="E4260" t="str">
            <v>INDIANOLAMSDAWSONGA</v>
          </cell>
          <cell r="F4260">
            <v>1180</v>
          </cell>
        </row>
        <row r="4261">
          <cell r="E4261" t="str">
            <v>INDIANOLAMSTALLULAHLA</v>
          </cell>
          <cell r="F4261">
            <v>480</v>
          </cell>
        </row>
        <row r="4262">
          <cell r="E4262" t="str">
            <v>INDIANOLAMSMOBILEAL</v>
          </cell>
          <cell r="F4262">
            <v>780</v>
          </cell>
        </row>
        <row r="4263">
          <cell r="E4263" t="str">
            <v>INDIANOLAMSCARTERSVILLEGA</v>
          </cell>
          <cell r="F4263">
            <v>1040</v>
          </cell>
        </row>
        <row r="4264">
          <cell r="E4264" t="str">
            <v>INDIANOLAMSRAYVILLELA</v>
          </cell>
          <cell r="F4264">
            <v>500</v>
          </cell>
        </row>
        <row r="4265">
          <cell r="E4265" t="str">
            <v>INDIANOLAMSECLECTICAL</v>
          </cell>
          <cell r="F4265">
            <v>860</v>
          </cell>
        </row>
        <row r="4266">
          <cell r="E4266" t="str">
            <v>INDIANOLAMSJACKSONVILLEFL</v>
          </cell>
          <cell r="F4266">
            <v>1700</v>
          </cell>
        </row>
        <row r="4267">
          <cell r="E4267" t="str">
            <v>INDIANOLAMSNEW ORLEANSLA</v>
          </cell>
          <cell r="F4267">
            <v>770</v>
          </cell>
        </row>
        <row r="4268">
          <cell r="E4268" t="str">
            <v>INDIANOLAMSWESLACOTX</v>
          </cell>
          <cell r="F4268">
            <v>1510</v>
          </cell>
        </row>
        <row r="4269">
          <cell r="E4269" t="str">
            <v>INVERNESSMSGASTONIANC</v>
          </cell>
          <cell r="F4269">
            <v>1570</v>
          </cell>
        </row>
        <row r="4270">
          <cell r="E4270" t="str">
            <v>INVERNESSMSGAINESVILLEGA</v>
          </cell>
          <cell r="F4270">
            <v>1190</v>
          </cell>
        </row>
        <row r="4271">
          <cell r="E4271" t="str">
            <v>INVERNESSMSCENTREAL</v>
          </cell>
          <cell r="F4271">
            <v>920</v>
          </cell>
        </row>
        <row r="4272">
          <cell r="E4272" t="str">
            <v>INVERNESSMSLUMBERTONNC</v>
          </cell>
          <cell r="F4272">
            <v>1870</v>
          </cell>
        </row>
        <row r="4273">
          <cell r="E4273" t="str">
            <v>INVERNESSMSCHARLOTTENC</v>
          </cell>
          <cell r="F4273">
            <v>1620</v>
          </cell>
        </row>
        <row r="4274">
          <cell r="E4274" t="str">
            <v>INVERNESSMSLEXINGTONNC</v>
          </cell>
          <cell r="F4274">
            <v>1750</v>
          </cell>
        </row>
        <row r="4275">
          <cell r="E4275" t="str">
            <v>INVERNESSMSKINSTONNC</v>
          </cell>
          <cell r="F4275">
            <v>2160</v>
          </cell>
        </row>
        <row r="4276">
          <cell r="E4276" t="str">
            <v>INVERNESSMSHICKORYNC</v>
          </cell>
          <cell r="F4276">
            <v>1650</v>
          </cell>
        </row>
        <row r="4277">
          <cell r="E4277" t="str">
            <v>INVERNESSMSINDIAN LANDSC</v>
          </cell>
          <cell r="F4277">
            <v>1650</v>
          </cell>
        </row>
        <row r="4278">
          <cell r="E4278" t="str">
            <v>INVERNESSMSMINERAL SPRINGSNC</v>
          </cell>
          <cell r="F4278">
            <v>1680</v>
          </cell>
        </row>
        <row r="4279">
          <cell r="E4279" t="str">
            <v>INVERNESSMSGREENWOODSC</v>
          </cell>
          <cell r="F4279">
            <v>1410</v>
          </cell>
        </row>
        <row r="4280">
          <cell r="E4280" t="str">
            <v>INVERNESSMSSPARTANC</v>
          </cell>
          <cell r="F4280">
            <v>1820</v>
          </cell>
        </row>
        <row r="4281">
          <cell r="E4281" t="str">
            <v>INVERNESSMSEDENTONNC</v>
          </cell>
          <cell r="F4281">
            <v>2310</v>
          </cell>
        </row>
        <row r="4282">
          <cell r="E4282" t="str">
            <v>INVERNESSMSTHOMASVILLENC</v>
          </cell>
          <cell r="F4282">
            <v>1780</v>
          </cell>
        </row>
        <row r="4283">
          <cell r="E4283" t="str">
            <v>INVERNESSMSNORFOLKVA</v>
          </cell>
          <cell r="F4283">
            <v>2370</v>
          </cell>
        </row>
        <row r="4284">
          <cell r="E4284" t="str">
            <v>INVERNESSMSENOREESC</v>
          </cell>
          <cell r="F4284">
            <v>1480</v>
          </cell>
        </row>
        <row r="4285">
          <cell r="E4285" t="str">
            <v>INVERNESSMSGREERSC</v>
          </cell>
          <cell r="F4285">
            <v>1430</v>
          </cell>
        </row>
        <row r="4286">
          <cell r="E4286" t="str">
            <v>INVERNESSMSMAYODANNC</v>
          </cell>
          <cell r="F4286">
            <v>1870</v>
          </cell>
        </row>
        <row r="4287">
          <cell r="E4287" t="str">
            <v>INVERNESSMSMOCKSVILLENC</v>
          </cell>
          <cell r="F4287">
            <v>1740</v>
          </cell>
        </row>
        <row r="4288">
          <cell r="E4288" t="str">
            <v>INVERNESSMSSTONEVILLENC</v>
          </cell>
          <cell r="F4288">
            <v>1870</v>
          </cell>
        </row>
        <row r="4289">
          <cell r="E4289" t="str">
            <v>INVERNESSMSBELMONTNC</v>
          </cell>
          <cell r="F4289">
            <v>1590</v>
          </cell>
        </row>
        <row r="4290">
          <cell r="E4290" t="str">
            <v>INVERNESSMSERWINNC</v>
          </cell>
          <cell r="F4290">
            <v>2000</v>
          </cell>
        </row>
        <row r="4291">
          <cell r="E4291" t="str">
            <v>INVERNESSMSMCCALLAAL</v>
          </cell>
          <cell r="F4291">
            <v>680</v>
          </cell>
        </row>
        <row r="4292">
          <cell r="E4292" t="str">
            <v>INVERNESSMSDAWSONGA</v>
          </cell>
          <cell r="F4292">
            <v>1190</v>
          </cell>
        </row>
        <row r="4293">
          <cell r="E4293" t="str">
            <v>INVERNESSMSMARIONAR</v>
          </cell>
          <cell r="F4293">
            <v>550</v>
          </cell>
        </row>
        <row r="4294">
          <cell r="E4294" t="str">
            <v>INVERNESSMSGAFFNEYSC</v>
          </cell>
          <cell r="F4294">
            <v>1500</v>
          </cell>
        </row>
        <row r="4295">
          <cell r="E4295" t="str">
            <v>INVERNESSMSSANFORDNC</v>
          </cell>
          <cell r="F4295">
            <v>1910</v>
          </cell>
        </row>
        <row r="4296">
          <cell r="E4296" t="str">
            <v>INVERNESSMSLOWELLNC</v>
          </cell>
          <cell r="F4296">
            <v>1580</v>
          </cell>
        </row>
        <row r="4297">
          <cell r="E4297" t="str">
            <v>INVERNESSMSSALISBURYNC</v>
          </cell>
          <cell r="F4297">
            <v>1710</v>
          </cell>
        </row>
        <row r="4298">
          <cell r="E4298" t="str">
            <v>INVERNESSMSROCKINGHAMNC</v>
          </cell>
          <cell r="F4298">
            <v>1790</v>
          </cell>
        </row>
        <row r="4299">
          <cell r="E4299" t="str">
            <v>INVERNESSMSCLARKTONNC</v>
          </cell>
          <cell r="F4299">
            <v>1920</v>
          </cell>
        </row>
        <row r="4300">
          <cell r="E4300" t="str">
            <v>INVERNESSMSSHELBYNC</v>
          </cell>
          <cell r="F4300">
            <v>1540</v>
          </cell>
        </row>
        <row r="4301">
          <cell r="E4301" t="str">
            <v>INVERNESSMSROSSVILLETN</v>
          </cell>
          <cell r="F4301">
            <v>580</v>
          </cell>
        </row>
        <row r="4302">
          <cell r="E4302" t="str">
            <v>INVERNESSMSPORTSMOUTHVA</v>
          </cell>
          <cell r="F4302">
            <v>2340</v>
          </cell>
        </row>
        <row r="4303">
          <cell r="E4303" t="str">
            <v>INVERNESSMSMEMPHISTN</v>
          </cell>
          <cell r="F4303">
            <v>530</v>
          </cell>
        </row>
        <row r="4304">
          <cell r="E4304" t="str">
            <v>INVERNESSMSBLYTHEVILLEAR</v>
          </cell>
          <cell r="F4304">
            <v>640</v>
          </cell>
        </row>
        <row r="4305">
          <cell r="E4305" t="str">
            <v>INVERNESSMSWEST MEMPHISAR</v>
          </cell>
          <cell r="F4305">
            <v>550</v>
          </cell>
        </row>
        <row r="4306">
          <cell r="E4306" t="str">
            <v>INVERNESSMSGarden CityGA</v>
          </cell>
          <cell r="F4306">
            <v>1720</v>
          </cell>
        </row>
        <row r="4307">
          <cell r="E4307" t="str">
            <v>INVERNESSMSRINCONGA</v>
          </cell>
          <cell r="F4307">
            <v>1750</v>
          </cell>
        </row>
        <row r="4308">
          <cell r="E4308" t="str">
            <v>INVERNESSMSTUNICAMS</v>
          </cell>
          <cell r="F4308">
            <v>480</v>
          </cell>
        </row>
        <row r="4309">
          <cell r="E4309" t="str">
            <v>INVERNESSMSRABUN GAPGA</v>
          </cell>
          <cell r="F4309">
            <v>1420</v>
          </cell>
        </row>
        <row r="4310">
          <cell r="E4310" t="str">
            <v>INVERNESSMSDREWMS</v>
          </cell>
          <cell r="F4310">
            <v>370</v>
          </cell>
        </row>
        <row r="4311">
          <cell r="E4311" t="str">
            <v>INVERNESSMSPORT WENTWORTHGA</v>
          </cell>
          <cell r="F4311">
            <v>1730</v>
          </cell>
        </row>
        <row r="4312">
          <cell r="E4312" t="str">
            <v>INVERNESSMSGULFPORTMS</v>
          </cell>
          <cell r="F4312">
            <v>800</v>
          </cell>
        </row>
        <row r="4313">
          <cell r="E4313" t="str">
            <v>INVERNESSMSMONEYMS</v>
          </cell>
          <cell r="F4313">
            <v>390</v>
          </cell>
        </row>
        <row r="4314">
          <cell r="E4314" t="str">
            <v>INVERNESSMSGRIFTONNC</v>
          </cell>
          <cell r="F4314">
            <v>2290</v>
          </cell>
        </row>
        <row r="4315">
          <cell r="E4315" t="str">
            <v>INVERNESSMSGREENWOODMS</v>
          </cell>
          <cell r="F4315">
            <v>380</v>
          </cell>
        </row>
        <row r="4316">
          <cell r="E4316" t="str">
            <v>INVERNESSMSINDIANOLAMS</v>
          </cell>
          <cell r="F4316">
            <v>330</v>
          </cell>
        </row>
        <row r="4317">
          <cell r="E4317" t="str">
            <v>INVERNESSMSMOBILEAL</v>
          </cell>
          <cell r="F4317">
            <v>750</v>
          </cell>
        </row>
        <row r="4318">
          <cell r="E4318" t="str">
            <v>INVERNESSMSCARTERSVILLEGA</v>
          </cell>
          <cell r="F4318">
            <v>1060</v>
          </cell>
        </row>
        <row r="4319">
          <cell r="E4319" t="str">
            <v>INVERNESSMSTALLULAHLA</v>
          </cell>
          <cell r="F4319">
            <v>490</v>
          </cell>
        </row>
        <row r="4320">
          <cell r="E4320" t="str">
            <v>INVERNESSMSECLECTICAL</v>
          </cell>
          <cell r="F4320">
            <v>870</v>
          </cell>
        </row>
        <row r="4321">
          <cell r="E4321" t="str">
            <v>INVERNESSMSRAYVILLELA</v>
          </cell>
          <cell r="F4321">
            <v>520</v>
          </cell>
        </row>
        <row r="4322">
          <cell r="E4322" t="str">
            <v>INVERNESSMSJACKSONVILLEFL</v>
          </cell>
          <cell r="F4322">
            <v>1680</v>
          </cell>
        </row>
        <row r="4323">
          <cell r="E4323" t="str">
            <v>INVERNESSMSNEW ORLEANSLA</v>
          </cell>
          <cell r="F4323">
            <v>750</v>
          </cell>
        </row>
        <row r="4324">
          <cell r="E4324" t="str">
            <v>INVERNESSMSROCKFORDTN</v>
          </cell>
          <cell r="F4324">
            <v>1330</v>
          </cell>
        </row>
        <row r="4325">
          <cell r="E4325" t="str">
            <v>INVERNESSMSWESLACOTX</v>
          </cell>
          <cell r="F4325">
            <v>1603</v>
          </cell>
        </row>
        <row r="4326">
          <cell r="E4326" t="str">
            <v>ITTA BENAMSWESLACOTX</v>
          </cell>
          <cell r="F4326">
            <v>1614</v>
          </cell>
        </row>
        <row r="4327">
          <cell r="E4327" t="str">
            <v>JACKSONTNROCKFORDTN</v>
          </cell>
          <cell r="F4327">
            <v>850</v>
          </cell>
        </row>
        <row r="4328">
          <cell r="E4328" t="str">
            <v>JACKSONTNMCCALLAAL</v>
          </cell>
          <cell r="F4328">
            <v>710</v>
          </cell>
        </row>
        <row r="4329">
          <cell r="E4329" t="str">
            <v>JACKSONTNNEW ORLEANSLA</v>
          </cell>
          <cell r="F4329">
            <v>1140</v>
          </cell>
        </row>
        <row r="4330">
          <cell r="E4330" t="str">
            <v>JACKSONTNTHOMASVILLENC</v>
          </cell>
          <cell r="F4330">
            <v>1450</v>
          </cell>
        </row>
        <row r="4331">
          <cell r="E4331" t="str">
            <v>JACKSONTNMOCKSVILLENC</v>
          </cell>
          <cell r="F4331">
            <v>1380</v>
          </cell>
        </row>
        <row r="4332">
          <cell r="E4332" t="str">
            <v>JACKSONTNBELMONTNC</v>
          </cell>
          <cell r="F4332">
            <v>1340</v>
          </cell>
        </row>
        <row r="4333">
          <cell r="E4333" t="str">
            <v>JACKSONTNROCKINGHAMNC</v>
          </cell>
          <cell r="F4333">
            <v>1540</v>
          </cell>
        </row>
        <row r="4334">
          <cell r="E4334" t="str">
            <v>JACKSONTNCLARKTONNC</v>
          </cell>
          <cell r="F4334">
            <v>1720</v>
          </cell>
        </row>
        <row r="4335">
          <cell r="E4335" t="str">
            <v>JACKSONTNLEXINGTONNC</v>
          </cell>
          <cell r="F4335">
            <v>1420</v>
          </cell>
        </row>
        <row r="4336">
          <cell r="E4336" t="str">
            <v>JACKSONTNSALISBURYNC</v>
          </cell>
          <cell r="F4336">
            <v>1400</v>
          </cell>
        </row>
        <row r="4337">
          <cell r="E4337" t="str">
            <v>JACKSONTNMINERAL SPRINGSNC</v>
          </cell>
          <cell r="F4337">
            <v>1430</v>
          </cell>
        </row>
        <row r="4338">
          <cell r="E4338" t="str">
            <v>JACKSONTNDREWMS</v>
          </cell>
          <cell r="F4338">
            <v>620</v>
          </cell>
        </row>
        <row r="4339">
          <cell r="E4339" t="str">
            <v>JACKSONTNMONEYMS</v>
          </cell>
          <cell r="F4339">
            <v>640</v>
          </cell>
        </row>
        <row r="4340">
          <cell r="E4340" t="str">
            <v>JACKSONTNLUMBERTONNC</v>
          </cell>
          <cell r="F4340">
            <v>1660</v>
          </cell>
        </row>
        <row r="4341">
          <cell r="E4341" t="str">
            <v>JACKSONTNCHARLOTTENC</v>
          </cell>
          <cell r="F4341">
            <v>1360</v>
          </cell>
        </row>
        <row r="4342">
          <cell r="E4342" t="str">
            <v>JACKSONTNINDIAN LANDSC</v>
          </cell>
          <cell r="F4342">
            <v>1390</v>
          </cell>
        </row>
        <row r="4343">
          <cell r="E4343" t="str">
            <v>JACKSONTNSPARTANC</v>
          </cell>
          <cell r="F4343">
            <v>1340</v>
          </cell>
        </row>
        <row r="4344">
          <cell r="E4344" t="str">
            <v>JACKSONTNMAYODANNC</v>
          </cell>
          <cell r="F4344">
            <v>1500</v>
          </cell>
        </row>
        <row r="4345">
          <cell r="E4345" t="str">
            <v>JACKSONTNSANFORDNC</v>
          </cell>
          <cell r="F4345">
            <v>1610</v>
          </cell>
        </row>
        <row r="4346">
          <cell r="E4346" t="str">
            <v>JACKSONTNSTONEVILLENC</v>
          </cell>
          <cell r="F4346">
            <v>1510</v>
          </cell>
        </row>
        <row r="4347">
          <cell r="E4347" t="str">
            <v>JACKSONTNERWINNC</v>
          </cell>
          <cell r="F4347">
            <v>1690</v>
          </cell>
        </row>
        <row r="4348">
          <cell r="E4348" t="str">
            <v>JACKSONTNKINSTONNC</v>
          </cell>
          <cell r="F4348">
            <v>1850</v>
          </cell>
        </row>
        <row r="4349">
          <cell r="E4349" t="str">
            <v>JACKSONTNROSSVILLETN</v>
          </cell>
          <cell r="F4349">
            <v>450</v>
          </cell>
        </row>
        <row r="4350">
          <cell r="E4350" t="str">
            <v>JACKSONTNGRIFTONNC</v>
          </cell>
          <cell r="F4350">
            <v>1990</v>
          </cell>
        </row>
        <row r="4351">
          <cell r="E4351" t="str">
            <v>JACKSONTNGULFPORTMS</v>
          </cell>
          <cell r="F4351">
            <v>1160</v>
          </cell>
        </row>
        <row r="4352">
          <cell r="E4352" t="str">
            <v>JACKSONTNMEMPHISTN</v>
          </cell>
          <cell r="F4352">
            <v>460</v>
          </cell>
        </row>
        <row r="4353">
          <cell r="E4353" t="str">
            <v>JACKSONTNGREENWOODMS</v>
          </cell>
          <cell r="F4353">
            <v>670</v>
          </cell>
        </row>
        <row r="4354">
          <cell r="E4354" t="str">
            <v>JACKSONTNWEST MEMPHISAR</v>
          </cell>
          <cell r="F4354">
            <v>470</v>
          </cell>
        </row>
        <row r="4355">
          <cell r="E4355" t="str">
            <v>JACKSONTNBLYTHEVILLEAR</v>
          </cell>
          <cell r="F4355">
            <v>480</v>
          </cell>
        </row>
        <row r="4356">
          <cell r="E4356" t="str">
            <v>JACKSONTNMARIONAR</v>
          </cell>
          <cell r="F4356">
            <v>470</v>
          </cell>
        </row>
        <row r="4357">
          <cell r="E4357" t="str">
            <v>JACKSONTNINDIANOLAMS</v>
          </cell>
          <cell r="F4357">
            <v>660</v>
          </cell>
        </row>
        <row r="4358">
          <cell r="E4358" t="str">
            <v>JACKSONTNSHELBYNC</v>
          </cell>
          <cell r="F4358">
            <v>1270</v>
          </cell>
        </row>
        <row r="4359">
          <cell r="E4359" t="str">
            <v>JACKSONTNHICKORYNC</v>
          </cell>
          <cell r="F4359">
            <v>1280</v>
          </cell>
        </row>
        <row r="4360">
          <cell r="E4360" t="str">
            <v>JACKSONTNGASTONIANC</v>
          </cell>
          <cell r="F4360">
            <v>1320</v>
          </cell>
        </row>
        <row r="4361">
          <cell r="E4361" t="str">
            <v>JACKSONTNTUNICAMS</v>
          </cell>
          <cell r="F4361">
            <v>510</v>
          </cell>
        </row>
        <row r="4362">
          <cell r="E4362" t="str">
            <v>JACKSONTNLOWELLNC</v>
          </cell>
          <cell r="F4362">
            <v>1330</v>
          </cell>
        </row>
        <row r="4363">
          <cell r="E4363" t="str">
            <v>JACKSONTNMOBILEAL</v>
          </cell>
          <cell r="F4363">
            <v>1000</v>
          </cell>
        </row>
        <row r="4364">
          <cell r="E4364" t="str">
            <v>JACKSONTNGAINESVILLEGA</v>
          </cell>
          <cell r="F4364">
            <v>1080</v>
          </cell>
        </row>
        <row r="4365">
          <cell r="E4365" t="str">
            <v>JACKSONTNRINCONGA</v>
          </cell>
          <cell r="F4365">
            <v>1680</v>
          </cell>
        </row>
        <row r="4366">
          <cell r="E4366" t="str">
            <v>JACKSONTNGarden CityGA</v>
          </cell>
          <cell r="F4366">
            <v>1650</v>
          </cell>
        </row>
        <row r="4367">
          <cell r="E4367" t="str">
            <v>JACKSONTNTALLULAHLA</v>
          </cell>
          <cell r="F4367">
            <v>940</v>
          </cell>
        </row>
        <row r="4368">
          <cell r="E4368" t="str">
            <v>JACKSONTNPORT WENTWORTHGA</v>
          </cell>
          <cell r="F4368">
            <v>1660</v>
          </cell>
        </row>
        <row r="4369">
          <cell r="E4369" t="str">
            <v>JACKSONTNCARTERSVILLEGA</v>
          </cell>
          <cell r="F4369">
            <v>900</v>
          </cell>
        </row>
        <row r="4370">
          <cell r="E4370" t="str">
            <v>JACKSONTNCENTREAL</v>
          </cell>
          <cell r="F4370">
            <v>700</v>
          </cell>
        </row>
        <row r="4371">
          <cell r="E4371" t="str">
            <v>JACKSONTNRABUN GAPGA</v>
          </cell>
          <cell r="F4371">
            <v>1120</v>
          </cell>
        </row>
        <row r="4372">
          <cell r="E4372" t="str">
            <v>JACKSONTNDAWSONGA</v>
          </cell>
          <cell r="F4372">
            <v>1120</v>
          </cell>
        </row>
        <row r="4373">
          <cell r="E4373" t="str">
            <v>JACKSONTNECLECTICAL</v>
          </cell>
          <cell r="F4373">
            <v>850</v>
          </cell>
        </row>
        <row r="4374">
          <cell r="E4374" t="str">
            <v>JACKSONTNGAFFNEYSC</v>
          </cell>
          <cell r="F4374">
            <v>1280</v>
          </cell>
        </row>
        <row r="4375">
          <cell r="E4375" t="str">
            <v>JACKSONTNENOREESC</v>
          </cell>
          <cell r="F4375">
            <v>1280</v>
          </cell>
        </row>
        <row r="4376">
          <cell r="E4376" t="str">
            <v>JACKSONTNGREENWOODSC</v>
          </cell>
          <cell r="F4376">
            <v>1300</v>
          </cell>
        </row>
        <row r="4377">
          <cell r="E4377" t="str">
            <v>JACKSONTNPORTSMOUTHVA</v>
          </cell>
          <cell r="F4377">
            <v>2010</v>
          </cell>
        </row>
        <row r="4378">
          <cell r="E4378" t="str">
            <v>JACKSONTNEDENTONNC</v>
          </cell>
          <cell r="F4378">
            <v>1970</v>
          </cell>
        </row>
        <row r="4379">
          <cell r="E4379" t="str">
            <v>JACKSONTNNORFOLKVA</v>
          </cell>
          <cell r="F4379">
            <v>2020</v>
          </cell>
        </row>
        <row r="4380">
          <cell r="E4380" t="str">
            <v>JACKSONTNGREERSC</v>
          </cell>
          <cell r="F4380">
            <v>1230</v>
          </cell>
        </row>
        <row r="4381">
          <cell r="E4381" t="str">
            <v>JACKSONTNRAYVILLELA</v>
          </cell>
          <cell r="F4381">
            <v>890</v>
          </cell>
        </row>
        <row r="4382">
          <cell r="E4382" t="str">
            <v>JACKSONTNJACKSONVILLEFL</v>
          </cell>
          <cell r="F4382">
            <v>1620</v>
          </cell>
        </row>
        <row r="4383">
          <cell r="E4383" t="str">
            <v>JACKSONTNWESLACOTX</v>
          </cell>
          <cell r="F4383">
            <v>1693</v>
          </cell>
        </row>
        <row r="4384">
          <cell r="E4384" t="str">
            <v>JAYFLROCKFORDTN</v>
          </cell>
          <cell r="F4384">
            <v>1210</v>
          </cell>
        </row>
        <row r="4385">
          <cell r="E4385" t="str">
            <v>JAYFLMONEYMS</v>
          </cell>
          <cell r="F4385">
            <v>980</v>
          </cell>
        </row>
        <row r="4386">
          <cell r="E4386" t="str">
            <v>JAYFLENOREESC</v>
          </cell>
          <cell r="F4386">
            <v>1210</v>
          </cell>
        </row>
        <row r="4387">
          <cell r="E4387" t="str">
            <v>JAYFLGREERSC</v>
          </cell>
          <cell r="F4387">
            <v>1160</v>
          </cell>
        </row>
        <row r="4388">
          <cell r="E4388" t="str">
            <v>JAYFLMAYODANNC</v>
          </cell>
          <cell r="F4388">
            <v>1600</v>
          </cell>
        </row>
        <row r="4389">
          <cell r="E4389" t="str">
            <v>JAYFLCENTREAL</v>
          </cell>
          <cell r="F4389">
            <v>810</v>
          </cell>
        </row>
        <row r="4390">
          <cell r="E4390" t="str">
            <v>JAYFLCARTERSVILLEGA</v>
          </cell>
          <cell r="F4390">
            <v>890</v>
          </cell>
        </row>
        <row r="4391">
          <cell r="E4391" t="str">
            <v>JAYFLMOCKSVILLENC</v>
          </cell>
          <cell r="F4391">
            <v>1480</v>
          </cell>
        </row>
        <row r="4392">
          <cell r="E4392" t="str">
            <v>JAYFLSTONEVILLENC</v>
          </cell>
          <cell r="F4392">
            <v>1610</v>
          </cell>
        </row>
        <row r="4393">
          <cell r="E4393" t="str">
            <v>JAYFLBELMONTNC</v>
          </cell>
          <cell r="F4393">
            <v>1330</v>
          </cell>
        </row>
        <row r="4394">
          <cell r="E4394" t="str">
            <v>JAYFLGAFFNEYSC</v>
          </cell>
          <cell r="F4394">
            <v>1240</v>
          </cell>
        </row>
        <row r="4395">
          <cell r="E4395" t="str">
            <v>JAYFLERWINNC</v>
          </cell>
          <cell r="F4395">
            <v>1700</v>
          </cell>
        </row>
        <row r="4396">
          <cell r="E4396" t="str">
            <v>JAYFLSANFORDNC</v>
          </cell>
          <cell r="F4396">
            <v>1650</v>
          </cell>
        </row>
        <row r="4397">
          <cell r="E4397" t="str">
            <v>JAYFLLOWELLNC</v>
          </cell>
          <cell r="F4397">
            <v>1320</v>
          </cell>
        </row>
        <row r="4398">
          <cell r="E4398" t="str">
            <v>JAYFLSALISBURYNC</v>
          </cell>
          <cell r="F4398">
            <v>1450</v>
          </cell>
        </row>
        <row r="4399">
          <cell r="E4399" t="str">
            <v>JAYFLROCKINGHAMNC</v>
          </cell>
          <cell r="F4399">
            <v>1530</v>
          </cell>
        </row>
        <row r="4400">
          <cell r="E4400" t="str">
            <v>JAYFLROSSVILLETN</v>
          </cell>
          <cell r="F4400">
            <v>1150</v>
          </cell>
        </row>
        <row r="4401">
          <cell r="E4401" t="str">
            <v>JAYFLSHELBYNC</v>
          </cell>
          <cell r="F4401">
            <v>1280</v>
          </cell>
        </row>
        <row r="4402">
          <cell r="E4402" t="str">
            <v>JAYFLGREENWOODMS</v>
          </cell>
          <cell r="F4402">
            <v>910</v>
          </cell>
        </row>
        <row r="4403">
          <cell r="E4403" t="str">
            <v>JAYFLRAYVILLELA</v>
          </cell>
          <cell r="F4403">
            <v>910</v>
          </cell>
        </row>
        <row r="4404">
          <cell r="E4404" t="str">
            <v>JAYFLBLYTHEVILLEAR</v>
          </cell>
          <cell r="F4404">
            <v>1310</v>
          </cell>
        </row>
        <row r="4405">
          <cell r="E4405" t="str">
            <v>JAYFLGASTONIANC</v>
          </cell>
          <cell r="F4405">
            <v>1310</v>
          </cell>
        </row>
        <row r="4406">
          <cell r="E4406" t="str">
            <v>JAYFLGAINESVILLEGA</v>
          </cell>
          <cell r="F4406">
            <v>930</v>
          </cell>
        </row>
        <row r="4407">
          <cell r="E4407" t="str">
            <v>JAYFLCLARKTONNC</v>
          </cell>
          <cell r="F4407">
            <v>1620</v>
          </cell>
        </row>
        <row r="4408">
          <cell r="E4408" t="str">
            <v>JAYFLPORTSMOUTHVA</v>
          </cell>
          <cell r="F4408">
            <v>2080</v>
          </cell>
        </row>
        <row r="4409">
          <cell r="E4409" t="str">
            <v>JAYFLJACKSONVILLEFL</v>
          </cell>
          <cell r="F4409">
            <v>940</v>
          </cell>
        </row>
        <row r="4410">
          <cell r="E4410" t="str">
            <v>JAYFLCHARLOTTENC</v>
          </cell>
          <cell r="F4410">
            <v>1360</v>
          </cell>
        </row>
        <row r="4411">
          <cell r="E4411" t="str">
            <v>JAYFLLEXINGTONNC</v>
          </cell>
          <cell r="F4411">
            <v>1480</v>
          </cell>
        </row>
        <row r="4412">
          <cell r="E4412" t="str">
            <v>JAYFLHICKORYNC</v>
          </cell>
          <cell r="F4412">
            <v>1380</v>
          </cell>
        </row>
        <row r="4413">
          <cell r="E4413" t="str">
            <v>JAYFLINDIAN LANDSC</v>
          </cell>
          <cell r="F4413">
            <v>1380</v>
          </cell>
        </row>
        <row r="4414">
          <cell r="E4414" t="str">
            <v>JAYFLLUMBERTONNC</v>
          </cell>
          <cell r="F4414">
            <v>1560</v>
          </cell>
        </row>
        <row r="4415">
          <cell r="E4415" t="str">
            <v>JAYFLMINERAL SPRINGSNC</v>
          </cell>
          <cell r="F4415">
            <v>1410</v>
          </cell>
        </row>
        <row r="4416">
          <cell r="E4416" t="str">
            <v>JAYFLMEMPHISTN</v>
          </cell>
          <cell r="F4416">
            <v>1160</v>
          </cell>
        </row>
        <row r="4417">
          <cell r="E4417" t="str">
            <v>JAYFLKINSTONNC</v>
          </cell>
          <cell r="F4417">
            <v>1850</v>
          </cell>
        </row>
        <row r="4418">
          <cell r="E4418" t="str">
            <v>JAYFLSPARTANC</v>
          </cell>
          <cell r="F4418">
            <v>1570</v>
          </cell>
        </row>
        <row r="4419">
          <cell r="E4419" t="str">
            <v>JAYFLTALLULAHLA</v>
          </cell>
          <cell r="F4419">
            <v>830</v>
          </cell>
        </row>
        <row r="4420">
          <cell r="E4420" t="str">
            <v>JAYFLTUNICAMS</v>
          </cell>
          <cell r="F4420">
            <v>1190</v>
          </cell>
        </row>
        <row r="4421">
          <cell r="E4421" t="str">
            <v>JAYFLGREENWOODSC</v>
          </cell>
          <cell r="F4421">
            <v>1120</v>
          </cell>
        </row>
        <row r="4422">
          <cell r="E4422" t="str">
            <v>JAYFLWEST MEMPHISAR</v>
          </cell>
          <cell r="F4422">
            <v>1170</v>
          </cell>
        </row>
        <row r="4423">
          <cell r="E4423" t="str">
            <v>JAYFLECLECTICAL</v>
          </cell>
          <cell r="F4423">
            <v>560</v>
          </cell>
        </row>
        <row r="4424">
          <cell r="E4424" t="str">
            <v>JAYFLTHOMASVILLENC</v>
          </cell>
          <cell r="F4424">
            <v>1510</v>
          </cell>
        </row>
        <row r="4425">
          <cell r="E4425" t="str">
            <v>JAYFLNORFOLKVA</v>
          </cell>
          <cell r="F4425">
            <v>2100</v>
          </cell>
        </row>
        <row r="4426">
          <cell r="E4426" t="str">
            <v>JAYFLMARIONAR</v>
          </cell>
          <cell r="F4426">
            <v>1180</v>
          </cell>
        </row>
        <row r="4427">
          <cell r="E4427" t="str">
            <v>JAYFLEDENTONNC</v>
          </cell>
          <cell r="F4427">
            <v>2030</v>
          </cell>
        </row>
        <row r="4428">
          <cell r="E4428" t="str">
            <v>JAYFLRABUN GAPGA</v>
          </cell>
          <cell r="F4428">
            <v>1130</v>
          </cell>
        </row>
        <row r="4429">
          <cell r="E4429" t="str">
            <v>JAYFLMCCALLAAL</v>
          </cell>
          <cell r="F4429">
            <v>670</v>
          </cell>
        </row>
        <row r="4430">
          <cell r="E4430" t="str">
            <v>JAYFLRINCONGA</v>
          </cell>
          <cell r="F4430">
            <v>1310</v>
          </cell>
        </row>
        <row r="4431">
          <cell r="E4431" t="str">
            <v>JAYFLPORT WENTWORTHGA</v>
          </cell>
          <cell r="F4431">
            <v>1300</v>
          </cell>
        </row>
        <row r="4432">
          <cell r="E4432" t="str">
            <v>JAYFLGRIFTONNC</v>
          </cell>
          <cell r="F4432">
            <v>1980</v>
          </cell>
        </row>
        <row r="4433">
          <cell r="E4433" t="str">
            <v>JAYFLMOBILEAL</v>
          </cell>
          <cell r="F4433">
            <v>430</v>
          </cell>
        </row>
        <row r="4434">
          <cell r="E4434" t="str">
            <v>JAYFLGarden CityGA</v>
          </cell>
          <cell r="F4434">
            <v>1280</v>
          </cell>
        </row>
        <row r="4435">
          <cell r="E4435" t="str">
            <v>JAYFLGULFPORTMS</v>
          </cell>
          <cell r="F4435">
            <v>650</v>
          </cell>
        </row>
        <row r="4436">
          <cell r="E4436" t="str">
            <v>JAYFLNEW ORLEANSLA</v>
          </cell>
          <cell r="F4436">
            <v>650</v>
          </cell>
        </row>
        <row r="4437">
          <cell r="E4437" t="str">
            <v>JAYFLDREWMS</v>
          </cell>
          <cell r="F4437">
            <v>960</v>
          </cell>
        </row>
        <row r="4438">
          <cell r="E4438" t="str">
            <v>JAYFLDAWSONGA</v>
          </cell>
          <cell r="F4438">
            <v>680</v>
          </cell>
        </row>
        <row r="4439">
          <cell r="E4439" t="str">
            <v>JAYFLINDIANOLAMS</v>
          </cell>
          <cell r="F4439">
            <v>910</v>
          </cell>
        </row>
        <row r="4440">
          <cell r="E4440" t="str">
            <v>JONESVILLELABaytownTX</v>
          </cell>
          <cell r="F4440">
            <v>859</v>
          </cell>
        </row>
        <row r="4441">
          <cell r="E4441" t="str">
            <v>JONESVILLELAHoustonTX</v>
          </cell>
          <cell r="F4441">
            <v>908</v>
          </cell>
        </row>
        <row r="4442">
          <cell r="E4442" t="str">
            <v>JONESVILLELAWESLACOTX</v>
          </cell>
          <cell r="F4442">
            <v>1207</v>
          </cell>
        </row>
        <row r="4443">
          <cell r="E4443" t="str">
            <v>KenedyTXHoustonTX</v>
          </cell>
          <cell r="F4443">
            <v>593</v>
          </cell>
        </row>
        <row r="4444">
          <cell r="E4444" t="str">
            <v>KenedyTXDallasTX</v>
          </cell>
          <cell r="F4444">
            <v>603</v>
          </cell>
        </row>
        <row r="4445">
          <cell r="E4445" t="str">
            <v>KenedyTXBaytownTX</v>
          </cell>
          <cell r="F4445">
            <v>641</v>
          </cell>
        </row>
        <row r="4446">
          <cell r="E4446" t="str">
            <v>KINSTONNCLOWELLNC</v>
          </cell>
          <cell r="F4446">
            <v>740</v>
          </cell>
        </row>
        <row r="4447">
          <cell r="E4447" t="str">
            <v>KINSTONNCGAINESVILLEGA</v>
          </cell>
          <cell r="F4447">
            <v>1170</v>
          </cell>
        </row>
        <row r="4448">
          <cell r="E4448" t="str">
            <v>KINSTONNCCENTREAL</v>
          </cell>
          <cell r="F4448">
            <v>1440</v>
          </cell>
        </row>
        <row r="4449">
          <cell r="E4449" t="str">
            <v>KINSTONNCMEMPHISTN</v>
          </cell>
          <cell r="F4449">
            <v>2050</v>
          </cell>
        </row>
        <row r="4450">
          <cell r="E4450" t="str">
            <v>KINSTONNCMONEYMS</v>
          </cell>
          <cell r="F4450">
            <v>2090</v>
          </cell>
        </row>
        <row r="4451">
          <cell r="E4451" t="str">
            <v>KINSTONNCDAWSONGA</v>
          </cell>
          <cell r="F4451">
            <v>1440</v>
          </cell>
        </row>
        <row r="4452">
          <cell r="E4452" t="str">
            <v>KINSTONNCGREENWOODSC</v>
          </cell>
          <cell r="F4452">
            <v>930</v>
          </cell>
        </row>
        <row r="4453">
          <cell r="E4453" t="str">
            <v>KINSTONNCDREWMS</v>
          </cell>
          <cell r="F4453">
            <v>2140</v>
          </cell>
        </row>
        <row r="4454">
          <cell r="E4454" t="str">
            <v>KINSTONNCSPARTANC</v>
          </cell>
          <cell r="F4454">
            <v>730</v>
          </cell>
        </row>
        <row r="4455">
          <cell r="E4455" t="str">
            <v>KINSTONNCMCCALLAAL</v>
          </cell>
          <cell r="F4455">
            <v>1610</v>
          </cell>
        </row>
        <row r="4456">
          <cell r="E4456" t="str">
            <v>KINSTONNCTUNICAMS</v>
          </cell>
          <cell r="F4456">
            <v>2100</v>
          </cell>
        </row>
        <row r="4457">
          <cell r="E4457" t="str">
            <v>KINSTONNCRAYVILLELA</v>
          </cell>
          <cell r="F4457">
            <v>2300</v>
          </cell>
        </row>
        <row r="4458">
          <cell r="E4458" t="str">
            <v>KINSTONNCECLECTICAL</v>
          </cell>
          <cell r="F4458">
            <v>1550</v>
          </cell>
        </row>
        <row r="4459">
          <cell r="E4459" t="str">
            <v>KINSTONNCMOBILEAL</v>
          </cell>
          <cell r="F4459">
            <v>1930</v>
          </cell>
        </row>
        <row r="4460">
          <cell r="E4460" t="str">
            <v>KINSTONNCROSSVILLETN</v>
          </cell>
          <cell r="F4460">
            <v>2030</v>
          </cell>
        </row>
        <row r="4461">
          <cell r="E4461" t="str">
            <v>KINSTONNCGAFFNEYSC</v>
          </cell>
          <cell r="F4461">
            <v>830</v>
          </cell>
        </row>
        <row r="4462">
          <cell r="E4462" t="str">
            <v>KINSTONNCHICKORYNC</v>
          </cell>
          <cell r="F4462">
            <v>730</v>
          </cell>
        </row>
        <row r="4463">
          <cell r="E4463" t="str">
            <v>KINSTONNCGREERSC</v>
          </cell>
          <cell r="F4463">
            <v>910</v>
          </cell>
        </row>
        <row r="4464">
          <cell r="E4464" t="str">
            <v>KINSTONNCINDIANOLAMS</v>
          </cell>
          <cell r="F4464">
            <v>2120</v>
          </cell>
        </row>
        <row r="4465">
          <cell r="E4465" t="str">
            <v>KINSTONNCGASTONIANC</v>
          </cell>
          <cell r="F4465">
            <v>760</v>
          </cell>
        </row>
        <row r="4466">
          <cell r="E4466" t="str">
            <v>KINSTONNCBELMONTNC</v>
          </cell>
          <cell r="F4466">
            <v>740</v>
          </cell>
        </row>
        <row r="4467">
          <cell r="E4467" t="str">
            <v>KINSTONNCCARTERSVILLEGA</v>
          </cell>
          <cell r="F4467">
            <v>1330</v>
          </cell>
        </row>
        <row r="4468">
          <cell r="E4468" t="str">
            <v>KINSTONNCENOREESC</v>
          </cell>
          <cell r="F4468">
            <v>900</v>
          </cell>
        </row>
        <row r="4469">
          <cell r="E4469" t="str">
            <v>KINSTONNCJACKSONVILLEFL</v>
          </cell>
          <cell r="F4469">
            <v>1250</v>
          </cell>
        </row>
        <row r="4470">
          <cell r="E4470" t="str">
            <v>KINSTONNCBLYTHEVILLEAR</v>
          </cell>
          <cell r="F4470">
            <v>2040</v>
          </cell>
        </row>
        <row r="4471">
          <cell r="E4471" t="str">
            <v>KINSTONNCTALLULAHLA</v>
          </cell>
          <cell r="F4471">
            <v>2220</v>
          </cell>
        </row>
        <row r="4472">
          <cell r="E4472" t="str">
            <v>KINSTONNCGREENWOODMS</v>
          </cell>
          <cell r="F4472">
            <v>2050</v>
          </cell>
        </row>
        <row r="4473">
          <cell r="E4473" t="str">
            <v>KINSTONNCWEST MEMPHISAR</v>
          </cell>
          <cell r="F4473">
            <v>2030</v>
          </cell>
        </row>
        <row r="4474">
          <cell r="E4474" t="str">
            <v>KINSTONNCMARIONAR</v>
          </cell>
          <cell r="F4474">
            <v>2040</v>
          </cell>
        </row>
        <row r="4475">
          <cell r="E4475" t="str">
            <v>KINSTONNCNEW ORLEANSLA</v>
          </cell>
          <cell r="F4475">
            <v>2240</v>
          </cell>
        </row>
        <row r="4476">
          <cell r="E4476" t="str">
            <v>KINSTONNCPORTSMOUTHVA</v>
          </cell>
          <cell r="F4476">
            <v>550</v>
          </cell>
        </row>
        <row r="4477">
          <cell r="E4477" t="str">
            <v>KINSTONNCSALISBURYNC</v>
          </cell>
          <cell r="F4477">
            <v>650</v>
          </cell>
        </row>
        <row r="4478">
          <cell r="E4478" t="str">
            <v>KINSTONNCNORFOLKVA</v>
          </cell>
          <cell r="F4478">
            <v>600</v>
          </cell>
        </row>
        <row r="4479">
          <cell r="E4479" t="str">
            <v>KINSTONNCRABUN GAPGA</v>
          </cell>
          <cell r="F4479">
            <v>1160</v>
          </cell>
        </row>
        <row r="4480">
          <cell r="E4480" t="str">
            <v>KINSTONNCSANFORDNC</v>
          </cell>
          <cell r="F4480">
            <v>490</v>
          </cell>
        </row>
        <row r="4481">
          <cell r="E4481" t="str">
            <v>KINSTONNCPORT WENTWORTHGA</v>
          </cell>
          <cell r="F4481">
            <v>1050</v>
          </cell>
        </row>
        <row r="4482">
          <cell r="E4482" t="str">
            <v>KINSTONNCERWINNC</v>
          </cell>
          <cell r="F4482">
            <v>440</v>
          </cell>
        </row>
        <row r="4483">
          <cell r="E4483" t="str">
            <v>KINSTONNCRINCONGA</v>
          </cell>
          <cell r="F4483">
            <v>1060</v>
          </cell>
        </row>
        <row r="4484">
          <cell r="E4484" t="str">
            <v>KINSTONNCGULFPORTMS</v>
          </cell>
          <cell r="F4484">
            <v>2190</v>
          </cell>
        </row>
        <row r="4485">
          <cell r="E4485" t="str">
            <v>KINSTONNCEDENTONNC</v>
          </cell>
          <cell r="F4485">
            <v>480</v>
          </cell>
        </row>
        <row r="4486">
          <cell r="E4486" t="str">
            <v>KINSTONNCSHELBYNC</v>
          </cell>
          <cell r="F4486">
            <v>810</v>
          </cell>
        </row>
        <row r="4487">
          <cell r="E4487" t="str">
            <v>KINSTONNCINDIAN LANDSC</v>
          </cell>
          <cell r="F4487">
            <v>700</v>
          </cell>
        </row>
        <row r="4488">
          <cell r="E4488" t="str">
            <v>KINSTONNCMINERAL SPRINGSNC</v>
          </cell>
          <cell r="F4488">
            <v>670</v>
          </cell>
        </row>
        <row r="4489">
          <cell r="E4489" t="str">
            <v>KINSTONNCTHOMASVILLENC</v>
          </cell>
          <cell r="F4489">
            <v>610</v>
          </cell>
        </row>
        <row r="4490">
          <cell r="E4490" t="str">
            <v>KINSTONNCMAYODANNC</v>
          </cell>
          <cell r="F4490">
            <v>610</v>
          </cell>
        </row>
        <row r="4491">
          <cell r="E4491" t="str">
            <v>KINSTONNCSTONEVILLENC</v>
          </cell>
          <cell r="F4491">
            <v>620</v>
          </cell>
        </row>
        <row r="4492">
          <cell r="E4492" t="str">
            <v>KINSTONNCCLARKTONNC</v>
          </cell>
          <cell r="F4492">
            <v>470</v>
          </cell>
        </row>
        <row r="4493">
          <cell r="E4493" t="str">
            <v>KINSTONNCCHARLOTTENC</v>
          </cell>
          <cell r="F4493">
            <v>710</v>
          </cell>
        </row>
        <row r="4494">
          <cell r="E4494" t="str">
            <v>KINSTONNCLEXINGTONNC</v>
          </cell>
          <cell r="F4494">
            <v>620</v>
          </cell>
        </row>
        <row r="4495">
          <cell r="E4495" t="str">
            <v>KINSTONNCGarden CityGA</v>
          </cell>
          <cell r="F4495">
            <v>1060</v>
          </cell>
        </row>
        <row r="4496">
          <cell r="E4496" t="str">
            <v>KINSTONNCMOCKSVILLENC</v>
          </cell>
          <cell r="F4496">
            <v>650</v>
          </cell>
        </row>
        <row r="4497">
          <cell r="E4497" t="str">
            <v>KINSTONNCROCKINGHAMNC</v>
          </cell>
          <cell r="F4497">
            <v>580</v>
          </cell>
        </row>
        <row r="4498">
          <cell r="E4498" t="str">
            <v>KINSTONNCLUMBERTONNC</v>
          </cell>
          <cell r="F4498">
            <v>520</v>
          </cell>
        </row>
        <row r="4499">
          <cell r="E4499" t="str">
            <v>LAGRANGENCSPARTANC</v>
          </cell>
          <cell r="F4499">
            <v>700</v>
          </cell>
        </row>
        <row r="4500">
          <cell r="E4500" t="str">
            <v>LAGRANGENCHICKORYNC</v>
          </cell>
          <cell r="F4500">
            <v>700</v>
          </cell>
        </row>
        <row r="4501">
          <cell r="E4501" t="str">
            <v>LAGRANGENCJACKSONVILLEFL</v>
          </cell>
          <cell r="F4501">
            <v>1220</v>
          </cell>
        </row>
        <row r="4502">
          <cell r="E4502" t="str">
            <v>LAGRANGENCMEMPHISTN</v>
          </cell>
          <cell r="F4502">
            <v>2020</v>
          </cell>
        </row>
        <row r="4503">
          <cell r="E4503" t="str">
            <v>LAGRANGENCDAWSONGA</v>
          </cell>
          <cell r="F4503">
            <v>1410</v>
          </cell>
        </row>
        <row r="4504">
          <cell r="E4504" t="str">
            <v>LAGRANGENCGREENWOODSC</v>
          </cell>
          <cell r="F4504">
            <v>900</v>
          </cell>
        </row>
        <row r="4505">
          <cell r="E4505" t="str">
            <v>LAGRANGENCWEST MEMPHISAR</v>
          </cell>
          <cell r="F4505">
            <v>2000</v>
          </cell>
        </row>
        <row r="4506">
          <cell r="E4506" t="str">
            <v>LAGRANGENCMCCALLAAL</v>
          </cell>
          <cell r="F4506">
            <v>1580</v>
          </cell>
        </row>
        <row r="4507">
          <cell r="E4507" t="str">
            <v>LAGRANGENCGAINESVILLEGA</v>
          </cell>
          <cell r="F4507">
            <v>1140</v>
          </cell>
        </row>
        <row r="4508">
          <cell r="E4508" t="str">
            <v>LAGRANGENCCENTREAL</v>
          </cell>
          <cell r="F4508">
            <v>1410</v>
          </cell>
        </row>
        <row r="4509">
          <cell r="E4509" t="str">
            <v>LAGRANGENCMARIONAR</v>
          </cell>
          <cell r="F4509">
            <v>2010</v>
          </cell>
        </row>
        <row r="4510">
          <cell r="E4510" t="str">
            <v>LAGRANGENCNEW ORLEANSLA</v>
          </cell>
          <cell r="F4510">
            <v>2210</v>
          </cell>
        </row>
        <row r="4511">
          <cell r="E4511" t="str">
            <v>LAGRANGENCMOBILEAL</v>
          </cell>
          <cell r="F4511">
            <v>1900</v>
          </cell>
        </row>
        <row r="4512">
          <cell r="E4512" t="str">
            <v>LAGRANGENCBELMONTNC</v>
          </cell>
          <cell r="F4512">
            <v>710</v>
          </cell>
        </row>
        <row r="4513">
          <cell r="E4513" t="str">
            <v>LAGRANGENCMINERAL SPRINGSNC</v>
          </cell>
          <cell r="F4513">
            <v>650</v>
          </cell>
        </row>
        <row r="4514">
          <cell r="E4514" t="str">
            <v>LAGRANGENCDREWMS</v>
          </cell>
          <cell r="F4514">
            <v>2110</v>
          </cell>
        </row>
        <row r="4515">
          <cell r="E4515" t="str">
            <v>LAGRANGENCSALISBURYNC</v>
          </cell>
          <cell r="F4515">
            <v>630</v>
          </cell>
        </row>
        <row r="4516">
          <cell r="E4516" t="str">
            <v>LAGRANGENCINDIANOLAMS</v>
          </cell>
          <cell r="F4516">
            <v>2090</v>
          </cell>
        </row>
        <row r="4517">
          <cell r="E4517" t="str">
            <v>LAGRANGENCTUNICAMS</v>
          </cell>
          <cell r="F4517">
            <v>2070</v>
          </cell>
        </row>
        <row r="4518">
          <cell r="E4518" t="str">
            <v>LAGRANGENCRAYVILLELA</v>
          </cell>
          <cell r="F4518">
            <v>2270</v>
          </cell>
        </row>
        <row r="4519">
          <cell r="E4519" t="str">
            <v>LAGRANGENCGREERSC</v>
          </cell>
          <cell r="F4519">
            <v>880</v>
          </cell>
        </row>
        <row r="4520">
          <cell r="E4520" t="str">
            <v>LAGRANGENCSHELBYNC</v>
          </cell>
          <cell r="F4520">
            <v>780</v>
          </cell>
        </row>
        <row r="4521">
          <cell r="E4521" t="str">
            <v>LAGRANGENCGASTONIANC</v>
          </cell>
          <cell r="F4521">
            <v>730</v>
          </cell>
        </row>
        <row r="4522">
          <cell r="E4522" t="str">
            <v>LAGRANGENCECLECTICAL</v>
          </cell>
          <cell r="F4522">
            <v>1520</v>
          </cell>
        </row>
        <row r="4523">
          <cell r="E4523" t="str">
            <v>LAGRANGENCCARTERSVILLEGA</v>
          </cell>
          <cell r="F4523">
            <v>1300</v>
          </cell>
        </row>
        <row r="4524">
          <cell r="E4524" t="str">
            <v>LAGRANGENCENOREESC</v>
          </cell>
          <cell r="F4524">
            <v>870</v>
          </cell>
        </row>
        <row r="4525">
          <cell r="E4525" t="str">
            <v>LAGRANGENCROSSVILLETN</v>
          </cell>
          <cell r="F4525">
            <v>1990</v>
          </cell>
        </row>
        <row r="4526">
          <cell r="E4526" t="str">
            <v>LAGRANGENCINDIAN LANDSC</v>
          </cell>
          <cell r="F4526">
            <v>670</v>
          </cell>
        </row>
        <row r="4527">
          <cell r="E4527" t="str">
            <v>LAGRANGENCGAFFNEYSC</v>
          </cell>
          <cell r="F4527">
            <v>790</v>
          </cell>
        </row>
        <row r="4528">
          <cell r="E4528" t="str">
            <v>LAGRANGENCMAYODANNC</v>
          </cell>
          <cell r="F4528">
            <v>590</v>
          </cell>
        </row>
        <row r="4529">
          <cell r="E4529" t="str">
            <v>LAGRANGENCBLYTHEVILLEAR</v>
          </cell>
          <cell r="F4529">
            <v>2010</v>
          </cell>
        </row>
        <row r="4530">
          <cell r="E4530" t="str">
            <v>LAGRANGENCLOWELLNC</v>
          </cell>
          <cell r="F4530">
            <v>710</v>
          </cell>
        </row>
        <row r="4531">
          <cell r="E4531" t="str">
            <v>LAGRANGENCCHARLOTTENC</v>
          </cell>
          <cell r="F4531">
            <v>690</v>
          </cell>
        </row>
        <row r="4532">
          <cell r="E4532" t="str">
            <v>LAGRANGENCGREENWOODMS</v>
          </cell>
          <cell r="F4532">
            <v>2020</v>
          </cell>
        </row>
        <row r="4533">
          <cell r="E4533" t="str">
            <v>LAGRANGENCPORTSMOUTHVA</v>
          </cell>
          <cell r="F4533">
            <v>610</v>
          </cell>
        </row>
        <row r="4534">
          <cell r="E4534" t="str">
            <v>LAGRANGENCRABUN GAPGA</v>
          </cell>
          <cell r="F4534">
            <v>1120</v>
          </cell>
        </row>
        <row r="4535">
          <cell r="E4535" t="str">
            <v>LAGRANGENCLUMBERTONNC</v>
          </cell>
          <cell r="F4535">
            <v>500</v>
          </cell>
        </row>
        <row r="4536">
          <cell r="E4536" t="str">
            <v>LAGRANGENCTALLULAHLA</v>
          </cell>
          <cell r="F4536">
            <v>2190</v>
          </cell>
        </row>
        <row r="4537">
          <cell r="E4537" t="str">
            <v>LAGRANGENCSTONEVILLENC</v>
          </cell>
          <cell r="F4537">
            <v>600</v>
          </cell>
        </row>
        <row r="4538">
          <cell r="E4538" t="str">
            <v>LAGRANGENCLEXINGTONNC</v>
          </cell>
          <cell r="F4538">
            <v>600</v>
          </cell>
        </row>
        <row r="4539">
          <cell r="E4539" t="str">
            <v>LAGRANGENCMONEYMS</v>
          </cell>
          <cell r="F4539">
            <v>2060</v>
          </cell>
        </row>
        <row r="4540">
          <cell r="E4540" t="str">
            <v>LAGRANGENCNORFOLKVA</v>
          </cell>
          <cell r="F4540">
            <v>630</v>
          </cell>
        </row>
        <row r="4541">
          <cell r="E4541" t="str">
            <v>LAGRANGENCMOCKSVILLENC</v>
          </cell>
          <cell r="F4541">
            <v>630</v>
          </cell>
        </row>
        <row r="4542">
          <cell r="E4542" t="str">
            <v>LAGRANGENCGarden CityGA</v>
          </cell>
          <cell r="F4542">
            <v>1030</v>
          </cell>
        </row>
        <row r="4543">
          <cell r="E4543" t="str">
            <v>LAGRANGENCROCKINGHAMNC</v>
          </cell>
          <cell r="F4543">
            <v>560</v>
          </cell>
        </row>
        <row r="4544">
          <cell r="E4544" t="str">
            <v>LAGRANGENCEDENTONNC</v>
          </cell>
          <cell r="F4544">
            <v>490</v>
          </cell>
        </row>
        <row r="4545">
          <cell r="E4545" t="str">
            <v>LAGRANGENCTHOMASVILLENC</v>
          </cell>
          <cell r="F4545">
            <v>590</v>
          </cell>
        </row>
        <row r="4546">
          <cell r="E4546" t="str">
            <v>LAGRANGENCKINSTONNC</v>
          </cell>
          <cell r="F4546">
            <v>340</v>
          </cell>
        </row>
        <row r="4547">
          <cell r="E4547" t="str">
            <v>LAGRANGENCSANFORDNC</v>
          </cell>
          <cell r="F4547">
            <v>470</v>
          </cell>
        </row>
        <row r="4548">
          <cell r="E4548" t="str">
            <v>LAGRANGENCPORT WENTWORTHGA</v>
          </cell>
          <cell r="F4548">
            <v>1020</v>
          </cell>
        </row>
        <row r="4549">
          <cell r="E4549" t="str">
            <v>LAGRANGENCCLARKTONNC</v>
          </cell>
          <cell r="F4549">
            <v>460</v>
          </cell>
        </row>
        <row r="4550">
          <cell r="E4550" t="str">
            <v>LAGRANGENCRINCONGA</v>
          </cell>
          <cell r="F4550">
            <v>1030</v>
          </cell>
        </row>
        <row r="4551">
          <cell r="E4551" t="str">
            <v>LAGRANGENCERWINNC</v>
          </cell>
          <cell r="F4551">
            <v>420</v>
          </cell>
        </row>
        <row r="4552">
          <cell r="E4552" t="str">
            <v>LAGRANGENCGULFPORTMS</v>
          </cell>
          <cell r="F4552">
            <v>2160</v>
          </cell>
        </row>
        <row r="4553">
          <cell r="E4553" t="str">
            <v>LAGRANGENCGRIFTONNC</v>
          </cell>
          <cell r="F4553">
            <v>460</v>
          </cell>
        </row>
        <row r="4554">
          <cell r="E4554" t="str">
            <v>LAGRANGENCROCKFORDTN</v>
          </cell>
          <cell r="F4554">
            <v>1150</v>
          </cell>
        </row>
        <row r="4555">
          <cell r="E4555" t="str">
            <v>LAKE PROVIDENCELAROCKFORDTN</v>
          </cell>
          <cell r="F4555">
            <v>1490</v>
          </cell>
        </row>
        <row r="4556">
          <cell r="E4556" t="str">
            <v>LAKE PROVIDENCELAPORTSMOUTHVA</v>
          </cell>
          <cell r="F4556">
            <v>2510</v>
          </cell>
        </row>
        <row r="4557">
          <cell r="E4557" t="str">
            <v>LAKE PROVIDENCELACLARKTONNC</v>
          </cell>
          <cell r="F4557">
            <v>2090</v>
          </cell>
        </row>
        <row r="4558">
          <cell r="E4558" t="str">
            <v>LAKE PROVIDENCELAROCKINGHAMNC</v>
          </cell>
          <cell r="F4558">
            <v>1960</v>
          </cell>
        </row>
        <row r="4559">
          <cell r="E4559" t="str">
            <v>LAKE PROVIDENCELANORFOLKVA</v>
          </cell>
          <cell r="F4559">
            <v>2540</v>
          </cell>
        </row>
        <row r="4560">
          <cell r="E4560" t="str">
            <v>LAKE PROVIDENCELAKINSTONNC</v>
          </cell>
          <cell r="F4560">
            <v>2330</v>
          </cell>
        </row>
        <row r="4561">
          <cell r="E4561" t="str">
            <v>LAKE PROVIDENCELASHELBYNC</v>
          </cell>
          <cell r="F4561">
            <v>1710</v>
          </cell>
        </row>
        <row r="4562">
          <cell r="E4562" t="str">
            <v>LAKE PROVIDENCELAHICKORYNC</v>
          </cell>
          <cell r="F4562">
            <v>1820</v>
          </cell>
        </row>
        <row r="4563">
          <cell r="E4563" t="str">
            <v>LAKE PROVIDENCELALUMBERTONNC</v>
          </cell>
          <cell r="F4563">
            <v>2040</v>
          </cell>
        </row>
        <row r="4564">
          <cell r="E4564" t="str">
            <v>LAKE PROVIDENCELAEDENTONNC</v>
          </cell>
          <cell r="F4564">
            <v>2480</v>
          </cell>
        </row>
        <row r="4565">
          <cell r="E4565" t="str">
            <v>LAKE PROVIDENCELAGASTONIANC</v>
          </cell>
          <cell r="F4565">
            <v>1740</v>
          </cell>
        </row>
        <row r="4566">
          <cell r="E4566" t="str">
            <v>LAKE PROVIDENCELAMINERAL SPRINGSNC</v>
          </cell>
          <cell r="F4566">
            <v>1850</v>
          </cell>
        </row>
        <row r="4567">
          <cell r="E4567" t="str">
            <v>LAKE PROVIDENCELALEXINGTONNC</v>
          </cell>
          <cell r="F4567">
            <v>1910</v>
          </cell>
        </row>
        <row r="4568">
          <cell r="E4568" t="str">
            <v>LAKE PROVIDENCELACHARLOTTENC</v>
          </cell>
          <cell r="F4568">
            <v>1780</v>
          </cell>
        </row>
        <row r="4569">
          <cell r="E4569" t="str">
            <v>LAKE PROVIDENCELAJACKSONVILLEFL</v>
          </cell>
          <cell r="F4569">
            <v>1700</v>
          </cell>
        </row>
        <row r="4570">
          <cell r="E4570" t="str">
            <v>LAKE PROVIDENCELAINDIAN LANDSC</v>
          </cell>
          <cell r="F4570">
            <v>1810</v>
          </cell>
        </row>
        <row r="4571">
          <cell r="E4571" t="str">
            <v>LAKE PROVIDENCELASPARTANC</v>
          </cell>
          <cell r="F4571">
            <v>1980</v>
          </cell>
        </row>
        <row r="4572">
          <cell r="E4572" t="str">
            <v>LAKE PROVIDENCELAGAINESVILLEGA</v>
          </cell>
          <cell r="F4572">
            <v>1350</v>
          </cell>
        </row>
        <row r="4573">
          <cell r="E4573" t="str">
            <v>LAKE PROVIDENCELATHOMASVILLENC</v>
          </cell>
          <cell r="F4573">
            <v>1940</v>
          </cell>
        </row>
        <row r="4574">
          <cell r="E4574" t="str">
            <v>LAKE PROVIDENCELAMAYODANNC</v>
          </cell>
          <cell r="F4574">
            <v>2030</v>
          </cell>
        </row>
        <row r="4575">
          <cell r="E4575" t="str">
            <v>LAKE PROVIDENCELAERWINNC</v>
          </cell>
          <cell r="F4575">
            <v>2170</v>
          </cell>
        </row>
        <row r="4576">
          <cell r="E4576" t="str">
            <v>LAKE PROVIDENCELAGREENWOODSC</v>
          </cell>
          <cell r="F4576">
            <v>1570</v>
          </cell>
        </row>
        <row r="4577">
          <cell r="E4577" t="str">
            <v>LAKE PROVIDENCELASTONEVILLENC</v>
          </cell>
          <cell r="F4577">
            <v>2040</v>
          </cell>
        </row>
        <row r="4578">
          <cell r="E4578" t="str">
            <v>LAKE PROVIDENCELAMOCKSVILLENC</v>
          </cell>
          <cell r="F4578">
            <v>1910</v>
          </cell>
        </row>
        <row r="4579">
          <cell r="E4579" t="str">
            <v>LAKE PROVIDENCELAENOREESC</v>
          </cell>
          <cell r="F4579">
            <v>1640</v>
          </cell>
        </row>
        <row r="4580">
          <cell r="E4580" t="str">
            <v>LAKE PROVIDENCELALOWELLNC</v>
          </cell>
          <cell r="F4580">
            <v>1750</v>
          </cell>
        </row>
        <row r="4581">
          <cell r="E4581" t="str">
            <v>LAKE PROVIDENCELACENTREAL</v>
          </cell>
          <cell r="F4581">
            <v>1080</v>
          </cell>
        </row>
        <row r="4582">
          <cell r="E4582" t="str">
            <v>LAKE PROVIDENCELASANFORDNC</v>
          </cell>
          <cell r="F4582">
            <v>2080</v>
          </cell>
        </row>
        <row r="4583">
          <cell r="E4583" t="str">
            <v>LAKE PROVIDENCELAGREERSC</v>
          </cell>
          <cell r="F4583">
            <v>1590</v>
          </cell>
        </row>
        <row r="4584">
          <cell r="E4584" t="str">
            <v>LAKE PROVIDENCELABELMONTNC</v>
          </cell>
          <cell r="F4584">
            <v>1760</v>
          </cell>
        </row>
        <row r="4585">
          <cell r="E4585" t="str">
            <v>LAKE PROVIDENCELASALISBURYNC</v>
          </cell>
          <cell r="F4585">
            <v>1880</v>
          </cell>
        </row>
        <row r="4586">
          <cell r="E4586" t="str">
            <v>LAKE PROVIDENCELADAWSONGA</v>
          </cell>
          <cell r="F4586">
            <v>1230</v>
          </cell>
        </row>
        <row r="4587">
          <cell r="E4587" t="str">
            <v>LAKE PROVIDENCELAGAFFNEYSC</v>
          </cell>
          <cell r="F4587">
            <v>1670</v>
          </cell>
        </row>
        <row r="4588">
          <cell r="E4588" t="str">
            <v>LAKE PROVIDENCELAGRIFTONNC</v>
          </cell>
          <cell r="F4588">
            <v>2460</v>
          </cell>
        </row>
        <row r="4589">
          <cell r="E4589" t="str">
            <v>LAKE PROVIDENCELAECLECTICAL</v>
          </cell>
          <cell r="F4589">
            <v>980</v>
          </cell>
        </row>
        <row r="4590">
          <cell r="E4590" t="str">
            <v>LAKE PROVIDENCELABLYTHEVILLEAR</v>
          </cell>
          <cell r="F4590">
            <v>750</v>
          </cell>
        </row>
        <row r="4591">
          <cell r="E4591" t="str">
            <v>LAKE PROVIDENCELAGarden CityGA</v>
          </cell>
          <cell r="F4591">
            <v>1880</v>
          </cell>
        </row>
        <row r="4592">
          <cell r="E4592" t="str">
            <v>LAKE PROVIDENCELAROSSVILLETN</v>
          </cell>
          <cell r="F4592">
            <v>680</v>
          </cell>
        </row>
        <row r="4593">
          <cell r="E4593" t="str">
            <v>LAKE PROVIDENCELARINCONGA</v>
          </cell>
          <cell r="F4593">
            <v>1910</v>
          </cell>
        </row>
        <row r="4594">
          <cell r="E4594" t="str">
            <v>LAKE PROVIDENCELAMCCALLAAL</v>
          </cell>
          <cell r="F4594">
            <v>830</v>
          </cell>
        </row>
        <row r="4595">
          <cell r="E4595" t="str">
            <v>LAKE PROVIDENCELAMARIONAR</v>
          </cell>
          <cell r="F4595">
            <v>650</v>
          </cell>
        </row>
        <row r="4596">
          <cell r="E4596" t="str">
            <v>LAKE PROVIDENCELARABUN GAPGA</v>
          </cell>
          <cell r="F4596">
            <v>1590</v>
          </cell>
        </row>
        <row r="4597">
          <cell r="E4597" t="str">
            <v>LAKE PROVIDENCELAMEMPHISTN</v>
          </cell>
          <cell r="F4597">
            <v>630</v>
          </cell>
        </row>
        <row r="4598">
          <cell r="E4598" t="str">
            <v>LAKE PROVIDENCELAPORT WENTWORTHGA</v>
          </cell>
          <cell r="F4598">
            <v>1900</v>
          </cell>
        </row>
        <row r="4599">
          <cell r="E4599" t="str">
            <v>LAKE PROVIDENCELAWEST MEMPHISAR</v>
          </cell>
          <cell r="F4599">
            <v>640</v>
          </cell>
        </row>
        <row r="4600">
          <cell r="E4600" t="str">
            <v>LAKE PROVIDENCELATUNICAMS</v>
          </cell>
          <cell r="F4600">
            <v>570</v>
          </cell>
        </row>
        <row r="4601">
          <cell r="E4601" t="str">
            <v>LAKE PROVIDENCELAGULFPORTMS</v>
          </cell>
          <cell r="F4601">
            <v>810</v>
          </cell>
        </row>
        <row r="4602">
          <cell r="E4602" t="str">
            <v>LAKE PROVIDENCELADREWMS</v>
          </cell>
          <cell r="F4602">
            <v>480</v>
          </cell>
        </row>
        <row r="4603">
          <cell r="E4603" t="str">
            <v>LAKE PROVIDENCELAINDIANOLAMS</v>
          </cell>
          <cell r="F4603">
            <v>440</v>
          </cell>
        </row>
        <row r="4604">
          <cell r="E4604" t="str">
            <v>LAKE PROVIDENCELAMONEYMS</v>
          </cell>
          <cell r="F4604">
            <v>500</v>
          </cell>
        </row>
        <row r="4605">
          <cell r="E4605" t="str">
            <v>LAKE PROVIDENCELAGREENWOODMS</v>
          </cell>
          <cell r="F4605">
            <v>480</v>
          </cell>
        </row>
        <row r="4606">
          <cell r="E4606" t="str">
            <v>LAKE PROVIDENCELATALLULAHLA</v>
          </cell>
          <cell r="F4606">
            <v>360</v>
          </cell>
        </row>
        <row r="4607">
          <cell r="E4607" t="str">
            <v>LAKE PROVIDENCELARAYVILLELA</v>
          </cell>
          <cell r="F4607">
            <v>420</v>
          </cell>
        </row>
        <row r="4608">
          <cell r="E4608" t="str">
            <v>LAKE PROVIDENCELACARTERSVILLEGA</v>
          </cell>
          <cell r="F4608">
            <v>1220</v>
          </cell>
        </row>
        <row r="4609">
          <cell r="E4609" t="str">
            <v>LAKE PROVIDENCELAMOBILEAL</v>
          </cell>
          <cell r="F4609">
            <v>770</v>
          </cell>
        </row>
        <row r="4610">
          <cell r="E4610" t="str">
            <v>LAKE PROVIDENCELANEW ORLEANSLA</v>
          </cell>
          <cell r="F4610">
            <v>770</v>
          </cell>
        </row>
        <row r="4611">
          <cell r="E4611" t="str">
            <v>LAKE PROVIDENCELABaytownTX</v>
          </cell>
          <cell r="F4611">
            <v>1194</v>
          </cell>
        </row>
        <row r="4612">
          <cell r="E4612" t="str">
            <v>LAKE PROVIDENCELAHoustonTX</v>
          </cell>
          <cell r="F4612">
            <v>1251</v>
          </cell>
        </row>
        <row r="4613">
          <cell r="E4613" t="str">
            <v>LAKE PROVIDENCELAWESLACOTX</v>
          </cell>
          <cell r="F4613">
            <v>1452</v>
          </cell>
        </row>
        <row r="4614">
          <cell r="E4614" t="str">
            <v>LAMESATXDallasTX</v>
          </cell>
          <cell r="F4614">
            <v>549</v>
          </cell>
        </row>
        <row r="4615">
          <cell r="E4615" t="str">
            <v>LAMESATXHoustonTX</v>
          </cell>
          <cell r="F4615">
            <v>1018</v>
          </cell>
        </row>
        <row r="4616">
          <cell r="E4616" t="str">
            <v>LAMESATXBaytownTX</v>
          </cell>
          <cell r="F4616">
            <v>1045</v>
          </cell>
        </row>
        <row r="4617">
          <cell r="E4617" t="str">
            <v>LAMESATXHASLETTX</v>
          </cell>
          <cell r="F4617">
            <v>1306</v>
          </cell>
        </row>
        <row r="4618">
          <cell r="E4618" t="str">
            <v>LAMESATXHOUSTONTX</v>
          </cell>
          <cell r="F4618">
            <v>2579</v>
          </cell>
        </row>
        <row r="4619">
          <cell r="E4619" t="str">
            <v>LAMESATXWILMERTX</v>
          </cell>
          <cell r="F4619">
            <v>1454</v>
          </cell>
        </row>
        <row r="4620">
          <cell r="E4620" t="str">
            <v>LAMESATXWYLIETX</v>
          </cell>
        </row>
        <row r="4621">
          <cell r="E4621" t="str">
            <v>LAMESATXWESLACOTX</v>
          </cell>
          <cell r="F4621">
            <v>1144</v>
          </cell>
        </row>
        <row r="4622">
          <cell r="E4622" t="str">
            <v>LaredoTXHoustonTX</v>
          </cell>
          <cell r="F4622">
            <v>1124</v>
          </cell>
        </row>
        <row r="4623">
          <cell r="E4623" t="str">
            <v>LaredoTXDallasTX</v>
          </cell>
          <cell r="F4623">
            <v>899</v>
          </cell>
        </row>
        <row r="4624">
          <cell r="E4624" t="str">
            <v>LaredoTXBaytownTX</v>
          </cell>
          <cell r="F4624">
            <v>1159</v>
          </cell>
        </row>
        <row r="4625">
          <cell r="E4625" t="str">
            <v>LAREDOTXHOUSTONTX</v>
          </cell>
          <cell r="F4625">
            <v>1579</v>
          </cell>
        </row>
        <row r="4626">
          <cell r="E4626" t="str">
            <v>LAREDOTXWESLACOTX</v>
          </cell>
          <cell r="F4626">
            <v>550</v>
          </cell>
        </row>
        <row r="4627">
          <cell r="E4627" t="str">
            <v>LEIGHTONALROCKFORDTN</v>
          </cell>
          <cell r="F4627">
            <v>760</v>
          </cell>
        </row>
        <row r="4628">
          <cell r="E4628" t="str">
            <v>LEIGHTONALGAINESVILLEGA</v>
          </cell>
          <cell r="F4628">
            <v>850</v>
          </cell>
        </row>
        <row r="4629">
          <cell r="E4629" t="str">
            <v>LEIGHTONALMINERAL SPRINGSNC</v>
          </cell>
          <cell r="F4629">
            <v>1340</v>
          </cell>
        </row>
        <row r="4630">
          <cell r="E4630" t="str">
            <v>LEIGHTONALTALLULAHLA</v>
          </cell>
          <cell r="F4630">
            <v>940</v>
          </cell>
        </row>
        <row r="4631">
          <cell r="E4631" t="str">
            <v>LEIGHTONALMONEYMS</v>
          </cell>
          <cell r="F4631">
            <v>680</v>
          </cell>
        </row>
        <row r="4632">
          <cell r="E4632" t="str">
            <v>LEIGHTONALCHARLOTTENC</v>
          </cell>
          <cell r="F4632">
            <v>1280</v>
          </cell>
        </row>
        <row r="4633">
          <cell r="E4633" t="str">
            <v>LEIGHTONALTHOMASVILLENC</v>
          </cell>
          <cell r="F4633">
            <v>1360</v>
          </cell>
        </row>
        <row r="4634">
          <cell r="E4634" t="str">
            <v>LEIGHTONALINDIAN LANDSC</v>
          </cell>
          <cell r="F4634">
            <v>1310</v>
          </cell>
        </row>
        <row r="4635">
          <cell r="E4635" t="str">
            <v>LEIGHTONALMOCKSVILLENC</v>
          </cell>
          <cell r="F4635">
            <v>1290</v>
          </cell>
        </row>
        <row r="4636">
          <cell r="E4636" t="str">
            <v>LEIGHTONALGREENWOODSC</v>
          </cell>
          <cell r="F4636">
            <v>1070</v>
          </cell>
        </row>
        <row r="4637">
          <cell r="E4637" t="str">
            <v>LEIGHTONALENOREESC</v>
          </cell>
          <cell r="F4637">
            <v>1140</v>
          </cell>
        </row>
        <row r="4638">
          <cell r="E4638" t="str">
            <v>LEIGHTONALGREERSC</v>
          </cell>
          <cell r="F4638">
            <v>1090</v>
          </cell>
        </row>
        <row r="4639">
          <cell r="E4639" t="str">
            <v>LEIGHTONALLOWELLNC</v>
          </cell>
          <cell r="F4639">
            <v>1250</v>
          </cell>
        </row>
        <row r="4640">
          <cell r="E4640" t="str">
            <v>LEIGHTONALRAYVILLELA</v>
          </cell>
          <cell r="F4640">
            <v>1020</v>
          </cell>
        </row>
        <row r="4641">
          <cell r="E4641" t="str">
            <v>LEIGHTONALBLYTHEVILLEAR</v>
          </cell>
          <cell r="F4641">
            <v>660</v>
          </cell>
        </row>
        <row r="4642">
          <cell r="E4642" t="str">
            <v>LEIGHTONALBELMONTNC</v>
          </cell>
          <cell r="F4642">
            <v>1250</v>
          </cell>
        </row>
        <row r="4643">
          <cell r="E4643" t="str">
            <v>LEIGHTONALSPARTANC</v>
          </cell>
          <cell r="F4643">
            <v>1250</v>
          </cell>
        </row>
        <row r="4644">
          <cell r="E4644" t="str">
            <v>LEIGHTONALNEW ORLEANSLA</v>
          </cell>
          <cell r="F4644">
            <v>1150</v>
          </cell>
        </row>
        <row r="4645">
          <cell r="E4645" t="str">
            <v>LEIGHTONALMAYODANNC</v>
          </cell>
          <cell r="F4645">
            <v>1410</v>
          </cell>
        </row>
        <row r="4646">
          <cell r="E4646" t="str">
            <v>LEIGHTONALMEMPHISTN</v>
          </cell>
          <cell r="F4646">
            <v>560</v>
          </cell>
        </row>
        <row r="4647">
          <cell r="E4647" t="str">
            <v>LEIGHTONALSANFORDNC</v>
          </cell>
          <cell r="F4647">
            <v>1520</v>
          </cell>
        </row>
        <row r="4648">
          <cell r="E4648" t="str">
            <v>LEIGHTONALSTONEVILLENC</v>
          </cell>
          <cell r="F4648">
            <v>1420</v>
          </cell>
        </row>
        <row r="4649">
          <cell r="E4649" t="str">
            <v>LEIGHTONALEDENTONNC</v>
          </cell>
          <cell r="F4649">
            <v>1880</v>
          </cell>
        </row>
        <row r="4650">
          <cell r="E4650" t="str">
            <v>LEIGHTONALJACKSONVILLEFL</v>
          </cell>
          <cell r="F4650">
            <v>1370</v>
          </cell>
        </row>
        <row r="4651">
          <cell r="E4651" t="str">
            <v>LEIGHTONALCENTREAL</v>
          </cell>
          <cell r="F4651">
            <v>530</v>
          </cell>
        </row>
        <row r="4652">
          <cell r="E4652" t="str">
            <v>LEIGHTONALROCKINGHAMNC</v>
          </cell>
          <cell r="F4652">
            <v>1450</v>
          </cell>
        </row>
        <row r="4653">
          <cell r="E4653" t="str">
            <v>LEIGHTONALKINSTONNC</v>
          </cell>
          <cell r="F4653">
            <v>1760</v>
          </cell>
        </row>
        <row r="4654">
          <cell r="E4654" t="str">
            <v>LEIGHTONALGASTONIANC</v>
          </cell>
          <cell r="F4654">
            <v>1230</v>
          </cell>
        </row>
        <row r="4655">
          <cell r="E4655" t="str">
            <v>LEIGHTONALWEST MEMPHISAR</v>
          </cell>
          <cell r="F4655">
            <v>570</v>
          </cell>
        </row>
        <row r="4656">
          <cell r="E4656" t="str">
            <v>LEIGHTONALMARIONAR</v>
          </cell>
          <cell r="F4656">
            <v>580</v>
          </cell>
        </row>
        <row r="4657">
          <cell r="E4657" t="str">
            <v>LEIGHTONALROSSVILLETN</v>
          </cell>
          <cell r="F4657">
            <v>530</v>
          </cell>
        </row>
        <row r="4658">
          <cell r="E4658" t="str">
            <v>LEIGHTONALGarden CityGA</v>
          </cell>
          <cell r="F4658">
            <v>1380</v>
          </cell>
        </row>
        <row r="4659">
          <cell r="E4659" t="str">
            <v>LEIGHTONALRINCONGA</v>
          </cell>
          <cell r="F4659">
            <v>1410</v>
          </cell>
        </row>
        <row r="4660">
          <cell r="E4660" t="str">
            <v>LEIGHTONALMCCALLAAL</v>
          </cell>
          <cell r="F4660">
            <v>530</v>
          </cell>
        </row>
        <row r="4661">
          <cell r="E4661" t="str">
            <v>LEIGHTONALTUNICAMS</v>
          </cell>
          <cell r="F4661">
            <v>600</v>
          </cell>
        </row>
        <row r="4662">
          <cell r="E4662" t="str">
            <v>LEIGHTONALPORT WENTWORTHGA</v>
          </cell>
          <cell r="F4662">
            <v>1390</v>
          </cell>
        </row>
        <row r="4663">
          <cell r="E4663" t="str">
            <v>LEIGHTONALGULFPORTMS</v>
          </cell>
          <cell r="F4663">
            <v>1170</v>
          </cell>
        </row>
        <row r="4664">
          <cell r="E4664" t="str">
            <v>LEIGHTONALDAWSONGA</v>
          </cell>
          <cell r="F4664">
            <v>870</v>
          </cell>
        </row>
        <row r="4665">
          <cell r="E4665" t="str">
            <v>LEIGHTONALSHELBYNC</v>
          </cell>
          <cell r="F4665">
            <v>1180</v>
          </cell>
        </row>
        <row r="4666">
          <cell r="E4666" t="str">
            <v>LEIGHTONALGAFFNEYSC</v>
          </cell>
          <cell r="F4666">
            <v>1160</v>
          </cell>
        </row>
        <row r="4667">
          <cell r="E4667" t="str">
            <v>LEIGHTONALHICKORYNC</v>
          </cell>
          <cell r="F4667">
            <v>1180</v>
          </cell>
        </row>
        <row r="4668">
          <cell r="E4668" t="str">
            <v>LEIGHTONALINDIANOLAMS</v>
          </cell>
          <cell r="F4668">
            <v>760</v>
          </cell>
        </row>
        <row r="4669">
          <cell r="E4669" t="str">
            <v>LEIGHTONALGREENWOODMS</v>
          </cell>
          <cell r="F4669">
            <v>700</v>
          </cell>
        </row>
        <row r="4670">
          <cell r="E4670" t="str">
            <v>LEIGHTONALMOBILEAL</v>
          </cell>
          <cell r="F4670">
            <v>970</v>
          </cell>
        </row>
        <row r="4671">
          <cell r="E4671" t="str">
            <v>LEIGHTONALSALISBURYNC</v>
          </cell>
          <cell r="F4671">
            <v>1300</v>
          </cell>
        </row>
        <row r="4672">
          <cell r="E4672" t="str">
            <v>LEIGHTONALCARTERSVILLEGA</v>
          </cell>
          <cell r="F4672">
            <v>630</v>
          </cell>
        </row>
        <row r="4673">
          <cell r="E4673" t="str">
            <v>LEIGHTONALCLARKTONNC</v>
          </cell>
          <cell r="F4673">
            <v>1580</v>
          </cell>
        </row>
        <row r="4674">
          <cell r="E4674" t="str">
            <v>LEIGHTONALRABUN GAPGA</v>
          </cell>
          <cell r="F4674">
            <v>890</v>
          </cell>
        </row>
        <row r="4675">
          <cell r="E4675" t="str">
            <v>LEIGHTONALECLECTICAL</v>
          </cell>
          <cell r="F4675">
            <v>640</v>
          </cell>
        </row>
        <row r="4676">
          <cell r="E4676" t="str">
            <v>LEIGHTONALLEXINGTONNC</v>
          </cell>
          <cell r="F4676">
            <v>1330</v>
          </cell>
        </row>
        <row r="4677">
          <cell r="E4677" t="str">
            <v>LEIGHTONALNORFOLKVA</v>
          </cell>
          <cell r="F4677">
            <v>1930</v>
          </cell>
        </row>
        <row r="4678">
          <cell r="E4678" t="str">
            <v>LEIGHTONALDREWMS</v>
          </cell>
          <cell r="F4678">
            <v>670</v>
          </cell>
        </row>
        <row r="4679">
          <cell r="E4679" t="str">
            <v>LEIGHTONALPORTSMOUTHVA</v>
          </cell>
          <cell r="F4679">
            <v>1920</v>
          </cell>
        </row>
        <row r="4680">
          <cell r="E4680" t="str">
            <v>LEIGHTONALLUMBERTONNC</v>
          </cell>
          <cell r="F4680">
            <v>1530</v>
          </cell>
        </row>
        <row r="4681">
          <cell r="E4681" t="str">
            <v>LEIGHTONALGRIFTONNC</v>
          </cell>
          <cell r="F4681">
            <v>1900</v>
          </cell>
        </row>
        <row r="4682">
          <cell r="E4682" t="str">
            <v>LEIGHTONALERWINNC</v>
          </cell>
          <cell r="F4682">
            <v>1600</v>
          </cell>
        </row>
        <row r="4683">
          <cell r="E4683" t="str">
            <v>LENOXGAROCKFORDTN</v>
          </cell>
          <cell r="F4683">
            <v>1090</v>
          </cell>
        </row>
        <row r="4684">
          <cell r="E4684" t="str">
            <v>LENOXGAENOREESC</v>
          </cell>
          <cell r="F4684">
            <v>850</v>
          </cell>
        </row>
        <row r="4685">
          <cell r="E4685" t="str">
            <v>LENOXGACLARKTONNC</v>
          </cell>
          <cell r="F4685">
            <v>1140</v>
          </cell>
        </row>
        <row r="4686">
          <cell r="E4686" t="str">
            <v>LENOXGAERWINNC</v>
          </cell>
          <cell r="F4686">
            <v>1220</v>
          </cell>
        </row>
        <row r="4687">
          <cell r="E4687" t="str">
            <v>LENOXGAGAINESVILLEGA</v>
          </cell>
          <cell r="F4687">
            <v>700</v>
          </cell>
        </row>
        <row r="4688">
          <cell r="E4688" t="str">
            <v>LENOXGASALISBURYNC</v>
          </cell>
          <cell r="F4688">
            <v>1150</v>
          </cell>
        </row>
        <row r="4689">
          <cell r="E4689" t="str">
            <v>LENOXGANEW ORLEANSLA</v>
          </cell>
          <cell r="F4689">
            <v>1200</v>
          </cell>
        </row>
        <row r="4690">
          <cell r="E4690" t="str">
            <v>LENOXGAMEMPHISTN</v>
          </cell>
          <cell r="F4690">
            <v>1310</v>
          </cell>
        </row>
        <row r="4691">
          <cell r="E4691" t="str">
            <v>LENOXGANORFOLKVA</v>
          </cell>
          <cell r="F4691">
            <v>1670</v>
          </cell>
        </row>
        <row r="4692">
          <cell r="E4692" t="str">
            <v>LENOXGAGREERSC</v>
          </cell>
          <cell r="F4692">
            <v>930</v>
          </cell>
        </row>
        <row r="4693">
          <cell r="E4693" t="str">
            <v>LENOXGACHARLOTTENC</v>
          </cell>
          <cell r="F4693">
            <v>1060</v>
          </cell>
        </row>
        <row r="4694">
          <cell r="E4694" t="str">
            <v>LENOXGATUNICAMS</v>
          </cell>
          <cell r="F4694">
            <v>1340</v>
          </cell>
        </row>
        <row r="4695">
          <cell r="E4695" t="str">
            <v>LENOXGAGAFFNEYSC</v>
          </cell>
          <cell r="F4695">
            <v>1010</v>
          </cell>
        </row>
        <row r="4696">
          <cell r="E4696" t="str">
            <v>LENOXGALEXINGTONNC</v>
          </cell>
          <cell r="F4696">
            <v>1190</v>
          </cell>
        </row>
        <row r="4697">
          <cell r="E4697" t="str">
            <v>LENOXGALOWELLNC</v>
          </cell>
          <cell r="F4697">
            <v>1090</v>
          </cell>
        </row>
        <row r="4698">
          <cell r="E4698" t="str">
            <v>LENOXGALUMBERTONNC</v>
          </cell>
          <cell r="F4698">
            <v>1090</v>
          </cell>
        </row>
        <row r="4699">
          <cell r="E4699" t="str">
            <v>LENOXGAMINERAL SPRINGSNC</v>
          </cell>
          <cell r="F4699">
            <v>1040</v>
          </cell>
        </row>
        <row r="4700">
          <cell r="E4700" t="str">
            <v>LENOXGAMOBILEAL</v>
          </cell>
          <cell r="F4700">
            <v>880</v>
          </cell>
        </row>
        <row r="4701">
          <cell r="E4701" t="str">
            <v>LENOXGAGREENWOODMS</v>
          </cell>
          <cell r="F4701">
            <v>1260</v>
          </cell>
        </row>
        <row r="4702">
          <cell r="E4702" t="str">
            <v>LENOXGATALLULAHLA</v>
          </cell>
          <cell r="F4702">
            <v>1350</v>
          </cell>
        </row>
        <row r="4703">
          <cell r="E4703" t="str">
            <v>LENOXGAMARIONAR</v>
          </cell>
          <cell r="F4703">
            <v>1330</v>
          </cell>
        </row>
        <row r="4704">
          <cell r="E4704" t="str">
            <v>LENOXGABELMONTNC</v>
          </cell>
          <cell r="F4704">
            <v>1100</v>
          </cell>
        </row>
        <row r="4705">
          <cell r="E4705" t="str">
            <v>LENOXGAGASTONIANC</v>
          </cell>
          <cell r="F4705">
            <v>1080</v>
          </cell>
        </row>
        <row r="4706">
          <cell r="E4706" t="str">
            <v>LENOXGASPARTANC</v>
          </cell>
          <cell r="F4706">
            <v>1290</v>
          </cell>
        </row>
        <row r="4707">
          <cell r="E4707" t="str">
            <v>LENOXGAWEST MEMPHISAR</v>
          </cell>
          <cell r="F4707">
            <v>1320</v>
          </cell>
        </row>
        <row r="4708">
          <cell r="E4708" t="str">
            <v>LENOXGAMONEYMS</v>
          </cell>
          <cell r="F4708">
            <v>1300</v>
          </cell>
        </row>
        <row r="4709">
          <cell r="E4709" t="str">
            <v>LENOXGAKINSTONNC</v>
          </cell>
          <cell r="F4709">
            <v>1380</v>
          </cell>
        </row>
        <row r="4710">
          <cell r="E4710" t="str">
            <v>LENOXGAROCKINGHAMNC</v>
          </cell>
          <cell r="F4710">
            <v>1100</v>
          </cell>
        </row>
        <row r="4711">
          <cell r="E4711" t="str">
            <v>LENOXGAEDENTONNC</v>
          </cell>
          <cell r="F4711">
            <v>1560</v>
          </cell>
        </row>
        <row r="4712">
          <cell r="E4712" t="str">
            <v>LENOXGAMCCALLAAL</v>
          </cell>
          <cell r="F4712">
            <v>820</v>
          </cell>
        </row>
        <row r="4713">
          <cell r="E4713" t="str">
            <v>LENOXGASHELBYNC</v>
          </cell>
          <cell r="F4713">
            <v>1050</v>
          </cell>
        </row>
        <row r="4714">
          <cell r="E4714" t="str">
            <v>LENOXGAMAYODANNC</v>
          </cell>
          <cell r="F4714">
            <v>1300</v>
          </cell>
        </row>
        <row r="4715">
          <cell r="E4715" t="str">
            <v>LENOXGAHICKORYNC</v>
          </cell>
          <cell r="F4715">
            <v>1150</v>
          </cell>
        </row>
        <row r="4716">
          <cell r="E4716" t="str">
            <v>LENOXGAPORTSMOUTHVA</v>
          </cell>
          <cell r="F4716">
            <v>1640</v>
          </cell>
        </row>
        <row r="4717">
          <cell r="E4717" t="str">
            <v>LENOXGASTONEVILLENC</v>
          </cell>
          <cell r="F4717">
            <v>1310</v>
          </cell>
        </row>
        <row r="4718">
          <cell r="E4718" t="str">
            <v>LENOXGACENTREAL</v>
          </cell>
          <cell r="F4718">
            <v>780</v>
          </cell>
        </row>
        <row r="4719">
          <cell r="E4719" t="str">
            <v>LENOXGAINDIAN LANDSC</v>
          </cell>
          <cell r="F4719">
            <v>1030</v>
          </cell>
        </row>
        <row r="4720">
          <cell r="E4720" t="str">
            <v>LENOXGAGREENWOODSC</v>
          </cell>
          <cell r="F4720">
            <v>750</v>
          </cell>
        </row>
        <row r="4721">
          <cell r="E4721" t="str">
            <v>LENOXGATHOMASVILLENC</v>
          </cell>
          <cell r="F4721">
            <v>1210</v>
          </cell>
        </row>
        <row r="4722">
          <cell r="E4722" t="str">
            <v>LENOXGAROSSVILLETN</v>
          </cell>
          <cell r="F4722">
            <v>1290</v>
          </cell>
        </row>
        <row r="4723">
          <cell r="E4723" t="str">
            <v>LENOXGADREWMS</v>
          </cell>
          <cell r="F4723">
            <v>1340</v>
          </cell>
        </row>
        <row r="4724">
          <cell r="E4724" t="str">
            <v>LENOXGACARTERSVILLEGA</v>
          </cell>
          <cell r="F4724">
            <v>700</v>
          </cell>
        </row>
        <row r="4725">
          <cell r="E4725" t="str">
            <v>LENOXGAMOCKSVILLENC</v>
          </cell>
          <cell r="F4725">
            <v>1190</v>
          </cell>
        </row>
        <row r="4726">
          <cell r="E4726" t="str">
            <v>LENOXGAINDIANOLAMS</v>
          </cell>
          <cell r="F4726">
            <v>1320</v>
          </cell>
        </row>
        <row r="4727">
          <cell r="E4727" t="str">
            <v>LENOXGASANFORDNC</v>
          </cell>
          <cell r="F4727">
            <v>1220</v>
          </cell>
        </row>
        <row r="4728">
          <cell r="E4728" t="str">
            <v>LENOXGARAYVILLELA</v>
          </cell>
          <cell r="F4728">
            <v>1420</v>
          </cell>
        </row>
        <row r="4729">
          <cell r="E4729" t="str">
            <v>LENOXGABLYTHEVILLEAR</v>
          </cell>
          <cell r="F4729">
            <v>1450</v>
          </cell>
        </row>
        <row r="4730">
          <cell r="E4730" t="str">
            <v>LENOXGARABUN GAPGA</v>
          </cell>
          <cell r="F4730">
            <v>880</v>
          </cell>
        </row>
        <row r="4731">
          <cell r="E4731" t="str">
            <v>LENOXGAGRIFTONNC</v>
          </cell>
          <cell r="F4731">
            <v>1500</v>
          </cell>
        </row>
        <row r="4732">
          <cell r="E4732" t="str">
            <v>LENOXGADAWSONGA</v>
          </cell>
          <cell r="F4732">
            <v>440</v>
          </cell>
        </row>
        <row r="4733">
          <cell r="E4733" t="str">
            <v>LENOXGAGULFPORTMS</v>
          </cell>
          <cell r="F4733">
            <v>1150</v>
          </cell>
        </row>
        <row r="4734">
          <cell r="E4734" t="str">
            <v>LENOXGARINCONGA</v>
          </cell>
          <cell r="F4734">
            <v>740</v>
          </cell>
        </row>
        <row r="4735">
          <cell r="E4735" t="str">
            <v>LENOXGAPORT WENTWORTHGA</v>
          </cell>
          <cell r="F4735">
            <v>730</v>
          </cell>
        </row>
        <row r="4736">
          <cell r="E4736" t="str">
            <v>LENOXGAGarden CityGA</v>
          </cell>
          <cell r="F4736">
            <v>720</v>
          </cell>
        </row>
        <row r="4737">
          <cell r="E4737" t="str">
            <v>LENOXGAJACKSONVILLEFL</v>
          </cell>
          <cell r="F4737">
            <v>560</v>
          </cell>
        </row>
        <row r="4738">
          <cell r="E4738" t="str">
            <v>LENOXGAECLECTICAL</v>
          </cell>
          <cell r="F4738">
            <v>670</v>
          </cell>
        </row>
        <row r="4739">
          <cell r="E4739" t="str">
            <v>LEVELLANDTXDallasTX</v>
          </cell>
          <cell r="F4739">
            <v>574</v>
          </cell>
        </row>
        <row r="4740">
          <cell r="E4740" t="str">
            <v>LEVELLANDTXHoustonTX</v>
          </cell>
          <cell r="F4740">
            <v>1091</v>
          </cell>
        </row>
        <row r="4741">
          <cell r="E4741" t="str">
            <v>LEVELLANDTXBaytownTX</v>
          </cell>
          <cell r="F4741">
            <v>1119</v>
          </cell>
        </row>
        <row r="4742">
          <cell r="E4742" t="str">
            <v>LEVELLANDTXHASLETTX</v>
          </cell>
          <cell r="F4742">
            <v>1559</v>
          </cell>
        </row>
        <row r="4743">
          <cell r="E4743" t="str">
            <v>LEVELLANDTXHOUSTONTX</v>
          </cell>
          <cell r="F4743">
            <v>2820</v>
          </cell>
        </row>
        <row r="4744">
          <cell r="E4744" t="str">
            <v>LEVELLANDTXWILMERTX</v>
          </cell>
          <cell r="F4744">
            <v>1562</v>
          </cell>
        </row>
        <row r="4745">
          <cell r="E4745" t="str">
            <v>LEVELLANDTXWYLIETX</v>
          </cell>
        </row>
        <row r="4746">
          <cell r="E4746" t="str">
            <v>LEVELLANDTXWESLACOTX</v>
          </cell>
          <cell r="F4746">
            <v>1289</v>
          </cell>
        </row>
        <row r="4747">
          <cell r="E4747" t="str">
            <v>LIBERALKSDallasTX</v>
          </cell>
          <cell r="F4747">
            <v>860</v>
          </cell>
        </row>
        <row r="4748">
          <cell r="E4748" t="str">
            <v>LIBERALKSHoustonTX</v>
          </cell>
          <cell r="F4748">
            <v>1716</v>
          </cell>
        </row>
        <row r="4749">
          <cell r="E4749" t="str">
            <v>LIBERALKSBaytownTX</v>
          </cell>
          <cell r="F4749">
            <v>1830</v>
          </cell>
        </row>
        <row r="4750">
          <cell r="E4750" t="str">
            <v>LIBERALKSHASLETTX</v>
          </cell>
          <cell r="F4750">
            <v>1897</v>
          </cell>
        </row>
        <row r="4751">
          <cell r="E4751" t="str">
            <v>LIBERALKSWILMERTX</v>
          </cell>
          <cell r="F4751">
            <v>1959</v>
          </cell>
        </row>
        <row r="4752">
          <cell r="E4752" t="str">
            <v>LIBERALKSWYLIETX</v>
          </cell>
        </row>
        <row r="4753">
          <cell r="E4753" t="str">
            <v>LIBERALKSWESLACOTX</v>
          </cell>
          <cell r="F4753">
            <v>1695</v>
          </cell>
        </row>
        <row r="4754">
          <cell r="E4754" t="str">
            <v>LILLYGAROCKFORDTN</v>
          </cell>
          <cell r="F4754">
            <v>960</v>
          </cell>
        </row>
        <row r="4755">
          <cell r="E4755" t="str">
            <v>LILLYGASTONEVILLENC</v>
          </cell>
          <cell r="F4755">
            <v>1180</v>
          </cell>
        </row>
        <row r="4756">
          <cell r="E4756" t="str">
            <v>LILLYGATHOMASVILLENC</v>
          </cell>
          <cell r="F4756">
            <v>1080</v>
          </cell>
        </row>
        <row r="4757">
          <cell r="E4757" t="str">
            <v>LILLYGAMOCKSVILLENC</v>
          </cell>
          <cell r="F4757">
            <v>1060</v>
          </cell>
        </row>
        <row r="4758">
          <cell r="E4758" t="str">
            <v>LILLYGATUNICAMS</v>
          </cell>
          <cell r="F4758">
            <v>1230</v>
          </cell>
        </row>
        <row r="4759">
          <cell r="E4759" t="str">
            <v>LILLYGANORFOLKVA</v>
          </cell>
          <cell r="F4759">
            <v>1600</v>
          </cell>
        </row>
        <row r="4760">
          <cell r="E4760" t="str">
            <v>LILLYGAWEST MEMPHISAR</v>
          </cell>
          <cell r="F4760">
            <v>1210</v>
          </cell>
        </row>
        <row r="4761">
          <cell r="E4761" t="str">
            <v>LILLYGAGREENWOODMS</v>
          </cell>
          <cell r="F4761">
            <v>1150</v>
          </cell>
        </row>
        <row r="4762">
          <cell r="E4762" t="str">
            <v>LILLYGATALLULAHLA</v>
          </cell>
          <cell r="F4762">
            <v>1240</v>
          </cell>
        </row>
        <row r="4763">
          <cell r="E4763" t="str">
            <v>LILLYGAMARIONAR</v>
          </cell>
          <cell r="F4763">
            <v>1220</v>
          </cell>
        </row>
        <row r="4764">
          <cell r="E4764" t="str">
            <v>LILLYGAMONEYMS</v>
          </cell>
          <cell r="F4764">
            <v>1190</v>
          </cell>
        </row>
        <row r="4765">
          <cell r="E4765" t="str">
            <v>LILLYGASALISBURYNC</v>
          </cell>
          <cell r="F4765">
            <v>1020</v>
          </cell>
        </row>
        <row r="4766">
          <cell r="E4766" t="str">
            <v>LILLYGADREWMS</v>
          </cell>
          <cell r="F4766">
            <v>1240</v>
          </cell>
        </row>
        <row r="4767">
          <cell r="E4767" t="str">
            <v>LILLYGAMCCALLAAL</v>
          </cell>
          <cell r="F4767">
            <v>710</v>
          </cell>
        </row>
        <row r="4768">
          <cell r="E4768" t="str">
            <v>LILLYGAKINSTONNC</v>
          </cell>
          <cell r="F4768">
            <v>1310</v>
          </cell>
        </row>
        <row r="4769">
          <cell r="E4769" t="str">
            <v>LILLYGACHARLOTTENC</v>
          </cell>
          <cell r="F4769">
            <v>930</v>
          </cell>
        </row>
        <row r="4770">
          <cell r="E4770" t="str">
            <v>LILLYGALEXINGTONNC</v>
          </cell>
          <cell r="F4770">
            <v>1060</v>
          </cell>
        </row>
        <row r="4771">
          <cell r="E4771" t="str">
            <v>LILLYGALOWELLNC</v>
          </cell>
          <cell r="F4771">
            <v>960</v>
          </cell>
        </row>
        <row r="4772">
          <cell r="E4772" t="str">
            <v>LILLYGAROSSVILLETN</v>
          </cell>
          <cell r="F4772">
            <v>1190</v>
          </cell>
        </row>
        <row r="4773">
          <cell r="E4773" t="str">
            <v>LILLYGARAYVILLELA</v>
          </cell>
          <cell r="F4773">
            <v>1320</v>
          </cell>
        </row>
        <row r="4774">
          <cell r="E4774" t="str">
            <v>LILLYGAMINERAL SPRINGSNC</v>
          </cell>
          <cell r="F4774">
            <v>910</v>
          </cell>
        </row>
        <row r="4775">
          <cell r="E4775" t="str">
            <v>LILLYGAPORTSMOUTHVA</v>
          </cell>
          <cell r="F4775">
            <v>1580</v>
          </cell>
        </row>
        <row r="4776">
          <cell r="E4776" t="str">
            <v>LILLYGABLYTHEVILLEAR</v>
          </cell>
          <cell r="F4776">
            <v>1350</v>
          </cell>
        </row>
        <row r="4777">
          <cell r="E4777" t="str">
            <v>LILLYGABELMONTNC</v>
          </cell>
          <cell r="F4777">
            <v>970</v>
          </cell>
        </row>
        <row r="4778">
          <cell r="E4778" t="str">
            <v>LILLYGANEW ORLEANSLA</v>
          </cell>
          <cell r="F4778">
            <v>1240</v>
          </cell>
        </row>
        <row r="4779">
          <cell r="E4779" t="str">
            <v>LILLYGAINDIANOLAMS</v>
          </cell>
          <cell r="F4779">
            <v>1220</v>
          </cell>
        </row>
        <row r="4780">
          <cell r="E4780" t="str">
            <v>LILLYGAGASTONIANC</v>
          </cell>
          <cell r="F4780">
            <v>950</v>
          </cell>
        </row>
        <row r="4781">
          <cell r="E4781" t="str">
            <v>LILLYGAEDENTONNC</v>
          </cell>
          <cell r="F4781">
            <v>1480</v>
          </cell>
        </row>
        <row r="4782">
          <cell r="E4782" t="str">
            <v>LILLYGASANFORDNC</v>
          </cell>
          <cell r="F4782">
            <v>1080</v>
          </cell>
        </row>
        <row r="4783">
          <cell r="E4783" t="str">
            <v>LILLYGAECLECTICAL</v>
          </cell>
          <cell r="F4783">
            <v>590</v>
          </cell>
        </row>
        <row r="4784">
          <cell r="E4784" t="str">
            <v>LILLYGAMOBILEAL</v>
          </cell>
          <cell r="F4784">
            <v>920</v>
          </cell>
        </row>
        <row r="4785">
          <cell r="E4785" t="str">
            <v>LILLYGASHELBYNC</v>
          </cell>
          <cell r="F4785">
            <v>910</v>
          </cell>
        </row>
        <row r="4786">
          <cell r="E4786" t="str">
            <v>LILLYGAMAYODANNC</v>
          </cell>
          <cell r="F4786">
            <v>1170</v>
          </cell>
        </row>
        <row r="4787">
          <cell r="E4787" t="str">
            <v>LILLYGAHICKORYNC</v>
          </cell>
          <cell r="F4787">
            <v>1020</v>
          </cell>
        </row>
        <row r="4788">
          <cell r="E4788" t="str">
            <v>LILLYGAMEMPHISTN</v>
          </cell>
          <cell r="F4788">
            <v>1200</v>
          </cell>
        </row>
        <row r="4789">
          <cell r="E4789" t="str">
            <v>LILLYGAGULFPORTMS</v>
          </cell>
          <cell r="F4789">
            <v>1190</v>
          </cell>
        </row>
        <row r="4790">
          <cell r="E4790" t="str">
            <v>LILLYGADAWSONGA</v>
          </cell>
          <cell r="F4790">
            <v>420</v>
          </cell>
        </row>
        <row r="4791">
          <cell r="E4791" t="str">
            <v>LILLYGAPORT WENTWORTHGA</v>
          </cell>
          <cell r="F4791">
            <v>720</v>
          </cell>
        </row>
        <row r="4792">
          <cell r="E4792" t="str">
            <v>LILLYGARINCONGA</v>
          </cell>
          <cell r="F4792">
            <v>730</v>
          </cell>
        </row>
        <row r="4793">
          <cell r="E4793" t="str">
            <v>LILLYGAGarden CityGA</v>
          </cell>
          <cell r="F4793">
            <v>700</v>
          </cell>
        </row>
        <row r="4794">
          <cell r="E4794" t="str">
            <v>LILLYGAENOREESC</v>
          </cell>
          <cell r="F4794">
            <v>720</v>
          </cell>
        </row>
        <row r="4795">
          <cell r="E4795" t="str">
            <v>LILLYGAROCKINGHAMNC</v>
          </cell>
          <cell r="F4795">
            <v>960</v>
          </cell>
        </row>
        <row r="4796">
          <cell r="E4796" t="str">
            <v>LILLYGASPARTANC</v>
          </cell>
          <cell r="F4796">
            <v>1150</v>
          </cell>
        </row>
        <row r="4797">
          <cell r="E4797" t="str">
            <v>LILLYGACENTREAL</v>
          </cell>
          <cell r="F4797">
            <v>670</v>
          </cell>
        </row>
        <row r="4798">
          <cell r="E4798" t="str">
            <v>LILLYGAGREENWOODSC</v>
          </cell>
          <cell r="F4798">
            <v>650</v>
          </cell>
        </row>
        <row r="4799">
          <cell r="E4799" t="str">
            <v>LILLYGAINDIAN LANDSC</v>
          </cell>
          <cell r="F4799">
            <v>900</v>
          </cell>
        </row>
        <row r="4800">
          <cell r="E4800" t="str">
            <v>LILLYGAGRIFTONNC</v>
          </cell>
          <cell r="F4800">
            <v>1440</v>
          </cell>
        </row>
        <row r="4801">
          <cell r="E4801" t="str">
            <v>LILLYGALUMBERTONNC</v>
          </cell>
          <cell r="F4801">
            <v>1020</v>
          </cell>
        </row>
        <row r="4802">
          <cell r="E4802" t="str">
            <v>LILLYGAGAINESVILLEGA</v>
          </cell>
          <cell r="F4802">
            <v>610</v>
          </cell>
        </row>
        <row r="4803">
          <cell r="E4803" t="str">
            <v>LILLYGACARTERSVILLEGA</v>
          </cell>
          <cell r="F4803">
            <v>610</v>
          </cell>
        </row>
        <row r="4804">
          <cell r="E4804" t="str">
            <v>LILLYGAERWINNC</v>
          </cell>
          <cell r="F4804">
            <v>1150</v>
          </cell>
        </row>
        <row r="4805">
          <cell r="E4805" t="str">
            <v>LILLYGACLARKTONNC</v>
          </cell>
          <cell r="F4805">
            <v>1070</v>
          </cell>
        </row>
        <row r="4806">
          <cell r="E4806" t="str">
            <v>LILLYGAGREERSC</v>
          </cell>
          <cell r="F4806">
            <v>800</v>
          </cell>
        </row>
        <row r="4807">
          <cell r="E4807" t="str">
            <v>LILLYGAGAFFNEYSC</v>
          </cell>
          <cell r="F4807">
            <v>880</v>
          </cell>
        </row>
        <row r="4808">
          <cell r="E4808" t="str">
            <v>LILLYGAJACKSONVILLEFL</v>
          </cell>
          <cell r="F4808">
            <v>670</v>
          </cell>
        </row>
        <row r="4809">
          <cell r="E4809" t="str">
            <v>LILLYGARABUN GAPGA</v>
          </cell>
          <cell r="F4809">
            <v>740</v>
          </cell>
        </row>
        <row r="4810">
          <cell r="E4810" t="str">
            <v>LOCKNEYTXBaytownTX</v>
          </cell>
          <cell r="F4810">
            <v>1001</v>
          </cell>
        </row>
        <row r="4811">
          <cell r="E4811" t="str">
            <v>LOCKNEYTXDallasTX</v>
          </cell>
          <cell r="F4811">
            <v>599</v>
          </cell>
        </row>
        <row r="4812">
          <cell r="E4812" t="str">
            <v>LOCKNEYTXHoustonTX</v>
          </cell>
          <cell r="F4812">
            <v>974</v>
          </cell>
        </row>
        <row r="4813">
          <cell r="E4813" t="str">
            <v>LOCKNEYTXHASLETTX</v>
          </cell>
          <cell r="F4813">
            <v>1210</v>
          </cell>
        </row>
        <row r="4814">
          <cell r="E4814" t="str">
            <v>LOCKNEYTXHOUSTONTX</v>
          </cell>
          <cell r="F4814">
            <v>2809</v>
          </cell>
        </row>
        <row r="4815">
          <cell r="E4815" t="str">
            <v>LOCKNEYTXWILMERTX</v>
          </cell>
          <cell r="F4815">
            <v>1344</v>
          </cell>
        </row>
        <row r="4816">
          <cell r="E4816" t="str">
            <v>LOCKNEYTXWYLIETX</v>
          </cell>
        </row>
        <row r="4817">
          <cell r="E4817" t="str">
            <v>LOCKNEYTXWESLACOTX</v>
          </cell>
          <cell r="F4817">
            <v>1286</v>
          </cell>
        </row>
        <row r="4818">
          <cell r="E4818" t="str">
            <v>LOVINGTONNMGRAND PRAIRIETX</v>
          </cell>
        </row>
        <row r="4819">
          <cell r="E4819" t="str">
            <v>LOVINGTONNMDallasTX</v>
          </cell>
        </row>
        <row r="4820">
          <cell r="E4820" t="str">
            <v>LUBBOCKTXDallasTX</v>
          </cell>
          <cell r="F4820">
            <v>694</v>
          </cell>
        </row>
        <row r="4821">
          <cell r="E4821" t="str">
            <v>LUBBOCKTXHoustonTX</v>
          </cell>
          <cell r="F4821">
            <v>986</v>
          </cell>
        </row>
        <row r="4822">
          <cell r="E4822" t="str">
            <v>LUBBOCKTXBaytownTX</v>
          </cell>
          <cell r="F4822">
            <v>1013</v>
          </cell>
        </row>
        <row r="4823">
          <cell r="E4823" t="str">
            <v>LUBBOCKTXHASLETTX</v>
          </cell>
          <cell r="F4823">
            <v>1230</v>
          </cell>
        </row>
        <row r="4824">
          <cell r="E4824" t="str">
            <v>LUBBOCKTXHOUSTONTX</v>
          </cell>
          <cell r="F4824">
            <v>2675</v>
          </cell>
        </row>
        <row r="4825">
          <cell r="E4825" t="str">
            <v>LUBBOCKTXWILMERTX</v>
          </cell>
          <cell r="F4825">
            <v>1379</v>
          </cell>
        </row>
        <row r="4826">
          <cell r="E4826" t="str">
            <v>LUBBOCKTXWYLIETX</v>
          </cell>
        </row>
        <row r="4827">
          <cell r="E4827" t="str">
            <v>LUBBOCKTXWESLACOTX</v>
          </cell>
          <cell r="F4827">
            <v>1233</v>
          </cell>
        </row>
        <row r="4828">
          <cell r="E4828" t="str">
            <v>LYNCHBURGSCROCKFORDTN</v>
          </cell>
          <cell r="F4828">
            <v>910</v>
          </cell>
        </row>
        <row r="4829">
          <cell r="E4829" t="str">
            <v>LYNCHBURGSCGAINESVILLEGA</v>
          </cell>
          <cell r="F4829">
            <v>740</v>
          </cell>
        </row>
        <row r="4830">
          <cell r="E4830" t="str">
            <v>LYNCHBURGSCDAWSONGA</v>
          </cell>
          <cell r="F4830">
            <v>1000</v>
          </cell>
        </row>
        <row r="4831">
          <cell r="E4831" t="str">
            <v>LYNCHBURGSCBLYTHEVILLEAR</v>
          </cell>
          <cell r="F4831">
            <v>1780</v>
          </cell>
        </row>
        <row r="4832">
          <cell r="E4832" t="str">
            <v>LYNCHBURGSCGREENWOODMS</v>
          </cell>
          <cell r="F4832">
            <v>1620</v>
          </cell>
        </row>
        <row r="4833">
          <cell r="E4833" t="str">
            <v>LYNCHBURGSCMAYODANNC</v>
          </cell>
          <cell r="F4833">
            <v>630</v>
          </cell>
        </row>
        <row r="4834">
          <cell r="E4834" t="str">
            <v>LYNCHBURGSCROSSVILLETN</v>
          </cell>
          <cell r="F4834">
            <v>1650</v>
          </cell>
        </row>
        <row r="4835">
          <cell r="E4835" t="str">
            <v>LYNCHBURGSCTALLULAHLA</v>
          </cell>
          <cell r="F4835">
            <v>1790</v>
          </cell>
        </row>
        <row r="4836">
          <cell r="E4836" t="str">
            <v>LYNCHBURGSCCARTERSVILLEGA</v>
          </cell>
          <cell r="F4836">
            <v>890</v>
          </cell>
        </row>
        <row r="4837">
          <cell r="E4837" t="str">
            <v>LYNCHBURGSCMONEYMS</v>
          </cell>
          <cell r="F4837">
            <v>1660</v>
          </cell>
        </row>
        <row r="4838">
          <cell r="E4838" t="str">
            <v>LYNCHBURGSCTUNICAMS</v>
          </cell>
          <cell r="F4838">
            <v>1690</v>
          </cell>
        </row>
        <row r="4839">
          <cell r="E4839" t="str">
            <v>LYNCHBURGSCMCCALLAAL</v>
          </cell>
          <cell r="F4839">
            <v>1170</v>
          </cell>
        </row>
        <row r="4840">
          <cell r="E4840" t="str">
            <v>LYNCHBURGSCWEST MEMPHISAR</v>
          </cell>
          <cell r="F4840">
            <v>1660</v>
          </cell>
        </row>
        <row r="4841">
          <cell r="E4841" t="str">
            <v>LYNCHBURGSCCENTREAL</v>
          </cell>
          <cell r="F4841">
            <v>1000</v>
          </cell>
        </row>
        <row r="4842">
          <cell r="E4842" t="str">
            <v>LYNCHBURGSCNORFOLKVA</v>
          </cell>
          <cell r="F4842">
            <v>900</v>
          </cell>
        </row>
        <row r="4843">
          <cell r="E4843" t="str">
            <v>LYNCHBURGSCNEW ORLEANSLA</v>
          </cell>
          <cell r="F4843">
            <v>1800</v>
          </cell>
        </row>
        <row r="4844">
          <cell r="E4844" t="str">
            <v>LYNCHBURGSCMOBILEAL</v>
          </cell>
          <cell r="F4844">
            <v>1490</v>
          </cell>
        </row>
        <row r="4845">
          <cell r="E4845" t="str">
            <v>LYNCHBURGSCMARIONAR</v>
          </cell>
          <cell r="F4845">
            <v>1670</v>
          </cell>
        </row>
        <row r="4846">
          <cell r="E4846" t="str">
            <v>LYNCHBURGSCSTONEVILLENC</v>
          </cell>
          <cell r="F4846">
            <v>630</v>
          </cell>
        </row>
        <row r="4847">
          <cell r="E4847" t="str">
            <v>LYNCHBURGSCDREWMS</v>
          </cell>
          <cell r="F4847">
            <v>1700</v>
          </cell>
        </row>
        <row r="4848">
          <cell r="E4848" t="str">
            <v>LYNCHBURGSCINDIANOLAMS</v>
          </cell>
          <cell r="F4848">
            <v>1680</v>
          </cell>
        </row>
        <row r="4849">
          <cell r="E4849" t="str">
            <v>LYNCHBURGSCRAYVILLELA</v>
          </cell>
          <cell r="F4849">
            <v>1860</v>
          </cell>
        </row>
        <row r="4850">
          <cell r="E4850" t="str">
            <v>LYNCHBURGSCMEMPHISTN</v>
          </cell>
          <cell r="F4850">
            <v>1660</v>
          </cell>
        </row>
        <row r="4851">
          <cell r="E4851" t="str">
            <v>LYNCHBURGSCRABUN GAPGA</v>
          </cell>
          <cell r="F4851">
            <v>740</v>
          </cell>
        </row>
        <row r="4852">
          <cell r="E4852" t="str">
            <v>LYNCHBURGSCECLECTICAL</v>
          </cell>
          <cell r="F4852">
            <v>1110</v>
          </cell>
        </row>
        <row r="4853">
          <cell r="E4853" t="str">
            <v>LYNCHBURGSCKINSTONNC</v>
          </cell>
          <cell r="F4853">
            <v>640</v>
          </cell>
        </row>
        <row r="4854">
          <cell r="E4854" t="str">
            <v>LYNCHBURGSCTHOMASVILLENC</v>
          </cell>
          <cell r="F4854">
            <v>580</v>
          </cell>
        </row>
        <row r="4855">
          <cell r="E4855" t="str">
            <v>LYNCHBURGSCLEXINGTONNC</v>
          </cell>
          <cell r="F4855">
            <v>580</v>
          </cell>
        </row>
        <row r="4856">
          <cell r="E4856" t="str">
            <v>LYNCHBURGSCMINERAL SPRINGSNC</v>
          </cell>
          <cell r="F4856">
            <v>480</v>
          </cell>
        </row>
        <row r="4857">
          <cell r="E4857" t="str">
            <v>LYNCHBURGSCROCKINGHAMNC</v>
          </cell>
          <cell r="F4857">
            <v>450</v>
          </cell>
        </row>
        <row r="4858">
          <cell r="E4858" t="str">
            <v>LYNCHBURGSCMOCKSVILLENC</v>
          </cell>
          <cell r="F4858">
            <v>590</v>
          </cell>
        </row>
        <row r="4859">
          <cell r="E4859" t="str">
            <v>LYNCHBURGSCCLARKTONNC</v>
          </cell>
          <cell r="F4859">
            <v>480</v>
          </cell>
        </row>
        <row r="4860">
          <cell r="E4860" t="str">
            <v>LYNCHBURGSCGULFPORTMS</v>
          </cell>
          <cell r="F4860">
            <v>1760</v>
          </cell>
        </row>
        <row r="4861">
          <cell r="E4861" t="str">
            <v>LYNCHBURGSCERWINNC</v>
          </cell>
          <cell r="F4861">
            <v>530</v>
          </cell>
        </row>
        <row r="4862">
          <cell r="E4862" t="str">
            <v>LYNCHBURGSCSANFORDNC</v>
          </cell>
          <cell r="F4862">
            <v>530</v>
          </cell>
        </row>
        <row r="4863">
          <cell r="E4863" t="str">
            <v>LYNCHBURGSCENOREESC</v>
          </cell>
          <cell r="F4863">
            <v>530</v>
          </cell>
        </row>
        <row r="4864">
          <cell r="E4864" t="str">
            <v>LYNCHBURGSCINDIAN LANDSC</v>
          </cell>
          <cell r="F4864">
            <v>480</v>
          </cell>
        </row>
        <row r="4865">
          <cell r="E4865" t="str">
            <v>LYNCHBURGSCCHARLOTTENC</v>
          </cell>
          <cell r="F4865">
            <v>500</v>
          </cell>
        </row>
        <row r="4866">
          <cell r="E4866" t="str">
            <v>LYNCHBURGSCLUMBERTONNC</v>
          </cell>
          <cell r="F4866">
            <v>440</v>
          </cell>
        </row>
        <row r="4867">
          <cell r="E4867" t="str">
            <v>LYNCHBURGSCPORT WENTWORTHGA</v>
          </cell>
          <cell r="F4867">
            <v>670</v>
          </cell>
        </row>
        <row r="4868">
          <cell r="E4868" t="str">
            <v>LYNCHBURGSCRINCONGA</v>
          </cell>
          <cell r="F4868">
            <v>670</v>
          </cell>
        </row>
        <row r="4869">
          <cell r="E4869" t="str">
            <v>LYNCHBURGSCGarden CityGA</v>
          </cell>
          <cell r="F4869">
            <v>670</v>
          </cell>
        </row>
        <row r="4870">
          <cell r="E4870" t="str">
            <v>LYNCHBURGSCPORTSMOUTHVA</v>
          </cell>
          <cell r="F4870">
            <v>880</v>
          </cell>
        </row>
        <row r="4871">
          <cell r="E4871" t="str">
            <v>LYNCHBURGSCEDENTONNC</v>
          </cell>
          <cell r="F4871">
            <v>790</v>
          </cell>
        </row>
        <row r="4872">
          <cell r="E4872" t="str">
            <v>LYNCHBURGSCSALISBURYNC</v>
          </cell>
          <cell r="F4872">
            <v>560</v>
          </cell>
        </row>
        <row r="4873">
          <cell r="E4873" t="str">
            <v>LYNCHBURGSCGREENWOODSC</v>
          </cell>
          <cell r="F4873">
            <v>560</v>
          </cell>
        </row>
        <row r="4874">
          <cell r="E4874" t="str">
            <v>LYNCHBURGSCBELMONTNC</v>
          </cell>
          <cell r="F4874">
            <v>530</v>
          </cell>
        </row>
        <row r="4875">
          <cell r="E4875" t="str">
            <v>LYNCHBURGSCLOWELLNC</v>
          </cell>
          <cell r="F4875">
            <v>540</v>
          </cell>
        </row>
        <row r="4876">
          <cell r="E4876" t="str">
            <v>LYNCHBURGSCGAFFNEYSC</v>
          </cell>
          <cell r="F4876">
            <v>550</v>
          </cell>
        </row>
        <row r="4877">
          <cell r="E4877" t="str">
            <v>LYNCHBURGSCGRIFTONNC</v>
          </cell>
          <cell r="F4877">
            <v>760</v>
          </cell>
        </row>
        <row r="4878">
          <cell r="E4878" t="str">
            <v>LYNCHBURGSCJACKSONVILLEFL</v>
          </cell>
          <cell r="F4878">
            <v>800</v>
          </cell>
        </row>
        <row r="4879">
          <cell r="E4879" t="str">
            <v>LYNCHBURGSCGASTONIANC</v>
          </cell>
          <cell r="F4879">
            <v>550</v>
          </cell>
        </row>
        <row r="4880">
          <cell r="E4880" t="str">
            <v>LYNCHBURGSCGREERSC</v>
          </cell>
          <cell r="F4880">
            <v>580</v>
          </cell>
        </row>
        <row r="4881">
          <cell r="E4881" t="str">
            <v>LYNCHBURGSCSHELBYNC</v>
          </cell>
          <cell r="F4881">
            <v>580</v>
          </cell>
        </row>
        <row r="4882">
          <cell r="E4882" t="str">
            <v>LYNCHBURGSCHICKORYNC</v>
          </cell>
          <cell r="F4882">
            <v>600</v>
          </cell>
        </row>
        <row r="4883">
          <cell r="E4883" t="str">
            <v>LYNCHBURGSCSPARTANC</v>
          </cell>
          <cell r="F4883">
            <v>670</v>
          </cell>
        </row>
        <row r="4884">
          <cell r="E4884" t="str">
            <v>MADISONGAROCKFORDTN</v>
          </cell>
          <cell r="F4884">
            <v>780</v>
          </cell>
        </row>
        <row r="4885">
          <cell r="E4885" t="str">
            <v>MADISONGALUMBERTONNC</v>
          </cell>
          <cell r="F4885">
            <v>800</v>
          </cell>
        </row>
        <row r="4886">
          <cell r="E4886" t="str">
            <v>MADISONGASPARTANC</v>
          </cell>
          <cell r="F4886">
            <v>880</v>
          </cell>
        </row>
        <row r="4887">
          <cell r="E4887" t="str">
            <v>MADISONGAMCCALLAAL</v>
          </cell>
          <cell r="F4887">
            <v>690</v>
          </cell>
        </row>
        <row r="4888">
          <cell r="E4888" t="str">
            <v>MADISONGAKINSTONNC</v>
          </cell>
          <cell r="F4888">
            <v>1090</v>
          </cell>
        </row>
        <row r="4889">
          <cell r="E4889" t="str">
            <v>MADISONGAROSSVILLETN</v>
          </cell>
          <cell r="F4889">
            <v>1150</v>
          </cell>
        </row>
        <row r="4890">
          <cell r="E4890" t="str">
            <v>MADISONGABLYTHEVILLEAR</v>
          </cell>
          <cell r="F4890">
            <v>1310</v>
          </cell>
        </row>
        <row r="4891">
          <cell r="E4891" t="str">
            <v>MADISONGAPORTSMOUTHVA</v>
          </cell>
          <cell r="F4891">
            <v>1360</v>
          </cell>
        </row>
        <row r="4892">
          <cell r="E4892" t="str">
            <v>MADISONGABELMONTNC</v>
          </cell>
          <cell r="F4892">
            <v>660</v>
          </cell>
        </row>
        <row r="4893">
          <cell r="E4893" t="str">
            <v>MADISONGAMAYODANNC</v>
          </cell>
          <cell r="F4893">
            <v>910</v>
          </cell>
        </row>
        <row r="4894">
          <cell r="E4894" t="str">
            <v>MADISONGAMINERAL SPRINGSNC</v>
          </cell>
          <cell r="F4894">
            <v>700</v>
          </cell>
        </row>
        <row r="4895">
          <cell r="E4895" t="str">
            <v>MADISONGAHICKORYNC</v>
          </cell>
          <cell r="F4895">
            <v>700</v>
          </cell>
        </row>
        <row r="4896">
          <cell r="E4896" t="str">
            <v>MADISONGATALLULAHLA</v>
          </cell>
          <cell r="F4896">
            <v>1300</v>
          </cell>
        </row>
        <row r="4897">
          <cell r="E4897" t="str">
            <v>MADISONGAEDENTONNC</v>
          </cell>
          <cell r="F4897">
            <v>1270</v>
          </cell>
        </row>
        <row r="4898">
          <cell r="E4898" t="str">
            <v>MADISONGACHARLOTTENC</v>
          </cell>
          <cell r="F4898">
            <v>680</v>
          </cell>
        </row>
        <row r="4899">
          <cell r="E4899" t="str">
            <v>MADISONGAMOCKSVILLENC</v>
          </cell>
          <cell r="F4899">
            <v>790</v>
          </cell>
        </row>
        <row r="4900">
          <cell r="E4900" t="str">
            <v>MADISONGASTONEVILLENC</v>
          </cell>
          <cell r="F4900">
            <v>920</v>
          </cell>
        </row>
        <row r="4901">
          <cell r="E4901" t="str">
            <v>MADISONGAGREENWOODMS</v>
          </cell>
          <cell r="F4901">
            <v>1130</v>
          </cell>
        </row>
        <row r="4902">
          <cell r="E4902" t="str">
            <v>MADISONGASANFORDNC</v>
          </cell>
          <cell r="F4902">
            <v>870</v>
          </cell>
        </row>
        <row r="4903">
          <cell r="E4903" t="str">
            <v>MADISONGATHOMASVILLENC</v>
          </cell>
          <cell r="F4903">
            <v>820</v>
          </cell>
        </row>
        <row r="4904">
          <cell r="E4904" t="str">
            <v>MADISONGATUNICAMS</v>
          </cell>
          <cell r="F4904">
            <v>1200</v>
          </cell>
        </row>
        <row r="4905">
          <cell r="E4905" t="str">
            <v>MADISONGAWEST MEMPHISAR</v>
          </cell>
          <cell r="F4905">
            <v>1180</v>
          </cell>
        </row>
        <row r="4906">
          <cell r="E4906" t="str">
            <v>MADISONGAROCKINGHAMNC</v>
          </cell>
          <cell r="F4906">
            <v>750</v>
          </cell>
        </row>
        <row r="4907">
          <cell r="E4907" t="str">
            <v>MADISONGANEW ORLEANSLA</v>
          </cell>
          <cell r="F4907">
            <v>1320</v>
          </cell>
        </row>
        <row r="4908">
          <cell r="E4908" t="str">
            <v>MADISONGAMARIONAR</v>
          </cell>
          <cell r="F4908">
            <v>1190</v>
          </cell>
        </row>
        <row r="4909">
          <cell r="E4909" t="str">
            <v>MADISONGAERWINNC</v>
          </cell>
          <cell r="F4909">
            <v>940</v>
          </cell>
        </row>
        <row r="4910">
          <cell r="E4910" t="str">
            <v>MADISONGAMEMPHISTN</v>
          </cell>
          <cell r="F4910">
            <v>1170</v>
          </cell>
        </row>
        <row r="4911">
          <cell r="E4911" t="str">
            <v>MADISONGAMONEYMS</v>
          </cell>
          <cell r="F4911">
            <v>1170</v>
          </cell>
        </row>
        <row r="4912">
          <cell r="E4912" t="str">
            <v>MADISONGARAYVILLELA</v>
          </cell>
          <cell r="F4912">
            <v>1370</v>
          </cell>
        </row>
        <row r="4913">
          <cell r="E4913" t="str">
            <v>MADISONGACENTREAL</v>
          </cell>
          <cell r="F4913">
            <v>570</v>
          </cell>
        </row>
        <row r="4914">
          <cell r="E4914" t="str">
            <v>MADISONGAGASTONIANC</v>
          </cell>
          <cell r="F4914">
            <v>640</v>
          </cell>
        </row>
        <row r="4915">
          <cell r="E4915" t="str">
            <v>MADISONGANORFOLKVA</v>
          </cell>
          <cell r="F4915">
            <v>1380</v>
          </cell>
        </row>
        <row r="4916">
          <cell r="E4916" t="str">
            <v>MADISONGAMOBILEAL</v>
          </cell>
          <cell r="F4916">
            <v>1000</v>
          </cell>
        </row>
        <row r="4917">
          <cell r="E4917" t="str">
            <v>MADISONGACLARKTONNC</v>
          </cell>
          <cell r="F4917">
            <v>850</v>
          </cell>
        </row>
        <row r="4918">
          <cell r="E4918" t="str">
            <v>MADISONGASALISBURYNC</v>
          </cell>
          <cell r="F4918">
            <v>750</v>
          </cell>
        </row>
        <row r="4919">
          <cell r="E4919" t="str">
            <v>MADISONGADAWSONGA</v>
          </cell>
          <cell r="F4919">
            <v>600</v>
          </cell>
        </row>
        <row r="4920">
          <cell r="E4920" t="str">
            <v>MADISONGALOWELLNC</v>
          </cell>
          <cell r="F4920">
            <v>650</v>
          </cell>
        </row>
        <row r="4921">
          <cell r="E4921" t="str">
            <v>MADISONGASHELBYNC</v>
          </cell>
          <cell r="F4921">
            <v>620</v>
          </cell>
        </row>
        <row r="4922">
          <cell r="E4922" t="str">
            <v>MADISONGALEXINGTONNC</v>
          </cell>
          <cell r="F4922">
            <v>790</v>
          </cell>
        </row>
        <row r="4923">
          <cell r="E4923" t="str">
            <v>MADISONGAGREERSC</v>
          </cell>
          <cell r="F4923">
            <v>540</v>
          </cell>
        </row>
        <row r="4924">
          <cell r="E4924" t="str">
            <v>MADISONGAGREENWOODSC</v>
          </cell>
          <cell r="F4924">
            <v>490</v>
          </cell>
        </row>
        <row r="4925">
          <cell r="E4925" t="str">
            <v>MADISONGAGULFPORTMS</v>
          </cell>
          <cell r="F4925">
            <v>1270</v>
          </cell>
        </row>
        <row r="4926">
          <cell r="E4926" t="str">
            <v>MADISONGAGAINESVILLEGA</v>
          </cell>
          <cell r="F4926">
            <v>430</v>
          </cell>
        </row>
        <row r="4927">
          <cell r="E4927" t="str">
            <v>MADISONGAPORT WENTWORTHGA</v>
          </cell>
          <cell r="F4927">
            <v>750</v>
          </cell>
        </row>
        <row r="4928">
          <cell r="E4928" t="str">
            <v>MADISONGAGarden CityGA</v>
          </cell>
          <cell r="F4928">
            <v>740</v>
          </cell>
        </row>
        <row r="4929">
          <cell r="E4929" t="str">
            <v>MADISONGARABUN GAPGA</v>
          </cell>
          <cell r="F4929">
            <v>510</v>
          </cell>
        </row>
        <row r="4930">
          <cell r="E4930" t="str">
            <v>MADISONGARINCONGA</v>
          </cell>
          <cell r="F4930">
            <v>730</v>
          </cell>
        </row>
        <row r="4931">
          <cell r="E4931" t="str">
            <v>MADISONGAGRIFTONNC</v>
          </cell>
          <cell r="F4931">
            <v>1220</v>
          </cell>
        </row>
        <row r="4932">
          <cell r="E4932" t="str">
            <v>MADISONGAINDIANOLAMS</v>
          </cell>
          <cell r="F4932">
            <v>1200</v>
          </cell>
        </row>
        <row r="4933">
          <cell r="E4933" t="str">
            <v>MADISONGADREWMS</v>
          </cell>
          <cell r="F4933">
            <v>1220</v>
          </cell>
        </row>
        <row r="4934">
          <cell r="E4934" t="str">
            <v>MADISONGAENOREESC</v>
          </cell>
          <cell r="F4934">
            <v>580</v>
          </cell>
        </row>
        <row r="4935">
          <cell r="E4935" t="str">
            <v>MADISONGAJACKSONVILLEFL</v>
          </cell>
          <cell r="F4935">
            <v>770</v>
          </cell>
        </row>
        <row r="4936">
          <cell r="E4936" t="str">
            <v>MADISONGAGAFFNEYSC</v>
          </cell>
          <cell r="F4936">
            <v>600</v>
          </cell>
        </row>
        <row r="4937">
          <cell r="E4937" t="str">
            <v>MADISONGAINDIAN LANDSC</v>
          </cell>
          <cell r="F4937">
            <v>690</v>
          </cell>
        </row>
        <row r="4938">
          <cell r="E4938" t="str">
            <v>MADISONGAECLECTICAL</v>
          </cell>
          <cell r="F4938">
            <v>650</v>
          </cell>
        </row>
        <row r="4939">
          <cell r="E4939" t="str">
            <v>MADISONGACARTERSVILLEGA</v>
          </cell>
          <cell r="F4939">
            <v>490</v>
          </cell>
        </row>
        <row r="4940">
          <cell r="E4940" t="str">
            <v>MALDENMOGRIFTONNC</v>
          </cell>
          <cell r="F4940">
            <v>2380</v>
          </cell>
        </row>
        <row r="4941">
          <cell r="E4941" t="str">
            <v>MALDENMOGREENWOODMS</v>
          </cell>
          <cell r="F4941">
            <v>910</v>
          </cell>
        </row>
        <row r="4942">
          <cell r="E4942" t="str">
            <v>MALDENMOMCCALLAAL</v>
          </cell>
          <cell r="F4942">
            <v>1160</v>
          </cell>
        </row>
        <row r="4943">
          <cell r="E4943" t="str">
            <v>MALDENMODREWMS</v>
          </cell>
          <cell r="F4943">
            <v>830</v>
          </cell>
        </row>
        <row r="4944">
          <cell r="E4944" t="str">
            <v>MALDENMOMONEYMS</v>
          </cell>
          <cell r="F4944">
            <v>870</v>
          </cell>
        </row>
        <row r="4945">
          <cell r="E4945" t="str">
            <v>MALDENMOEDENTONNC</v>
          </cell>
          <cell r="F4945">
            <v>2370</v>
          </cell>
        </row>
        <row r="4946">
          <cell r="E4946" t="str">
            <v>MALDENMOKINSTONNC</v>
          </cell>
          <cell r="F4946">
            <v>2250</v>
          </cell>
        </row>
        <row r="4947">
          <cell r="E4947" t="str">
            <v>MALDENMOCENTREAL</v>
          </cell>
          <cell r="F4947">
            <v>1110</v>
          </cell>
        </row>
        <row r="4948">
          <cell r="E4948" t="str">
            <v>MALDENMOMARIONAR</v>
          </cell>
          <cell r="F4948">
            <v>650</v>
          </cell>
        </row>
        <row r="4949">
          <cell r="E4949" t="str">
            <v>MALDENMOMEMPHISTN</v>
          </cell>
          <cell r="F4949">
            <v>680</v>
          </cell>
        </row>
        <row r="4950">
          <cell r="E4950" t="str">
            <v>MALDENMOROSSVILLETN</v>
          </cell>
          <cell r="F4950">
            <v>730</v>
          </cell>
        </row>
        <row r="4951">
          <cell r="E4951" t="str">
            <v>MALDENMOWEST MEMPHISAR</v>
          </cell>
          <cell r="F4951">
            <v>660</v>
          </cell>
        </row>
        <row r="4952">
          <cell r="E4952" t="str">
            <v>MALDENMOTUNICAMS</v>
          </cell>
          <cell r="F4952">
            <v>730</v>
          </cell>
        </row>
        <row r="4953">
          <cell r="E4953" t="str">
            <v>MALDENMOBLYTHEVILLEAR</v>
          </cell>
          <cell r="F4953">
            <v>570</v>
          </cell>
        </row>
        <row r="4954">
          <cell r="E4954" t="str">
            <v>MALDENMOGULFPORTMS</v>
          </cell>
          <cell r="F4954">
            <v>1510</v>
          </cell>
        </row>
        <row r="4955">
          <cell r="E4955" t="str">
            <v>MALDENMOROCKFORDTN</v>
          </cell>
          <cell r="F4955">
            <v>1250</v>
          </cell>
        </row>
        <row r="4956">
          <cell r="E4956" t="str">
            <v>MALDENMONEW ORLEANSLA</v>
          </cell>
          <cell r="F4956">
            <v>1470</v>
          </cell>
        </row>
        <row r="4957">
          <cell r="E4957" t="str">
            <v>MALDENMOINDIANOLAMS</v>
          </cell>
          <cell r="F4957">
            <v>890</v>
          </cell>
        </row>
        <row r="4958">
          <cell r="E4958" t="str">
            <v>MALDENMOECLECTICAL</v>
          </cell>
          <cell r="F4958">
            <v>1340</v>
          </cell>
        </row>
        <row r="4959">
          <cell r="E4959" t="str">
            <v>MALDENMOMOBILEAL</v>
          </cell>
          <cell r="F4959">
            <v>1470</v>
          </cell>
        </row>
        <row r="4960">
          <cell r="E4960" t="str">
            <v>MALDENMOGASTONIANC</v>
          </cell>
          <cell r="F4960">
            <v>1710</v>
          </cell>
        </row>
        <row r="4961">
          <cell r="E4961" t="str">
            <v>MALDENMOGarden CityGA</v>
          </cell>
          <cell r="F4961">
            <v>2050</v>
          </cell>
        </row>
        <row r="4962">
          <cell r="E4962" t="str">
            <v>MALDENMOBELMONTNC</v>
          </cell>
          <cell r="F4962">
            <v>1730</v>
          </cell>
        </row>
        <row r="4963">
          <cell r="E4963" t="str">
            <v>MALDENMODAWSONGA</v>
          </cell>
          <cell r="F4963">
            <v>1610</v>
          </cell>
        </row>
        <row r="4964">
          <cell r="E4964" t="str">
            <v>MALDENMOSPARTANC</v>
          </cell>
          <cell r="F4964">
            <v>1740</v>
          </cell>
        </row>
        <row r="4965">
          <cell r="E4965" t="str">
            <v>MALDENMOGREERSC</v>
          </cell>
          <cell r="F4965">
            <v>1620</v>
          </cell>
        </row>
        <row r="4966">
          <cell r="E4966" t="str">
            <v>MALDENMONORFOLKVA</v>
          </cell>
          <cell r="F4966">
            <v>2420</v>
          </cell>
        </row>
        <row r="4967">
          <cell r="E4967" t="str">
            <v>MALDENMOTALLULAHLA</v>
          </cell>
          <cell r="F4967">
            <v>1200</v>
          </cell>
        </row>
        <row r="4968">
          <cell r="E4968" t="str">
            <v>MALDENMOCARTERSVILLEGA</v>
          </cell>
          <cell r="F4968">
            <v>1300</v>
          </cell>
        </row>
        <row r="4969">
          <cell r="E4969" t="str">
            <v>MALDENMOENOREESC</v>
          </cell>
          <cell r="F4969">
            <v>1680</v>
          </cell>
        </row>
        <row r="4970">
          <cell r="E4970" t="str">
            <v>MALDENMOGAFFNEYSC</v>
          </cell>
          <cell r="F4970">
            <v>1670</v>
          </cell>
        </row>
        <row r="4971">
          <cell r="E4971" t="str">
            <v>MALDENMOPORTSMOUTHVA</v>
          </cell>
          <cell r="F4971">
            <v>2400</v>
          </cell>
        </row>
        <row r="4972">
          <cell r="E4972" t="str">
            <v>MALDENMOGREENWOODSC</v>
          </cell>
          <cell r="F4972">
            <v>1700</v>
          </cell>
        </row>
        <row r="4973">
          <cell r="E4973" t="str">
            <v>MALDENMOSHELBYNC</v>
          </cell>
          <cell r="F4973">
            <v>1660</v>
          </cell>
        </row>
        <row r="4974">
          <cell r="E4974" t="str">
            <v>MALDENMOLOWELLNC</v>
          </cell>
          <cell r="F4974">
            <v>1720</v>
          </cell>
        </row>
        <row r="4975">
          <cell r="E4975" t="str">
            <v>MALDENMOGAINESVILLEGA</v>
          </cell>
          <cell r="F4975">
            <v>1480</v>
          </cell>
        </row>
        <row r="4976">
          <cell r="E4976" t="str">
            <v>MALDENMOSALISBURYNC</v>
          </cell>
          <cell r="F4976">
            <v>1790</v>
          </cell>
        </row>
        <row r="4977">
          <cell r="E4977" t="str">
            <v>MALDENMOMINERAL SPRINGSNC</v>
          </cell>
          <cell r="F4977">
            <v>1820</v>
          </cell>
        </row>
        <row r="4978">
          <cell r="E4978" t="str">
            <v>MALDENMOCLARKTONNC</v>
          </cell>
          <cell r="F4978">
            <v>2110</v>
          </cell>
        </row>
        <row r="4979">
          <cell r="E4979" t="str">
            <v>MALDENMOLUMBERTONNC</v>
          </cell>
          <cell r="F4979">
            <v>2060</v>
          </cell>
        </row>
        <row r="4980">
          <cell r="E4980" t="str">
            <v>MALDENMOERWINNC</v>
          </cell>
          <cell r="F4980">
            <v>2090</v>
          </cell>
        </row>
        <row r="4981">
          <cell r="E4981" t="str">
            <v>MALDENMORINCONGA</v>
          </cell>
          <cell r="F4981">
            <v>2080</v>
          </cell>
        </row>
        <row r="4982">
          <cell r="E4982" t="str">
            <v>MALDENMOINDIAN LANDSC</v>
          </cell>
          <cell r="F4982">
            <v>1790</v>
          </cell>
        </row>
        <row r="4983">
          <cell r="E4983" t="str">
            <v>MALDENMOPORT WENTWORTHGA</v>
          </cell>
          <cell r="F4983">
            <v>2060</v>
          </cell>
        </row>
        <row r="4984">
          <cell r="E4984" t="str">
            <v>MALDENMORABUN GAPGA</v>
          </cell>
          <cell r="F4984">
            <v>1540</v>
          </cell>
        </row>
        <row r="4985">
          <cell r="E4985" t="str">
            <v>MALDENMORAYVILLELA</v>
          </cell>
          <cell r="F4985">
            <v>1140</v>
          </cell>
        </row>
        <row r="4986">
          <cell r="E4986" t="str">
            <v>MALDENMOHICKORYNC</v>
          </cell>
          <cell r="F4986">
            <v>1670</v>
          </cell>
        </row>
        <row r="4987">
          <cell r="E4987" t="str">
            <v>MALDENMOROCKINGHAMNC</v>
          </cell>
          <cell r="F4987">
            <v>1930</v>
          </cell>
        </row>
        <row r="4988">
          <cell r="E4988" t="str">
            <v>MALDENMOJACKSONVILLEFL</v>
          </cell>
          <cell r="F4988">
            <v>2180</v>
          </cell>
        </row>
        <row r="4989">
          <cell r="E4989" t="str">
            <v>MALDENMOCHARLOTTENC</v>
          </cell>
          <cell r="F4989">
            <v>1760</v>
          </cell>
        </row>
        <row r="4990">
          <cell r="E4990" t="str">
            <v>MALDENMOSANFORDNC</v>
          </cell>
          <cell r="F4990">
            <v>2010</v>
          </cell>
        </row>
        <row r="4991">
          <cell r="E4991" t="str">
            <v>MALDENMOSTONEVILLENC</v>
          </cell>
          <cell r="F4991">
            <v>1910</v>
          </cell>
        </row>
        <row r="4992">
          <cell r="E4992" t="str">
            <v>MALDENMOMAYODANNC</v>
          </cell>
          <cell r="F4992">
            <v>1900</v>
          </cell>
        </row>
        <row r="4993">
          <cell r="E4993" t="str">
            <v>MALDENMOMOCKSVILLENC</v>
          </cell>
          <cell r="F4993">
            <v>1770</v>
          </cell>
        </row>
        <row r="4994">
          <cell r="E4994" t="str">
            <v>MALDENMOTHOMASVILLENC</v>
          </cell>
          <cell r="F4994">
            <v>1840</v>
          </cell>
        </row>
        <row r="4995">
          <cell r="E4995" t="str">
            <v>MALDENMOLEXINGTONNC</v>
          </cell>
          <cell r="F4995">
            <v>1810</v>
          </cell>
        </row>
        <row r="4996">
          <cell r="E4996" t="str">
            <v>MALDENMOWESLACOTX</v>
          </cell>
          <cell r="F4996">
            <v>1960</v>
          </cell>
        </row>
        <row r="4997">
          <cell r="E4997" t="str">
            <v>MALONETXHoustonTX</v>
          </cell>
          <cell r="F4997">
            <v>667</v>
          </cell>
        </row>
        <row r="4998">
          <cell r="E4998" t="str">
            <v>MALONETXBaytownTX</v>
          </cell>
          <cell r="F4998">
            <v>715</v>
          </cell>
        </row>
        <row r="4999">
          <cell r="E4999" t="str">
            <v>MALONETXDallasTX</v>
          </cell>
          <cell r="F4999">
            <v>347</v>
          </cell>
        </row>
        <row r="5000">
          <cell r="E5000" t="str">
            <v>MANILAARGREERSC</v>
          </cell>
          <cell r="F5000">
            <v>1490</v>
          </cell>
        </row>
        <row r="5001">
          <cell r="E5001" t="str">
            <v>MANILAARROCKFORDTN</v>
          </cell>
          <cell r="F5001">
            <v>1120</v>
          </cell>
        </row>
        <row r="5002">
          <cell r="E5002" t="str">
            <v>MANILAARJACKSONVILLEFL</v>
          </cell>
          <cell r="F5002">
            <v>1860</v>
          </cell>
        </row>
        <row r="5003">
          <cell r="E5003" t="str">
            <v>MANILAARCLARKTONNC</v>
          </cell>
          <cell r="F5003">
            <v>1990</v>
          </cell>
        </row>
        <row r="5004">
          <cell r="E5004" t="str">
            <v>MANILAARBELMONTNC</v>
          </cell>
          <cell r="F5004">
            <v>1610</v>
          </cell>
        </row>
        <row r="5005">
          <cell r="E5005" t="str">
            <v>MANILAARROCKINGHAMNC</v>
          </cell>
          <cell r="F5005">
            <v>1800</v>
          </cell>
        </row>
        <row r="5006">
          <cell r="E5006" t="str">
            <v>MANILAARLEXINGTONNC</v>
          </cell>
          <cell r="F5006">
            <v>1680</v>
          </cell>
        </row>
        <row r="5007">
          <cell r="E5007" t="str">
            <v>MANILAARKINSTONNC</v>
          </cell>
          <cell r="F5007">
            <v>2120</v>
          </cell>
        </row>
        <row r="5008">
          <cell r="E5008" t="str">
            <v>MANILAARCHARLOTTENC</v>
          </cell>
          <cell r="F5008">
            <v>1630</v>
          </cell>
        </row>
        <row r="5009">
          <cell r="E5009" t="str">
            <v>MANILAARSALISBURYNC</v>
          </cell>
          <cell r="F5009">
            <v>1660</v>
          </cell>
        </row>
        <row r="5010">
          <cell r="E5010" t="str">
            <v>MANILAARMAYODANNC</v>
          </cell>
          <cell r="F5010">
            <v>1770</v>
          </cell>
        </row>
        <row r="5011">
          <cell r="E5011" t="str">
            <v>MANILAARSANFORDNC</v>
          </cell>
          <cell r="F5011">
            <v>1880</v>
          </cell>
        </row>
        <row r="5012">
          <cell r="E5012" t="str">
            <v>MANILAARGASTONIANC</v>
          </cell>
          <cell r="F5012">
            <v>1580</v>
          </cell>
        </row>
        <row r="5013">
          <cell r="E5013" t="str">
            <v>MANILAARMINERAL SPRINGSNC</v>
          </cell>
          <cell r="F5013">
            <v>1690</v>
          </cell>
        </row>
        <row r="5014">
          <cell r="E5014" t="str">
            <v>MANILAARSPARTANC</v>
          </cell>
          <cell r="F5014">
            <v>1610</v>
          </cell>
        </row>
        <row r="5015">
          <cell r="E5015" t="str">
            <v>MANILAARSHELBYNC</v>
          </cell>
          <cell r="F5015">
            <v>1530</v>
          </cell>
        </row>
        <row r="5016">
          <cell r="E5016" t="str">
            <v>MANILAARHICKORYNC</v>
          </cell>
          <cell r="F5016">
            <v>1540</v>
          </cell>
        </row>
        <row r="5017">
          <cell r="E5017" t="str">
            <v>MANILAARERWINNC</v>
          </cell>
          <cell r="F5017">
            <v>1960</v>
          </cell>
        </row>
        <row r="5018">
          <cell r="E5018" t="str">
            <v>MANILAARGREENWOODSC</v>
          </cell>
          <cell r="F5018">
            <v>1550</v>
          </cell>
        </row>
        <row r="5019">
          <cell r="E5019" t="str">
            <v>MANILAARINDIAN LANDSC</v>
          </cell>
          <cell r="F5019">
            <v>1660</v>
          </cell>
        </row>
        <row r="5020">
          <cell r="E5020" t="str">
            <v>MANILAARSTONEVILLENC</v>
          </cell>
          <cell r="F5020">
            <v>1780</v>
          </cell>
        </row>
        <row r="5021">
          <cell r="E5021" t="str">
            <v>MANILAARENOREESC</v>
          </cell>
          <cell r="F5021">
            <v>1550</v>
          </cell>
        </row>
        <row r="5022">
          <cell r="E5022" t="str">
            <v>MANILAARTHOMASVILLENC</v>
          </cell>
          <cell r="F5022">
            <v>1720</v>
          </cell>
        </row>
        <row r="5023">
          <cell r="E5023" t="str">
            <v>MANILAARNEW ORLEANSLA</v>
          </cell>
          <cell r="F5023">
            <v>1220</v>
          </cell>
        </row>
        <row r="5024">
          <cell r="E5024" t="str">
            <v>MANILAARMOCKSVILLENC</v>
          </cell>
          <cell r="F5024">
            <v>1650</v>
          </cell>
        </row>
        <row r="5025">
          <cell r="E5025" t="str">
            <v>MANILAARLOWELLNC</v>
          </cell>
          <cell r="F5025">
            <v>1600</v>
          </cell>
        </row>
        <row r="5026">
          <cell r="E5026" t="str">
            <v>MANILAARMCCALLAAL</v>
          </cell>
          <cell r="F5026">
            <v>900</v>
          </cell>
        </row>
        <row r="5027">
          <cell r="E5027" t="str">
            <v>MANILAARINDIANOLAMS</v>
          </cell>
          <cell r="F5027">
            <v>650</v>
          </cell>
        </row>
        <row r="5028">
          <cell r="E5028" t="str">
            <v>MANILAARGREENWOODMS</v>
          </cell>
          <cell r="F5028">
            <v>670</v>
          </cell>
        </row>
        <row r="5029">
          <cell r="E5029" t="str">
            <v>MANILAARMONEYMS</v>
          </cell>
          <cell r="F5029">
            <v>640</v>
          </cell>
        </row>
        <row r="5030">
          <cell r="E5030" t="str">
            <v>MANILAARRABUN GAPGA</v>
          </cell>
          <cell r="F5030">
            <v>1410</v>
          </cell>
        </row>
        <row r="5031">
          <cell r="E5031" t="str">
            <v>MANILAARGULFPORTMS</v>
          </cell>
          <cell r="F5031">
            <v>1250</v>
          </cell>
        </row>
        <row r="5032">
          <cell r="E5032" t="str">
            <v>MANILAARMARIONAR</v>
          </cell>
          <cell r="F5032">
            <v>430</v>
          </cell>
        </row>
        <row r="5033">
          <cell r="E5033" t="str">
            <v>MANILAARWEST MEMPHISAR</v>
          </cell>
          <cell r="F5033">
            <v>440</v>
          </cell>
        </row>
        <row r="5034">
          <cell r="E5034" t="str">
            <v>MANILAARMEMPHISTN</v>
          </cell>
          <cell r="F5034">
            <v>460</v>
          </cell>
        </row>
        <row r="5035">
          <cell r="E5035" t="str">
            <v>MANILAARROSSVILLETN</v>
          </cell>
          <cell r="F5035">
            <v>510</v>
          </cell>
        </row>
        <row r="5036">
          <cell r="E5036" t="str">
            <v>MANILAARTUNICAMS</v>
          </cell>
          <cell r="F5036">
            <v>510</v>
          </cell>
        </row>
        <row r="5037">
          <cell r="E5037" t="str">
            <v>MANILAARBLYTHEVILLEAR</v>
          </cell>
          <cell r="F5037">
            <v>340</v>
          </cell>
        </row>
        <row r="5038">
          <cell r="E5038" t="str">
            <v>MANILAARLUMBERTONNC</v>
          </cell>
          <cell r="F5038">
            <v>1930</v>
          </cell>
        </row>
        <row r="5039">
          <cell r="E5039" t="str">
            <v>MANILAARGRIFTONNC</v>
          </cell>
          <cell r="F5039">
            <v>2250</v>
          </cell>
        </row>
        <row r="5040">
          <cell r="E5040" t="str">
            <v>MANILAARDREWMS</v>
          </cell>
          <cell r="F5040">
            <v>610</v>
          </cell>
        </row>
        <row r="5041">
          <cell r="E5041" t="str">
            <v>MANILAARTALLULAHLA</v>
          </cell>
          <cell r="F5041">
            <v>940</v>
          </cell>
        </row>
        <row r="5042">
          <cell r="E5042" t="str">
            <v>MANILAARRINCONGA</v>
          </cell>
          <cell r="F5042">
            <v>1890</v>
          </cell>
        </row>
        <row r="5043">
          <cell r="E5043" t="str">
            <v>MANILAARPORT WENTWORTHGA</v>
          </cell>
          <cell r="F5043">
            <v>1880</v>
          </cell>
        </row>
        <row r="5044">
          <cell r="E5044" t="str">
            <v>MANILAARMOBILEAL</v>
          </cell>
          <cell r="F5044">
            <v>1220</v>
          </cell>
        </row>
        <row r="5045">
          <cell r="E5045" t="str">
            <v>MANILAARCENTREAL</v>
          </cell>
          <cell r="F5045">
            <v>1050</v>
          </cell>
        </row>
        <row r="5046">
          <cell r="E5046" t="str">
            <v>MANILAARGAFFNEYSC</v>
          </cell>
          <cell r="F5046">
            <v>1540</v>
          </cell>
        </row>
        <row r="5047">
          <cell r="E5047" t="str">
            <v>MANILAARGarden CityGA</v>
          </cell>
          <cell r="F5047">
            <v>1860</v>
          </cell>
        </row>
        <row r="5048">
          <cell r="E5048" t="str">
            <v>MANILAARDAWSONGA</v>
          </cell>
          <cell r="F5048">
            <v>1350</v>
          </cell>
        </row>
        <row r="5049">
          <cell r="E5049" t="str">
            <v>MANILAARGAINESVILLEGA</v>
          </cell>
          <cell r="F5049">
            <v>1330</v>
          </cell>
        </row>
        <row r="5050">
          <cell r="E5050" t="str">
            <v>MANILAARNORFOLKVA</v>
          </cell>
          <cell r="F5050">
            <v>2290</v>
          </cell>
        </row>
        <row r="5051">
          <cell r="E5051" t="str">
            <v>MANILAARPORTSMOUTHVA</v>
          </cell>
          <cell r="F5051">
            <v>2280</v>
          </cell>
        </row>
        <row r="5052">
          <cell r="E5052" t="str">
            <v>MANILAAREDENTONNC</v>
          </cell>
          <cell r="F5052">
            <v>2240</v>
          </cell>
        </row>
        <row r="5053">
          <cell r="E5053" t="str">
            <v>MANILAARRAYVILLELA</v>
          </cell>
          <cell r="F5053">
            <v>880</v>
          </cell>
        </row>
        <row r="5054">
          <cell r="E5054" t="str">
            <v>MANILAARCARTERSVILLEGA</v>
          </cell>
          <cell r="F5054">
            <v>1160</v>
          </cell>
        </row>
        <row r="5055">
          <cell r="E5055" t="str">
            <v>MANILAARECLECTICAL</v>
          </cell>
          <cell r="F5055">
            <v>1080</v>
          </cell>
        </row>
        <row r="5056">
          <cell r="E5056" t="str">
            <v>MARIANNAARROCKFORDTN</v>
          </cell>
          <cell r="F5056">
            <v>1180</v>
          </cell>
        </row>
        <row r="5057">
          <cell r="E5057" t="str">
            <v>MARIANNAARLOWELLNC</v>
          </cell>
          <cell r="F5057">
            <v>1660</v>
          </cell>
        </row>
        <row r="5058">
          <cell r="E5058" t="str">
            <v>MARIANNAARLEXINGTONNC</v>
          </cell>
          <cell r="F5058">
            <v>1750</v>
          </cell>
        </row>
        <row r="5059">
          <cell r="E5059" t="str">
            <v>MARIANNAARBELMONTNC</v>
          </cell>
          <cell r="F5059">
            <v>1660</v>
          </cell>
        </row>
        <row r="5060">
          <cell r="E5060" t="str">
            <v>MARIANNAARGASTONIANC</v>
          </cell>
          <cell r="F5060">
            <v>1640</v>
          </cell>
        </row>
        <row r="5061">
          <cell r="E5061" t="str">
            <v>MARIANNAARROCKINGHAMNC</v>
          </cell>
          <cell r="F5061">
            <v>1860</v>
          </cell>
        </row>
        <row r="5062">
          <cell r="E5062" t="str">
            <v>MARIANNAAREDENTONNC</v>
          </cell>
          <cell r="F5062">
            <v>2300</v>
          </cell>
        </row>
        <row r="5063">
          <cell r="E5063" t="str">
            <v>MARIANNAARCLARKTONNC</v>
          </cell>
          <cell r="F5063">
            <v>2010</v>
          </cell>
        </row>
        <row r="5064">
          <cell r="E5064" t="str">
            <v>MARIANNAARKINSTONNC</v>
          </cell>
          <cell r="F5064">
            <v>2180</v>
          </cell>
        </row>
        <row r="5065">
          <cell r="E5065" t="str">
            <v>MARIANNAARCHARLOTTENC</v>
          </cell>
          <cell r="F5065">
            <v>1690</v>
          </cell>
        </row>
        <row r="5066">
          <cell r="E5066" t="str">
            <v>MARIANNAARJACKSONVILLEFL</v>
          </cell>
          <cell r="F5066">
            <v>1800</v>
          </cell>
        </row>
        <row r="5067">
          <cell r="E5067" t="str">
            <v>MARIANNAARSALISBURYNC</v>
          </cell>
          <cell r="F5067">
            <v>1720</v>
          </cell>
        </row>
        <row r="5068">
          <cell r="E5068" t="str">
            <v>MARIANNAARMAYODANNC</v>
          </cell>
          <cell r="F5068">
            <v>1830</v>
          </cell>
        </row>
        <row r="5069">
          <cell r="E5069" t="str">
            <v>MARIANNAARMINERAL SPRINGSNC</v>
          </cell>
          <cell r="F5069">
            <v>1750</v>
          </cell>
        </row>
        <row r="5070">
          <cell r="E5070" t="str">
            <v>MARIANNAARSPARTANC</v>
          </cell>
          <cell r="F5070">
            <v>1670</v>
          </cell>
        </row>
        <row r="5071">
          <cell r="E5071" t="str">
            <v>MARIANNAARSHELBYNC</v>
          </cell>
          <cell r="F5071">
            <v>1590</v>
          </cell>
        </row>
        <row r="5072">
          <cell r="E5072" t="str">
            <v>MARIANNAARSTONEVILLENC</v>
          </cell>
          <cell r="F5072">
            <v>1840</v>
          </cell>
        </row>
        <row r="5073">
          <cell r="E5073" t="str">
            <v>MARIANNAARHICKORYNC</v>
          </cell>
          <cell r="F5073">
            <v>1600</v>
          </cell>
        </row>
        <row r="5074">
          <cell r="E5074" t="str">
            <v>MARIANNAARLUMBERTONNC</v>
          </cell>
          <cell r="F5074">
            <v>1960</v>
          </cell>
        </row>
        <row r="5075">
          <cell r="E5075" t="str">
            <v>MARIANNAARERWINNC</v>
          </cell>
          <cell r="F5075">
            <v>2020</v>
          </cell>
        </row>
        <row r="5076">
          <cell r="E5076" t="str">
            <v>MARIANNAARINDIAN LANDSC</v>
          </cell>
          <cell r="F5076">
            <v>1720</v>
          </cell>
        </row>
        <row r="5077">
          <cell r="E5077" t="str">
            <v>MARIANNAARMOCKSVILLENC</v>
          </cell>
          <cell r="F5077">
            <v>1710</v>
          </cell>
        </row>
        <row r="5078">
          <cell r="E5078" t="str">
            <v>MARIANNAARTHOMASVILLENC</v>
          </cell>
          <cell r="F5078">
            <v>1780</v>
          </cell>
        </row>
        <row r="5079">
          <cell r="E5079" t="str">
            <v>MARIANNAARGREENWOODSC</v>
          </cell>
          <cell r="F5079">
            <v>1500</v>
          </cell>
        </row>
        <row r="5080">
          <cell r="E5080" t="str">
            <v>MARIANNAARMCCALLAAL</v>
          </cell>
          <cell r="F5080">
            <v>850</v>
          </cell>
        </row>
        <row r="5081">
          <cell r="E5081" t="str">
            <v>MARIANNAARRABUN GAPGA</v>
          </cell>
          <cell r="F5081">
            <v>1510</v>
          </cell>
        </row>
        <row r="5082">
          <cell r="E5082" t="str">
            <v>MARIANNAARRAYVILLELA</v>
          </cell>
          <cell r="F5082">
            <v>670</v>
          </cell>
        </row>
        <row r="5083">
          <cell r="E5083" t="str">
            <v>MARIANNAARTALLULAHLA</v>
          </cell>
          <cell r="F5083">
            <v>640</v>
          </cell>
        </row>
        <row r="5084">
          <cell r="E5084" t="str">
            <v>MARIANNAARGREENWOODMS</v>
          </cell>
          <cell r="F5084">
            <v>490</v>
          </cell>
        </row>
        <row r="5085">
          <cell r="E5085" t="str">
            <v>MARIANNAARMONEYMS</v>
          </cell>
          <cell r="F5085">
            <v>480</v>
          </cell>
        </row>
        <row r="5086">
          <cell r="E5086" t="str">
            <v>MARIANNAARDREWMS</v>
          </cell>
          <cell r="F5086">
            <v>450</v>
          </cell>
        </row>
        <row r="5087">
          <cell r="E5087" t="str">
            <v>MARIANNAARGULFPORTMS</v>
          </cell>
          <cell r="F5087">
            <v>1070</v>
          </cell>
        </row>
        <row r="5088">
          <cell r="E5088" t="str">
            <v>MARIANNAARMEMPHISTN</v>
          </cell>
          <cell r="F5088">
            <v>420</v>
          </cell>
        </row>
        <row r="5089">
          <cell r="E5089" t="str">
            <v>MARIANNAARWEST MEMPHISAR</v>
          </cell>
          <cell r="F5089">
            <v>400</v>
          </cell>
        </row>
        <row r="5090">
          <cell r="E5090" t="str">
            <v>MARIANNAARTUNICAMS</v>
          </cell>
          <cell r="F5090">
            <v>400</v>
          </cell>
        </row>
        <row r="5091">
          <cell r="E5091" t="str">
            <v>MARIANNAARINDIANOLAMS</v>
          </cell>
          <cell r="F5091">
            <v>490</v>
          </cell>
        </row>
        <row r="5092">
          <cell r="E5092" t="str">
            <v>MARIANNAARMARIONAR</v>
          </cell>
          <cell r="F5092">
            <v>400</v>
          </cell>
        </row>
        <row r="5093">
          <cell r="E5093" t="str">
            <v>MARIANNAARSANFORDNC</v>
          </cell>
          <cell r="F5093">
            <v>1940</v>
          </cell>
        </row>
        <row r="5094">
          <cell r="E5094" t="str">
            <v>MARIANNAARGRIFTONNC</v>
          </cell>
          <cell r="F5094">
            <v>2320</v>
          </cell>
        </row>
        <row r="5095">
          <cell r="E5095" t="str">
            <v>MARIANNAARROSSVILLETN</v>
          </cell>
          <cell r="F5095">
            <v>470</v>
          </cell>
        </row>
        <row r="5096">
          <cell r="E5096" t="str">
            <v>MARIANNAARBLYTHEVILLEAR</v>
          </cell>
          <cell r="F5096">
            <v>490</v>
          </cell>
        </row>
        <row r="5097">
          <cell r="E5097" t="str">
            <v>MARIANNAARRINCONGA</v>
          </cell>
          <cell r="F5097">
            <v>1830</v>
          </cell>
        </row>
        <row r="5098">
          <cell r="E5098" t="str">
            <v>MARIANNAARCARTERSVILLEGA</v>
          </cell>
          <cell r="F5098">
            <v>1140</v>
          </cell>
        </row>
        <row r="5099">
          <cell r="E5099" t="str">
            <v>MARIANNAARPORT WENTWORTHGA</v>
          </cell>
          <cell r="F5099">
            <v>1820</v>
          </cell>
        </row>
        <row r="5100">
          <cell r="E5100" t="str">
            <v>MARIANNAARCENTREAL</v>
          </cell>
          <cell r="F5100">
            <v>1000</v>
          </cell>
        </row>
        <row r="5101">
          <cell r="E5101" t="str">
            <v>MARIANNAARMOBILEAL</v>
          </cell>
          <cell r="F5101">
            <v>1030</v>
          </cell>
        </row>
        <row r="5102">
          <cell r="E5102" t="str">
            <v>MARIANNAARGarden CityGA</v>
          </cell>
          <cell r="F5102">
            <v>1810</v>
          </cell>
        </row>
        <row r="5103">
          <cell r="E5103" t="str">
            <v>MARIANNAARNEW ORLEANSLA</v>
          </cell>
          <cell r="F5103">
            <v>1020</v>
          </cell>
        </row>
        <row r="5104">
          <cell r="E5104" t="str">
            <v>MARIANNAARGAFFNEYSC</v>
          </cell>
          <cell r="F5104">
            <v>1590</v>
          </cell>
        </row>
        <row r="5105">
          <cell r="E5105" t="str">
            <v>MARIANNAARNORFOLKVA</v>
          </cell>
          <cell r="F5105">
            <v>2350</v>
          </cell>
        </row>
        <row r="5106">
          <cell r="E5106" t="str">
            <v>MARIANNAARPORTSMOUTHVA</v>
          </cell>
          <cell r="F5106">
            <v>2340</v>
          </cell>
        </row>
        <row r="5107">
          <cell r="E5107" t="str">
            <v>MARIANNAARGAINESVILLEGA</v>
          </cell>
          <cell r="F5107">
            <v>1280</v>
          </cell>
        </row>
        <row r="5108">
          <cell r="E5108" t="str">
            <v>MARIANNAARENOREESC</v>
          </cell>
          <cell r="F5108">
            <v>1560</v>
          </cell>
        </row>
        <row r="5109">
          <cell r="E5109" t="str">
            <v>MARIANNAARGREERSC</v>
          </cell>
          <cell r="F5109">
            <v>1510</v>
          </cell>
        </row>
        <row r="5110">
          <cell r="E5110" t="str">
            <v>MARIANNAARECLECTICAL</v>
          </cell>
          <cell r="F5110">
            <v>1020</v>
          </cell>
        </row>
        <row r="5111">
          <cell r="E5111" t="str">
            <v>MARIANNAARDAWSONGA</v>
          </cell>
          <cell r="F5111">
            <v>1290</v>
          </cell>
        </row>
        <row r="5112">
          <cell r="E5112" t="str">
            <v>MASONTNNORFOLKVA</v>
          </cell>
          <cell r="F5112">
            <v>2140</v>
          </cell>
        </row>
        <row r="5113">
          <cell r="E5113" t="str">
            <v>MASONTNROCKFORDTN</v>
          </cell>
          <cell r="F5113">
            <v>970</v>
          </cell>
        </row>
        <row r="5114">
          <cell r="E5114" t="str">
            <v>MASONTNGREENWOODSC</v>
          </cell>
          <cell r="F5114">
            <v>1390</v>
          </cell>
        </row>
        <row r="5115">
          <cell r="E5115" t="str">
            <v>MASONTNCLARKTONNC</v>
          </cell>
          <cell r="F5115">
            <v>1830</v>
          </cell>
        </row>
        <row r="5116">
          <cell r="E5116" t="str">
            <v>MASONTNCHARLOTTENC</v>
          </cell>
          <cell r="F5116">
            <v>1480</v>
          </cell>
        </row>
        <row r="5117">
          <cell r="E5117" t="str">
            <v>MASONTNMCCALLAAL</v>
          </cell>
          <cell r="F5117">
            <v>750</v>
          </cell>
        </row>
        <row r="5118">
          <cell r="E5118" t="str">
            <v>MASONTNSHELBYNC</v>
          </cell>
          <cell r="F5118">
            <v>1380</v>
          </cell>
        </row>
        <row r="5119">
          <cell r="E5119" t="str">
            <v>MASONTNSALISBURYNC</v>
          </cell>
          <cell r="F5119">
            <v>1510</v>
          </cell>
        </row>
        <row r="5120">
          <cell r="E5120" t="str">
            <v>MASONTNINDIAN LANDSC</v>
          </cell>
          <cell r="F5120">
            <v>1510</v>
          </cell>
        </row>
        <row r="5121">
          <cell r="E5121" t="str">
            <v>MASONTNSPARTANC</v>
          </cell>
          <cell r="F5121">
            <v>1460</v>
          </cell>
        </row>
        <row r="5122">
          <cell r="E5122" t="str">
            <v>MASONTNHICKORYNC</v>
          </cell>
          <cell r="F5122">
            <v>1390</v>
          </cell>
        </row>
        <row r="5123">
          <cell r="E5123" t="str">
            <v>MASONTNMAYODANNC</v>
          </cell>
          <cell r="F5123">
            <v>1620</v>
          </cell>
        </row>
        <row r="5124">
          <cell r="E5124" t="str">
            <v>MASONTNGREERSC</v>
          </cell>
          <cell r="F5124">
            <v>1340</v>
          </cell>
        </row>
        <row r="5125">
          <cell r="E5125" t="str">
            <v>MASONTNJACKSONVILLEFL</v>
          </cell>
          <cell r="F5125">
            <v>1700</v>
          </cell>
        </row>
        <row r="5126">
          <cell r="E5126" t="str">
            <v>MASONTNLUMBERTONNC</v>
          </cell>
          <cell r="F5126">
            <v>1780</v>
          </cell>
        </row>
        <row r="5127">
          <cell r="E5127" t="str">
            <v>MASONTNSANFORDNC</v>
          </cell>
          <cell r="F5127">
            <v>1730</v>
          </cell>
        </row>
        <row r="5128">
          <cell r="E5128" t="str">
            <v>MASONTNENOREESC</v>
          </cell>
          <cell r="F5128">
            <v>1400</v>
          </cell>
        </row>
        <row r="5129">
          <cell r="E5129" t="str">
            <v>MASONTNSTONEVILLENC</v>
          </cell>
          <cell r="F5129">
            <v>1630</v>
          </cell>
        </row>
        <row r="5130">
          <cell r="E5130" t="str">
            <v>MASONTNKINSTONNC</v>
          </cell>
          <cell r="F5130">
            <v>1970</v>
          </cell>
        </row>
        <row r="5131">
          <cell r="E5131" t="str">
            <v>MASONTNMOCKSVILLENC</v>
          </cell>
          <cell r="F5131">
            <v>1500</v>
          </cell>
        </row>
        <row r="5132">
          <cell r="E5132" t="str">
            <v>MASONTNERWINNC</v>
          </cell>
          <cell r="F5132">
            <v>1810</v>
          </cell>
        </row>
        <row r="5133">
          <cell r="E5133" t="str">
            <v>MASONTNTHOMASVILLENC</v>
          </cell>
          <cell r="F5133">
            <v>1560</v>
          </cell>
        </row>
        <row r="5134">
          <cell r="E5134" t="str">
            <v>MASONTNLOWELLNC</v>
          </cell>
          <cell r="F5134">
            <v>1440</v>
          </cell>
        </row>
        <row r="5135">
          <cell r="E5135" t="str">
            <v>MASONTNMONEYMS</v>
          </cell>
          <cell r="F5135">
            <v>570</v>
          </cell>
        </row>
        <row r="5136">
          <cell r="E5136" t="str">
            <v>MASONTNBELMONTNC</v>
          </cell>
          <cell r="F5136">
            <v>1450</v>
          </cell>
        </row>
        <row r="5137">
          <cell r="E5137" t="str">
            <v>MASONTNLEXINGTONNC</v>
          </cell>
          <cell r="F5137">
            <v>1530</v>
          </cell>
        </row>
        <row r="5138">
          <cell r="E5138" t="str">
            <v>MASONTNGASTONIANC</v>
          </cell>
          <cell r="F5138">
            <v>1430</v>
          </cell>
        </row>
        <row r="5139">
          <cell r="E5139" t="str">
            <v>MASONTNNEW ORLEANSLA</v>
          </cell>
          <cell r="F5139">
            <v>1110</v>
          </cell>
        </row>
        <row r="5140">
          <cell r="E5140" t="str">
            <v>MASONTNINDIANOLAMS</v>
          </cell>
          <cell r="F5140">
            <v>590</v>
          </cell>
        </row>
        <row r="5141">
          <cell r="E5141" t="str">
            <v>MASONTNGREENWOODMS</v>
          </cell>
          <cell r="F5141">
            <v>600</v>
          </cell>
        </row>
        <row r="5142">
          <cell r="E5142" t="str">
            <v>MASONTNWEST MEMPHISAR</v>
          </cell>
          <cell r="F5142">
            <v>390</v>
          </cell>
        </row>
        <row r="5143">
          <cell r="E5143" t="str">
            <v>MASONTNRABUN GAPGA</v>
          </cell>
          <cell r="F5143">
            <v>1240</v>
          </cell>
        </row>
        <row r="5144">
          <cell r="E5144" t="str">
            <v>MASONTNDREWMS</v>
          </cell>
          <cell r="F5144">
            <v>540</v>
          </cell>
        </row>
        <row r="5145">
          <cell r="E5145" t="str">
            <v>MASONTNGRIFTONNC</v>
          </cell>
          <cell r="F5145">
            <v>2100</v>
          </cell>
        </row>
        <row r="5146">
          <cell r="E5146" t="str">
            <v>MASONTNMEMPHISTN</v>
          </cell>
          <cell r="F5146">
            <v>390</v>
          </cell>
        </row>
        <row r="5147">
          <cell r="E5147" t="str">
            <v>MASONTNTUNICAMS</v>
          </cell>
          <cell r="F5147">
            <v>440</v>
          </cell>
        </row>
        <row r="5148">
          <cell r="E5148" t="str">
            <v>MASONTNMARIONAR</v>
          </cell>
          <cell r="F5148">
            <v>400</v>
          </cell>
        </row>
        <row r="5149">
          <cell r="E5149" t="str">
            <v>MASONTNGULFPORTMS</v>
          </cell>
          <cell r="F5149">
            <v>1150</v>
          </cell>
        </row>
        <row r="5150">
          <cell r="E5150" t="str">
            <v>MASONTNROSSVILLETN</v>
          </cell>
          <cell r="F5150">
            <v>380</v>
          </cell>
        </row>
        <row r="5151">
          <cell r="E5151" t="str">
            <v>MASONTNMINERAL SPRINGSNC</v>
          </cell>
          <cell r="F5151">
            <v>1540</v>
          </cell>
        </row>
        <row r="5152">
          <cell r="E5152" t="str">
            <v>MASONTNBLYTHEVILLEAR</v>
          </cell>
          <cell r="F5152">
            <v>490</v>
          </cell>
        </row>
        <row r="5153">
          <cell r="E5153" t="str">
            <v>MASONTNTALLULAHLA</v>
          </cell>
          <cell r="F5153">
            <v>840</v>
          </cell>
        </row>
        <row r="5154">
          <cell r="E5154" t="str">
            <v>MASONTNROCKINGHAMNC</v>
          </cell>
          <cell r="F5154">
            <v>1650</v>
          </cell>
        </row>
        <row r="5155">
          <cell r="E5155" t="str">
            <v>MASONTNRINCONGA</v>
          </cell>
          <cell r="F5155">
            <v>1730</v>
          </cell>
        </row>
        <row r="5156">
          <cell r="E5156" t="str">
            <v>MASONTNPORT WENTWORTHGA</v>
          </cell>
          <cell r="F5156">
            <v>1720</v>
          </cell>
        </row>
        <row r="5157">
          <cell r="E5157" t="str">
            <v>MASONTNCENTREAL</v>
          </cell>
          <cell r="F5157">
            <v>800</v>
          </cell>
        </row>
        <row r="5158">
          <cell r="E5158" t="str">
            <v>MASONTNGarden CityGA</v>
          </cell>
          <cell r="F5158">
            <v>1700</v>
          </cell>
        </row>
        <row r="5159">
          <cell r="E5159" t="str">
            <v>MASONTNGAINESVILLEGA</v>
          </cell>
          <cell r="F5159">
            <v>1180</v>
          </cell>
        </row>
        <row r="5160">
          <cell r="E5160" t="str">
            <v>MASONTNCARTERSVILLEGA</v>
          </cell>
          <cell r="F5160">
            <v>1010</v>
          </cell>
        </row>
        <row r="5161">
          <cell r="E5161" t="str">
            <v>MASONTNMOBILEAL</v>
          </cell>
          <cell r="F5161">
            <v>1040</v>
          </cell>
        </row>
        <row r="5162">
          <cell r="E5162" t="str">
            <v>MASONTNDAWSONGA</v>
          </cell>
          <cell r="F5162">
            <v>1190</v>
          </cell>
        </row>
        <row r="5163">
          <cell r="E5163" t="str">
            <v>MASONTNGAFFNEYSC</v>
          </cell>
          <cell r="F5163">
            <v>1390</v>
          </cell>
        </row>
        <row r="5164">
          <cell r="E5164" t="str">
            <v>MASONTNRAYVILLELA</v>
          </cell>
          <cell r="F5164">
            <v>780</v>
          </cell>
        </row>
        <row r="5165">
          <cell r="E5165" t="str">
            <v>MASONTNPORTSMOUTHVA</v>
          </cell>
          <cell r="F5165">
            <v>2120</v>
          </cell>
        </row>
        <row r="5166">
          <cell r="E5166" t="str">
            <v>MASONTNECLECTICAL</v>
          </cell>
          <cell r="F5166">
            <v>930</v>
          </cell>
        </row>
        <row r="5167">
          <cell r="E5167" t="str">
            <v>MASONTNEDENTONNC</v>
          </cell>
          <cell r="F5167">
            <v>2090</v>
          </cell>
        </row>
        <row r="5168">
          <cell r="E5168" t="str">
            <v>MASONTNWESLACOTX</v>
          </cell>
          <cell r="F5168">
            <v>1550</v>
          </cell>
        </row>
        <row r="5169">
          <cell r="E5169" t="str">
            <v>MATHISTXBaytownTX</v>
          </cell>
          <cell r="F5169">
            <v>719</v>
          </cell>
        </row>
        <row r="5170">
          <cell r="E5170" t="str">
            <v>MATHISTXHoustonTX</v>
          </cell>
          <cell r="F5170">
            <v>703</v>
          </cell>
        </row>
        <row r="5171">
          <cell r="E5171" t="str">
            <v>MCCULLOUGHALROCKFORDTN</v>
          </cell>
          <cell r="F5171">
            <v>1200</v>
          </cell>
        </row>
        <row r="5172">
          <cell r="E5172" t="str">
            <v>MCCULLOUGHALROSSVILLETN</v>
          </cell>
          <cell r="F5172">
            <v>1130</v>
          </cell>
        </row>
        <row r="5173">
          <cell r="E5173" t="str">
            <v>MCCULLOUGHALSHELBYNC</v>
          </cell>
          <cell r="F5173">
            <v>1260</v>
          </cell>
        </row>
        <row r="5174">
          <cell r="E5174" t="str">
            <v>MCCULLOUGHALCHARLOTTENC</v>
          </cell>
          <cell r="F5174">
            <v>1340</v>
          </cell>
        </row>
        <row r="5175">
          <cell r="E5175" t="str">
            <v>MCCULLOUGHALLEXINGTONNC</v>
          </cell>
          <cell r="F5175">
            <v>1470</v>
          </cell>
        </row>
        <row r="5176">
          <cell r="E5176" t="str">
            <v>MCCULLOUGHALGAINESVILLEGA</v>
          </cell>
          <cell r="F5176">
            <v>910</v>
          </cell>
        </row>
        <row r="5177">
          <cell r="E5177" t="str">
            <v>MCCULLOUGHALHICKORYNC</v>
          </cell>
          <cell r="F5177">
            <v>1370</v>
          </cell>
        </row>
        <row r="5178">
          <cell r="E5178" t="str">
            <v>MCCULLOUGHALLUMBERTONNC</v>
          </cell>
          <cell r="F5178">
            <v>1550</v>
          </cell>
        </row>
        <row r="5179">
          <cell r="E5179" t="str">
            <v>MCCULLOUGHALJACKSONVILLEFL</v>
          </cell>
          <cell r="F5179">
            <v>990</v>
          </cell>
        </row>
        <row r="5180">
          <cell r="E5180" t="str">
            <v>MCCULLOUGHALMINERAL SPRINGSNC</v>
          </cell>
          <cell r="F5180">
            <v>1400</v>
          </cell>
        </row>
        <row r="5181">
          <cell r="E5181" t="str">
            <v>MCCULLOUGHALSPARTANC</v>
          </cell>
          <cell r="F5181">
            <v>1560</v>
          </cell>
        </row>
        <row r="5182">
          <cell r="E5182" t="str">
            <v>MCCULLOUGHALDAWSONGA</v>
          </cell>
          <cell r="F5182">
            <v>770</v>
          </cell>
        </row>
        <row r="5183">
          <cell r="E5183" t="str">
            <v>MCCULLOUGHALTUNICAMS</v>
          </cell>
          <cell r="F5183">
            <v>1180</v>
          </cell>
        </row>
        <row r="5184">
          <cell r="E5184" t="str">
            <v>MCCULLOUGHALGREENWOODMS</v>
          </cell>
          <cell r="F5184">
            <v>870</v>
          </cell>
        </row>
        <row r="5185">
          <cell r="E5185" t="str">
            <v>MCCULLOUGHALGREENWOODSC</v>
          </cell>
          <cell r="F5185">
            <v>1110</v>
          </cell>
        </row>
        <row r="5186">
          <cell r="E5186" t="str">
            <v>MCCULLOUGHALINDIAN LANDSC</v>
          </cell>
          <cell r="F5186">
            <v>1370</v>
          </cell>
        </row>
        <row r="5187">
          <cell r="E5187" t="str">
            <v>MCCULLOUGHALNORFOLKVA</v>
          </cell>
          <cell r="F5187">
            <v>2090</v>
          </cell>
        </row>
        <row r="5188">
          <cell r="E5188" t="str">
            <v>MCCULLOUGHALMARIONAR</v>
          </cell>
          <cell r="F5188">
            <v>1170</v>
          </cell>
        </row>
        <row r="5189">
          <cell r="E5189" t="str">
            <v>MCCULLOUGHALMEMPHISTN</v>
          </cell>
          <cell r="F5189">
            <v>1150</v>
          </cell>
        </row>
        <row r="5190">
          <cell r="E5190" t="str">
            <v>MCCULLOUGHALKINSTONNC</v>
          </cell>
          <cell r="F5190">
            <v>1840</v>
          </cell>
        </row>
        <row r="5191">
          <cell r="E5191" t="str">
            <v>MCCULLOUGHALDREWMS</v>
          </cell>
          <cell r="F5191">
            <v>930</v>
          </cell>
        </row>
        <row r="5192">
          <cell r="E5192" t="str">
            <v>MCCULLOUGHALEDENTONNC</v>
          </cell>
          <cell r="F5192">
            <v>2020</v>
          </cell>
        </row>
        <row r="5193">
          <cell r="E5193" t="str">
            <v>MCCULLOUGHALNEW ORLEANSLA</v>
          </cell>
          <cell r="F5193">
            <v>630</v>
          </cell>
        </row>
        <row r="5194">
          <cell r="E5194" t="str">
            <v>MCCULLOUGHALMAYODANNC</v>
          </cell>
          <cell r="F5194">
            <v>1590</v>
          </cell>
        </row>
        <row r="5195">
          <cell r="E5195" t="str">
            <v>MCCULLOUGHALWEST MEMPHISAR</v>
          </cell>
          <cell r="F5195">
            <v>1160</v>
          </cell>
        </row>
        <row r="5196">
          <cell r="E5196" t="str">
            <v>MCCULLOUGHALCARTERSVILLEGA</v>
          </cell>
          <cell r="F5196">
            <v>880</v>
          </cell>
        </row>
        <row r="5197">
          <cell r="E5197" t="str">
            <v>MCCULLOUGHALMOCKSVILLENC</v>
          </cell>
          <cell r="F5197">
            <v>1470</v>
          </cell>
        </row>
        <row r="5198">
          <cell r="E5198" t="str">
            <v>MCCULLOUGHALSTONEVILLENC</v>
          </cell>
          <cell r="F5198">
            <v>1600</v>
          </cell>
        </row>
        <row r="5199">
          <cell r="E5199" t="str">
            <v>MCCULLOUGHALTHOMASVILLENC</v>
          </cell>
          <cell r="F5199">
            <v>1500</v>
          </cell>
        </row>
        <row r="5200">
          <cell r="E5200" t="str">
            <v>MCCULLOUGHALMONEYMS</v>
          </cell>
          <cell r="F5200">
            <v>950</v>
          </cell>
        </row>
        <row r="5201">
          <cell r="E5201" t="str">
            <v>MCCULLOUGHALENOREESC</v>
          </cell>
          <cell r="F5201">
            <v>1200</v>
          </cell>
        </row>
        <row r="5202">
          <cell r="E5202" t="str">
            <v>MCCULLOUGHALGREERSC</v>
          </cell>
          <cell r="F5202">
            <v>1150</v>
          </cell>
        </row>
        <row r="5203">
          <cell r="E5203" t="str">
            <v>MCCULLOUGHALCENTREAL</v>
          </cell>
          <cell r="F5203">
            <v>800</v>
          </cell>
        </row>
        <row r="5204">
          <cell r="E5204" t="str">
            <v>MCCULLOUGHALLOWELLNC</v>
          </cell>
          <cell r="F5204">
            <v>1300</v>
          </cell>
        </row>
        <row r="5205">
          <cell r="E5205" t="str">
            <v>MCCULLOUGHALBELMONTNC</v>
          </cell>
          <cell r="F5205">
            <v>1310</v>
          </cell>
        </row>
        <row r="5206">
          <cell r="E5206" t="str">
            <v>MCCULLOUGHALGASTONIANC</v>
          </cell>
          <cell r="F5206">
            <v>1290</v>
          </cell>
        </row>
        <row r="5207">
          <cell r="E5207" t="str">
            <v>MCCULLOUGHALCLARKTONNC</v>
          </cell>
          <cell r="F5207">
            <v>1600</v>
          </cell>
        </row>
        <row r="5208">
          <cell r="E5208" t="str">
            <v>MCCULLOUGHALPORTSMOUTHVA</v>
          </cell>
          <cell r="F5208">
            <v>2060</v>
          </cell>
        </row>
        <row r="5209">
          <cell r="E5209" t="str">
            <v>MCCULLOUGHALECLECTICAL</v>
          </cell>
          <cell r="F5209">
            <v>550</v>
          </cell>
        </row>
        <row r="5210">
          <cell r="E5210" t="str">
            <v>MCCULLOUGHALGAFFNEYSC</v>
          </cell>
          <cell r="F5210">
            <v>1220</v>
          </cell>
        </row>
        <row r="5211">
          <cell r="E5211" t="str">
            <v>MCCULLOUGHALERWINNC</v>
          </cell>
          <cell r="F5211">
            <v>1680</v>
          </cell>
        </row>
        <row r="5212">
          <cell r="E5212" t="str">
            <v>MCCULLOUGHALSANFORDNC</v>
          </cell>
          <cell r="F5212">
            <v>1630</v>
          </cell>
        </row>
        <row r="5213">
          <cell r="E5213" t="str">
            <v>MCCULLOUGHALSALISBURYNC</v>
          </cell>
          <cell r="F5213">
            <v>1430</v>
          </cell>
        </row>
        <row r="5214">
          <cell r="E5214" t="str">
            <v>MCCULLOUGHALROCKINGHAMNC</v>
          </cell>
          <cell r="F5214">
            <v>1510</v>
          </cell>
        </row>
        <row r="5215">
          <cell r="E5215" t="str">
            <v>MCCULLOUGHALBLYTHEVILLEAR</v>
          </cell>
          <cell r="F5215">
            <v>1290</v>
          </cell>
        </row>
        <row r="5216">
          <cell r="E5216" t="str">
            <v>MCCULLOUGHALMCCALLAAL</v>
          </cell>
          <cell r="F5216">
            <v>660</v>
          </cell>
        </row>
        <row r="5217">
          <cell r="E5217" t="str">
            <v>MCCULLOUGHALGRIFTONNC</v>
          </cell>
          <cell r="F5217">
            <v>1970</v>
          </cell>
        </row>
        <row r="5218">
          <cell r="E5218" t="str">
            <v>MCCULLOUGHALRABUN GAPGA</v>
          </cell>
          <cell r="F5218">
            <v>1110</v>
          </cell>
        </row>
        <row r="5219">
          <cell r="E5219" t="str">
            <v>MCCULLOUGHALGarden CityGA</v>
          </cell>
          <cell r="F5219">
            <v>1260</v>
          </cell>
        </row>
        <row r="5220">
          <cell r="E5220" t="str">
            <v>MCCULLOUGHALRINCONGA</v>
          </cell>
          <cell r="F5220">
            <v>1290</v>
          </cell>
        </row>
        <row r="5221">
          <cell r="E5221" t="str">
            <v>MCCULLOUGHALPORT WENTWORTHGA</v>
          </cell>
          <cell r="F5221">
            <v>1280</v>
          </cell>
        </row>
        <row r="5222">
          <cell r="E5222" t="str">
            <v>MCCULLOUGHALMOBILEAL</v>
          </cell>
          <cell r="F5222">
            <v>400</v>
          </cell>
        </row>
        <row r="5223">
          <cell r="E5223" t="str">
            <v>MCCULLOUGHALTALLULAHLA</v>
          </cell>
          <cell r="F5223">
            <v>800</v>
          </cell>
        </row>
        <row r="5224">
          <cell r="E5224" t="str">
            <v>MCCULLOUGHALINDIANOLAMS</v>
          </cell>
          <cell r="F5224">
            <v>870</v>
          </cell>
        </row>
        <row r="5225">
          <cell r="E5225" t="str">
            <v>MCCULLOUGHALRAYVILLELA</v>
          </cell>
          <cell r="F5225">
            <v>870</v>
          </cell>
        </row>
        <row r="5226">
          <cell r="E5226" t="str">
            <v>MCCULLOUGHALGULFPORTMS</v>
          </cell>
          <cell r="F5226">
            <v>630</v>
          </cell>
        </row>
        <row r="5227">
          <cell r="E5227" t="str">
            <v>MCGEHEEARROCKFORDTN</v>
          </cell>
          <cell r="F5227">
            <v>1440</v>
          </cell>
        </row>
        <row r="5228">
          <cell r="E5228" t="str">
            <v>MCGEHEEARCLARKTONNC</v>
          </cell>
          <cell r="F5228">
            <v>2070</v>
          </cell>
        </row>
        <row r="5229">
          <cell r="E5229" t="str">
            <v>MCGEHEEARROCKINGHAMNC</v>
          </cell>
          <cell r="F5229">
            <v>1940</v>
          </cell>
        </row>
        <row r="5230">
          <cell r="E5230" t="str">
            <v>MCGEHEEARSALISBURYNC</v>
          </cell>
          <cell r="F5230">
            <v>1860</v>
          </cell>
        </row>
        <row r="5231">
          <cell r="E5231" t="str">
            <v>MCGEHEEARKINSTONNC</v>
          </cell>
          <cell r="F5231">
            <v>2310</v>
          </cell>
        </row>
        <row r="5232">
          <cell r="E5232" t="str">
            <v>MCGEHEEARJACKSONVILLEFL</v>
          </cell>
          <cell r="F5232">
            <v>1850</v>
          </cell>
        </row>
        <row r="5233">
          <cell r="E5233" t="str">
            <v>MCGEHEEARSHELBYNC</v>
          </cell>
          <cell r="F5233">
            <v>1690</v>
          </cell>
        </row>
        <row r="5234">
          <cell r="E5234" t="str">
            <v>MCGEHEEARLUMBERTONNC</v>
          </cell>
          <cell r="F5234">
            <v>2020</v>
          </cell>
        </row>
        <row r="5235">
          <cell r="E5235" t="str">
            <v>MCGEHEEARGASTONIANC</v>
          </cell>
          <cell r="F5235">
            <v>1720</v>
          </cell>
        </row>
        <row r="5236">
          <cell r="E5236" t="str">
            <v>MCGEHEEARMINERAL SPRINGSNC</v>
          </cell>
          <cell r="F5236">
            <v>1830</v>
          </cell>
        </row>
        <row r="5237">
          <cell r="E5237" t="str">
            <v>MCGEHEEARINDIAN LANDSC</v>
          </cell>
          <cell r="F5237">
            <v>1790</v>
          </cell>
        </row>
        <row r="5238">
          <cell r="E5238" t="str">
            <v>MCGEHEEARERWINNC</v>
          </cell>
          <cell r="F5238">
            <v>2150</v>
          </cell>
        </row>
        <row r="5239">
          <cell r="E5239" t="str">
            <v>MCGEHEEARGREENWOODSC</v>
          </cell>
          <cell r="F5239">
            <v>1550</v>
          </cell>
        </row>
        <row r="5240">
          <cell r="E5240" t="str">
            <v>MCGEHEEARENOREESC</v>
          </cell>
          <cell r="F5240">
            <v>1620</v>
          </cell>
        </row>
        <row r="5241">
          <cell r="E5241" t="str">
            <v>MCGEHEEARLOWELLNC</v>
          </cell>
          <cell r="F5241">
            <v>1730</v>
          </cell>
        </row>
        <row r="5242">
          <cell r="E5242" t="str">
            <v>MCGEHEEARGREERSC</v>
          </cell>
          <cell r="F5242">
            <v>1570</v>
          </cell>
        </row>
        <row r="5243">
          <cell r="E5243" t="str">
            <v>MCGEHEEARBELMONTNC</v>
          </cell>
          <cell r="F5243">
            <v>1740</v>
          </cell>
        </row>
        <row r="5244">
          <cell r="E5244" t="str">
            <v>MCGEHEEARGAFFNEYSC</v>
          </cell>
          <cell r="F5244">
            <v>1650</v>
          </cell>
        </row>
        <row r="5245">
          <cell r="E5245" t="str">
            <v>MCGEHEEARGRIFTONNC</v>
          </cell>
          <cell r="F5245">
            <v>2440</v>
          </cell>
        </row>
        <row r="5246">
          <cell r="E5246" t="str">
            <v>MCGEHEEARDAWSONGA</v>
          </cell>
          <cell r="F5246">
            <v>1330</v>
          </cell>
        </row>
        <row r="5247">
          <cell r="E5247" t="str">
            <v>MCGEHEEARMCCALLAAL</v>
          </cell>
          <cell r="F5247">
            <v>810</v>
          </cell>
        </row>
        <row r="5248">
          <cell r="E5248" t="str">
            <v>MCGEHEEARGarden CityGA</v>
          </cell>
          <cell r="F5248">
            <v>1860</v>
          </cell>
        </row>
        <row r="5249">
          <cell r="E5249" t="str">
            <v>MCGEHEEARRINCONGA</v>
          </cell>
          <cell r="F5249">
            <v>1890</v>
          </cell>
        </row>
        <row r="5250">
          <cell r="E5250" t="str">
            <v>MCGEHEEARPORT WENTWORTHGA</v>
          </cell>
          <cell r="F5250">
            <v>1880</v>
          </cell>
        </row>
        <row r="5251">
          <cell r="E5251" t="str">
            <v>MCGEHEEARWEST MEMPHISAR</v>
          </cell>
          <cell r="F5251">
            <v>570</v>
          </cell>
        </row>
        <row r="5252">
          <cell r="E5252" t="str">
            <v>MCGEHEEARROSSVILLETN</v>
          </cell>
          <cell r="F5252">
            <v>630</v>
          </cell>
        </row>
        <row r="5253">
          <cell r="E5253" t="str">
            <v>MCGEHEEARMEMPHISTN</v>
          </cell>
          <cell r="F5253">
            <v>580</v>
          </cell>
        </row>
        <row r="5254">
          <cell r="E5254" t="str">
            <v>MCGEHEEARGULFPORTMS</v>
          </cell>
          <cell r="F5254">
            <v>950</v>
          </cell>
        </row>
        <row r="5255">
          <cell r="E5255" t="str">
            <v>MCGEHEEARMONEYMS</v>
          </cell>
          <cell r="F5255">
            <v>480</v>
          </cell>
        </row>
        <row r="5256">
          <cell r="E5256" t="str">
            <v>MCGEHEEARMARIONAR</v>
          </cell>
          <cell r="F5256">
            <v>570</v>
          </cell>
        </row>
        <row r="5257">
          <cell r="E5257" t="str">
            <v>MCGEHEEARGREENWOODMS</v>
          </cell>
          <cell r="F5257">
            <v>470</v>
          </cell>
        </row>
        <row r="5258">
          <cell r="E5258" t="str">
            <v>MCGEHEEARTALLULAHLA</v>
          </cell>
          <cell r="F5258">
            <v>460</v>
          </cell>
        </row>
        <row r="5259">
          <cell r="E5259" t="str">
            <v>MCGEHEEARTUNICAMS</v>
          </cell>
          <cell r="F5259">
            <v>530</v>
          </cell>
        </row>
        <row r="5260">
          <cell r="E5260" t="str">
            <v>MCGEHEEARDREWMS</v>
          </cell>
          <cell r="F5260">
            <v>470</v>
          </cell>
        </row>
        <row r="5261">
          <cell r="E5261" t="str">
            <v>MCGEHEEARINDIANOLAMS</v>
          </cell>
          <cell r="F5261">
            <v>420</v>
          </cell>
        </row>
        <row r="5262">
          <cell r="E5262" t="str">
            <v>MCGEHEEARRAYVILLELA</v>
          </cell>
          <cell r="F5262">
            <v>460</v>
          </cell>
        </row>
        <row r="5263">
          <cell r="E5263" t="str">
            <v>MCGEHEEARBLYTHEVILLEAR</v>
          </cell>
          <cell r="F5263">
            <v>660</v>
          </cell>
        </row>
        <row r="5264">
          <cell r="E5264" t="str">
            <v>MCGEHEEARNORFOLKVA</v>
          </cell>
          <cell r="F5264">
            <v>2520</v>
          </cell>
        </row>
        <row r="5265">
          <cell r="E5265" t="str">
            <v>MCGEHEEAREDENTONNC</v>
          </cell>
          <cell r="F5265">
            <v>2460</v>
          </cell>
        </row>
        <row r="5266">
          <cell r="E5266" t="str">
            <v>MCGEHEEARPORTSMOUTHVA</v>
          </cell>
          <cell r="F5266">
            <v>2490</v>
          </cell>
        </row>
        <row r="5267">
          <cell r="E5267" t="str">
            <v>MCGEHEEARLEXINGTONNC</v>
          </cell>
          <cell r="F5267">
            <v>1890</v>
          </cell>
        </row>
        <row r="5268">
          <cell r="E5268" t="str">
            <v>MCGEHEEARTHOMASVILLENC</v>
          </cell>
          <cell r="F5268">
            <v>1920</v>
          </cell>
        </row>
        <row r="5269">
          <cell r="E5269" t="str">
            <v>MCGEHEEARMOCKSVILLENC</v>
          </cell>
          <cell r="F5269">
            <v>1890</v>
          </cell>
        </row>
        <row r="5270">
          <cell r="E5270" t="str">
            <v>MCGEHEEARSTONEVILLENC</v>
          </cell>
          <cell r="F5270">
            <v>2020</v>
          </cell>
        </row>
        <row r="5271">
          <cell r="E5271" t="str">
            <v>MCGEHEEARMAYODANNC</v>
          </cell>
          <cell r="F5271">
            <v>2010</v>
          </cell>
        </row>
        <row r="5272">
          <cell r="E5272" t="str">
            <v>MCGEHEEARSPARTANC</v>
          </cell>
          <cell r="F5272">
            <v>1930</v>
          </cell>
        </row>
        <row r="5273">
          <cell r="E5273" t="str">
            <v>MCGEHEEARSANFORDNC</v>
          </cell>
          <cell r="F5273">
            <v>2060</v>
          </cell>
        </row>
        <row r="5274">
          <cell r="E5274" t="str">
            <v>MCGEHEEARNEW ORLEANSLA</v>
          </cell>
          <cell r="F5274">
            <v>910</v>
          </cell>
        </row>
        <row r="5275">
          <cell r="E5275" t="str">
            <v>MCGEHEEARCHARLOTTENC</v>
          </cell>
          <cell r="F5275">
            <v>1770</v>
          </cell>
        </row>
        <row r="5276">
          <cell r="E5276" t="str">
            <v>MCGEHEEARHICKORYNC</v>
          </cell>
          <cell r="F5276">
            <v>1800</v>
          </cell>
        </row>
        <row r="5277">
          <cell r="E5277" t="str">
            <v>MCGEHEEARMOBILEAL</v>
          </cell>
          <cell r="F5277">
            <v>920</v>
          </cell>
        </row>
        <row r="5278">
          <cell r="E5278" t="str">
            <v>MCGEHEEARGAINESVILLEGA</v>
          </cell>
          <cell r="F5278">
            <v>1330</v>
          </cell>
        </row>
        <row r="5279">
          <cell r="E5279" t="str">
            <v>MCGEHEEARECLECTICAL</v>
          </cell>
          <cell r="F5279">
            <v>1010</v>
          </cell>
        </row>
        <row r="5280">
          <cell r="E5280" t="str">
            <v>MCGEHEEARCARTERSVILLEGA</v>
          </cell>
          <cell r="F5280">
            <v>1200</v>
          </cell>
        </row>
        <row r="5281">
          <cell r="E5281" t="str">
            <v>MCGEHEEARRABUN GAPGA</v>
          </cell>
          <cell r="F5281">
            <v>1570</v>
          </cell>
        </row>
        <row r="5282">
          <cell r="E5282" t="str">
            <v>MCGEHEEARCENTREAL</v>
          </cell>
          <cell r="F5282">
            <v>1060</v>
          </cell>
        </row>
        <row r="5283">
          <cell r="E5283" t="str">
            <v>MCKINNEYTXBaytownTX</v>
          </cell>
          <cell r="F5283">
            <v>740</v>
          </cell>
        </row>
        <row r="5284">
          <cell r="E5284" t="str">
            <v>MCKINNEYTXHoustonTX</v>
          </cell>
          <cell r="F5284">
            <v>703</v>
          </cell>
        </row>
        <row r="5285">
          <cell r="E5285" t="str">
            <v>MCKINNEYTXDallasTX</v>
          </cell>
          <cell r="F5285">
            <v>316</v>
          </cell>
        </row>
        <row r="5286">
          <cell r="E5286" t="str">
            <v>MEIGSGAROCKFORDTN</v>
          </cell>
          <cell r="F5286">
            <v>1150</v>
          </cell>
        </row>
        <row r="5287">
          <cell r="E5287" t="str">
            <v>MEIGSGAMAYODANNC</v>
          </cell>
          <cell r="F5287">
            <v>1360</v>
          </cell>
        </row>
        <row r="5288">
          <cell r="E5288" t="str">
            <v>MEIGSGAGAINESVILLEGA</v>
          </cell>
          <cell r="F5288">
            <v>750</v>
          </cell>
        </row>
        <row r="5289">
          <cell r="E5289" t="str">
            <v>MEIGSGAHICKORYNC</v>
          </cell>
          <cell r="F5289">
            <v>1210</v>
          </cell>
        </row>
        <row r="5290">
          <cell r="E5290" t="str">
            <v>MEIGSGASTONEVILLENC</v>
          </cell>
          <cell r="F5290">
            <v>1370</v>
          </cell>
        </row>
        <row r="5291">
          <cell r="E5291" t="str">
            <v>MEIGSGAINDIAN LANDSC</v>
          </cell>
          <cell r="F5291">
            <v>1090</v>
          </cell>
        </row>
        <row r="5292">
          <cell r="E5292" t="str">
            <v>MEIGSGAGREENWOODSC</v>
          </cell>
          <cell r="F5292">
            <v>810</v>
          </cell>
        </row>
        <row r="5293">
          <cell r="E5293" t="str">
            <v>MEIGSGATHOMASVILLENC</v>
          </cell>
          <cell r="F5293">
            <v>1270</v>
          </cell>
        </row>
        <row r="5294">
          <cell r="E5294" t="str">
            <v>MEIGSGAMARIONAR</v>
          </cell>
          <cell r="F5294">
            <v>1300</v>
          </cell>
        </row>
        <row r="5295">
          <cell r="E5295" t="str">
            <v>MEIGSGAGREENWOODMS</v>
          </cell>
          <cell r="F5295">
            <v>1190</v>
          </cell>
        </row>
        <row r="5296">
          <cell r="E5296" t="str">
            <v>MEIGSGALUMBERTONNC</v>
          </cell>
          <cell r="F5296">
            <v>1170</v>
          </cell>
        </row>
        <row r="5297">
          <cell r="E5297" t="str">
            <v>MEIGSGACENTREAL</v>
          </cell>
          <cell r="F5297">
            <v>770</v>
          </cell>
        </row>
        <row r="5298">
          <cell r="E5298" t="str">
            <v>MEIGSGAMOCKSVILLENC</v>
          </cell>
          <cell r="F5298">
            <v>1250</v>
          </cell>
        </row>
        <row r="5299">
          <cell r="E5299" t="str">
            <v>MEIGSGAMONEYMS</v>
          </cell>
          <cell r="F5299">
            <v>1230</v>
          </cell>
        </row>
        <row r="5300">
          <cell r="E5300" t="str">
            <v>MEIGSGAENOREESC</v>
          </cell>
          <cell r="F5300">
            <v>910</v>
          </cell>
        </row>
        <row r="5301">
          <cell r="E5301" t="str">
            <v>MEIGSGAROSSVILLETN</v>
          </cell>
          <cell r="F5301">
            <v>1270</v>
          </cell>
        </row>
        <row r="5302">
          <cell r="E5302" t="str">
            <v>MEIGSGAMCCALLAAL</v>
          </cell>
          <cell r="F5302">
            <v>790</v>
          </cell>
        </row>
        <row r="5303">
          <cell r="E5303" t="str">
            <v>MEIGSGADREWMS</v>
          </cell>
          <cell r="F5303">
            <v>1280</v>
          </cell>
        </row>
        <row r="5304">
          <cell r="E5304" t="str">
            <v>MEIGSGARAYVILLELA</v>
          </cell>
          <cell r="F5304">
            <v>1350</v>
          </cell>
        </row>
        <row r="5305">
          <cell r="E5305" t="str">
            <v>MEIGSGAKINSTONNC</v>
          </cell>
          <cell r="F5305">
            <v>1460</v>
          </cell>
        </row>
        <row r="5306">
          <cell r="E5306" t="str">
            <v>MEIGSGAEDENTONNC</v>
          </cell>
          <cell r="F5306">
            <v>1640</v>
          </cell>
        </row>
        <row r="5307">
          <cell r="E5307" t="str">
            <v>MEIGSGANEW ORLEANSLA</v>
          </cell>
          <cell r="F5307">
            <v>1070</v>
          </cell>
        </row>
        <row r="5308">
          <cell r="E5308" t="str">
            <v>MEIGSGASALISBURYNC</v>
          </cell>
          <cell r="F5308">
            <v>1210</v>
          </cell>
        </row>
        <row r="5309">
          <cell r="E5309" t="str">
            <v>MEIGSGABLYTHEVILLEAR</v>
          </cell>
          <cell r="F5309">
            <v>1430</v>
          </cell>
        </row>
        <row r="5310">
          <cell r="E5310" t="str">
            <v>MEIGSGAPORTSMOUTHVA</v>
          </cell>
          <cell r="F5310">
            <v>1730</v>
          </cell>
        </row>
        <row r="5311">
          <cell r="E5311" t="str">
            <v>MEIGSGACARTERSVILLEGA</v>
          </cell>
          <cell r="F5311">
            <v>760</v>
          </cell>
        </row>
        <row r="5312">
          <cell r="E5312" t="str">
            <v>MEIGSGAGREERSC</v>
          </cell>
          <cell r="F5312">
            <v>990</v>
          </cell>
        </row>
        <row r="5313">
          <cell r="E5313" t="str">
            <v>MEIGSGAINDIANOLAMS</v>
          </cell>
          <cell r="F5313">
            <v>1260</v>
          </cell>
        </row>
        <row r="5314">
          <cell r="E5314" t="str">
            <v>MEIGSGAMOBILEAL</v>
          </cell>
          <cell r="F5314">
            <v>750</v>
          </cell>
        </row>
        <row r="5315">
          <cell r="E5315" t="str">
            <v>MEIGSGALEXINGTONNC</v>
          </cell>
          <cell r="F5315">
            <v>1250</v>
          </cell>
        </row>
        <row r="5316">
          <cell r="E5316" t="str">
            <v>MEIGSGALOWELLNC</v>
          </cell>
          <cell r="F5316">
            <v>1150</v>
          </cell>
        </row>
        <row r="5317">
          <cell r="E5317" t="str">
            <v>MEIGSGAMINERAL SPRINGSNC</v>
          </cell>
          <cell r="F5317">
            <v>1100</v>
          </cell>
        </row>
        <row r="5318">
          <cell r="E5318" t="str">
            <v>MEIGSGASANFORDNC</v>
          </cell>
          <cell r="F5318">
            <v>1300</v>
          </cell>
        </row>
        <row r="5319">
          <cell r="E5319" t="str">
            <v>MEIGSGABELMONTNC</v>
          </cell>
          <cell r="F5319">
            <v>1150</v>
          </cell>
        </row>
        <row r="5320">
          <cell r="E5320" t="str">
            <v>MEIGSGAMEMPHISTN</v>
          </cell>
          <cell r="F5320">
            <v>1280</v>
          </cell>
        </row>
        <row r="5321">
          <cell r="E5321" t="str">
            <v>MEIGSGAGASTONIANC</v>
          </cell>
          <cell r="F5321">
            <v>1130</v>
          </cell>
        </row>
        <row r="5322">
          <cell r="E5322" t="str">
            <v>MEIGSGATALLULAHLA</v>
          </cell>
          <cell r="F5322">
            <v>1270</v>
          </cell>
        </row>
        <row r="5323">
          <cell r="E5323" t="str">
            <v>MEIGSGACHARLOTTENC</v>
          </cell>
          <cell r="F5323">
            <v>1110</v>
          </cell>
        </row>
        <row r="5324">
          <cell r="E5324" t="str">
            <v>MEIGSGASPARTANC</v>
          </cell>
          <cell r="F5324">
            <v>1340</v>
          </cell>
        </row>
        <row r="5325">
          <cell r="E5325" t="str">
            <v>MEIGSGANORFOLKVA</v>
          </cell>
          <cell r="F5325">
            <v>1750</v>
          </cell>
        </row>
        <row r="5326">
          <cell r="E5326" t="str">
            <v>MEIGSGACLARKTONNC</v>
          </cell>
          <cell r="F5326">
            <v>1220</v>
          </cell>
        </row>
        <row r="5327">
          <cell r="E5327" t="str">
            <v>MEIGSGAERWINNC</v>
          </cell>
          <cell r="F5327">
            <v>1300</v>
          </cell>
        </row>
        <row r="5328">
          <cell r="E5328" t="str">
            <v>MEIGSGARABUN GAPGA</v>
          </cell>
          <cell r="F5328">
            <v>940</v>
          </cell>
        </row>
        <row r="5329">
          <cell r="E5329" t="str">
            <v>MEIGSGAROCKINGHAMNC</v>
          </cell>
          <cell r="F5329">
            <v>1150</v>
          </cell>
        </row>
        <row r="5330">
          <cell r="E5330" t="str">
            <v>MEIGSGASHELBYNC</v>
          </cell>
          <cell r="F5330">
            <v>1100</v>
          </cell>
        </row>
        <row r="5331">
          <cell r="E5331" t="str">
            <v>MEIGSGATUNICAMS</v>
          </cell>
          <cell r="F5331">
            <v>1310</v>
          </cell>
        </row>
        <row r="5332">
          <cell r="E5332" t="str">
            <v>MEIGSGAWEST MEMPHISAR</v>
          </cell>
          <cell r="F5332">
            <v>1290</v>
          </cell>
        </row>
        <row r="5333">
          <cell r="E5333" t="str">
            <v>MEIGSGAGULFPORTMS</v>
          </cell>
          <cell r="F5333">
            <v>1020</v>
          </cell>
        </row>
        <row r="5334">
          <cell r="E5334" t="str">
            <v>MEIGSGAGRIFTONNC</v>
          </cell>
          <cell r="F5334">
            <v>1590</v>
          </cell>
        </row>
        <row r="5335">
          <cell r="E5335" t="str">
            <v>MEIGSGADAWSONGA</v>
          </cell>
          <cell r="F5335">
            <v>430</v>
          </cell>
        </row>
        <row r="5336">
          <cell r="E5336" t="str">
            <v>MEIGSGAPORT WENTWORTHGA</v>
          </cell>
          <cell r="F5336">
            <v>780</v>
          </cell>
        </row>
        <row r="5337">
          <cell r="E5337" t="str">
            <v>MEIGSGAGarden CityGA</v>
          </cell>
          <cell r="F5337">
            <v>770</v>
          </cell>
        </row>
        <row r="5338">
          <cell r="E5338" t="str">
            <v>MEIGSGAGAFFNEYSC</v>
          </cell>
          <cell r="F5338">
            <v>1070</v>
          </cell>
        </row>
        <row r="5339">
          <cell r="E5339" t="str">
            <v>MEIGSGARINCONGA</v>
          </cell>
          <cell r="F5339">
            <v>790</v>
          </cell>
        </row>
        <row r="5340">
          <cell r="E5340" t="str">
            <v>MEIGSGAECLECTICAL</v>
          </cell>
          <cell r="F5340">
            <v>650</v>
          </cell>
        </row>
        <row r="5341">
          <cell r="E5341" t="str">
            <v>MEIGSGAJACKSONVILLEFL</v>
          </cell>
          <cell r="F5341">
            <v>600</v>
          </cell>
        </row>
        <row r="5342">
          <cell r="E5342" t="str">
            <v>MEIGSGAWESLACOTX</v>
          </cell>
          <cell r="F5342">
            <v>1579</v>
          </cell>
        </row>
        <row r="5343">
          <cell r="E5343" t="str">
            <v>MEMPHISTNNORFOLKVA</v>
          </cell>
          <cell r="F5343">
            <v>2220</v>
          </cell>
        </row>
        <row r="5344">
          <cell r="E5344" t="str">
            <v>MEMPHISTNROCKFORDTN</v>
          </cell>
          <cell r="F5344">
            <v>1050</v>
          </cell>
        </row>
        <row r="5345">
          <cell r="E5345" t="str">
            <v>MEMPHISTNHICKORYNC</v>
          </cell>
          <cell r="F5345">
            <v>1470</v>
          </cell>
        </row>
        <row r="5346">
          <cell r="E5346" t="str">
            <v>MEMPHISTNGREENWOODSC</v>
          </cell>
          <cell r="F5346">
            <v>1350</v>
          </cell>
        </row>
        <row r="5347">
          <cell r="E5347" t="str">
            <v>MEMPHISTNERWINNC</v>
          </cell>
          <cell r="F5347">
            <v>1890</v>
          </cell>
        </row>
        <row r="5348">
          <cell r="E5348" t="str">
            <v>MEMPHISTNMCCALLAAL</v>
          </cell>
          <cell r="F5348">
            <v>710</v>
          </cell>
        </row>
        <row r="5349">
          <cell r="E5349" t="str">
            <v>MEMPHISTNKINSTONNC</v>
          </cell>
          <cell r="F5349">
            <v>2050</v>
          </cell>
        </row>
        <row r="5350">
          <cell r="E5350" t="str">
            <v>MEMPHISTNENOREESC</v>
          </cell>
          <cell r="F5350">
            <v>1420</v>
          </cell>
        </row>
        <row r="5351">
          <cell r="E5351" t="str">
            <v>MEMPHISTNGREERSC</v>
          </cell>
          <cell r="F5351">
            <v>1370</v>
          </cell>
        </row>
        <row r="5352">
          <cell r="E5352" t="str">
            <v>MEMPHISTNMOCKSVILLENC</v>
          </cell>
          <cell r="F5352">
            <v>1580</v>
          </cell>
        </row>
        <row r="5353">
          <cell r="E5353" t="str">
            <v>MEMPHISTNJACKSONVILLEFL</v>
          </cell>
          <cell r="F5353">
            <v>1660</v>
          </cell>
        </row>
        <row r="5354">
          <cell r="E5354" t="str">
            <v>MEMPHISTNTHOMASVILLENC</v>
          </cell>
          <cell r="F5354">
            <v>1650</v>
          </cell>
        </row>
        <row r="5355">
          <cell r="E5355" t="str">
            <v>MEMPHISTNROCKINGHAMNC</v>
          </cell>
          <cell r="F5355">
            <v>1740</v>
          </cell>
        </row>
        <row r="5356">
          <cell r="E5356" t="str">
            <v>MEMPHISTNCLARKTONNC</v>
          </cell>
          <cell r="F5356">
            <v>1870</v>
          </cell>
        </row>
        <row r="5357">
          <cell r="E5357" t="str">
            <v>MEMPHISTNLEXINGTONNC</v>
          </cell>
          <cell r="F5357">
            <v>1610</v>
          </cell>
        </row>
        <row r="5358">
          <cell r="E5358" t="str">
            <v>MEMPHISTNGASTONIANC</v>
          </cell>
          <cell r="F5358">
            <v>1510</v>
          </cell>
        </row>
        <row r="5359">
          <cell r="E5359" t="str">
            <v>MEMPHISTNLUMBERTONNC</v>
          </cell>
          <cell r="F5359">
            <v>1810</v>
          </cell>
        </row>
        <row r="5360">
          <cell r="E5360" t="str">
            <v>MEMPHISTNSHELBYNC</v>
          </cell>
          <cell r="F5360">
            <v>1460</v>
          </cell>
        </row>
        <row r="5361">
          <cell r="E5361" t="str">
            <v>MEMPHISTNINDIAN LANDSC</v>
          </cell>
          <cell r="F5361">
            <v>1590</v>
          </cell>
        </row>
        <row r="5362">
          <cell r="E5362" t="str">
            <v>MEMPHISTNSPARTANC</v>
          </cell>
          <cell r="F5362">
            <v>1540</v>
          </cell>
        </row>
        <row r="5363">
          <cell r="E5363" t="str">
            <v>MEMPHISTNMONEYMS</v>
          </cell>
          <cell r="F5363">
            <v>500</v>
          </cell>
        </row>
        <row r="5364">
          <cell r="E5364" t="str">
            <v>MEMPHISTNINDIANOLAMS</v>
          </cell>
          <cell r="F5364">
            <v>520</v>
          </cell>
        </row>
        <row r="5365">
          <cell r="E5365" t="str">
            <v>MEMPHISTNGRIFTONNC</v>
          </cell>
          <cell r="F5365">
            <v>2190</v>
          </cell>
        </row>
        <row r="5366">
          <cell r="E5366" t="str">
            <v>MEMPHISTNGREENWOODMS</v>
          </cell>
          <cell r="F5366">
            <v>530</v>
          </cell>
        </row>
        <row r="5367">
          <cell r="E5367" t="str">
            <v>MEMPHISTNDREWMS</v>
          </cell>
          <cell r="F5367">
            <v>470</v>
          </cell>
        </row>
        <row r="5368">
          <cell r="E5368" t="str">
            <v>MEMPHISTNBLYTHEVILLEAR</v>
          </cell>
          <cell r="F5368">
            <v>430</v>
          </cell>
        </row>
        <row r="5369">
          <cell r="E5369" t="str">
            <v>MEMPHISTNGULFPORTMS</v>
          </cell>
          <cell r="F5369">
            <v>1060</v>
          </cell>
        </row>
        <row r="5370">
          <cell r="E5370" t="str">
            <v>MEMPHISTNTUNICAMS</v>
          </cell>
          <cell r="F5370">
            <v>370</v>
          </cell>
        </row>
        <row r="5371">
          <cell r="E5371" t="str">
            <v>MEMPHISTNWEST MEMPHISAR</v>
          </cell>
          <cell r="F5371">
            <v>340</v>
          </cell>
        </row>
        <row r="5372">
          <cell r="E5372" t="str">
            <v>MEMPHISTNMARIONAR</v>
          </cell>
          <cell r="F5372">
            <v>350</v>
          </cell>
        </row>
        <row r="5373">
          <cell r="E5373" t="str">
            <v>MEMPHISTNMAYODANNC</v>
          </cell>
          <cell r="F5373">
            <v>1700</v>
          </cell>
        </row>
        <row r="5374">
          <cell r="E5374" t="str">
            <v>MEMPHISTNSTONEVILLENC</v>
          </cell>
          <cell r="F5374">
            <v>1710</v>
          </cell>
        </row>
        <row r="5375">
          <cell r="E5375" t="str">
            <v>MEMPHISTNSANFORDNC</v>
          </cell>
          <cell r="F5375">
            <v>1810</v>
          </cell>
        </row>
        <row r="5376">
          <cell r="E5376" t="str">
            <v>MEMPHISTNBELMONTNC</v>
          </cell>
          <cell r="F5376">
            <v>1530</v>
          </cell>
        </row>
        <row r="5377">
          <cell r="E5377" t="str">
            <v>MEMPHISTNLOWELLNC</v>
          </cell>
          <cell r="F5377">
            <v>1530</v>
          </cell>
        </row>
        <row r="5378">
          <cell r="E5378" t="str">
            <v>MEMPHISTNCHARLOTTENC</v>
          </cell>
          <cell r="F5378">
            <v>1560</v>
          </cell>
        </row>
        <row r="5379">
          <cell r="E5379" t="str">
            <v>MEMPHISTNMINERAL SPRINGSNC</v>
          </cell>
          <cell r="F5379">
            <v>1620</v>
          </cell>
        </row>
        <row r="5380">
          <cell r="E5380" t="str">
            <v>MEMPHISTNSALISBURYNC</v>
          </cell>
          <cell r="F5380">
            <v>1590</v>
          </cell>
        </row>
        <row r="5381">
          <cell r="E5381" t="str">
            <v>MEMPHISTNCARTERSVILLEGA</v>
          </cell>
          <cell r="F5381">
            <v>1000</v>
          </cell>
        </row>
        <row r="5382">
          <cell r="E5382" t="str">
            <v>MEMPHISTNMOBILEAL</v>
          </cell>
          <cell r="F5382">
            <v>1020</v>
          </cell>
        </row>
        <row r="5383">
          <cell r="E5383" t="str">
            <v>MEMPHISTNCENTREAL</v>
          </cell>
          <cell r="F5383">
            <v>860</v>
          </cell>
        </row>
        <row r="5384">
          <cell r="E5384" t="str">
            <v>MEMPHISTNNEW ORLEANSLA</v>
          </cell>
          <cell r="F5384">
            <v>1020</v>
          </cell>
        </row>
        <row r="5385">
          <cell r="E5385" t="str">
            <v>MEMPHISTNRABUN GAPGA</v>
          </cell>
          <cell r="F5385">
            <v>1350</v>
          </cell>
        </row>
        <row r="5386">
          <cell r="E5386" t="str">
            <v>MEMPHISTNGarden CityGA</v>
          </cell>
          <cell r="F5386">
            <v>1660</v>
          </cell>
        </row>
        <row r="5387">
          <cell r="E5387" t="str">
            <v>MEMPHISTNRINCONGA</v>
          </cell>
          <cell r="F5387">
            <v>1690</v>
          </cell>
        </row>
        <row r="5388">
          <cell r="E5388" t="str">
            <v>MEMPHISTNGAINESVILLEGA</v>
          </cell>
          <cell r="F5388">
            <v>1130</v>
          </cell>
        </row>
        <row r="5389">
          <cell r="E5389" t="str">
            <v>MEMPHISTNTALLULAHLA</v>
          </cell>
          <cell r="F5389">
            <v>660</v>
          </cell>
        </row>
        <row r="5390">
          <cell r="E5390" t="str">
            <v>MEMPHISTNPORT WENTWORTHGA</v>
          </cell>
          <cell r="F5390">
            <v>1680</v>
          </cell>
        </row>
        <row r="5391">
          <cell r="E5391" t="str">
            <v>MEMPHISTNROSSVILLETN</v>
          </cell>
          <cell r="F5391">
            <v>370</v>
          </cell>
        </row>
        <row r="5392">
          <cell r="E5392" t="str">
            <v>MEMPHISTNDAWSONGA</v>
          </cell>
          <cell r="F5392">
            <v>1150</v>
          </cell>
        </row>
        <row r="5393">
          <cell r="E5393" t="str">
            <v>MEMPHISTNECLECTICAL</v>
          </cell>
          <cell r="F5393">
            <v>890</v>
          </cell>
        </row>
        <row r="5394">
          <cell r="E5394" t="str">
            <v>MEMPHISTNGAFFNEYSC</v>
          </cell>
          <cell r="F5394">
            <v>1450</v>
          </cell>
        </row>
        <row r="5395">
          <cell r="E5395" t="str">
            <v>MEMPHISTNPORTSMOUTHVA</v>
          </cell>
          <cell r="F5395">
            <v>2210</v>
          </cell>
        </row>
        <row r="5396">
          <cell r="E5396" t="str">
            <v>MEMPHISTNEDENTONNC</v>
          </cell>
          <cell r="F5396">
            <v>2170</v>
          </cell>
        </row>
        <row r="5397">
          <cell r="E5397" t="str">
            <v>MEMPHISTNRAYVILLELA</v>
          </cell>
          <cell r="F5397">
            <v>690</v>
          </cell>
        </row>
        <row r="5398">
          <cell r="E5398" t="str">
            <v>MEMPHISTXHoustonTX</v>
          </cell>
          <cell r="F5398">
            <v>890</v>
          </cell>
        </row>
        <row r="5399">
          <cell r="E5399" t="str">
            <v>MEMPHISTXBaytownTX</v>
          </cell>
          <cell r="F5399">
            <v>915</v>
          </cell>
        </row>
        <row r="5400">
          <cell r="E5400" t="str">
            <v>MEMPHISTXDallasTX</v>
          </cell>
          <cell r="F5400">
            <v>479</v>
          </cell>
        </row>
        <row r="5401">
          <cell r="E5401" t="str">
            <v>MEMPHISTNWESLACOTX</v>
          </cell>
          <cell r="F5401">
            <v>1517</v>
          </cell>
        </row>
        <row r="5402">
          <cell r="E5402" t="str">
            <v>MER ROUGELAHoustonTX</v>
          </cell>
          <cell r="F5402">
            <v>1217</v>
          </cell>
        </row>
        <row r="5403">
          <cell r="E5403" t="str">
            <v>MER ROUGELABaytownTX</v>
          </cell>
          <cell r="F5403">
            <v>1099</v>
          </cell>
        </row>
        <row r="5404">
          <cell r="E5404" t="str">
            <v>METTERGAROCKFORDTN</v>
          </cell>
          <cell r="F5404">
            <v>1070</v>
          </cell>
        </row>
        <row r="5405">
          <cell r="E5405" t="str">
            <v>METTERGABELMONTNC</v>
          </cell>
          <cell r="F5405">
            <v>710</v>
          </cell>
        </row>
        <row r="5406">
          <cell r="E5406" t="str">
            <v>METTERGAGASTONIANC</v>
          </cell>
          <cell r="F5406">
            <v>730</v>
          </cell>
        </row>
        <row r="5407">
          <cell r="E5407" t="str">
            <v>METTERGAHICKORYNC</v>
          </cell>
          <cell r="F5407">
            <v>810</v>
          </cell>
        </row>
        <row r="5408">
          <cell r="E5408" t="str">
            <v>METTERGAMINERAL SPRINGSNC</v>
          </cell>
          <cell r="F5408">
            <v>690</v>
          </cell>
        </row>
        <row r="5409">
          <cell r="E5409" t="str">
            <v>METTERGATUNICAMS</v>
          </cell>
          <cell r="F5409">
            <v>1460</v>
          </cell>
        </row>
        <row r="5410">
          <cell r="E5410" t="str">
            <v>METTERGAMCCALLAAL</v>
          </cell>
          <cell r="F5410">
            <v>950</v>
          </cell>
        </row>
        <row r="5411">
          <cell r="E5411" t="str">
            <v>METTERGAWEST MEMPHISAR</v>
          </cell>
          <cell r="F5411">
            <v>1440</v>
          </cell>
        </row>
        <row r="5412">
          <cell r="E5412" t="str">
            <v>METTERGALOWELLNC</v>
          </cell>
          <cell r="F5412">
            <v>720</v>
          </cell>
        </row>
        <row r="5413">
          <cell r="E5413" t="str">
            <v>METTERGAKINSTONNC</v>
          </cell>
          <cell r="F5413">
            <v>1080</v>
          </cell>
        </row>
        <row r="5414">
          <cell r="E5414" t="str">
            <v>METTERGAEDENTONNC</v>
          </cell>
          <cell r="F5414">
            <v>1260</v>
          </cell>
        </row>
        <row r="5415">
          <cell r="E5415" t="str">
            <v>METTERGALEXINGTONNC</v>
          </cell>
          <cell r="F5415">
            <v>830</v>
          </cell>
        </row>
        <row r="5416">
          <cell r="E5416" t="str">
            <v>METTERGAROSSVILLETN</v>
          </cell>
          <cell r="F5416">
            <v>1420</v>
          </cell>
        </row>
        <row r="5417">
          <cell r="E5417" t="str">
            <v>METTERGADREWMS</v>
          </cell>
          <cell r="F5417">
            <v>1480</v>
          </cell>
        </row>
        <row r="5418">
          <cell r="E5418" t="str">
            <v>METTERGACENTREAL</v>
          </cell>
          <cell r="F5418">
            <v>770</v>
          </cell>
        </row>
        <row r="5419">
          <cell r="E5419" t="str">
            <v>METTERGAPORTSMOUTHVA</v>
          </cell>
          <cell r="F5419">
            <v>1350</v>
          </cell>
        </row>
        <row r="5420">
          <cell r="E5420" t="str">
            <v>METTERGAINDIANOLAMS</v>
          </cell>
          <cell r="F5420">
            <v>1460</v>
          </cell>
        </row>
        <row r="5421">
          <cell r="E5421" t="str">
            <v>METTERGARAYVILLELA</v>
          </cell>
          <cell r="F5421">
            <v>1640</v>
          </cell>
        </row>
        <row r="5422">
          <cell r="E5422" t="str">
            <v>METTERGAINDIAN LANDSC</v>
          </cell>
          <cell r="F5422">
            <v>690</v>
          </cell>
        </row>
        <row r="5423">
          <cell r="E5423" t="str">
            <v>METTERGASANFORDNC</v>
          </cell>
          <cell r="F5423">
            <v>930</v>
          </cell>
        </row>
        <row r="5424">
          <cell r="E5424" t="str">
            <v>METTERGANEW ORLEANSLA</v>
          </cell>
          <cell r="F5424">
            <v>1450</v>
          </cell>
        </row>
        <row r="5425">
          <cell r="E5425" t="str">
            <v>METTERGAMOBILEAL</v>
          </cell>
          <cell r="F5425">
            <v>1140</v>
          </cell>
        </row>
        <row r="5426">
          <cell r="E5426" t="str">
            <v>METTERGATHOMASVILLENC</v>
          </cell>
          <cell r="F5426">
            <v>860</v>
          </cell>
        </row>
        <row r="5427">
          <cell r="E5427" t="str">
            <v>METTERGAMAYODANNC</v>
          </cell>
          <cell r="F5427">
            <v>950</v>
          </cell>
        </row>
        <row r="5428">
          <cell r="E5428" t="str">
            <v>METTERGABLYTHEVILLEAR</v>
          </cell>
          <cell r="F5428">
            <v>1570</v>
          </cell>
        </row>
        <row r="5429">
          <cell r="E5429" t="str">
            <v>METTERGAGREERSC</v>
          </cell>
          <cell r="F5429">
            <v>640</v>
          </cell>
        </row>
        <row r="5430">
          <cell r="E5430" t="str">
            <v>METTERGAECLECTICAL</v>
          </cell>
          <cell r="F5430">
            <v>750</v>
          </cell>
        </row>
        <row r="5431">
          <cell r="E5431" t="str">
            <v>METTERGAMEMPHISTN</v>
          </cell>
          <cell r="F5431">
            <v>1430</v>
          </cell>
        </row>
        <row r="5432">
          <cell r="E5432" t="str">
            <v>METTERGAENOREESC</v>
          </cell>
          <cell r="F5432">
            <v>610</v>
          </cell>
        </row>
        <row r="5433">
          <cell r="E5433" t="str">
            <v>METTERGASTONEVILLENC</v>
          </cell>
          <cell r="F5433">
            <v>950</v>
          </cell>
        </row>
        <row r="5434">
          <cell r="E5434" t="str">
            <v>METTERGATALLULAHLA</v>
          </cell>
          <cell r="F5434">
            <v>1560</v>
          </cell>
        </row>
        <row r="5435">
          <cell r="E5435" t="str">
            <v>METTERGAMOCKSVILLENC</v>
          </cell>
          <cell r="F5435">
            <v>830</v>
          </cell>
        </row>
        <row r="5436">
          <cell r="E5436" t="str">
            <v>METTERGACHARLOTTENC</v>
          </cell>
          <cell r="F5436">
            <v>700</v>
          </cell>
        </row>
        <row r="5437">
          <cell r="E5437" t="str">
            <v>METTERGANORFOLKVA</v>
          </cell>
          <cell r="F5437">
            <v>1370</v>
          </cell>
        </row>
        <row r="5438">
          <cell r="E5438" t="str">
            <v>METTERGAGREENWOODMS</v>
          </cell>
          <cell r="F5438">
            <v>1390</v>
          </cell>
        </row>
        <row r="5439">
          <cell r="E5439" t="str">
            <v>METTERGASALISBURYNC</v>
          </cell>
          <cell r="F5439">
            <v>790</v>
          </cell>
        </row>
        <row r="5440">
          <cell r="E5440" t="str">
            <v>METTERGASHELBYNC</v>
          </cell>
          <cell r="F5440">
            <v>690</v>
          </cell>
        </row>
        <row r="5441">
          <cell r="E5441" t="str">
            <v>METTERGAMARIONAR</v>
          </cell>
          <cell r="F5441">
            <v>1450</v>
          </cell>
        </row>
        <row r="5442">
          <cell r="E5442" t="str">
            <v>METTERGAMONEYMS</v>
          </cell>
          <cell r="F5442">
            <v>1430</v>
          </cell>
        </row>
        <row r="5443">
          <cell r="E5443" t="str">
            <v>METTERGARABUN GAPGA</v>
          </cell>
          <cell r="F5443">
            <v>780</v>
          </cell>
        </row>
        <row r="5444">
          <cell r="E5444" t="str">
            <v>METTERGAGREENWOODSC</v>
          </cell>
          <cell r="F5444">
            <v>550</v>
          </cell>
        </row>
        <row r="5445">
          <cell r="E5445" t="str">
            <v>METTERGAGULFPORTMS</v>
          </cell>
          <cell r="F5445">
            <v>1400</v>
          </cell>
        </row>
        <row r="5446">
          <cell r="E5446" t="str">
            <v>METTERGARINCONGA</v>
          </cell>
          <cell r="F5446">
            <v>530</v>
          </cell>
        </row>
        <row r="5447">
          <cell r="E5447" t="str">
            <v>METTERGAGarden CityGA</v>
          </cell>
          <cell r="F5447">
            <v>510</v>
          </cell>
        </row>
        <row r="5448">
          <cell r="E5448" t="str">
            <v>METTERGAPORT WENTWORTHGA</v>
          </cell>
          <cell r="F5448">
            <v>520</v>
          </cell>
        </row>
        <row r="5449">
          <cell r="E5449" t="str">
            <v>METTERGASPARTANC</v>
          </cell>
          <cell r="F5449">
            <v>930</v>
          </cell>
        </row>
        <row r="5450">
          <cell r="E5450" t="str">
            <v>METTERGALUMBERTONNC</v>
          </cell>
          <cell r="F5450">
            <v>790</v>
          </cell>
        </row>
        <row r="5451">
          <cell r="E5451" t="str">
            <v>METTERGAGAFFNEYSC</v>
          </cell>
          <cell r="F5451">
            <v>680</v>
          </cell>
        </row>
        <row r="5452">
          <cell r="E5452" t="str">
            <v>METTERGAGAINESVILLEGA</v>
          </cell>
          <cell r="F5452">
            <v>690</v>
          </cell>
        </row>
        <row r="5453">
          <cell r="E5453" t="str">
            <v>METTERGAERWINNC</v>
          </cell>
          <cell r="F5453">
            <v>920</v>
          </cell>
        </row>
        <row r="5454">
          <cell r="E5454" t="str">
            <v>METTERGAGRIFTONNC</v>
          </cell>
          <cell r="F5454">
            <v>1210</v>
          </cell>
        </row>
        <row r="5455">
          <cell r="E5455" t="str">
            <v>METTERGACARTERSVILLEGA</v>
          </cell>
          <cell r="F5455">
            <v>690</v>
          </cell>
        </row>
        <row r="5456">
          <cell r="E5456" t="str">
            <v>METTERGACLARKTONNC</v>
          </cell>
          <cell r="F5456">
            <v>840</v>
          </cell>
        </row>
        <row r="5457">
          <cell r="E5457" t="str">
            <v>METTERGADAWSONGA</v>
          </cell>
          <cell r="F5457">
            <v>600</v>
          </cell>
        </row>
        <row r="5458">
          <cell r="E5458" t="str">
            <v>METTERGAROCKINGHAMNC</v>
          </cell>
          <cell r="F5458">
            <v>740</v>
          </cell>
        </row>
        <row r="5459">
          <cell r="E5459" t="str">
            <v>METTERGAJACKSONVILLEFL</v>
          </cell>
          <cell r="F5459">
            <v>610</v>
          </cell>
        </row>
        <row r="5460">
          <cell r="E5460" t="str">
            <v>METTERGAWESLACOTX</v>
          </cell>
          <cell r="F5460">
            <v>2275</v>
          </cell>
        </row>
        <row r="5461">
          <cell r="E5461" t="str">
            <v>MIDVILLEGAROCKFORDTN</v>
          </cell>
          <cell r="F5461">
            <v>930</v>
          </cell>
        </row>
        <row r="5462">
          <cell r="E5462" t="str">
            <v>MIDVILLEGAHICKORYNC</v>
          </cell>
          <cell r="F5462">
            <v>740</v>
          </cell>
        </row>
        <row r="5463">
          <cell r="E5463" t="str">
            <v>MIDVILLEGAEDENTONNC</v>
          </cell>
          <cell r="F5463">
            <v>1190</v>
          </cell>
        </row>
        <row r="5464">
          <cell r="E5464" t="str">
            <v>MIDVILLEGASPARTANC</v>
          </cell>
          <cell r="F5464">
            <v>860</v>
          </cell>
        </row>
        <row r="5465">
          <cell r="E5465" t="str">
            <v>MIDVILLEGAECLECTICAL</v>
          </cell>
          <cell r="F5465">
            <v>770</v>
          </cell>
        </row>
        <row r="5466">
          <cell r="E5466" t="str">
            <v>MIDVILLEGASANFORDNC</v>
          </cell>
          <cell r="F5466">
            <v>790</v>
          </cell>
        </row>
        <row r="5467">
          <cell r="E5467" t="str">
            <v>MIDVILLEGALOWELLNC</v>
          </cell>
          <cell r="F5467">
            <v>670</v>
          </cell>
        </row>
        <row r="5468">
          <cell r="E5468" t="str">
            <v>MIDVILLEGAMARIONAR</v>
          </cell>
          <cell r="F5468">
            <v>1420</v>
          </cell>
        </row>
        <row r="5469">
          <cell r="E5469" t="str">
            <v>MIDVILLEGAMONEYMS</v>
          </cell>
          <cell r="F5469">
            <v>1400</v>
          </cell>
        </row>
        <row r="5470">
          <cell r="E5470" t="str">
            <v>MIDVILLEGAMAYODANNC</v>
          </cell>
          <cell r="F5470">
            <v>880</v>
          </cell>
        </row>
        <row r="5471">
          <cell r="E5471" t="str">
            <v>MIDVILLEGATUNICAMS</v>
          </cell>
          <cell r="F5471">
            <v>1430</v>
          </cell>
        </row>
        <row r="5472">
          <cell r="E5472" t="str">
            <v>MIDVILLEGAMCCALLAAL</v>
          </cell>
          <cell r="F5472">
            <v>920</v>
          </cell>
        </row>
        <row r="5473">
          <cell r="E5473" t="str">
            <v>MIDVILLEGAWEST MEMPHISAR</v>
          </cell>
          <cell r="F5473">
            <v>1410</v>
          </cell>
        </row>
        <row r="5474">
          <cell r="E5474" t="str">
            <v>MIDVILLEGASTONEVILLENC</v>
          </cell>
          <cell r="F5474">
            <v>890</v>
          </cell>
        </row>
        <row r="5475">
          <cell r="E5475" t="str">
            <v>MIDVILLEGAGASTONIANC</v>
          </cell>
          <cell r="F5475">
            <v>680</v>
          </cell>
        </row>
        <row r="5476">
          <cell r="E5476" t="str">
            <v>MIDVILLEGATHOMASVILLENC</v>
          </cell>
          <cell r="F5476">
            <v>790</v>
          </cell>
        </row>
        <row r="5477">
          <cell r="E5477" t="str">
            <v>MIDVILLEGACENTREAL</v>
          </cell>
          <cell r="F5477">
            <v>750</v>
          </cell>
        </row>
        <row r="5478">
          <cell r="E5478" t="str">
            <v>MIDVILLEGAMOCKSVILLENC</v>
          </cell>
          <cell r="F5478">
            <v>770</v>
          </cell>
        </row>
        <row r="5479">
          <cell r="E5479" t="str">
            <v>MIDVILLEGANORFOLKVA</v>
          </cell>
          <cell r="F5479">
            <v>1310</v>
          </cell>
        </row>
        <row r="5480">
          <cell r="E5480" t="str">
            <v>MIDVILLEGAROSSVILLETN</v>
          </cell>
          <cell r="F5480">
            <v>1390</v>
          </cell>
        </row>
        <row r="5481">
          <cell r="E5481" t="str">
            <v>MIDVILLEGADREWMS</v>
          </cell>
          <cell r="F5481">
            <v>1450</v>
          </cell>
        </row>
        <row r="5482">
          <cell r="E5482" t="str">
            <v>MIDVILLEGAINDIANOLAMS</v>
          </cell>
          <cell r="F5482">
            <v>1430</v>
          </cell>
        </row>
        <row r="5483">
          <cell r="E5483" t="str">
            <v>MIDVILLEGARAYVILLELA</v>
          </cell>
          <cell r="F5483">
            <v>1610</v>
          </cell>
        </row>
        <row r="5484">
          <cell r="E5484" t="str">
            <v>MIDVILLEGACHARLOTTENC</v>
          </cell>
          <cell r="F5484">
            <v>660</v>
          </cell>
        </row>
        <row r="5485">
          <cell r="E5485" t="str">
            <v>MIDVILLEGAGAINESVILLEGA</v>
          </cell>
          <cell r="F5485">
            <v>580</v>
          </cell>
        </row>
        <row r="5486">
          <cell r="E5486" t="str">
            <v>MIDVILLEGASHELBYNC</v>
          </cell>
          <cell r="F5486">
            <v>640</v>
          </cell>
        </row>
        <row r="5487">
          <cell r="E5487" t="str">
            <v>MIDVILLEGASALISBURYNC</v>
          </cell>
          <cell r="F5487">
            <v>720</v>
          </cell>
        </row>
        <row r="5488">
          <cell r="E5488" t="str">
            <v>MIDVILLEGALUMBERTONNC</v>
          </cell>
          <cell r="F5488">
            <v>720</v>
          </cell>
        </row>
        <row r="5489">
          <cell r="E5489" t="str">
            <v>MIDVILLEGABELMONTNC</v>
          </cell>
          <cell r="F5489">
            <v>660</v>
          </cell>
        </row>
        <row r="5490">
          <cell r="E5490" t="str">
            <v>MIDVILLEGAKINSTONNC</v>
          </cell>
          <cell r="F5490">
            <v>1010</v>
          </cell>
        </row>
        <row r="5491">
          <cell r="E5491" t="str">
            <v>MIDVILLEGABLYTHEVILLEAR</v>
          </cell>
          <cell r="F5491">
            <v>1540</v>
          </cell>
        </row>
        <row r="5492">
          <cell r="E5492" t="str">
            <v>MIDVILLEGAMINERAL SPRINGSNC</v>
          </cell>
          <cell r="F5492">
            <v>640</v>
          </cell>
        </row>
        <row r="5493">
          <cell r="E5493" t="str">
            <v>MIDVILLEGALEXINGTONNC</v>
          </cell>
          <cell r="F5493">
            <v>760</v>
          </cell>
        </row>
        <row r="5494">
          <cell r="E5494" t="str">
            <v>MIDVILLEGAMEMPHISTN</v>
          </cell>
          <cell r="F5494">
            <v>1400</v>
          </cell>
        </row>
        <row r="5495">
          <cell r="E5495" t="str">
            <v>MIDVILLEGAROCKINGHAMNC</v>
          </cell>
          <cell r="F5495">
            <v>680</v>
          </cell>
        </row>
        <row r="5496">
          <cell r="E5496" t="str">
            <v>MIDVILLEGANEW ORLEANSLA</v>
          </cell>
          <cell r="F5496">
            <v>1460</v>
          </cell>
        </row>
        <row r="5497">
          <cell r="E5497" t="str">
            <v>MIDVILLEGAMOBILEAL</v>
          </cell>
          <cell r="F5497">
            <v>1150</v>
          </cell>
        </row>
        <row r="5498">
          <cell r="E5498" t="str">
            <v>MIDVILLEGATALLULAHLA</v>
          </cell>
          <cell r="F5498">
            <v>1530</v>
          </cell>
        </row>
        <row r="5499">
          <cell r="E5499" t="str">
            <v>MIDVILLEGAPORTSMOUTHVA</v>
          </cell>
          <cell r="F5499">
            <v>1280</v>
          </cell>
        </row>
        <row r="5500">
          <cell r="E5500" t="str">
            <v>MIDVILLEGAGREENWOODMS</v>
          </cell>
          <cell r="F5500">
            <v>1360</v>
          </cell>
        </row>
        <row r="5501">
          <cell r="E5501" t="str">
            <v>MIDVILLEGAGREENWOODSC</v>
          </cell>
          <cell r="F5501">
            <v>500</v>
          </cell>
        </row>
        <row r="5502">
          <cell r="E5502" t="str">
            <v>MIDVILLEGAINDIAN LANDSC</v>
          </cell>
          <cell r="F5502">
            <v>640</v>
          </cell>
        </row>
        <row r="5503">
          <cell r="E5503" t="str">
            <v>MIDVILLEGAGREERSC</v>
          </cell>
          <cell r="F5503">
            <v>600</v>
          </cell>
        </row>
        <row r="5504">
          <cell r="E5504" t="str">
            <v>MIDVILLEGAENOREESC</v>
          </cell>
          <cell r="F5504">
            <v>570</v>
          </cell>
        </row>
        <row r="5505">
          <cell r="E5505" t="str">
            <v>MIDVILLEGARABUN GAPGA</v>
          </cell>
          <cell r="F5505">
            <v>650</v>
          </cell>
        </row>
        <row r="5506">
          <cell r="E5506" t="str">
            <v>MIDVILLEGAGULFPORTMS</v>
          </cell>
          <cell r="F5506">
            <v>1410</v>
          </cell>
        </row>
        <row r="5507">
          <cell r="E5507" t="str">
            <v>MIDVILLEGAPORT WENTWORTHGA</v>
          </cell>
          <cell r="F5507">
            <v>560</v>
          </cell>
        </row>
        <row r="5508">
          <cell r="E5508" t="str">
            <v>MIDVILLEGARINCONGA</v>
          </cell>
          <cell r="F5508">
            <v>540</v>
          </cell>
        </row>
        <row r="5509">
          <cell r="E5509" t="str">
            <v>MIDVILLEGAGarden CityGA</v>
          </cell>
          <cell r="F5509">
            <v>570</v>
          </cell>
        </row>
        <row r="5510">
          <cell r="E5510" t="str">
            <v>MIDVILLEGACARTERSVILLEGA</v>
          </cell>
          <cell r="F5510">
            <v>650</v>
          </cell>
        </row>
        <row r="5511">
          <cell r="E5511" t="str">
            <v>MIDVILLEGAERWINNC</v>
          </cell>
          <cell r="F5511">
            <v>860</v>
          </cell>
        </row>
        <row r="5512">
          <cell r="E5512" t="str">
            <v>MIDVILLEGAGAFFNEYSC</v>
          </cell>
          <cell r="F5512">
            <v>640</v>
          </cell>
        </row>
        <row r="5513">
          <cell r="E5513" t="str">
            <v>MIDVILLEGAGRIFTONNC</v>
          </cell>
          <cell r="F5513">
            <v>1140</v>
          </cell>
        </row>
        <row r="5514">
          <cell r="E5514" t="str">
            <v>MIDVILLEGACLARKTONNC</v>
          </cell>
          <cell r="F5514">
            <v>780</v>
          </cell>
        </row>
        <row r="5515">
          <cell r="E5515" t="str">
            <v>MIDVILLEGADAWSONGA</v>
          </cell>
          <cell r="F5515">
            <v>610</v>
          </cell>
        </row>
        <row r="5516">
          <cell r="E5516" t="str">
            <v>MIDVILLEGAJACKSONVILLEFL</v>
          </cell>
          <cell r="F5516">
            <v>660</v>
          </cell>
        </row>
        <row r="5517">
          <cell r="E5517" t="str">
            <v>MIDVILLEGAWESLACOTX</v>
          </cell>
          <cell r="F5517">
            <v>2311</v>
          </cell>
        </row>
        <row r="5518">
          <cell r="E5518" t="str">
            <v>MILANTNNORFOLKVA</v>
          </cell>
          <cell r="F5518">
            <v>2030</v>
          </cell>
        </row>
        <row r="5519">
          <cell r="E5519" t="str">
            <v>MILANTNGREERSC</v>
          </cell>
          <cell r="F5519">
            <v>1230</v>
          </cell>
        </row>
        <row r="5520">
          <cell r="E5520" t="str">
            <v>MILANTNROCKFORDTN</v>
          </cell>
          <cell r="F5520">
            <v>860</v>
          </cell>
        </row>
        <row r="5521">
          <cell r="E5521" t="str">
            <v>MILANTNLUMBERTONNC</v>
          </cell>
          <cell r="F5521">
            <v>1670</v>
          </cell>
        </row>
        <row r="5522">
          <cell r="E5522" t="str">
            <v>MILANTNCHARLOTTENC</v>
          </cell>
          <cell r="F5522">
            <v>1370</v>
          </cell>
        </row>
        <row r="5523">
          <cell r="E5523" t="str">
            <v>MILANTNINDIAN LANDSC</v>
          </cell>
          <cell r="F5523">
            <v>1400</v>
          </cell>
        </row>
        <row r="5524">
          <cell r="E5524" t="str">
            <v>MILANTNSPARTANC</v>
          </cell>
          <cell r="F5524">
            <v>1350</v>
          </cell>
        </row>
        <row r="5525">
          <cell r="E5525" t="str">
            <v>MILANTNMCCALLAAL</v>
          </cell>
          <cell r="F5525">
            <v>770</v>
          </cell>
        </row>
        <row r="5526">
          <cell r="E5526" t="str">
            <v>MILANTNMINERAL SPRINGSNC</v>
          </cell>
          <cell r="F5526">
            <v>1430</v>
          </cell>
        </row>
        <row r="5527">
          <cell r="E5527" t="str">
            <v>MILANTNHICKORYNC</v>
          </cell>
          <cell r="F5527">
            <v>1280</v>
          </cell>
        </row>
        <row r="5528">
          <cell r="E5528" t="str">
            <v>MILANTNMAYODANNC</v>
          </cell>
          <cell r="F5528">
            <v>1510</v>
          </cell>
        </row>
        <row r="5529">
          <cell r="E5529" t="str">
            <v>MILANTNMONEYMS</v>
          </cell>
          <cell r="F5529">
            <v>670</v>
          </cell>
        </row>
        <row r="5530">
          <cell r="E5530" t="str">
            <v>MILANTNSANFORDNC</v>
          </cell>
          <cell r="F5530">
            <v>1620</v>
          </cell>
        </row>
        <row r="5531">
          <cell r="E5531" t="str">
            <v>MILANTNENOREESC</v>
          </cell>
          <cell r="F5531">
            <v>1290</v>
          </cell>
        </row>
        <row r="5532">
          <cell r="E5532" t="str">
            <v>MILANTNSTONEVILLENC</v>
          </cell>
          <cell r="F5532">
            <v>1520</v>
          </cell>
        </row>
        <row r="5533">
          <cell r="E5533" t="str">
            <v>MILANTNERWINNC</v>
          </cell>
          <cell r="F5533">
            <v>1700</v>
          </cell>
        </row>
        <row r="5534">
          <cell r="E5534" t="str">
            <v>MILANTNKINSTONNC</v>
          </cell>
          <cell r="F5534">
            <v>1860</v>
          </cell>
        </row>
        <row r="5535">
          <cell r="E5535" t="str">
            <v>MILANTNJACKSONVILLEFL</v>
          </cell>
          <cell r="F5535">
            <v>1790</v>
          </cell>
        </row>
        <row r="5536">
          <cell r="E5536" t="str">
            <v>MILANTNTHOMASVILLENC</v>
          </cell>
          <cell r="F5536">
            <v>1460</v>
          </cell>
        </row>
        <row r="5537">
          <cell r="E5537" t="str">
            <v>MILANTNMOCKSVILLENC</v>
          </cell>
          <cell r="F5537">
            <v>1390</v>
          </cell>
        </row>
        <row r="5538">
          <cell r="E5538" t="str">
            <v>MILANTNBELMONTNC</v>
          </cell>
          <cell r="F5538">
            <v>1350</v>
          </cell>
        </row>
        <row r="5539">
          <cell r="E5539" t="str">
            <v>MILANTNLOWELLNC</v>
          </cell>
          <cell r="F5539">
            <v>1330</v>
          </cell>
        </row>
        <row r="5540">
          <cell r="E5540" t="str">
            <v>MILANTNROCKINGHAMNC</v>
          </cell>
          <cell r="F5540">
            <v>1540</v>
          </cell>
        </row>
        <row r="5541">
          <cell r="E5541" t="str">
            <v>MILANTNLEXINGTONNC</v>
          </cell>
          <cell r="F5541">
            <v>1420</v>
          </cell>
        </row>
        <row r="5542">
          <cell r="E5542" t="str">
            <v>MILANTNGASTONIANC</v>
          </cell>
          <cell r="F5542">
            <v>1320</v>
          </cell>
        </row>
        <row r="5543">
          <cell r="E5543" t="str">
            <v>MILANTNSALISBURYNC</v>
          </cell>
          <cell r="F5543">
            <v>1400</v>
          </cell>
        </row>
        <row r="5544">
          <cell r="E5544" t="str">
            <v>MILANTNGREENWOODSC</v>
          </cell>
          <cell r="F5544">
            <v>1300</v>
          </cell>
        </row>
        <row r="5545">
          <cell r="E5545" t="str">
            <v>MILANTNCLARKTONNC</v>
          </cell>
          <cell r="F5545">
            <v>1720</v>
          </cell>
        </row>
        <row r="5546">
          <cell r="E5546" t="str">
            <v>MILANTNMEMPHISTN</v>
          </cell>
          <cell r="F5546">
            <v>490</v>
          </cell>
        </row>
        <row r="5547">
          <cell r="E5547" t="str">
            <v>MILANTNRABUN GAPGA</v>
          </cell>
          <cell r="F5547">
            <v>1130</v>
          </cell>
        </row>
        <row r="5548">
          <cell r="E5548" t="str">
            <v>MILANTNGRIFTONNC</v>
          </cell>
          <cell r="F5548">
            <v>1990</v>
          </cell>
        </row>
        <row r="5549">
          <cell r="E5549" t="str">
            <v>MILANTNGULFPORTMS</v>
          </cell>
          <cell r="F5549">
            <v>1210</v>
          </cell>
        </row>
        <row r="5550">
          <cell r="E5550" t="str">
            <v>MILANTNROSSVILLETN</v>
          </cell>
          <cell r="F5550">
            <v>470</v>
          </cell>
        </row>
        <row r="5551">
          <cell r="E5551" t="str">
            <v>MILANTNBLYTHEVILLEAR</v>
          </cell>
          <cell r="F5551">
            <v>460</v>
          </cell>
        </row>
        <row r="5552">
          <cell r="E5552" t="str">
            <v>MILANTNDREWMS</v>
          </cell>
          <cell r="F5552">
            <v>640</v>
          </cell>
        </row>
        <row r="5553">
          <cell r="E5553" t="str">
            <v>MILANTNGREENWOODMS</v>
          </cell>
          <cell r="F5553">
            <v>690</v>
          </cell>
        </row>
        <row r="5554">
          <cell r="E5554" t="str">
            <v>MILANTNWEST MEMPHISAR</v>
          </cell>
          <cell r="F5554">
            <v>490</v>
          </cell>
        </row>
        <row r="5555">
          <cell r="E5555" t="str">
            <v>MILANTNMARIONAR</v>
          </cell>
          <cell r="F5555">
            <v>500</v>
          </cell>
        </row>
        <row r="5556">
          <cell r="E5556" t="str">
            <v>MILANTNNEW ORLEANSLA</v>
          </cell>
          <cell r="F5556">
            <v>1250</v>
          </cell>
        </row>
        <row r="5557">
          <cell r="E5557" t="str">
            <v>MILANTNSHELBYNC</v>
          </cell>
          <cell r="F5557">
            <v>1270</v>
          </cell>
        </row>
        <row r="5558">
          <cell r="E5558" t="str">
            <v>MILANTNINDIANOLAMS</v>
          </cell>
          <cell r="F5558">
            <v>690</v>
          </cell>
        </row>
        <row r="5559">
          <cell r="E5559" t="str">
            <v>MILANTNMOBILEAL</v>
          </cell>
          <cell r="F5559">
            <v>1060</v>
          </cell>
        </row>
        <row r="5560">
          <cell r="E5560" t="str">
            <v>MILANTNRINCONGA</v>
          </cell>
          <cell r="F5560">
            <v>1680</v>
          </cell>
        </row>
        <row r="5561">
          <cell r="E5561" t="str">
            <v>MILANTNGAINESVILLEGA</v>
          </cell>
          <cell r="F5561">
            <v>1090</v>
          </cell>
        </row>
        <row r="5562">
          <cell r="E5562" t="str">
            <v>MILANTNPORT WENTWORTHGA</v>
          </cell>
          <cell r="F5562">
            <v>1670</v>
          </cell>
        </row>
        <row r="5563">
          <cell r="E5563" t="str">
            <v>MILANTNCENTREAL</v>
          </cell>
          <cell r="F5563">
            <v>760</v>
          </cell>
        </row>
        <row r="5564">
          <cell r="E5564" t="str">
            <v>MILANTNTALLULAHLA</v>
          </cell>
          <cell r="F5564">
            <v>970</v>
          </cell>
        </row>
        <row r="5565">
          <cell r="E5565" t="str">
            <v>MILANTNTUNICAMS</v>
          </cell>
          <cell r="F5565">
            <v>540</v>
          </cell>
        </row>
        <row r="5566">
          <cell r="E5566" t="str">
            <v>MILANTNCARTERSVILLEGA</v>
          </cell>
          <cell r="F5566">
            <v>910</v>
          </cell>
        </row>
        <row r="5567">
          <cell r="E5567" t="str">
            <v>MILANTNGarden CityGA</v>
          </cell>
          <cell r="F5567">
            <v>1650</v>
          </cell>
        </row>
        <row r="5568">
          <cell r="E5568" t="str">
            <v>MILANTNDAWSONGA</v>
          </cell>
          <cell r="F5568">
            <v>1180</v>
          </cell>
        </row>
        <row r="5569">
          <cell r="E5569" t="str">
            <v>MILANTNPORTSMOUTHVA</v>
          </cell>
          <cell r="F5569">
            <v>2020</v>
          </cell>
        </row>
        <row r="5570">
          <cell r="E5570" t="str">
            <v>MILANTNEDENTONNC</v>
          </cell>
          <cell r="F5570">
            <v>1980</v>
          </cell>
        </row>
        <row r="5571">
          <cell r="E5571" t="str">
            <v>MILANTNRAYVILLELA</v>
          </cell>
          <cell r="F5571">
            <v>920</v>
          </cell>
        </row>
        <row r="5572">
          <cell r="E5572" t="str">
            <v>MILANTNECLECTICAL</v>
          </cell>
          <cell r="F5572">
            <v>910</v>
          </cell>
        </row>
        <row r="5573">
          <cell r="E5573" t="str">
            <v>MILANTNGAFFNEYSC</v>
          </cell>
          <cell r="F5573">
            <v>1280</v>
          </cell>
        </row>
        <row r="5574">
          <cell r="E5574" t="str">
            <v>MILANTNWESLACOTX</v>
          </cell>
          <cell r="F5574">
            <v>1746</v>
          </cell>
        </row>
        <row r="5575">
          <cell r="E5575" t="str">
            <v>MILLENGASALISBURYNC</v>
          </cell>
          <cell r="F5575">
            <v>720</v>
          </cell>
        </row>
        <row r="5576">
          <cell r="E5576" t="str">
            <v>MILLENGALUMBERTONNC</v>
          </cell>
          <cell r="F5576">
            <v>720</v>
          </cell>
        </row>
        <row r="5577">
          <cell r="E5577" t="str">
            <v>MILLENGAKINSTONNC</v>
          </cell>
          <cell r="F5577">
            <v>1010</v>
          </cell>
        </row>
        <row r="5578">
          <cell r="E5578" t="str">
            <v>MILLENGALEXINGTONNC</v>
          </cell>
          <cell r="F5578">
            <v>760</v>
          </cell>
        </row>
        <row r="5579">
          <cell r="E5579" t="str">
            <v>MILLENGAHICKORYNC</v>
          </cell>
          <cell r="F5579">
            <v>740</v>
          </cell>
        </row>
        <row r="5580">
          <cell r="E5580" t="str">
            <v>MILLENGAPORTSMOUTHVA</v>
          </cell>
          <cell r="F5580">
            <v>1280</v>
          </cell>
        </row>
        <row r="5581">
          <cell r="E5581" t="str">
            <v>MILLENGAMEMPHISTN</v>
          </cell>
          <cell r="F5581">
            <v>1470</v>
          </cell>
        </row>
        <row r="5582">
          <cell r="E5582" t="str">
            <v>MILLENGAEDENTONNC</v>
          </cell>
          <cell r="F5582">
            <v>1190</v>
          </cell>
        </row>
        <row r="5583">
          <cell r="E5583" t="str">
            <v>MILLENGASPARTANC</v>
          </cell>
          <cell r="F5583">
            <v>860</v>
          </cell>
        </row>
        <row r="5584">
          <cell r="E5584" t="str">
            <v>MILLENGALOWELLNC</v>
          </cell>
          <cell r="F5584">
            <v>670</v>
          </cell>
        </row>
        <row r="5585">
          <cell r="E5585" t="str">
            <v>MILLENGAINDIAN LANDSC</v>
          </cell>
          <cell r="F5585">
            <v>640</v>
          </cell>
        </row>
        <row r="5586">
          <cell r="E5586" t="str">
            <v>MILLENGASANFORDNC</v>
          </cell>
          <cell r="F5586">
            <v>790</v>
          </cell>
        </row>
        <row r="5587">
          <cell r="E5587" t="str">
            <v>MILLENGATALLULAHLA</v>
          </cell>
          <cell r="F5587">
            <v>1600</v>
          </cell>
        </row>
        <row r="5588">
          <cell r="E5588" t="str">
            <v>MILLENGAMAYODANNC</v>
          </cell>
          <cell r="F5588">
            <v>880</v>
          </cell>
        </row>
        <row r="5589">
          <cell r="E5589" t="str">
            <v>MILLENGAGREENWOODMS</v>
          </cell>
          <cell r="F5589">
            <v>1430</v>
          </cell>
        </row>
        <row r="5590">
          <cell r="E5590" t="str">
            <v>MILLENGAGASTONIANC</v>
          </cell>
          <cell r="F5590">
            <v>680</v>
          </cell>
        </row>
        <row r="5591">
          <cell r="E5591" t="str">
            <v>MILLENGANEW ORLEANSLA</v>
          </cell>
          <cell r="F5591">
            <v>1500</v>
          </cell>
        </row>
        <row r="5592">
          <cell r="E5592" t="str">
            <v>MILLENGATUNICAMS</v>
          </cell>
          <cell r="F5592">
            <v>1500</v>
          </cell>
        </row>
        <row r="5593">
          <cell r="E5593" t="str">
            <v>MILLENGAMCCALLAAL</v>
          </cell>
          <cell r="F5593">
            <v>990</v>
          </cell>
        </row>
        <row r="5594">
          <cell r="E5594" t="str">
            <v>MILLENGAWEST MEMPHISAR</v>
          </cell>
          <cell r="F5594">
            <v>1480</v>
          </cell>
        </row>
        <row r="5595">
          <cell r="E5595" t="str">
            <v>MILLENGASTONEVILLENC</v>
          </cell>
          <cell r="F5595">
            <v>890</v>
          </cell>
        </row>
        <row r="5596">
          <cell r="E5596" t="str">
            <v>MILLENGAGREERSC</v>
          </cell>
          <cell r="F5596">
            <v>600</v>
          </cell>
        </row>
        <row r="5597">
          <cell r="E5597" t="str">
            <v>MILLENGATHOMASVILLENC</v>
          </cell>
          <cell r="F5597">
            <v>790</v>
          </cell>
        </row>
        <row r="5598">
          <cell r="E5598" t="str">
            <v>MILLENGACENTREAL</v>
          </cell>
          <cell r="F5598">
            <v>820</v>
          </cell>
        </row>
        <row r="5599">
          <cell r="E5599" t="str">
            <v>MILLENGAMOCKSVILLENC</v>
          </cell>
          <cell r="F5599">
            <v>770</v>
          </cell>
        </row>
        <row r="5600">
          <cell r="E5600" t="str">
            <v>MILLENGAMARIONAR</v>
          </cell>
          <cell r="F5600">
            <v>1490</v>
          </cell>
        </row>
        <row r="5601">
          <cell r="E5601" t="str">
            <v>MILLENGANORFOLKVA</v>
          </cell>
          <cell r="F5601">
            <v>1300</v>
          </cell>
        </row>
        <row r="5602">
          <cell r="E5602" t="str">
            <v>MILLENGAMONEYMS</v>
          </cell>
          <cell r="F5602">
            <v>1460</v>
          </cell>
        </row>
        <row r="5603">
          <cell r="E5603" t="str">
            <v>MILLENGACHARLOTTENC</v>
          </cell>
          <cell r="F5603">
            <v>650</v>
          </cell>
        </row>
        <row r="5604">
          <cell r="E5604" t="str">
            <v>MILLENGADREWMS</v>
          </cell>
          <cell r="F5604">
            <v>1510</v>
          </cell>
        </row>
        <row r="5605">
          <cell r="E5605" t="str">
            <v>MILLENGAECLECTICAL</v>
          </cell>
          <cell r="F5605">
            <v>800</v>
          </cell>
        </row>
        <row r="5606">
          <cell r="E5606" t="str">
            <v>MILLENGAINDIANOLAMS</v>
          </cell>
          <cell r="F5606">
            <v>1490</v>
          </cell>
        </row>
        <row r="5607">
          <cell r="E5607" t="str">
            <v>MILLENGAMOBILEAL</v>
          </cell>
          <cell r="F5607">
            <v>1180</v>
          </cell>
        </row>
        <row r="5608">
          <cell r="E5608" t="str">
            <v>MILLENGARAYVILLELA</v>
          </cell>
          <cell r="F5608">
            <v>1670</v>
          </cell>
        </row>
        <row r="5609">
          <cell r="E5609" t="str">
            <v>MILLENGASHELBYNC</v>
          </cell>
          <cell r="F5609">
            <v>640</v>
          </cell>
        </row>
        <row r="5610">
          <cell r="E5610" t="str">
            <v>MILLENGARABUN GAPGA</v>
          </cell>
          <cell r="F5610">
            <v>690</v>
          </cell>
        </row>
        <row r="5611">
          <cell r="E5611" t="str">
            <v>MILLENGAROSSVILLETN</v>
          </cell>
          <cell r="F5611">
            <v>1450</v>
          </cell>
        </row>
        <row r="5612">
          <cell r="E5612" t="str">
            <v>MILLENGABELMONTNC</v>
          </cell>
          <cell r="F5612">
            <v>660</v>
          </cell>
        </row>
        <row r="5613">
          <cell r="E5613" t="str">
            <v>MILLENGAMINERAL SPRINGSNC</v>
          </cell>
          <cell r="F5613">
            <v>640</v>
          </cell>
        </row>
        <row r="5614">
          <cell r="E5614" t="str">
            <v>MILLENGAROCKINGHAMNC</v>
          </cell>
          <cell r="F5614">
            <v>680</v>
          </cell>
        </row>
        <row r="5615">
          <cell r="E5615" t="str">
            <v>MILLENGABLYTHEVILLEAR</v>
          </cell>
          <cell r="F5615">
            <v>1610</v>
          </cell>
        </row>
        <row r="5616">
          <cell r="E5616" t="str">
            <v>MILLENGAGAINESVILLEGA</v>
          </cell>
          <cell r="F5616">
            <v>610</v>
          </cell>
        </row>
        <row r="5617">
          <cell r="E5617" t="str">
            <v>MILLENGAGREENWOODSC</v>
          </cell>
          <cell r="F5617">
            <v>500</v>
          </cell>
        </row>
        <row r="5618">
          <cell r="E5618" t="str">
            <v>MILLENGAROCKFORDTN</v>
          </cell>
          <cell r="F5618">
            <v>930</v>
          </cell>
        </row>
        <row r="5619">
          <cell r="E5619" t="str">
            <v>MILLENGAENOREESC</v>
          </cell>
          <cell r="F5619">
            <v>570</v>
          </cell>
        </row>
        <row r="5620">
          <cell r="E5620" t="str">
            <v>MILLENGAGULFPORTMS</v>
          </cell>
          <cell r="F5620">
            <v>1450</v>
          </cell>
        </row>
        <row r="5621">
          <cell r="E5621" t="str">
            <v>MILLENGAGarden CityGA</v>
          </cell>
          <cell r="F5621">
            <v>530</v>
          </cell>
        </row>
        <row r="5622">
          <cell r="E5622" t="str">
            <v>MILLENGAPORT WENTWORTHGA</v>
          </cell>
          <cell r="F5622">
            <v>540</v>
          </cell>
        </row>
        <row r="5623">
          <cell r="E5623" t="str">
            <v>MILLENGARINCONGA</v>
          </cell>
          <cell r="F5623">
            <v>520</v>
          </cell>
        </row>
        <row r="5624">
          <cell r="E5624" t="str">
            <v>MILLENGACARTERSVILLEGA</v>
          </cell>
          <cell r="F5624">
            <v>700</v>
          </cell>
        </row>
        <row r="5625">
          <cell r="E5625" t="str">
            <v>MILLENGAGAFFNEYSC</v>
          </cell>
          <cell r="F5625">
            <v>630</v>
          </cell>
        </row>
        <row r="5626">
          <cell r="E5626" t="str">
            <v>MILLENGAERWINNC</v>
          </cell>
          <cell r="F5626">
            <v>860</v>
          </cell>
        </row>
        <row r="5627">
          <cell r="E5627" t="str">
            <v>MILLENGAGRIFTONNC</v>
          </cell>
          <cell r="F5627">
            <v>1140</v>
          </cell>
        </row>
        <row r="5628">
          <cell r="E5628" t="str">
            <v>MILLENGACLARKTONNC</v>
          </cell>
          <cell r="F5628">
            <v>770</v>
          </cell>
        </row>
        <row r="5629">
          <cell r="E5629" t="str">
            <v>MILLENGADAWSONGA</v>
          </cell>
          <cell r="F5629">
            <v>640</v>
          </cell>
        </row>
        <row r="5630">
          <cell r="E5630" t="str">
            <v>MILLENGAJACKSONVILLEFL</v>
          </cell>
          <cell r="F5630">
            <v>640</v>
          </cell>
        </row>
        <row r="5631">
          <cell r="E5631" t="str">
            <v>MILLENGAWESLACOTX</v>
          </cell>
          <cell r="F5631">
            <v>2221</v>
          </cell>
        </row>
        <row r="5632">
          <cell r="E5632" t="str">
            <v>MOULTRIEGAROCKFORDTN</v>
          </cell>
          <cell r="F5632">
            <v>1120</v>
          </cell>
        </row>
        <row r="5633">
          <cell r="E5633" t="str">
            <v>MOULTRIEGASALISBURYNC</v>
          </cell>
          <cell r="F5633">
            <v>1180</v>
          </cell>
        </row>
        <row r="5634">
          <cell r="E5634" t="str">
            <v>MOULTRIEGAENOREESC</v>
          </cell>
          <cell r="F5634">
            <v>880</v>
          </cell>
        </row>
        <row r="5635">
          <cell r="E5635" t="str">
            <v>MOULTRIEGANEW ORLEANSLA</v>
          </cell>
          <cell r="F5635">
            <v>1140</v>
          </cell>
        </row>
        <row r="5636">
          <cell r="E5636" t="str">
            <v>MOULTRIEGAGREERSC</v>
          </cell>
          <cell r="F5636">
            <v>960</v>
          </cell>
        </row>
        <row r="5637">
          <cell r="E5637" t="str">
            <v>MOULTRIEGALUMBERTONNC</v>
          </cell>
          <cell r="F5637">
            <v>1120</v>
          </cell>
        </row>
        <row r="5638">
          <cell r="E5638" t="str">
            <v>MOULTRIEGAMINERAL SPRINGSNC</v>
          </cell>
          <cell r="F5638">
            <v>1070</v>
          </cell>
        </row>
        <row r="5639">
          <cell r="E5639" t="str">
            <v>MOULTRIEGAMOBILEAL</v>
          </cell>
          <cell r="F5639">
            <v>820</v>
          </cell>
        </row>
        <row r="5640">
          <cell r="E5640" t="str">
            <v>MOULTRIEGAMEMPHISTN</v>
          </cell>
          <cell r="F5640">
            <v>1280</v>
          </cell>
        </row>
        <row r="5641">
          <cell r="E5641" t="str">
            <v>MOULTRIEGATUNICAMS</v>
          </cell>
          <cell r="F5641">
            <v>1310</v>
          </cell>
        </row>
        <row r="5642">
          <cell r="E5642" t="str">
            <v>MOULTRIEGABELMONTNC</v>
          </cell>
          <cell r="F5642">
            <v>1130</v>
          </cell>
        </row>
        <row r="5643">
          <cell r="E5643" t="str">
            <v>MOULTRIEGAGREENWOODMS</v>
          </cell>
          <cell r="F5643">
            <v>1230</v>
          </cell>
        </row>
        <row r="5644">
          <cell r="E5644" t="str">
            <v>MOULTRIEGACARTERSVILLEGA</v>
          </cell>
          <cell r="F5644">
            <v>730</v>
          </cell>
        </row>
        <row r="5645">
          <cell r="E5645" t="str">
            <v>MOULTRIEGATALLULAHLA</v>
          </cell>
          <cell r="F5645">
            <v>1320</v>
          </cell>
        </row>
        <row r="5646">
          <cell r="E5646" t="str">
            <v>MOULTRIEGACHARLOTTENC</v>
          </cell>
          <cell r="F5646">
            <v>1090</v>
          </cell>
        </row>
        <row r="5647">
          <cell r="E5647" t="str">
            <v>MOULTRIEGAMARIONAR</v>
          </cell>
          <cell r="F5647">
            <v>1300</v>
          </cell>
        </row>
        <row r="5648">
          <cell r="E5648" t="str">
            <v>MOULTRIEGAGAFFNEYSC</v>
          </cell>
          <cell r="F5648">
            <v>1040</v>
          </cell>
        </row>
        <row r="5649">
          <cell r="E5649" t="str">
            <v>MOULTRIEGALEXINGTONNC</v>
          </cell>
          <cell r="F5649">
            <v>1220</v>
          </cell>
        </row>
        <row r="5650">
          <cell r="E5650" t="str">
            <v>MOULTRIEGALOWELLNC</v>
          </cell>
          <cell r="F5650">
            <v>1120</v>
          </cell>
        </row>
        <row r="5651">
          <cell r="E5651" t="str">
            <v>MOULTRIEGAKINSTONNC</v>
          </cell>
          <cell r="F5651">
            <v>1410</v>
          </cell>
        </row>
        <row r="5652">
          <cell r="E5652" t="str">
            <v>MOULTRIEGAROCKINGHAMNC</v>
          </cell>
          <cell r="F5652">
            <v>1130</v>
          </cell>
        </row>
        <row r="5653">
          <cell r="E5653" t="str">
            <v>MOULTRIEGAEDENTONNC</v>
          </cell>
          <cell r="F5653">
            <v>1590</v>
          </cell>
        </row>
        <row r="5654">
          <cell r="E5654" t="str">
            <v>MOULTRIEGAWEST MEMPHISAR</v>
          </cell>
          <cell r="F5654">
            <v>1290</v>
          </cell>
        </row>
        <row r="5655">
          <cell r="E5655" t="str">
            <v>MOULTRIEGASHELBYNC</v>
          </cell>
          <cell r="F5655">
            <v>1080</v>
          </cell>
        </row>
        <row r="5656">
          <cell r="E5656" t="str">
            <v>MOULTRIEGAMONEYMS</v>
          </cell>
          <cell r="F5656">
            <v>1270</v>
          </cell>
        </row>
        <row r="5657">
          <cell r="E5657" t="str">
            <v>MOULTRIEGAGASTONIANC</v>
          </cell>
          <cell r="F5657">
            <v>1110</v>
          </cell>
        </row>
        <row r="5658">
          <cell r="E5658" t="str">
            <v>MOULTRIEGAGAINESVILLEGA</v>
          </cell>
          <cell r="F5658">
            <v>730</v>
          </cell>
        </row>
        <row r="5659">
          <cell r="E5659" t="str">
            <v>MOULTRIEGASPARTANC</v>
          </cell>
          <cell r="F5659">
            <v>1320</v>
          </cell>
        </row>
        <row r="5660">
          <cell r="E5660" t="str">
            <v>MOULTRIEGAMCCALLAAL</v>
          </cell>
          <cell r="F5660">
            <v>790</v>
          </cell>
        </row>
        <row r="5661">
          <cell r="E5661" t="str">
            <v>MOULTRIEGAPORTSMOUTHVA</v>
          </cell>
          <cell r="F5661">
            <v>1680</v>
          </cell>
        </row>
        <row r="5662">
          <cell r="E5662" t="str">
            <v>MOULTRIEGATHOMASVILLENC</v>
          </cell>
          <cell r="F5662">
            <v>1250</v>
          </cell>
        </row>
        <row r="5663">
          <cell r="E5663" t="str">
            <v>MOULTRIEGARABUN GAPGA</v>
          </cell>
          <cell r="F5663">
            <v>920</v>
          </cell>
        </row>
        <row r="5664">
          <cell r="E5664" t="str">
            <v>MOULTRIEGACENTREAL</v>
          </cell>
          <cell r="F5664">
            <v>820</v>
          </cell>
        </row>
        <row r="5665">
          <cell r="E5665" t="str">
            <v>MOULTRIEGASANFORDNC</v>
          </cell>
          <cell r="F5665">
            <v>1250</v>
          </cell>
        </row>
        <row r="5666">
          <cell r="E5666" t="str">
            <v>MOULTRIEGAMAYODANNC</v>
          </cell>
          <cell r="F5666">
            <v>1330</v>
          </cell>
        </row>
        <row r="5667">
          <cell r="E5667" t="str">
            <v>MOULTRIEGADREWMS</v>
          </cell>
          <cell r="F5667">
            <v>1310</v>
          </cell>
        </row>
        <row r="5668">
          <cell r="E5668" t="str">
            <v>MOULTRIEGAHICKORYNC</v>
          </cell>
          <cell r="F5668">
            <v>1180</v>
          </cell>
        </row>
        <row r="5669">
          <cell r="E5669" t="str">
            <v>MOULTRIEGAINDIANOLAMS</v>
          </cell>
          <cell r="F5669">
            <v>1290</v>
          </cell>
        </row>
        <row r="5670">
          <cell r="E5670" t="str">
            <v>MOULTRIEGAROSSVILLETN</v>
          </cell>
          <cell r="F5670">
            <v>1260</v>
          </cell>
        </row>
        <row r="5671">
          <cell r="E5671" t="str">
            <v>MOULTRIEGASTONEVILLENC</v>
          </cell>
          <cell r="F5671">
            <v>1340</v>
          </cell>
        </row>
        <row r="5672">
          <cell r="E5672" t="str">
            <v>MOULTRIEGAINDIAN LANDSC</v>
          </cell>
          <cell r="F5672">
            <v>1060</v>
          </cell>
        </row>
        <row r="5673">
          <cell r="E5673" t="str">
            <v>MOULTRIEGAGREENWOODSC</v>
          </cell>
          <cell r="F5673">
            <v>780</v>
          </cell>
        </row>
        <row r="5674">
          <cell r="E5674" t="str">
            <v>MOULTRIEGANORFOLKVA</v>
          </cell>
          <cell r="F5674">
            <v>1700</v>
          </cell>
        </row>
        <row r="5675">
          <cell r="E5675" t="str">
            <v>MOULTRIEGAMOCKSVILLENC</v>
          </cell>
          <cell r="F5675">
            <v>1220</v>
          </cell>
        </row>
        <row r="5676">
          <cell r="E5676" t="str">
            <v>MOULTRIEGARAYVILLELA</v>
          </cell>
          <cell r="F5676">
            <v>1390</v>
          </cell>
        </row>
        <row r="5677">
          <cell r="E5677" t="str">
            <v>MOULTRIEGACLARKTONNC</v>
          </cell>
          <cell r="F5677">
            <v>1170</v>
          </cell>
        </row>
        <row r="5678">
          <cell r="E5678" t="str">
            <v>MOULTRIEGAERWINNC</v>
          </cell>
          <cell r="F5678">
            <v>1250</v>
          </cell>
        </row>
        <row r="5679">
          <cell r="E5679" t="str">
            <v>MOULTRIEGABLYTHEVILLEAR</v>
          </cell>
          <cell r="F5679">
            <v>1420</v>
          </cell>
        </row>
        <row r="5680">
          <cell r="E5680" t="str">
            <v>MOULTRIEGADAWSONGA</v>
          </cell>
          <cell r="F5680">
            <v>420</v>
          </cell>
        </row>
        <row r="5681">
          <cell r="E5681" t="str">
            <v>MOULTRIEGAGULFPORTMS</v>
          </cell>
          <cell r="F5681">
            <v>1090</v>
          </cell>
        </row>
        <row r="5682">
          <cell r="E5682" t="str">
            <v>MOULTRIEGARINCONGA</v>
          </cell>
          <cell r="F5682">
            <v>760</v>
          </cell>
        </row>
        <row r="5683">
          <cell r="E5683" t="str">
            <v>MOULTRIEGAPORT WENTWORTHGA</v>
          </cell>
          <cell r="F5683">
            <v>750</v>
          </cell>
        </row>
        <row r="5684">
          <cell r="E5684" t="str">
            <v>MOULTRIEGAGRIFTONNC</v>
          </cell>
          <cell r="F5684">
            <v>1540</v>
          </cell>
        </row>
        <row r="5685">
          <cell r="E5685" t="str">
            <v>MOULTRIEGAGarden CityGA</v>
          </cell>
          <cell r="F5685">
            <v>740</v>
          </cell>
        </row>
        <row r="5686">
          <cell r="E5686" t="str">
            <v>MOULTRIEGAECLECTICAL</v>
          </cell>
          <cell r="F5686">
            <v>650</v>
          </cell>
        </row>
        <row r="5687">
          <cell r="E5687" t="str">
            <v>MOULTRIEGAJACKSONVILLEFL</v>
          </cell>
          <cell r="F5687">
            <v>570</v>
          </cell>
        </row>
        <row r="5688">
          <cell r="E5688" t="str">
            <v>MOULTRIEGAWESLACOTX</v>
          </cell>
          <cell r="F5688">
            <v>1677</v>
          </cell>
        </row>
        <row r="5689">
          <cell r="E5689" t="str">
            <v>MULESHOETXDallasTX</v>
          </cell>
          <cell r="F5689">
            <v>723</v>
          </cell>
        </row>
        <row r="5690">
          <cell r="E5690" t="str">
            <v>MULESHOETXHoustonTX</v>
          </cell>
          <cell r="F5690">
            <v>1165</v>
          </cell>
        </row>
        <row r="5691">
          <cell r="E5691" t="str">
            <v>MULESHOETXBaytownTX</v>
          </cell>
          <cell r="F5691">
            <v>1194</v>
          </cell>
        </row>
        <row r="5692">
          <cell r="E5692" t="str">
            <v>MURFREESBORONCROCKFORDTN</v>
          </cell>
          <cell r="F5692">
            <v>1210</v>
          </cell>
        </row>
        <row r="5693">
          <cell r="E5693" t="str">
            <v>MURFREESBORONCJACKSONVILLEFL</v>
          </cell>
          <cell r="F5693">
            <v>1390</v>
          </cell>
        </row>
        <row r="5694">
          <cell r="E5694" t="str">
            <v>MURFREESBORONCENOREESC</v>
          </cell>
          <cell r="F5694">
            <v>960</v>
          </cell>
        </row>
        <row r="5695">
          <cell r="E5695" t="str">
            <v>MURFREESBORONCGAINESVILLEGA</v>
          </cell>
          <cell r="F5695">
            <v>1200</v>
          </cell>
        </row>
        <row r="5696">
          <cell r="E5696" t="str">
            <v>MURFREESBORONCINDIAN LANDSC</v>
          </cell>
          <cell r="F5696">
            <v>800</v>
          </cell>
        </row>
        <row r="5697">
          <cell r="E5697" t="str">
            <v>MURFREESBORONCROSSVILLETN</v>
          </cell>
          <cell r="F5697">
            <v>2060</v>
          </cell>
        </row>
        <row r="5698">
          <cell r="E5698" t="str">
            <v>MURFREESBORONCGAFFNEYSC</v>
          </cell>
          <cell r="F5698">
            <v>860</v>
          </cell>
        </row>
        <row r="5699">
          <cell r="E5699" t="str">
            <v>MURFREESBORONCGREERSC</v>
          </cell>
          <cell r="F5699">
            <v>940</v>
          </cell>
        </row>
        <row r="5700">
          <cell r="E5700" t="str">
            <v>MURFREESBORONCCENTREAL</v>
          </cell>
          <cell r="F5700">
            <v>1480</v>
          </cell>
        </row>
        <row r="5701">
          <cell r="E5701" t="str">
            <v>MURFREESBORONCTALLULAHLA</v>
          </cell>
          <cell r="F5701">
            <v>2280</v>
          </cell>
        </row>
        <row r="5702">
          <cell r="E5702" t="str">
            <v>MURFREESBORONCDAWSONGA</v>
          </cell>
          <cell r="F5702">
            <v>1580</v>
          </cell>
        </row>
        <row r="5703">
          <cell r="E5703" t="str">
            <v>MURFREESBORONCGREENWOODSC</v>
          </cell>
          <cell r="F5703">
            <v>1070</v>
          </cell>
        </row>
        <row r="5704">
          <cell r="E5704" t="str">
            <v>MURFREESBORONCGASTONIANC</v>
          </cell>
          <cell r="F5704">
            <v>790</v>
          </cell>
        </row>
        <row r="5705">
          <cell r="E5705" t="str">
            <v>MURFREESBORONCGREENWOODMS</v>
          </cell>
          <cell r="F5705">
            <v>2110</v>
          </cell>
        </row>
        <row r="5706">
          <cell r="E5706" t="str">
            <v>MURFREESBORONCMONEYMS</v>
          </cell>
          <cell r="F5706">
            <v>2150</v>
          </cell>
        </row>
        <row r="5707">
          <cell r="E5707" t="str">
            <v>MURFREESBORONCMCCALLAAL</v>
          </cell>
          <cell r="F5707">
            <v>1660</v>
          </cell>
        </row>
        <row r="5708">
          <cell r="E5708" t="str">
            <v>MURFREESBORONCNEW ORLEANSLA</v>
          </cell>
          <cell r="F5708">
            <v>2330</v>
          </cell>
        </row>
        <row r="5709">
          <cell r="E5709" t="str">
            <v>MURFREESBORONCMOBILEAL</v>
          </cell>
          <cell r="F5709">
            <v>2020</v>
          </cell>
        </row>
        <row r="5710">
          <cell r="E5710" t="str">
            <v>MURFREESBORONCCARTERSVILLEGA</v>
          </cell>
          <cell r="F5710">
            <v>1360</v>
          </cell>
        </row>
        <row r="5711">
          <cell r="E5711" t="str">
            <v>MURFREESBORONCBLYTHEVILLEAR</v>
          </cell>
          <cell r="F5711">
            <v>2070</v>
          </cell>
        </row>
        <row r="5712">
          <cell r="E5712" t="str">
            <v>MURFREESBORONCDREWMS</v>
          </cell>
          <cell r="F5712">
            <v>2190</v>
          </cell>
        </row>
        <row r="5713">
          <cell r="E5713" t="str">
            <v>MURFREESBORONCINDIANOLAMS</v>
          </cell>
          <cell r="F5713">
            <v>2170</v>
          </cell>
        </row>
        <row r="5714">
          <cell r="E5714" t="str">
            <v>MURFREESBORONCWEST MEMPHISAR</v>
          </cell>
          <cell r="F5714">
            <v>2060</v>
          </cell>
        </row>
        <row r="5715">
          <cell r="E5715" t="str">
            <v>MURFREESBORONCRAYVILLELA</v>
          </cell>
          <cell r="F5715">
            <v>2350</v>
          </cell>
        </row>
        <row r="5716">
          <cell r="E5716" t="str">
            <v>MURFREESBORONCECLECTICAL</v>
          </cell>
          <cell r="F5716">
            <v>1640</v>
          </cell>
        </row>
        <row r="5717">
          <cell r="E5717" t="str">
            <v>MURFREESBORONCSANFORDNC</v>
          </cell>
          <cell r="F5717">
            <v>570</v>
          </cell>
        </row>
        <row r="5718">
          <cell r="E5718" t="str">
            <v>MURFREESBORONCMARIONAR</v>
          </cell>
          <cell r="F5718">
            <v>2070</v>
          </cell>
        </row>
        <row r="5719">
          <cell r="E5719" t="str">
            <v>MURFREESBORONCMEMPHISTN</v>
          </cell>
          <cell r="F5719">
            <v>2080</v>
          </cell>
        </row>
        <row r="5720">
          <cell r="E5720" t="str">
            <v>MURFREESBORONCTUNICAMS</v>
          </cell>
          <cell r="F5720">
            <v>2130</v>
          </cell>
        </row>
        <row r="5721">
          <cell r="E5721" t="str">
            <v>MURFREESBORONCRABUN GAPGA</v>
          </cell>
          <cell r="F5721">
            <v>1190</v>
          </cell>
        </row>
        <row r="5722">
          <cell r="E5722" t="str">
            <v>MURFREESBORONCGarden CityGA</v>
          </cell>
          <cell r="F5722">
            <v>1200</v>
          </cell>
        </row>
        <row r="5723">
          <cell r="E5723" t="str">
            <v>MURFREESBORONCKINSTONNC</v>
          </cell>
          <cell r="F5723">
            <v>480</v>
          </cell>
        </row>
        <row r="5724">
          <cell r="E5724" t="str">
            <v>MURFREESBORONCPORTSMOUTHVA</v>
          </cell>
          <cell r="F5724">
            <v>410</v>
          </cell>
        </row>
        <row r="5725">
          <cell r="E5725" t="str">
            <v>MURFREESBORONCGULFPORTMS</v>
          </cell>
          <cell r="F5725">
            <v>2290</v>
          </cell>
        </row>
        <row r="5726">
          <cell r="E5726" t="str">
            <v>MURFREESBORONCNORFOLKVA</v>
          </cell>
          <cell r="F5726">
            <v>420</v>
          </cell>
        </row>
        <row r="5727">
          <cell r="E5727" t="str">
            <v>MURFREESBORONCPORT WENTWORTHGA</v>
          </cell>
          <cell r="F5727">
            <v>1190</v>
          </cell>
        </row>
        <row r="5728">
          <cell r="E5728" t="str">
            <v>MURFREESBORONCEDENTONNC</v>
          </cell>
          <cell r="F5728">
            <v>400</v>
          </cell>
        </row>
        <row r="5729">
          <cell r="E5729" t="str">
            <v>MURFREESBORONCRINCONGA</v>
          </cell>
          <cell r="F5729">
            <v>1200</v>
          </cell>
        </row>
        <row r="5730">
          <cell r="E5730" t="str">
            <v>MURFREESBORONCGRIFTONNC</v>
          </cell>
          <cell r="F5730">
            <v>570</v>
          </cell>
        </row>
        <row r="5731">
          <cell r="E5731" t="str">
            <v>MURFREESBORONCSTONEVILLENC</v>
          </cell>
          <cell r="F5731">
            <v>640</v>
          </cell>
        </row>
        <row r="5732">
          <cell r="E5732" t="str">
            <v>MURFREESBORONCERWINNC</v>
          </cell>
          <cell r="F5732">
            <v>540</v>
          </cell>
        </row>
        <row r="5733">
          <cell r="E5733" t="str">
            <v>MURFREESBORONCSALISBURYNC</v>
          </cell>
          <cell r="F5733">
            <v>670</v>
          </cell>
        </row>
        <row r="5734">
          <cell r="E5734" t="str">
            <v>MURFREESBORONCMINERAL SPRINGSNC</v>
          </cell>
          <cell r="F5734">
            <v>770</v>
          </cell>
        </row>
        <row r="5735">
          <cell r="E5735" t="str">
            <v>MURFREESBORONCCHARLOTTENC</v>
          </cell>
          <cell r="F5735">
            <v>740</v>
          </cell>
        </row>
        <row r="5736">
          <cell r="E5736" t="str">
            <v>MURFREESBORONCBELMONTNC</v>
          </cell>
          <cell r="F5736">
            <v>770</v>
          </cell>
        </row>
        <row r="5737">
          <cell r="E5737" t="str">
            <v>MURFREESBORONCLOWELLNC</v>
          </cell>
          <cell r="F5737">
            <v>770</v>
          </cell>
        </row>
        <row r="5738">
          <cell r="E5738" t="str">
            <v>MURFREESBORONCSPARTANC</v>
          </cell>
          <cell r="F5738">
            <v>760</v>
          </cell>
        </row>
        <row r="5739">
          <cell r="E5739" t="str">
            <v>MURFREESBORONCHICKORYNC</v>
          </cell>
          <cell r="F5739">
            <v>760</v>
          </cell>
        </row>
        <row r="5740">
          <cell r="E5740" t="str">
            <v>MURFREESBORONCSHELBYNC</v>
          </cell>
          <cell r="F5740">
            <v>840</v>
          </cell>
        </row>
        <row r="5741">
          <cell r="E5741" t="str">
            <v>MURFREESBORONCTHOMASVILLENC</v>
          </cell>
          <cell r="F5741">
            <v>630</v>
          </cell>
        </row>
        <row r="5742">
          <cell r="E5742" t="str">
            <v>MURFREESBORONCMAYODANNC</v>
          </cell>
          <cell r="F5742">
            <v>640</v>
          </cell>
        </row>
        <row r="5743">
          <cell r="E5743" t="str">
            <v>MURFREESBORONCLUMBERTONNC</v>
          </cell>
          <cell r="F5743">
            <v>620</v>
          </cell>
        </row>
        <row r="5744">
          <cell r="E5744" t="str">
            <v>MURFREESBORONCLEXINGTONNC</v>
          </cell>
          <cell r="F5744">
            <v>640</v>
          </cell>
        </row>
        <row r="5745">
          <cell r="E5745" t="str">
            <v>MURFREESBORONCCLARKTONNC</v>
          </cell>
          <cell r="F5745">
            <v>630</v>
          </cell>
        </row>
        <row r="5746">
          <cell r="E5746" t="str">
            <v>MURFREESBORONCMOCKSVILLENC</v>
          </cell>
          <cell r="F5746">
            <v>670</v>
          </cell>
        </row>
        <row r="5747">
          <cell r="E5747" t="str">
            <v>MURFREESBORONCROCKINGHAMNC</v>
          </cell>
          <cell r="F5747">
            <v>660</v>
          </cell>
        </row>
        <row r="5748">
          <cell r="E5748" t="str">
            <v>NEW MADRIDMOGRIFTONNC</v>
          </cell>
          <cell r="F5748">
            <v>2330</v>
          </cell>
        </row>
        <row r="5749">
          <cell r="E5749" t="str">
            <v>NEW MADRIDMOERWINNC</v>
          </cell>
          <cell r="F5749">
            <v>2030</v>
          </cell>
        </row>
        <row r="5750">
          <cell r="E5750" t="str">
            <v>NEW MADRIDMOCHARLOTTENC</v>
          </cell>
          <cell r="F5750">
            <v>1710</v>
          </cell>
        </row>
        <row r="5751">
          <cell r="E5751" t="str">
            <v>NEW MADRIDMOLUMBERTONNC</v>
          </cell>
          <cell r="F5751">
            <v>2010</v>
          </cell>
        </row>
        <row r="5752">
          <cell r="E5752" t="str">
            <v>NEW MADRIDMOROCKINGHAMNC</v>
          </cell>
          <cell r="F5752">
            <v>1880</v>
          </cell>
        </row>
        <row r="5753">
          <cell r="E5753" t="str">
            <v>NEW MADRIDMOSALISBURYNC</v>
          </cell>
          <cell r="F5753">
            <v>1740</v>
          </cell>
        </row>
        <row r="5754">
          <cell r="E5754" t="str">
            <v>NEW MADRIDMOGASTONIANC</v>
          </cell>
          <cell r="F5754">
            <v>1660</v>
          </cell>
        </row>
        <row r="5755">
          <cell r="E5755" t="str">
            <v>NEW MADRIDMOBELMONTNC</v>
          </cell>
          <cell r="F5755">
            <v>1680</v>
          </cell>
        </row>
        <row r="5756">
          <cell r="E5756" t="str">
            <v>NEW MADRIDMOCLARKTONNC</v>
          </cell>
          <cell r="F5756">
            <v>2060</v>
          </cell>
        </row>
        <row r="5757">
          <cell r="E5757" t="str">
            <v>NEW MADRIDMOMCCALLAAL</v>
          </cell>
          <cell r="F5757">
            <v>1130</v>
          </cell>
        </row>
        <row r="5758">
          <cell r="E5758" t="str">
            <v>NEW MADRIDMOROSSVILLETN</v>
          </cell>
          <cell r="F5758">
            <v>710</v>
          </cell>
        </row>
        <row r="5759">
          <cell r="E5759" t="str">
            <v>NEW MADRIDMOEDENTONNC</v>
          </cell>
          <cell r="F5759">
            <v>2320</v>
          </cell>
        </row>
        <row r="5760">
          <cell r="E5760" t="str">
            <v>NEW MADRIDMOGREENWOODMS</v>
          </cell>
          <cell r="F5760">
            <v>880</v>
          </cell>
        </row>
        <row r="5761">
          <cell r="E5761" t="str">
            <v>NEW MADRIDMODREWMS</v>
          </cell>
          <cell r="F5761">
            <v>810</v>
          </cell>
        </row>
        <row r="5762">
          <cell r="E5762" t="str">
            <v>NEW MADRIDMOMONEYMS</v>
          </cell>
          <cell r="F5762">
            <v>830</v>
          </cell>
        </row>
        <row r="5763">
          <cell r="E5763" t="str">
            <v>NEW MADRIDMOKINSTONNC</v>
          </cell>
          <cell r="F5763">
            <v>2190</v>
          </cell>
        </row>
        <row r="5764">
          <cell r="E5764" t="str">
            <v>NEW MADRIDMOTUNICAMS</v>
          </cell>
          <cell r="F5764">
            <v>700</v>
          </cell>
        </row>
        <row r="5765">
          <cell r="E5765" t="str">
            <v>NEW MADRIDMOMARIONAR</v>
          </cell>
          <cell r="F5765">
            <v>630</v>
          </cell>
        </row>
        <row r="5766">
          <cell r="E5766" t="str">
            <v>NEW MADRIDMOMEMPHISTN</v>
          </cell>
          <cell r="F5766">
            <v>660</v>
          </cell>
        </row>
        <row r="5767">
          <cell r="E5767" t="str">
            <v>NEW MADRIDMOGULFPORTMS</v>
          </cell>
          <cell r="F5767">
            <v>1480</v>
          </cell>
        </row>
        <row r="5768">
          <cell r="E5768" t="str">
            <v>NEW MADRIDMOWEST MEMPHISAR</v>
          </cell>
          <cell r="F5768">
            <v>640</v>
          </cell>
        </row>
        <row r="5769">
          <cell r="E5769" t="str">
            <v>NEW MADRIDMOROCKFORDTN</v>
          </cell>
          <cell r="F5769">
            <v>1200</v>
          </cell>
        </row>
        <row r="5770">
          <cell r="E5770" t="str">
            <v>NEW MADRIDMOBLYTHEVILLEAR</v>
          </cell>
          <cell r="F5770">
            <v>540</v>
          </cell>
        </row>
        <row r="5771">
          <cell r="E5771" t="str">
            <v>NEW MADRIDMONEW ORLEANSLA</v>
          </cell>
          <cell r="F5771">
            <v>1440</v>
          </cell>
        </row>
        <row r="5772">
          <cell r="E5772" t="str">
            <v>NEW MADRIDMOINDIANOLAMS</v>
          </cell>
          <cell r="F5772">
            <v>850</v>
          </cell>
        </row>
        <row r="5773">
          <cell r="E5773" t="str">
            <v>NEW MADRIDMOECLECTICAL</v>
          </cell>
          <cell r="F5773">
            <v>1300</v>
          </cell>
        </row>
        <row r="5774">
          <cell r="E5774" t="str">
            <v>NEW MADRIDMOMOBILEAL</v>
          </cell>
          <cell r="F5774">
            <v>1440</v>
          </cell>
        </row>
        <row r="5775">
          <cell r="E5775" t="str">
            <v>NEW MADRIDMOLOWELLNC</v>
          </cell>
          <cell r="F5775">
            <v>1670</v>
          </cell>
        </row>
        <row r="5776">
          <cell r="E5776" t="str">
            <v>NEW MADRIDMOGarden CityGA</v>
          </cell>
          <cell r="F5776">
            <v>2000</v>
          </cell>
        </row>
        <row r="5777">
          <cell r="E5777" t="str">
            <v>NEW MADRIDMOCARTERSVILLEGA</v>
          </cell>
          <cell r="F5777">
            <v>1250</v>
          </cell>
        </row>
        <row r="5778">
          <cell r="E5778" t="str">
            <v>NEW MADRIDMOSPARTANC</v>
          </cell>
          <cell r="F5778">
            <v>1690</v>
          </cell>
        </row>
        <row r="5779">
          <cell r="E5779" t="str">
            <v>NEW MADRIDMOGREERSC</v>
          </cell>
          <cell r="F5779">
            <v>1570</v>
          </cell>
        </row>
        <row r="5780">
          <cell r="E5780" t="str">
            <v>NEW MADRIDMONORFOLKVA</v>
          </cell>
          <cell r="F5780">
            <v>2370</v>
          </cell>
        </row>
        <row r="5781">
          <cell r="E5781" t="str">
            <v>NEW MADRIDMOGAFFNEYSC</v>
          </cell>
          <cell r="F5781">
            <v>1620</v>
          </cell>
        </row>
        <row r="5782">
          <cell r="E5782" t="str">
            <v>NEW MADRIDMOTALLULAHLA</v>
          </cell>
          <cell r="F5782">
            <v>1160</v>
          </cell>
        </row>
        <row r="5783">
          <cell r="E5783" t="str">
            <v>NEW MADRIDMOGREENWOODSC</v>
          </cell>
          <cell r="F5783">
            <v>1650</v>
          </cell>
        </row>
        <row r="5784">
          <cell r="E5784" t="str">
            <v>NEW MADRIDMOPORTSMOUTHVA</v>
          </cell>
          <cell r="F5784">
            <v>2350</v>
          </cell>
        </row>
        <row r="5785">
          <cell r="E5785" t="str">
            <v>NEW MADRIDMORINCONGA</v>
          </cell>
          <cell r="F5785">
            <v>2030</v>
          </cell>
        </row>
        <row r="5786">
          <cell r="E5786" t="str">
            <v>NEW MADRIDMOSHELBYNC</v>
          </cell>
          <cell r="F5786">
            <v>1610</v>
          </cell>
        </row>
        <row r="5787">
          <cell r="E5787" t="str">
            <v>NEW MADRIDMOHICKORYNC</v>
          </cell>
          <cell r="F5787">
            <v>1620</v>
          </cell>
        </row>
        <row r="5788">
          <cell r="E5788" t="str">
            <v>NEW MADRIDMOENOREESC</v>
          </cell>
          <cell r="F5788">
            <v>1620</v>
          </cell>
        </row>
        <row r="5789">
          <cell r="E5789" t="str">
            <v>NEW MADRIDMOINDIAN LANDSC</v>
          </cell>
          <cell r="F5789">
            <v>1740</v>
          </cell>
        </row>
        <row r="5790">
          <cell r="E5790" t="str">
            <v>NEW MADRIDMORABUN GAPGA</v>
          </cell>
          <cell r="F5790">
            <v>1490</v>
          </cell>
        </row>
        <row r="5791">
          <cell r="E5791" t="str">
            <v>NEW MADRIDMOPORT WENTWORTHGA</v>
          </cell>
          <cell r="F5791">
            <v>2020</v>
          </cell>
        </row>
        <row r="5792">
          <cell r="E5792" t="str">
            <v>NEW MADRIDMORAYVILLELA</v>
          </cell>
          <cell r="F5792">
            <v>1100</v>
          </cell>
        </row>
        <row r="5793">
          <cell r="E5793" t="str">
            <v>NEW MADRIDMOJACKSONVILLEFL</v>
          </cell>
          <cell r="F5793">
            <v>2140</v>
          </cell>
        </row>
        <row r="5794">
          <cell r="E5794" t="str">
            <v>NEW MADRIDMOCENTREAL</v>
          </cell>
          <cell r="F5794">
            <v>1080</v>
          </cell>
        </row>
        <row r="5795">
          <cell r="E5795" t="str">
            <v>NEW MADRIDMOGAINESVILLEGA</v>
          </cell>
          <cell r="F5795">
            <v>1430</v>
          </cell>
        </row>
        <row r="5796">
          <cell r="E5796" t="str">
            <v>NEW MADRIDMOMINERAL SPRINGSNC</v>
          </cell>
          <cell r="F5796">
            <v>1770</v>
          </cell>
        </row>
        <row r="5797">
          <cell r="E5797" t="str">
            <v>NEW MADRIDMODAWSONGA</v>
          </cell>
          <cell r="F5797">
            <v>1570</v>
          </cell>
        </row>
        <row r="5798">
          <cell r="E5798" t="str">
            <v>NEW MADRIDMOMOCKSVILLENC</v>
          </cell>
          <cell r="F5798">
            <v>1720</v>
          </cell>
        </row>
        <row r="5799">
          <cell r="E5799" t="str">
            <v>NEW MADRIDMOSANFORDNC</v>
          </cell>
          <cell r="F5799">
            <v>1960</v>
          </cell>
        </row>
        <row r="5800">
          <cell r="E5800" t="str">
            <v>NEW MADRIDMOLEXINGTONNC</v>
          </cell>
          <cell r="F5800">
            <v>1760</v>
          </cell>
        </row>
        <row r="5801">
          <cell r="E5801" t="str">
            <v>NEW MADRIDMOSTONEVILLENC</v>
          </cell>
          <cell r="F5801">
            <v>1850</v>
          </cell>
        </row>
        <row r="5802">
          <cell r="E5802" t="str">
            <v>NEW MADRIDMOMAYODANNC</v>
          </cell>
          <cell r="F5802">
            <v>1850</v>
          </cell>
        </row>
        <row r="5803">
          <cell r="E5803" t="str">
            <v>NEW MADRIDMOTHOMASVILLENC</v>
          </cell>
          <cell r="F5803">
            <v>1790</v>
          </cell>
        </row>
        <row r="5804">
          <cell r="E5804" t="str">
            <v>NEW MADRIDMOWESLACOTX</v>
          </cell>
          <cell r="F5804">
            <v>2019</v>
          </cell>
        </row>
        <row r="5805">
          <cell r="E5805" t="str">
            <v>NEW MARKETALROCKFORDTN</v>
          </cell>
          <cell r="F5805">
            <v>640</v>
          </cell>
        </row>
        <row r="5806">
          <cell r="E5806" t="str">
            <v>NEW MARKETALLUMBERTONNC</v>
          </cell>
          <cell r="F5806">
            <v>1400</v>
          </cell>
        </row>
        <row r="5807">
          <cell r="E5807" t="str">
            <v>NEW MARKETALMONEYMS</v>
          </cell>
          <cell r="F5807">
            <v>820</v>
          </cell>
        </row>
        <row r="5808">
          <cell r="E5808" t="str">
            <v>NEW MARKETALROCKINGHAMNC</v>
          </cell>
          <cell r="F5808">
            <v>1290</v>
          </cell>
        </row>
        <row r="5809">
          <cell r="E5809" t="str">
            <v>NEW MARKETALSHELBYNC</v>
          </cell>
          <cell r="F5809">
            <v>1020</v>
          </cell>
        </row>
        <row r="5810">
          <cell r="E5810" t="str">
            <v>NEW MARKETALSPARTANC</v>
          </cell>
          <cell r="F5810">
            <v>1100</v>
          </cell>
        </row>
        <row r="5811">
          <cell r="E5811" t="str">
            <v>NEW MARKETALJACKSONVILLEFL</v>
          </cell>
          <cell r="F5811">
            <v>1410</v>
          </cell>
        </row>
        <row r="5812">
          <cell r="E5812" t="str">
            <v>NEW MARKETALMAYODANNC</v>
          </cell>
          <cell r="F5812">
            <v>1260</v>
          </cell>
        </row>
        <row r="5813">
          <cell r="E5813" t="str">
            <v>NEW MARKETALSANFORDNC</v>
          </cell>
          <cell r="F5813">
            <v>1370</v>
          </cell>
        </row>
        <row r="5814">
          <cell r="E5814" t="str">
            <v>NEW MARKETALEDENTONNC</v>
          </cell>
          <cell r="F5814">
            <v>1730</v>
          </cell>
        </row>
        <row r="5815">
          <cell r="E5815" t="str">
            <v>NEW MARKETALERWINNC</v>
          </cell>
          <cell r="F5815">
            <v>1450</v>
          </cell>
        </row>
        <row r="5816">
          <cell r="E5816" t="str">
            <v>NEW MARKETALKINSTONNC</v>
          </cell>
          <cell r="F5816">
            <v>1610</v>
          </cell>
        </row>
        <row r="5817">
          <cell r="E5817" t="str">
            <v>NEW MARKETALTALLULAHLA</v>
          </cell>
          <cell r="F5817">
            <v>1090</v>
          </cell>
        </row>
        <row r="5818">
          <cell r="E5818" t="str">
            <v>NEW MARKETALCARTERSVILLEGA</v>
          </cell>
          <cell r="F5818">
            <v>580</v>
          </cell>
        </row>
        <row r="5819">
          <cell r="E5819" t="str">
            <v>NEW MARKETALCLARKTONNC</v>
          </cell>
          <cell r="F5819">
            <v>1450</v>
          </cell>
        </row>
        <row r="5820">
          <cell r="E5820" t="str">
            <v>NEW MARKETALDAWSONGA</v>
          </cell>
          <cell r="F5820">
            <v>890</v>
          </cell>
        </row>
        <row r="5821">
          <cell r="E5821" t="str">
            <v>NEW MARKETALNEW ORLEANSLA</v>
          </cell>
          <cell r="F5821">
            <v>1180</v>
          </cell>
        </row>
        <row r="5822">
          <cell r="E5822" t="str">
            <v>NEW MARKETALRAYVILLELA</v>
          </cell>
          <cell r="F5822">
            <v>1160</v>
          </cell>
        </row>
        <row r="5823">
          <cell r="E5823" t="str">
            <v>NEW MARKETALMCCALLAAL</v>
          </cell>
          <cell r="F5823">
            <v>540</v>
          </cell>
        </row>
        <row r="5824">
          <cell r="E5824" t="str">
            <v>NEW MARKETALGULFPORTMS</v>
          </cell>
          <cell r="F5824">
            <v>1190</v>
          </cell>
        </row>
        <row r="5825">
          <cell r="E5825" t="str">
            <v>NEW MARKETALGarden CityGA</v>
          </cell>
          <cell r="F5825">
            <v>1270</v>
          </cell>
        </row>
        <row r="5826">
          <cell r="E5826" t="str">
            <v>NEW MARKETALRINCONGA</v>
          </cell>
          <cell r="F5826">
            <v>1300</v>
          </cell>
        </row>
        <row r="5827">
          <cell r="E5827" t="str">
            <v>NEW MARKETALPORT WENTWORTHGA</v>
          </cell>
          <cell r="F5827">
            <v>1290</v>
          </cell>
        </row>
        <row r="5828">
          <cell r="E5828" t="str">
            <v>NEW MARKETALGAINESVILLEGA</v>
          </cell>
          <cell r="F5828">
            <v>710</v>
          </cell>
        </row>
        <row r="5829">
          <cell r="E5829" t="str">
            <v>NEW MARKETALHICKORYNC</v>
          </cell>
          <cell r="F5829">
            <v>1030</v>
          </cell>
        </row>
        <row r="5830">
          <cell r="E5830" t="str">
            <v>NEW MARKETALROSSVILLETN</v>
          </cell>
          <cell r="F5830">
            <v>650</v>
          </cell>
        </row>
        <row r="5831">
          <cell r="E5831" t="str">
            <v>NEW MARKETALGASTONIANC</v>
          </cell>
          <cell r="F5831">
            <v>1070</v>
          </cell>
        </row>
        <row r="5832">
          <cell r="E5832" t="str">
            <v>NEW MARKETALMOBILEAL</v>
          </cell>
          <cell r="F5832">
            <v>1000</v>
          </cell>
        </row>
        <row r="5833">
          <cell r="E5833" t="str">
            <v>NEW MARKETALBELMONTNC</v>
          </cell>
          <cell r="F5833">
            <v>1090</v>
          </cell>
        </row>
        <row r="5834">
          <cell r="E5834" t="str">
            <v>NEW MARKETALLOWELLNC</v>
          </cell>
          <cell r="F5834">
            <v>1080</v>
          </cell>
        </row>
        <row r="5835">
          <cell r="E5835" t="str">
            <v>NEW MARKETALCHARLOTTENC</v>
          </cell>
          <cell r="F5835">
            <v>1120</v>
          </cell>
        </row>
        <row r="5836">
          <cell r="E5836" t="str">
            <v>NEW MARKETALMOCKSVILLENC</v>
          </cell>
          <cell r="F5836">
            <v>1130</v>
          </cell>
        </row>
        <row r="5837">
          <cell r="E5837" t="str">
            <v>NEW MARKETALMINERAL SPRINGSNC</v>
          </cell>
          <cell r="F5837">
            <v>1180</v>
          </cell>
        </row>
        <row r="5838">
          <cell r="E5838" t="str">
            <v>NEW MARKETALMEMPHISTN</v>
          </cell>
          <cell r="F5838">
            <v>690</v>
          </cell>
        </row>
        <row r="5839">
          <cell r="E5839" t="str">
            <v>NEW MARKETALGREENWOODSC</v>
          </cell>
          <cell r="F5839">
            <v>920</v>
          </cell>
        </row>
        <row r="5840">
          <cell r="E5840" t="str">
            <v>NEW MARKETALSALISBURYNC</v>
          </cell>
          <cell r="F5840">
            <v>1150</v>
          </cell>
        </row>
        <row r="5841">
          <cell r="E5841" t="str">
            <v>NEW MARKETALLEXINGTONNC</v>
          </cell>
          <cell r="F5841">
            <v>1170</v>
          </cell>
        </row>
        <row r="5842">
          <cell r="E5842" t="str">
            <v>NEW MARKETALCENTREAL</v>
          </cell>
          <cell r="F5842">
            <v>490</v>
          </cell>
        </row>
        <row r="5843">
          <cell r="E5843" t="str">
            <v>NEW MARKETALGREERSC</v>
          </cell>
          <cell r="F5843">
            <v>940</v>
          </cell>
        </row>
        <row r="5844">
          <cell r="E5844" t="str">
            <v>NEW MARKETALENOREESC</v>
          </cell>
          <cell r="F5844">
            <v>990</v>
          </cell>
        </row>
        <row r="5845">
          <cell r="E5845" t="str">
            <v>NEW MARKETALTHOMASVILLENC</v>
          </cell>
          <cell r="F5845">
            <v>1200</v>
          </cell>
        </row>
        <row r="5846">
          <cell r="E5846" t="str">
            <v>NEW MARKETALWEST MEMPHISAR</v>
          </cell>
          <cell r="F5846">
            <v>690</v>
          </cell>
        </row>
        <row r="5847">
          <cell r="E5847" t="str">
            <v>NEW MARKETALMARIONAR</v>
          </cell>
          <cell r="F5847">
            <v>700</v>
          </cell>
        </row>
        <row r="5848">
          <cell r="E5848" t="str">
            <v>NEW MARKETALNORFOLKVA</v>
          </cell>
          <cell r="F5848">
            <v>1780</v>
          </cell>
        </row>
        <row r="5849">
          <cell r="E5849" t="str">
            <v>NEW MARKETALTUNICAMS</v>
          </cell>
          <cell r="F5849">
            <v>720</v>
          </cell>
        </row>
        <row r="5850">
          <cell r="E5850" t="str">
            <v>NEW MARKETALSTONEVILLENC</v>
          </cell>
          <cell r="F5850">
            <v>1270</v>
          </cell>
        </row>
        <row r="5851">
          <cell r="E5851" t="str">
            <v>NEW MARKETALGAFFNEYSC</v>
          </cell>
          <cell r="F5851">
            <v>1020</v>
          </cell>
        </row>
        <row r="5852">
          <cell r="E5852" t="str">
            <v>NEW MARKETALECLECTICAL</v>
          </cell>
          <cell r="F5852">
            <v>650</v>
          </cell>
        </row>
        <row r="5853">
          <cell r="E5853" t="str">
            <v>NEW MARKETALPORTSMOUTHVA</v>
          </cell>
          <cell r="F5853">
            <v>1760</v>
          </cell>
        </row>
        <row r="5854">
          <cell r="E5854" t="str">
            <v>NEW MARKETALBLYTHEVILLEAR</v>
          </cell>
          <cell r="F5854">
            <v>820</v>
          </cell>
        </row>
        <row r="5855">
          <cell r="E5855" t="str">
            <v>NEW MARKETALRABUN GAPGA</v>
          </cell>
          <cell r="F5855">
            <v>730</v>
          </cell>
        </row>
        <row r="5856">
          <cell r="E5856" t="str">
            <v>NEW MARKETALINDIAN LANDSC</v>
          </cell>
          <cell r="F5856">
            <v>1150</v>
          </cell>
        </row>
        <row r="5857">
          <cell r="E5857" t="str">
            <v>NEW MARKETALGREENWOODMS</v>
          </cell>
          <cell r="F5857">
            <v>840</v>
          </cell>
        </row>
        <row r="5858">
          <cell r="E5858" t="str">
            <v>NEW MARKETALGRIFTONNC</v>
          </cell>
          <cell r="F5858">
            <v>1740</v>
          </cell>
        </row>
        <row r="5859">
          <cell r="E5859" t="str">
            <v>NEW MARKETALINDIANOLAMS</v>
          </cell>
          <cell r="F5859">
            <v>910</v>
          </cell>
        </row>
        <row r="5860">
          <cell r="E5860" t="str">
            <v>NEW MARKETALDREWMS</v>
          </cell>
          <cell r="F5860">
            <v>800</v>
          </cell>
        </row>
        <row r="5861">
          <cell r="E5861" t="str">
            <v>NEW ORLEANSLABaytownTX</v>
          </cell>
          <cell r="F5861">
            <v>793</v>
          </cell>
        </row>
        <row r="5862">
          <cell r="E5862" t="str">
            <v>NEW ORLEANSLAHoustonTX</v>
          </cell>
          <cell r="F5862">
            <v>829</v>
          </cell>
        </row>
        <row r="5863">
          <cell r="E5863" t="str">
            <v>NEW ORLEANSLAWESLACOTX</v>
          </cell>
          <cell r="F5863">
            <v>1357</v>
          </cell>
        </row>
        <row r="5864">
          <cell r="E5864" t="str">
            <v>NEWTON GROVENCCARTERSVILLEGA</v>
          </cell>
          <cell r="F5864">
            <v>1180</v>
          </cell>
        </row>
        <row r="5865">
          <cell r="E5865" t="str">
            <v>NEWTON GROVENCGAINESVILLEGA</v>
          </cell>
          <cell r="F5865">
            <v>1040</v>
          </cell>
        </row>
        <row r="5866">
          <cell r="E5866" t="str">
            <v>NEWTON GROVENCGREENWOODMS</v>
          </cell>
          <cell r="F5866">
            <v>1910</v>
          </cell>
        </row>
        <row r="5867">
          <cell r="E5867" t="str">
            <v>NEWTON GROVENCNEW ORLEANSLA</v>
          </cell>
          <cell r="F5867">
            <v>2100</v>
          </cell>
        </row>
        <row r="5868">
          <cell r="E5868" t="str">
            <v>NEWTON GROVENCWEST MEMPHISAR</v>
          </cell>
          <cell r="F5868">
            <v>1950</v>
          </cell>
        </row>
        <row r="5869">
          <cell r="E5869" t="str">
            <v>NEWTON GROVENCMONEYMS</v>
          </cell>
          <cell r="F5869">
            <v>1950</v>
          </cell>
        </row>
        <row r="5870">
          <cell r="E5870" t="str">
            <v>NEWTON GROVENCTUNICAMS</v>
          </cell>
          <cell r="F5870">
            <v>1980</v>
          </cell>
        </row>
        <row r="5871">
          <cell r="E5871" t="str">
            <v>NEWTON GROVENCMCCALLAAL</v>
          </cell>
          <cell r="F5871">
            <v>1470</v>
          </cell>
        </row>
        <row r="5872">
          <cell r="E5872" t="str">
            <v>NEWTON GROVENCMARIONAR</v>
          </cell>
          <cell r="F5872">
            <v>1960</v>
          </cell>
        </row>
        <row r="5873">
          <cell r="E5873" t="str">
            <v>NEWTON GROVENCECLECTICAL</v>
          </cell>
          <cell r="F5873">
            <v>1410</v>
          </cell>
        </row>
        <row r="5874">
          <cell r="E5874" t="str">
            <v>NEWTON GROVENCCENTREAL</v>
          </cell>
          <cell r="F5874">
            <v>1300</v>
          </cell>
        </row>
        <row r="5875">
          <cell r="E5875" t="str">
            <v>NEWTON GROVENCMOBILEAL</v>
          </cell>
          <cell r="F5875">
            <v>1790</v>
          </cell>
        </row>
        <row r="5876">
          <cell r="E5876" t="str">
            <v>NEWTON GROVENCDAWSONGA</v>
          </cell>
          <cell r="F5876">
            <v>1300</v>
          </cell>
        </row>
        <row r="5877">
          <cell r="E5877" t="str">
            <v>NEWTON GROVENCINDIAN LANDSC</v>
          </cell>
          <cell r="F5877">
            <v>600</v>
          </cell>
        </row>
        <row r="5878">
          <cell r="E5878" t="str">
            <v>NEWTON GROVENCGREENWOODSC</v>
          </cell>
          <cell r="F5878">
            <v>790</v>
          </cell>
        </row>
        <row r="5879">
          <cell r="E5879" t="str">
            <v>NEWTON GROVENCSPARTANC</v>
          </cell>
          <cell r="F5879">
            <v>670</v>
          </cell>
        </row>
        <row r="5880">
          <cell r="E5880" t="str">
            <v>NEWTON GROVENCMEMPHISTN</v>
          </cell>
          <cell r="F5880">
            <v>1970</v>
          </cell>
        </row>
        <row r="5881">
          <cell r="E5881" t="str">
            <v>NEWTON GROVENCNORFOLKVA</v>
          </cell>
          <cell r="F5881">
            <v>640</v>
          </cell>
        </row>
        <row r="5882">
          <cell r="E5882" t="str">
            <v>NEWTON GROVENCDREWMS</v>
          </cell>
          <cell r="F5882">
            <v>2000</v>
          </cell>
        </row>
        <row r="5883">
          <cell r="E5883" t="str">
            <v>NEWTON GROVENCINDIANOLAMS</v>
          </cell>
          <cell r="F5883">
            <v>1970</v>
          </cell>
        </row>
        <row r="5884">
          <cell r="E5884" t="str">
            <v>NEWTON GROVENCRAYVILLELA</v>
          </cell>
          <cell r="F5884">
            <v>2150</v>
          </cell>
        </row>
        <row r="5885">
          <cell r="E5885" t="str">
            <v>NEWTON GROVENCGAFFNEYSC</v>
          </cell>
          <cell r="F5885">
            <v>680</v>
          </cell>
        </row>
        <row r="5886">
          <cell r="E5886" t="str">
            <v>NEWTON GROVENCROSSVILLETN</v>
          </cell>
          <cell r="F5886">
            <v>1940</v>
          </cell>
        </row>
        <row r="5887">
          <cell r="E5887" t="str">
            <v>NEWTON GROVENCBLYTHEVILLEAR</v>
          </cell>
          <cell r="F5887">
            <v>1960</v>
          </cell>
        </row>
        <row r="5888">
          <cell r="E5888" t="str">
            <v>NEWTON GROVENCSALISBURYNC</v>
          </cell>
          <cell r="F5888">
            <v>590</v>
          </cell>
        </row>
        <row r="5889">
          <cell r="E5889" t="str">
            <v>NEWTON GROVENCTALLULAHLA</v>
          </cell>
          <cell r="F5889">
            <v>2080</v>
          </cell>
        </row>
        <row r="5890">
          <cell r="E5890" t="str">
            <v>NEWTON GROVENCMINERAL SPRINGSNC</v>
          </cell>
          <cell r="F5890">
            <v>570</v>
          </cell>
        </row>
        <row r="5891">
          <cell r="E5891" t="str">
            <v>NEWTON GROVENCPORTSMOUTHVA</v>
          </cell>
          <cell r="F5891">
            <v>620</v>
          </cell>
        </row>
        <row r="5892">
          <cell r="E5892" t="str">
            <v>NEWTON GROVENCRINCONGA</v>
          </cell>
          <cell r="F5892">
            <v>920</v>
          </cell>
        </row>
        <row r="5893">
          <cell r="E5893" t="str">
            <v>NEWTON GROVENCRABUN GAPGA</v>
          </cell>
          <cell r="F5893">
            <v>1070</v>
          </cell>
        </row>
        <row r="5894">
          <cell r="E5894" t="str">
            <v>NEWTON GROVENCEDENTONNC</v>
          </cell>
          <cell r="F5894">
            <v>550</v>
          </cell>
        </row>
        <row r="5895">
          <cell r="E5895" t="str">
            <v>NEWTON GROVENCKINSTONNC</v>
          </cell>
          <cell r="F5895">
            <v>400</v>
          </cell>
        </row>
        <row r="5896">
          <cell r="E5896" t="str">
            <v>NEWTON GROVENCLUMBERTONNC</v>
          </cell>
          <cell r="F5896">
            <v>420</v>
          </cell>
        </row>
        <row r="5897">
          <cell r="E5897" t="str">
            <v>NEWTON GROVENCSANFORDNC</v>
          </cell>
          <cell r="F5897">
            <v>400</v>
          </cell>
        </row>
        <row r="5898">
          <cell r="E5898" t="str">
            <v>NEWTON GROVENCERWINNC</v>
          </cell>
          <cell r="F5898">
            <v>350</v>
          </cell>
        </row>
        <row r="5899">
          <cell r="E5899" t="str">
            <v>NEWTON GROVENCPORT WENTWORTHGA</v>
          </cell>
          <cell r="F5899">
            <v>910</v>
          </cell>
        </row>
        <row r="5900">
          <cell r="E5900" t="str">
            <v>NEWTON GROVENCCLARKTONNC</v>
          </cell>
          <cell r="F5900">
            <v>420</v>
          </cell>
        </row>
        <row r="5901">
          <cell r="E5901" t="str">
            <v>NEWTON GROVENCGULFPORTMS</v>
          </cell>
          <cell r="F5901">
            <v>2050</v>
          </cell>
        </row>
        <row r="5902">
          <cell r="E5902" t="str">
            <v>NEWTON GROVENCGRIFTONNC</v>
          </cell>
          <cell r="F5902">
            <v>530</v>
          </cell>
        </row>
        <row r="5903">
          <cell r="E5903" t="str">
            <v>NEWTON GROVENCHICKORYNC</v>
          </cell>
          <cell r="F5903">
            <v>660</v>
          </cell>
        </row>
        <row r="5904">
          <cell r="E5904" t="str">
            <v>NEWTON GROVENCJACKSONVILLEFL</v>
          </cell>
          <cell r="F5904">
            <v>1110</v>
          </cell>
        </row>
        <row r="5905">
          <cell r="E5905" t="str">
            <v>NEWTON GROVENCGREERSC</v>
          </cell>
          <cell r="F5905">
            <v>750</v>
          </cell>
        </row>
        <row r="5906">
          <cell r="E5906" t="str">
            <v>NEWTON GROVENCTHOMASVILLENC</v>
          </cell>
          <cell r="F5906">
            <v>550</v>
          </cell>
        </row>
        <row r="5907">
          <cell r="E5907" t="str">
            <v>NEWTON GROVENCGarden CityGA</v>
          </cell>
          <cell r="F5907">
            <v>910</v>
          </cell>
        </row>
        <row r="5908">
          <cell r="E5908" t="str">
            <v>NEWTON GROVENCMAYODANNC</v>
          </cell>
          <cell r="F5908">
            <v>560</v>
          </cell>
        </row>
        <row r="5909">
          <cell r="E5909" t="str">
            <v>NEWTON GROVENCSTONEVILLENC</v>
          </cell>
          <cell r="F5909">
            <v>560</v>
          </cell>
        </row>
        <row r="5910">
          <cell r="E5910" t="str">
            <v>NEWTON GROVENCENOREESC</v>
          </cell>
          <cell r="F5910">
            <v>750</v>
          </cell>
        </row>
        <row r="5911">
          <cell r="E5911" t="str">
            <v>NEWTON GROVENCSHELBYNC</v>
          </cell>
          <cell r="F5911">
            <v>670</v>
          </cell>
        </row>
        <row r="5912">
          <cell r="E5912" t="str">
            <v>NEWTON GROVENCLEXINGTONNC</v>
          </cell>
          <cell r="F5912">
            <v>560</v>
          </cell>
        </row>
        <row r="5913">
          <cell r="E5913" t="str">
            <v>NEWTON GROVENCCHARLOTTENC</v>
          </cell>
          <cell r="F5913">
            <v>590</v>
          </cell>
        </row>
        <row r="5914">
          <cell r="E5914" t="str">
            <v>NEWTON GROVENCROCKINGHAMNC</v>
          </cell>
          <cell r="F5914">
            <v>480</v>
          </cell>
        </row>
        <row r="5915">
          <cell r="E5915" t="str">
            <v>NEWTON GROVENCBELMONTNC</v>
          </cell>
          <cell r="F5915">
            <v>620</v>
          </cell>
        </row>
        <row r="5916">
          <cell r="E5916" t="str">
            <v>NEWTON GROVENCLOWELLNC</v>
          </cell>
          <cell r="F5916">
            <v>630</v>
          </cell>
        </row>
        <row r="5917">
          <cell r="E5917" t="str">
            <v>NEWTON GROVENCGASTONIANC</v>
          </cell>
          <cell r="F5917">
            <v>630</v>
          </cell>
        </row>
        <row r="5918">
          <cell r="E5918" t="str">
            <v>NEWTON GROVENCMOCKSVILLENC</v>
          </cell>
          <cell r="F5918">
            <v>590</v>
          </cell>
        </row>
        <row r="5919">
          <cell r="E5919" t="str">
            <v>NEWTON GROVENCROCKFORDTN</v>
          </cell>
          <cell r="F5919">
            <v>1100</v>
          </cell>
        </row>
        <row r="5920">
          <cell r="E5920" t="str">
            <v>NORMAN PARKGAROCKFORDTN</v>
          </cell>
          <cell r="F5920">
            <v>1100</v>
          </cell>
        </row>
        <row r="5921">
          <cell r="E5921" t="str">
            <v>NORMAN PARKGAMAYODANNC</v>
          </cell>
          <cell r="F5921">
            <v>1310</v>
          </cell>
        </row>
        <row r="5922">
          <cell r="E5922" t="str">
            <v>NORMAN PARKGAGREENWOODMS</v>
          </cell>
          <cell r="F5922">
            <v>1230</v>
          </cell>
        </row>
        <row r="5923">
          <cell r="E5923" t="str">
            <v>NORMAN PARKGATALLULAHLA</v>
          </cell>
          <cell r="F5923">
            <v>1320</v>
          </cell>
        </row>
        <row r="5924">
          <cell r="E5924" t="str">
            <v>NORMAN PARKGASTONEVILLENC</v>
          </cell>
          <cell r="F5924">
            <v>1320</v>
          </cell>
        </row>
        <row r="5925">
          <cell r="E5925" t="str">
            <v>NORMAN PARKGAMCCALLAAL</v>
          </cell>
          <cell r="F5925">
            <v>790</v>
          </cell>
        </row>
        <row r="5926">
          <cell r="E5926" t="str">
            <v>NORMAN PARKGAGREENWOODSC</v>
          </cell>
          <cell r="F5926">
            <v>760</v>
          </cell>
        </row>
        <row r="5927">
          <cell r="E5927" t="str">
            <v>NORMAN PARKGANORFOLKVA</v>
          </cell>
          <cell r="F5927">
            <v>1680</v>
          </cell>
        </row>
        <row r="5928">
          <cell r="E5928" t="str">
            <v>NORMAN PARKGAMOCKSVILLENC</v>
          </cell>
          <cell r="F5928">
            <v>1200</v>
          </cell>
        </row>
        <row r="5929">
          <cell r="E5929" t="str">
            <v>NORMAN PARKGACLARKTONNC</v>
          </cell>
          <cell r="F5929">
            <v>1150</v>
          </cell>
        </row>
        <row r="5930">
          <cell r="E5930" t="str">
            <v>NORMAN PARKGAERWINNC</v>
          </cell>
          <cell r="F5930">
            <v>1230</v>
          </cell>
        </row>
        <row r="5931">
          <cell r="E5931" t="str">
            <v>NORMAN PARKGACARTERSVILLEGA</v>
          </cell>
          <cell r="F5931">
            <v>710</v>
          </cell>
        </row>
        <row r="5932">
          <cell r="E5932" t="str">
            <v>NORMAN PARKGAMONEYMS</v>
          </cell>
          <cell r="F5932">
            <v>1270</v>
          </cell>
        </row>
        <row r="5933">
          <cell r="E5933" t="str">
            <v>NORMAN PARKGASALISBURYNC</v>
          </cell>
          <cell r="F5933">
            <v>1160</v>
          </cell>
        </row>
        <row r="5934">
          <cell r="E5934" t="str">
            <v>NORMAN PARKGADREWMS</v>
          </cell>
          <cell r="F5934">
            <v>1320</v>
          </cell>
        </row>
        <row r="5935">
          <cell r="E5935" t="str">
            <v>NORMAN PARKGAENOREESC</v>
          </cell>
          <cell r="F5935">
            <v>860</v>
          </cell>
        </row>
        <row r="5936">
          <cell r="E5936" t="str">
            <v>NORMAN PARKGAINDIANOLAMS</v>
          </cell>
          <cell r="F5936">
            <v>1300</v>
          </cell>
        </row>
        <row r="5937">
          <cell r="E5937" t="str">
            <v>NORMAN PARKGAROSSVILLETN</v>
          </cell>
          <cell r="F5937">
            <v>1270</v>
          </cell>
        </row>
        <row r="5938">
          <cell r="E5938" t="str">
            <v>NORMAN PARKGAGREERSC</v>
          </cell>
          <cell r="F5938">
            <v>940</v>
          </cell>
        </row>
        <row r="5939">
          <cell r="E5939" t="str">
            <v>NORMAN PARKGALUMBERTONNC</v>
          </cell>
          <cell r="F5939">
            <v>1100</v>
          </cell>
        </row>
        <row r="5940">
          <cell r="E5940" t="str">
            <v>NORMAN PARKGAMINERAL SPRINGSNC</v>
          </cell>
          <cell r="F5940">
            <v>1050</v>
          </cell>
        </row>
        <row r="5941">
          <cell r="E5941" t="str">
            <v>NORMAN PARKGARAYVILLELA</v>
          </cell>
          <cell r="F5941">
            <v>1400</v>
          </cell>
        </row>
        <row r="5942">
          <cell r="E5942" t="str">
            <v>NORMAN PARKGABELMONTNC</v>
          </cell>
          <cell r="F5942">
            <v>1110</v>
          </cell>
        </row>
        <row r="5943">
          <cell r="E5943" t="str">
            <v>NORMAN PARKGABLYTHEVILLEAR</v>
          </cell>
          <cell r="F5943">
            <v>1430</v>
          </cell>
        </row>
        <row r="5944">
          <cell r="E5944" t="str">
            <v>NORMAN PARKGAGAINESVILLEGA</v>
          </cell>
          <cell r="F5944">
            <v>710</v>
          </cell>
        </row>
        <row r="5945">
          <cell r="E5945" t="str">
            <v>NORMAN PARKGACHARLOTTENC</v>
          </cell>
          <cell r="F5945">
            <v>1070</v>
          </cell>
        </row>
        <row r="5946">
          <cell r="E5946" t="str">
            <v>NORMAN PARKGAGAFFNEYSC</v>
          </cell>
          <cell r="F5946">
            <v>1020</v>
          </cell>
        </row>
        <row r="5947">
          <cell r="E5947" t="str">
            <v>NORMAN PARKGALEXINGTONNC</v>
          </cell>
          <cell r="F5947">
            <v>1200</v>
          </cell>
        </row>
        <row r="5948">
          <cell r="E5948" t="str">
            <v>NORMAN PARKGALOWELLNC</v>
          </cell>
          <cell r="F5948">
            <v>1100</v>
          </cell>
        </row>
        <row r="5949">
          <cell r="E5949" t="str">
            <v>NORMAN PARKGAKINSTONNC</v>
          </cell>
          <cell r="F5949">
            <v>1380</v>
          </cell>
        </row>
        <row r="5950">
          <cell r="E5950" t="str">
            <v>NORMAN PARKGAROCKINGHAMNC</v>
          </cell>
          <cell r="F5950">
            <v>1100</v>
          </cell>
        </row>
        <row r="5951">
          <cell r="E5951" t="str">
            <v>NORMAN PARKGAEDENTONNC</v>
          </cell>
          <cell r="F5951">
            <v>1560</v>
          </cell>
        </row>
        <row r="5952">
          <cell r="E5952" t="str">
            <v>NORMAN PARKGASHELBYNC</v>
          </cell>
          <cell r="F5952">
            <v>1050</v>
          </cell>
        </row>
        <row r="5953">
          <cell r="E5953" t="str">
            <v>NORMAN PARKGAMEMPHISTN</v>
          </cell>
          <cell r="F5953">
            <v>1280</v>
          </cell>
        </row>
        <row r="5954">
          <cell r="E5954" t="str">
            <v>NORMAN PARKGAGASTONIANC</v>
          </cell>
          <cell r="F5954">
            <v>1080</v>
          </cell>
        </row>
        <row r="5955">
          <cell r="E5955" t="str">
            <v>NORMAN PARKGAHICKORYNC</v>
          </cell>
          <cell r="F5955">
            <v>1160</v>
          </cell>
        </row>
        <row r="5956">
          <cell r="E5956" t="str">
            <v>NORMAN PARKGANEW ORLEANSLA</v>
          </cell>
          <cell r="F5956">
            <v>1160</v>
          </cell>
        </row>
        <row r="5957">
          <cell r="E5957" t="str">
            <v>NORMAN PARKGASPARTANC</v>
          </cell>
          <cell r="F5957">
            <v>1290</v>
          </cell>
        </row>
        <row r="5958">
          <cell r="E5958" t="str">
            <v>NORMAN PARKGAPORTSMOUTHVA</v>
          </cell>
          <cell r="F5958">
            <v>1650</v>
          </cell>
        </row>
        <row r="5959">
          <cell r="E5959" t="str">
            <v>NORMAN PARKGAINDIAN LANDSC</v>
          </cell>
          <cell r="F5959">
            <v>1040</v>
          </cell>
        </row>
        <row r="5960">
          <cell r="E5960" t="str">
            <v>NORMAN PARKGAMARIONAR</v>
          </cell>
          <cell r="F5960">
            <v>1300</v>
          </cell>
        </row>
        <row r="5961">
          <cell r="E5961" t="str">
            <v>NORMAN PARKGATHOMASVILLENC</v>
          </cell>
          <cell r="F5961">
            <v>1220</v>
          </cell>
        </row>
        <row r="5962">
          <cell r="E5962" t="str">
            <v>NORMAN PARKGACENTREAL</v>
          </cell>
          <cell r="F5962">
            <v>790</v>
          </cell>
        </row>
        <row r="5963">
          <cell r="E5963" t="str">
            <v>NORMAN PARKGAMOBILEAL</v>
          </cell>
          <cell r="F5963">
            <v>840</v>
          </cell>
        </row>
        <row r="5964">
          <cell r="E5964" t="str">
            <v>NORMAN PARKGASANFORDNC</v>
          </cell>
          <cell r="F5964">
            <v>1230</v>
          </cell>
        </row>
        <row r="5965">
          <cell r="E5965" t="str">
            <v>NORMAN PARKGATUNICAMS</v>
          </cell>
          <cell r="F5965">
            <v>1310</v>
          </cell>
        </row>
        <row r="5966">
          <cell r="E5966" t="str">
            <v>NORMAN PARKGAWEST MEMPHISAR</v>
          </cell>
          <cell r="F5966">
            <v>1290</v>
          </cell>
        </row>
        <row r="5967">
          <cell r="E5967" t="str">
            <v>NORMAN PARKGARABUN GAPGA</v>
          </cell>
          <cell r="F5967">
            <v>890</v>
          </cell>
        </row>
        <row r="5968">
          <cell r="E5968" t="str">
            <v>NORMAN PARKGADAWSONGA</v>
          </cell>
          <cell r="F5968">
            <v>430</v>
          </cell>
        </row>
        <row r="5969">
          <cell r="E5969" t="str">
            <v>NORMAN PARKGAGRIFTONNC</v>
          </cell>
          <cell r="F5969">
            <v>1520</v>
          </cell>
        </row>
        <row r="5970">
          <cell r="E5970" t="str">
            <v>NORMAN PARKGAPORT WENTWORTHGA</v>
          </cell>
          <cell r="F5970">
            <v>730</v>
          </cell>
        </row>
        <row r="5971">
          <cell r="E5971" t="str">
            <v>NORMAN PARKGARINCONGA</v>
          </cell>
          <cell r="F5971">
            <v>740</v>
          </cell>
        </row>
        <row r="5972">
          <cell r="E5972" t="str">
            <v>NORMAN PARKGAGULFPORTMS</v>
          </cell>
          <cell r="F5972">
            <v>1110</v>
          </cell>
        </row>
        <row r="5973">
          <cell r="E5973" t="str">
            <v>NORMAN PARKGAGarden CityGA</v>
          </cell>
          <cell r="F5973">
            <v>720</v>
          </cell>
        </row>
        <row r="5974">
          <cell r="E5974" t="str">
            <v>NORMAN PARKGAECLECTICAL</v>
          </cell>
          <cell r="F5974">
            <v>650</v>
          </cell>
        </row>
        <row r="5975">
          <cell r="E5975" t="str">
            <v>NORMAN PARKGAJACKSONVILLEFL</v>
          </cell>
          <cell r="F5975">
            <v>580</v>
          </cell>
        </row>
        <row r="5976">
          <cell r="E5976" t="str">
            <v>O`DONNELLTXDallasTX</v>
          </cell>
          <cell r="F5976">
            <v>634</v>
          </cell>
        </row>
        <row r="5977">
          <cell r="E5977" t="str">
            <v>O`DONNELLTXHoustonTX</v>
          </cell>
          <cell r="F5977">
            <v>699</v>
          </cell>
        </row>
        <row r="5978">
          <cell r="E5978" t="str">
            <v>O`DONNELLTXBaytownTX</v>
          </cell>
          <cell r="F5978">
            <v>699</v>
          </cell>
        </row>
        <row r="5979">
          <cell r="E5979" t="str">
            <v>OAK GROVELABaytownTX</v>
          </cell>
          <cell r="F5979">
            <v>1172</v>
          </cell>
        </row>
        <row r="5980">
          <cell r="E5980" t="str">
            <v>OAK GROVELAHoustonTX</v>
          </cell>
          <cell r="F5980">
            <v>1209</v>
          </cell>
        </row>
        <row r="5981">
          <cell r="E5981" t="str">
            <v>OAKGROVELAHoustonTX</v>
          </cell>
          <cell r="F5981">
            <v>804</v>
          </cell>
        </row>
        <row r="5982">
          <cell r="E5982" t="str">
            <v>OAKGROVELABaytownTX</v>
          </cell>
          <cell r="F5982">
            <v>674</v>
          </cell>
        </row>
        <row r="5983">
          <cell r="E5983" t="str">
            <v>OCILLAGAROCKFORDTN</v>
          </cell>
          <cell r="F5983">
            <v>1070</v>
          </cell>
        </row>
        <row r="5984">
          <cell r="E5984" t="str">
            <v>OCILLAGAMOCKSVILLENC</v>
          </cell>
          <cell r="F5984">
            <v>1050</v>
          </cell>
        </row>
        <row r="5985">
          <cell r="E5985" t="str">
            <v>OCILLAGASHELBYNC</v>
          </cell>
          <cell r="F5985">
            <v>1030</v>
          </cell>
        </row>
        <row r="5986">
          <cell r="E5986" t="str">
            <v>OCILLAGASALISBURYNC</v>
          </cell>
          <cell r="F5986">
            <v>1010</v>
          </cell>
        </row>
        <row r="5987">
          <cell r="E5987" t="str">
            <v>OCILLAGAMCCALLAAL</v>
          </cell>
          <cell r="F5987">
            <v>830</v>
          </cell>
        </row>
        <row r="5988">
          <cell r="E5988" t="str">
            <v>OCILLAGAGAINESVILLEGA</v>
          </cell>
          <cell r="F5988">
            <v>690</v>
          </cell>
        </row>
        <row r="5989">
          <cell r="E5989" t="str">
            <v>OCILLAGACENTREAL</v>
          </cell>
          <cell r="F5989">
            <v>770</v>
          </cell>
        </row>
        <row r="5990">
          <cell r="E5990" t="str">
            <v>OCILLAGACLARKTONNC</v>
          </cell>
          <cell r="F5990">
            <v>1070</v>
          </cell>
        </row>
        <row r="5991">
          <cell r="E5991" t="str">
            <v>OCILLAGAERWINNC</v>
          </cell>
          <cell r="F5991">
            <v>1150</v>
          </cell>
        </row>
        <row r="5992">
          <cell r="E5992" t="str">
            <v>OCILLAGAGASTONIANC</v>
          </cell>
          <cell r="F5992">
            <v>950</v>
          </cell>
        </row>
        <row r="5993">
          <cell r="E5993" t="str">
            <v>OCILLAGAGREENWOODSC</v>
          </cell>
          <cell r="F5993">
            <v>680</v>
          </cell>
        </row>
        <row r="5994">
          <cell r="E5994" t="str">
            <v>OCILLAGAMINERAL SPRINGSNC</v>
          </cell>
          <cell r="F5994">
            <v>900</v>
          </cell>
        </row>
        <row r="5995">
          <cell r="E5995" t="str">
            <v>OCILLAGAROSSVILLETN</v>
          </cell>
          <cell r="F5995">
            <v>1310</v>
          </cell>
        </row>
        <row r="5996">
          <cell r="E5996" t="str">
            <v>OCILLAGAHICKORYNC</v>
          </cell>
          <cell r="F5996">
            <v>1030</v>
          </cell>
        </row>
        <row r="5997">
          <cell r="E5997" t="str">
            <v>OCILLAGAINDIANOLAMS</v>
          </cell>
          <cell r="F5997">
            <v>1340</v>
          </cell>
        </row>
        <row r="5998">
          <cell r="E5998" t="str">
            <v>OCILLAGANORFOLKVA</v>
          </cell>
          <cell r="F5998">
            <v>1600</v>
          </cell>
        </row>
        <row r="5999">
          <cell r="E5999" t="str">
            <v>OCILLAGALOWELLNC</v>
          </cell>
          <cell r="F5999">
            <v>940</v>
          </cell>
        </row>
        <row r="6000">
          <cell r="E6000" t="str">
            <v>OCILLAGALUMBERTONNC</v>
          </cell>
          <cell r="F6000">
            <v>1020</v>
          </cell>
        </row>
        <row r="6001">
          <cell r="E6001" t="str">
            <v>OCILLAGARAYVILLELA</v>
          </cell>
          <cell r="F6001">
            <v>1440</v>
          </cell>
        </row>
        <row r="6002">
          <cell r="E6002" t="str">
            <v>OCILLAGACHARLOTTENC</v>
          </cell>
          <cell r="F6002">
            <v>920</v>
          </cell>
        </row>
        <row r="6003">
          <cell r="E6003" t="str">
            <v>OCILLAGALEXINGTONNC</v>
          </cell>
          <cell r="F6003">
            <v>1050</v>
          </cell>
        </row>
        <row r="6004">
          <cell r="E6004" t="str">
            <v>OCILLAGABLYTHEVILLEAR</v>
          </cell>
          <cell r="F6004">
            <v>1470</v>
          </cell>
        </row>
        <row r="6005">
          <cell r="E6005" t="str">
            <v>OCILLAGABELMONTNC</v>
          </cell>
          <cell r="F6005">
            <v>930</v>
          </cell>
        </row>
        <row r="6006">
          <cell r="E6006" t="str">
            <v>OCILLAGANEW ORLEANSLA</v>
          </cell>
          <cell r="F6006">
            <v>1250</v>
          </cell>
        </row>
        <row r="6007">
          <cell r="E6007" t="str">
            <v>OCILLAGAGREERSC</v>
          </cell>
          <cell r="F6007">
            <v>920</v>
          </cell>
        </row>
        <row r="6008">
          <cell r="E6008" t="str">
            <v>OCILLAGASPARTANC</v>
          </cell>
          <cell r="F6008">
            <v>1150</v>
          </cell>
        </row>
        <row r="6009">
          <cell r="E6009" t="str">
            <v>OCILLAGAMOBILEAL</v>
          </cell>
          <cell r="F6009">
            <v>930</v>
          </cell>
        </row>
        <row r="6010">
          <cell r="E6010" t="str">
            <v>OCILLAGAMEMPHISTN</v>
          </cell>
          <cell r="F6010">
            <v>1330</v>
          </cell>
        </row>
        <row r="6011">
          <cell r="E6011" t="str">
            <v>OCILLAGASANFORDNC</v>
          </cell>
          <cell r="F6011">
            <v>1070</v>
          </cell>
        </row>
        <row r="6012">
          <cell r="E6012" t="str">
            <v>OCILLAGATHOMASVILLENC</v>
          </cell>
          <cell r="F6012">
            <v>1070</v>
          </cell>
        </row>
        <row r="6013">
          <cell r="E6013" t="str">
            <v>OCILLAGAKINSTONNC</v>
          </cell>
          <cell r="F6013">
            <v>1300</v>
          </cell>
        </row>
        <row r="6014">
          <cell r="E6014" t="str">
            <v>OCILLAGAEDENTONNC</v>
          </cell>
          <cell r="F6014">
            <v>1480</v>
          </cell>
        </row>
        <row r="6015">
          <cell r="E6015" t="str">
            <v>OCILLAGATUNICAMS</v>
          </cell>
          <cell r="F6015">
            <v>1350</v>
          </cell>
        </row>
        <row r="6016">
          <cell r="E6016" t="str">
            <v>OCILLAGAROCKINGHAMNC</v>
          </cell>
          <cell r="F6016">
            <v>950</v>
          </cell>
        </row>
        <row r="6017">
          <cell r="E6017" t="str">
            <v>OCILLAGACARTERSVILLEGA</v>
          </cell>
          <cell r="F6017">
            <v>690</v>
          </cell>
        </row>
        <row r="6018">
          <cell r="E6018" t="str">
            <v>OCILLAGAGREENWOODMS</v>
          </cell>
          <cell r="F6018">
            <v>1270</v>
          </cell>
        </row>
        <row r="6019">
          <cell r="E6019" t="str">
            <v>OCILLAGAMAYODANNC</v>
          </cell>
          <cell r="F6019">
            <v>1160</v>
          </cell>
        </row>
        <row r="6020">
          <cell r="E6020" t="str">
            <v>OCILLAGATALLULAHLA</v>
          </cell>
          <cell r="F6020">
            <v>1360</v>
          </cell>
        </row>
        <row r="6021">
          <cell r="E6021" t="str">
            <v>OCILLAGAPORTSMOUTHVA</v>
          </cell>
          <cell r="F6021">
            <v>1570</v>
          </cell>
        </row>
        <row r="6022">
          <cell r="E6022" t="str">
            <v>OCILLAGAMARIONAR</v>
          </cell>
          <cell r="F6022">
            <v>1340</v>
          </cell>
        </row>
        <row r="6023">
          <cell r="E6023" t="str">
            <v>OCILLAGAENOREESC</v>
          </cell>
          <cell r="F6023">
            <v>760</v>
          </cell>
        </row>
        <row r="6024">
          <cell r="E6024" t="str">
            <v>OCILLAGAGAFFNEYSC</v>
          </cell>
          <cell r="F6024">
            <v>990</v>
          </cell>
        </row>
        <row r="6025">
          <cell r="E6025" t="str">
            <v>OCILLAGASTONEVILLENC</v>
          </cell>
          <cell r="F6025">
            <v>1170</v>
          </cell>
        </row>
        <row r="6026">
          <cell r="E6026" t="str">
            <v>OCILLAGAINDIAN LANDSC</v>
          </cell>
          <cell r="F6026">
            <v>890</v>
          </cell>
        </row>
        <row r="6027">
          <cell r="E6027" t="str">
            <v>OCILLAGAWEST MEMPHISAR</v>
          </cell>
          <cell r="F6027">
            <v>1330</v>
          </cell>
        </row>
        <row r="6028">
          <cell r="E6028" t="str">
            <v>OCILLAGAMONEYMS</v>
          </cell>
          <cell r="F6028">
            <v>1310</v>
          </cell>
        </row>
        <row r="6029">
          <cell r="E6029" t="str">
            <v>OCILLAGADREWMS</v>
          </cell>
          <cell r="F6029">
            <v>1360</v>
          </cell>
        </row>
        <row r="6030">
          <cell r="E6030" t="str">
            <v>OCILLAGARABUN GAPGA</v>
          </cell>
          <cell r="F6030">
            <v>870</v>
          </cell>
        </row>
        <row r="6031">
          <cell r="E6031" t="str">
            <v>OCILLAGAGULFPORTMS</v>
          </cell>
          <cell r="F6031">
            <v>1200</v>
          </cell>
        </row>
        <row r="6032">
          <cell r="E6032" t="str">
            <v>OCILLAGAGRIFTONNC</v>
          </cell>
          <cell r="F6032">
            <v>1430</v>
          </cell>
        </row>
        <row r="6033">
          <cell r="E6033" t="str">
            <v>OCILLAGARINCONGA</v>
          </cell>
          <cell r="F6033">
            <v>690</v>
          </cell>
        </row>
        <row r="6034">
          <cell r="E6034" t="str">
            <v>OCILLAGAPORT WENTWORTHGA</v>
          </cell>
          <cell r="F6034">
            <v>680</v>
          </cell>
        </row>
        <row r="6035">
          <cell r="E6035" t="str">
            <v>OCILLAGAGarden CityGA</v>
          </cell>
          <cell r="F6035">
            <v>670</v>
          </cell>
        </row>
        <row r="6036">
          <cell r="E6036" t="str">
            <v>OCILLAGADAWSONGA</v>
          </cell>
          <cell r="F6036">
            <v>450</v>
          </cell>
        </row>
        <row r="6037">
          <cell r="E6037" t="str">
            <v>OCILLAGAJACKSONVILLEFL</v>
          </cell>
          <cell r="F6037">
            <v>540</v>
          </cell>
        </row>
        <row r="6038">
          <cell r="E6038" t="str">
            <v>OCILLAGAECLECTICAL</v>
          </cell>
          <cell r="F6038">
            <v>680</v>
          </cell>
        </row>
        <row r="6039">
          <cell r="E6039" t="str">
            <v>OCILLAGAWESLACOTX</v>
          </cell>
          <cell r="F6039">
            <v>1677</v>
          </cell>
        </row>
        <row r="6040">
          <cell r="E6040" t="str">
            <v>ODONNELLTXHASLETTX</v>
          </cell>
        </row>
        <row r="6041">
          <cell r="E6041" t="str">
            <v>ODONNELLTXHOUSTONTX</v>
          </cell>
        </row>
        <row r="6042">
          <cell r="E6042" t="str">
            <v>ODONNELLTXWILMERTX</v>
          </cell>
        </row>
        <row r="6043">
          <cell r="E6043" t="str">
            <v>ODONNELLTXWYLIETX</v>
          </cell>
        </row>
        <row r="6044">
          <cell r="E6044" t="str">
            <v>ODONNELLTXDallasTX</v>
          </cell>
        </row>
        <row r="6045">
          <cell r="E6045" t="str">
            <v>ODONNELLTXWESLACOTX</v>
          </cell>
          <cell r="F6045">
            <v>1179</v>
          </cell>
        </row>
        <row r="6046">
          <cell r="E6046" t="str">
            <v>OLIVE BRANCHMSROCKFORDTN</v>
          </cell>
          <cell r="F6046">
            <v>1050</v>
          </cell>
        </row>
        <row r="6047">
          <cell r="E6047" t="str">
            <v>OLIVE BRANCHMSSHELBYNC</v>
          </cell>
          <cell r="F6047">
            <v>1440</v>
          </cell>
        </row>
        <row r="6048">
          <cell r="E6048" t="str">
            <v>OLIVE BRANCHMSCHARLOTTENC</v>
          </cell>
          <cell r="F6048">
            <v>1520</v>
          </cell>
        </row>
        <row r="6049">
          <cell r="E6049" t="str">
            <v>OLIVE BRANCHMSHICKORYNC</v>
          </cell>
          <cell r="F6049">
            <v>1470</v>
          </cell>
        </row>
        <row r="6050">
          <cell r="E6050" t="str">
            <v>OLIVE BRANCHMSINDIAN LANDSC</v>
          </cell>
          <cell r="F6050">
            <v>1550</v>
          </cell>
        </row>
        <row r="6051">
          <cell r="E6051" t="str">
            <v>OLIVE BRANCHMSMINERAL SPRINGSNC</v>
          </cell>
          <cell r="F6051">
            <v>1580</v>
          </cell>
        </row>
        <row r="6052">
          <cell r="E6052" t="str">
            <v>OLIVE BRANCHMSMCCALLAAL</v>
          </cell>
          <cell r="F6052">
            <v>680</v>
          </cell>
        </row>
        <row r="6053">
          <cell r="E6053" t="str">
            <v>OLIVE BRANCHMSGREENWOODSC</v>
          </cell>
          <cell r="F6053">
            <v>1310</v>
          </cell>
        </row>
        <row r="6054">
          <cell r="E6054" t="str">
            <v>OLIVE BRANCHMSSPARTANC</v>
          </cell>
          <cell r="F6054">
            <v>1540</v>
          </cell>
        </row>
        <row r="6055">
          <cell r="E6055" t="str">
            <v>OLIVE BRANCHMSMAYODANNC</v>
          </cell>
          <cell r="F6055">
            <v>1700</v>
          </cell>
        </row>
        <row r="6056">
          <cell r="E6056" t="str">
            <v>OLIVE BRANCHMSKINSTONNC</v>
          </cell>
          <cell r="F6056">
            <v>2060</v>
          </cell>
        </row>
        <row r="6057">
          <cell r="E6057" t="str">
            <v>OLIVE BRANCHMSSTONEVILLENC</v>
          </cell>
          <cell r="F6057">
            <v>1710</v>
          </cell>
        </row>
        <row r="6058">
          <cell r="E6058" t="str">
            <v>OLIVE BRANCHMSCARTERSVILLEGA</v>
          </cell>
          <cell r="F6058">
            <v>960</v>
          </cell>
        </row>
        <row r="6059">
          <cell r="E6059" t="str">
            <v>OLIVE BRANCHMSTHOMASVILLENC</v>
          </cell>
          <cell r="F6059">
            <v>1650</v>
          </cell>
        </row>
        <row r="6060">
          <cell r="E6060" t="str">
            <v>OLIVE BRANCHMSMOCKSVILLENC</v>
          </cell>
          <cell r="F6060">
            <v>1580</v>
          </cell>
        </row>
        <row r="6061">
          <cell r="E6061" t="str">
            <v>OLIVE BRANCHMSENOREESC</v>
          </cell>
          <cell r="F6061">
            <v>1380</v>
          </cell>
        </row>
        <row r="6062">
          <cell r="E6062" t="str">
            <v>OLIVE BRANCHMSLOWELLNC</v>
          </cell>
          <cell r="F6062">
            <v>1480</v>
          </cell>
        </row>
        <row r="6063">
          <cell r="E6063" t="str">
            <v>OLIVE BRANCHMSJACKSONVILLEFL</v>
          </cell>
          <cell r="F6063">
            <v>1610</v>
          </cell>
        </row>
        <row r="6064">
          <cell r="E6064" t="str">
            <v>OLIVE BRANCHMSCLARKTONNC</v>
          </cell>
          <cell r="F6064">
            <v>1820</v>
          </cell>
        </row>
        <row r="6065">
          <cell r="E6065" t="str">
            <v>OLIVE BRANCHMSBELMONTNC</v>
          </cell>
          <cell r="F6065">
            <v>1490</v>
          </cell>
        </row>
        <row r="6066">
          <cell r="E6066" t="str">
            <v>OLIVE BRANCHMSERWINNC</v>
          </cell>
          <cell r="F6066">
            <v>1900</v>
          </cell>
        </row>
        <row r="6067">
          <cell r="E6067" t="str">
            <v>OLIVE BRANCHMSGASTONIANC</v>
          </cell>
          <cell r="F6067">
            <v>1470</v>
          </cell>
        </row>
        <row r="6068">
          <cell r="E6068" t="str">
            <v>OLIVE BRANCHMSLEXINGTONNC</v>
          </cell>
          <cell r="F6068">
            <v>1610</v>
          </cell>
        </row>
        <row r="6069">
          <cell r="E6069" t="str">
            <v>OLIVE BRANCHMSROCKINGHAMNC</v>
          </cell>
          <cell r="F6069">
            <v>1690</v>
          </cell>
        </row>
        <row r="6070">
          <cell r="E6070" t="str">
            <v>OLIVE BRANCHMSSALISBURYNC</v>
          </cell>
          <cell r="F6070">
            <v>1590</v>
          </cell>
        </row>
        <row r="6071">
          <cell r="E6071" t="str">
            <v>OLIVE BRANCHMSLUMBERTONNC</v>
          </cell>
          <cell r="F6071">
            <v>1770</v>
          </cell>
        </row>
        <row r="6072">
          <cell r="E6072" t="str">
            <v>OLIVE BRANCHMSINDIANOLAMS</v>
          </cell>
          <cell r="F6072">
            <v>530</v>
          </cell>
        </row>
        <row r="6073">
          <cell r="E6073" t="str">
            <v>OLIVE BRANCHMSRABUN GAPGA</v>
          </cell>
          <cell r="F6073">
            <v>1310</v>
          </cell>
        </row>
        <row r="6074">
          <cell r="E6074" t="str">
            <v>OLIVE BRANCHMSMONEYMS</v>
          </cell>
          <cell r="F6074">
            <v>520</v>
          </cell>
        </row>
        <row r="6075">
          <cell r="E6075" t="str">
            <v>OLIVE BRANCHMSDREWMS</v>
          </cell>
          <cell r="F6075">
            <v>490</v>
          </cell>
        </row>
        <row r="6076">
          <cell r="E6076" t="str">
            <v>OLIVE BRANCHMSBLYTHEVILLEAR</v>
          </cell>
          <cell r="F6076">
            <v>460</v>
          </cell>
        </row>
        <row r="6077">
          <cell r="E6077" t="str">
            <v>OLIVE BRANCHMSGREENWOODMS</v>
          </cell>
          <cell r="F6077">
            <v>530</v>
          </cell>
        </row>
        <row r="6078">
          <cell r="E6078" t="str">
            <v>OLIVE BRANCHMSGRIFTONNC</v>
          </cell>
          <cell r="F6078">
            <v>2180</v>
          </cell>
        </row>
        <row r="6079">
          <cell r="E6079" t="str">
            <v>OLIVE BRANCHMSWEST MEMPHISAR</v>
          </cell>
          <cell r="F6079">
            <v>360</v>
          </cell>
        </row>
        <row r="6080">
          <cell r="E6080" t="str">
            <v>OLIVE BRANCHMSGULFPORTMS</v>
          </cell>
          <cell r="F6080">
            <v>1060</v>
          </cell>
        </row>
        <row r="6081">
          <cell r="E6081" t="str">
            <v>OLIVE BRANCHMSMARIONAR</v>
          </cell>
          <cell r="F6081">
            <v>370</v>
          </cell>
        </row>
        <row r="6082">
          <cell r="E6082" t="str">
            <v>OLIVE BRANCHMSMEMPHISTN</v>
          </cell>
          <cell r="F6082">
            <v>350</v>
          </cell>
        </row>
        <row r="6083">
          <cell r="E6083" t="str">
            <v>OLIVE BRANCHMSROSSVILLETN</v>
          </cell>
          <cell r="F6083">
            <v>350</v>
          </cell>
        </row>
        <row r="6084">
          <cell r="E6084" t="str">
            <v>OLIVE BRANCHMSSANFORDNC</v>
          </cell>
          <cell r="F6084">
            <v>1810</v>
          </cell>
        </row>
        <row r="6085">
          <cell r="E6085" t="str">
            <v>OLIVE BRANCHMSMOBILEAL</v>
          </cell>
          <cell r="F6085">
            <v>960</v>
          </cell>
        </row>
        <row r="6086">
          <cell r="E6086" t="str">
            <v>OLIVE BRANCHMSTALLULAHLA</v>
          </cell>
          <cell r="F6086">
            <v>750</v>
          </cell>
        </row>
        <row r="6087">
          <cell r="E6087" t="str">
            <v>OLIVE BRANCHMSDAWSONGA</v>
          </cell>
          <cell r="F6087">
            <v>1110</v>
          </cell>
        </row>
        <row r="6088">
          <cell r="E6088" t="str">
            <v>OLIVE BRANCHMSCENTREAL</v>
          </cell>
          <cell r="F6088">
            <v>820</v>
          </cell>
        </row>
        <row r="6089">
          <cell r="E6089" t="str">
            <v>OLIVE BRANCHMSRINCONGA</v>
          </cell>
          <cell r="F6089">
            <v>1650</v>
          </cell>
        </row>
        <row r="6090">
          <cell r="E6090" t="str">
            <v>OLIVE BRANCHMSPORT WENTWORTHGA</v>
          </cell>
          <cell r="F6090">
            <v>1630</v>
          </cell>
        </row>
        <row r="6091">
          <cell r="E6091" t="str">
            <v>OLIVE BRANCHMSTUNICAMS</v>
          </cell>
          <cell r="F6091">
            <v>380</v>
          </cell>
        </row>
        <row r="6092">
          <cell r="E6092" t="str">
            <v>OLIVE BRANCHMSGarden CityGA</v>
          </cell>
          <cell r="F6092">
            <v>1620</v>
          </cell>
        </row>
        <row r="6093">
          <cell r="E6093" t="str">
            <v>OLIVE BRANCHMSGREERSC</v>
          </cell>
          <cell r="F6093">
            <v>1330</v>
          </cell>
        </row>
        <row r="6094">
          <cell r="E6094" t="str">
            <v>OLIVE BRANCHMSRAYVILLELA</v>
          </cell>
          <cell r="F6094">
            <v>700</v>
          </cell>
        </row>
        <row r="6095">
          <cell r="E6095" t="str">
            <v>OLIVE BRANCHMSNEW ORLEANSLA</v>
          </cell>
          <cell r="F6095">
            <v>1020</v>
          </cell>
        </row>
        <row r="6096">
          <cell r="E6096" t="str">
            <v>OLIVE BRANCHMSGAINESVILLEGA</v>
          </cell>
          <cell r="F6096">
            <v>1090</v>
          </cell>
        </row>
        <row r="6097">
          <cell r="E6097" t="str">
            <v>OLIVE BRANCHMSECLECTICAL</v>
          </cell>
          <cell r="F6097">
            <v>840</v>
          </cell>
        </row>
        <row r="6098">
          <cell r="E6098" t="str">
            <v>OLIVE BRANCHMSGAFFNEYSC</v>
          </cell>
          <cell r="F6098">
            <v>1410</v>
          </cell>
        </row>
        <row r="6099">
          <cell r="E6099" t="str">
            <v>OLIVE BRANCHMSNORFOLKVA</v>
          </cell>
          <cell r="F6099">
            <v>2220</v>
          </cell>
        </row>
        <row r="6100">
          <cell r="E6100" t="str">
            <v>OLIVE BRANCHMSPORTSMOUTHVA</v>
          </cell>
          <cell r="F6100">
            <v>2200</v>
          </cell>
        </row>
        <row r="6101">
          <cell r="E6101" t="str">
            <v>OLIVE BRANCHMSEDENTONNC</v>
          </cell>
          <cell r="F6101">
            <v>2170</v>
          </cell>
        </row>
        <row r="6102">
          <cell r="E6102" t="str">
            <v>OMEGAGAROCKFORDTN</v>
          </cell>
          <cell r="F6102">
            <v>1080</v>
          </cell>
        </row>
        <row r="6103">
          <cell r="E6103" t="str">
            <v>OMEGAGAGREENWOODSC</v>
          </cell>
          <cell r="F6103">
            <v>740</v>
          </cell>
        </row>
        <row r="6104">
          <cell r="E6104" t="str">
            <v>OMEGAGACLARKTONNC</v>
          </cell>
          <cell r="F6104">
            <v>1130</v>
          </cell>
        </row>
        <row r="6105">
          <cell r="E6105" t="str">
            <v>OMEGAGASALISBURYNC</v>
          </cell>
          <cell r="F6105">
            <v>1140</v>
          </cell>
        </row>
        <row r="6106">
          <cell r="E6106" t="str">
            <v>OMEGAGAENOREESC</v>
          </cell>
          <cell r="F6106">
            <v>840</v>
          </cell>
        </row>
        <row r="6107">
          <cell r="E6107" t="str">
            <v>OMEGAGAMEMPHISTN</v>
          </cell>
          <cell r="F6107">
            <v>1300</v>
          </cell>
        </row>
        <row r="6108">
          <cell r="E6108" t="str">
            <v>OMEGAGAGREERSC</v>
          </cell>
          <cell r="F6108">
            <v>920</v>
          </cell>
        </row>
        <row r="6109">
          <cell r="E6109" t="str">
            <v>OMEGAGALOWELLNC</v>
          </cell>
          <cell r="F6109">
            <v>1080</v>
          </cell>
        </row>
        <row r="6110">
          <cell r="E6110" t="str">
            <v>OMEGAGALUMBERTONNC</v>
          </cell>
          <cell r="F6110">
            <v>1080</v>
          </cell>
        </row>
        <row r="6111">
          <cell r="E6111" t="str">
            <v>OMEGAGANEW ORLEANSLA</v>
          </cell>
          <cell r="F6111">
            <v>1180</v>
          </cell>
        </row>
        <row r="6112">
          <cell r="E6112" t="str">
            <v>OMEGAGAMINERAL SPRINGSNC</v>
          </cell>
          <cell r="F6112">
            <v>1030</v>
          </cell>
        </row>
        <row r="6113">
          <cell r="E6113" t="str">
            <v>OMEGAGAKINSTONNC</v>
          </cell>
          <cell r="F6113">
            <v>1370</v>
          </cell>
        </row>
        <row r="6114">
          <cell r="E6114" t="str">
            <v>OMEGAGABELMONTNC</v>
          </cell>
          <cell r="F6114">
            <v>1090</v>
          </cell>
        </row>
        <row r="6115">
          <cell r="E6115" t="str">
            <v>OMEGAGAMOBILEAL</v>
          </cell>
          <cell r="F6115">
            <v>860</v>
          </cell>
        </row>
        <row r="6116">
          <cell r="E6116" t="str">
            <v>OMEGAGATUNICAMS</v>
          </cell>
          <cell r="F6116">
            <v>1330</v>
          </cell>
        </row>
        <row r="6117">
          <cell r="E6117" t="str">
            <v>OMEGAGACHARLOTTENC</v>
          </cell>
          <cell r="F6117">
            <v>1050</v>
          </cell>
        </row>
        <row r="6118">
          <cell r="E6118" t="str">
            <v>OMEGAGASPARTANC</v>
          </cell>
          <cell r="F6118">
            <v>1280</v>
          </cell>
        </row>
        <row r="6119">
          <cell r="E6119" t="str">
            <v>OMEGAGAGAFFNEYSC</v>
          </cell>
          <cell r="F6119">
            <v>1000</v>
          </cell>
        </row>
        <row r="6120">
          <cell r="E6120" t="str">
            <v>OMEGAGAWEST MEMPHISAR</v>
          </cell>
          <cell r="F6120">
            <v>1310</v>
          </cell>
        </row>
        <row r="6121">
          <cell r="E6121" t="str">
            <v>OMEGAGALEXINGTONNC</v>
          </cell>
          <cell r="F6121">
            <v>1180</v>
          </cell>
        </row>
        <row r="6122">
          <cell r="E6122" t="str">
            <v>OMEGAGAPORTSMOUTHVA</v>
          </cell>
          <cell r="F6122">
            <v>1640</v>
          </cell>
        </row>
        <row r="6123">
          <cell r="E6123" t="str">
            <v>OMEGAGACARTERSVILLEGA</v>
          </cell>
          <cell r="F6123">
            <v>700</v>
          </cell>
        </row>
        <row r="6124">
          <cell r="E6124" t="str">
            <v>OMEGAGAGREENWOODMS</v>
          </cell>
          <cell r="F6124">
            <v>1250</v>
          </cell>
        </row>
        <row r="6125">
          <cell r="E6125" t="str">
            <v>OMEGAGATALLULAHLA</v>
          </cell>
          <cell r="F6125">
            <v>1340</v>
          </cell>
        </row>
        <row r="6126">
          <cell r="E6126" t="str">
            <v>OMEGAGAMARIONAR</v>
          </cell>
          <cell r="F6126">
            <v>1320</v>
          </cell>
        </row>
        <row r="6127">
          <cell r="E6127" t="str">
            <v>OMEGAGAROCKINGHAMNC</v>
          </cell>
          <cell r="F6127">
            <v>1090</v>
          </cell>
        </row>
        <row r="6128">
          <cell r="E6128" t="str">
            <v>OMEGAGAEDENTONNC</v>
          </cell>
          <cell r="F6128">
            <v>1550</v>
          </cell>
        </row>
        <row r="6129">
          <cell r="E6129" t="str">
            <v>OMEGAGASHELBYNC</v>
          </cell>
          <cell r="F6129">
            <v>1040</v>
          </cell>
        </row>
        <row r="6130">
          <cell r="E6130" t="str">
            <v>OMEGAGAGASTONIANC</v>
          </cell>
          <cell r="F6130">
            <v>1070</v>
          </cell>
        </row>
        <row r="6131">
          <cell r="E6131" t="str">
            <v>OMEGAGAMAYODANNC</v>
          </cell>
          <cell r="F6131">
            <v>1300</v>
          </cell>
        </row>
        <row r="6132">
          <cell r="E6132" t="str">
            <v>OMEGAGAHICKORYNC</v>
          </cell>
          <cell r="F6132">
            <v>1150</v>
          </cell>
        </row>
        <row r="6133">
          <cell r="E6133" t="str">
            <v>OMEGAGAMONEYMS</v>
          </cell>
          <cell r="F6133">
            <v>1290</v>
          </cell>
        </row>
        <row r="6134">
          <cell r="E6134" t="str">
            <v>OMEGAGACENTREAL</v>
          </cell>
          <cell r="F6134">
            <v>780</v>
          </cell>
        </row>
        <row r="6135">
          <cell r="E6135" t="str">
            <v>OMEGAGAINDIAN LANDSC</v>
          </cell>
          <cell r="F6135">
            <v>1020</v>
          </cell>
        </row>
        <row r="6136">
          <cell r="E6136" t="str">
            <v>OMEGAGATHOMASVILLENC</v>
          </cell>
          <cell r="F6136">
            <v>1200</v>
          </cell>
        </row>
        <row r="6137">
          <cell r="E6137" t="str">
            <v>OMEGAGADREWMS</v>
          </cell>
          <cell r="F6137">
            <v>1330</v>
          </cell>
        </row>
        <row r="6138">
          <cell r="E6138" t="str">
            <v>OMEGAGAROSSVILLETN</v>
          </cell>
          <cell r="F6138">
            <v>1280</v>
          </cell>
        </row>
        <row r="6139">
          <cell r="E6139" t="str">
            <v>OMEGAGAINDIANOLAMS</v>
          </cell>
          <cell r="F6139">
            <v>1310</v>
          </cell>
        </row>
        <row r="6140">
          <cell r="E6140" t="str">
            <v>OMEGAGAMOCKSVILLENC</v>
          </cell>
          <cell r="F6140">
            <v>1180</v>
          </cell>
        </row>
        <row r="6141">
          <cell r="E6141" t="str">
            <v>OMEGAGAMCCALLAAL</v>
          </cell>
          <cell r="F6141">
            <v>800</v>
          </cell>
        </row>
        <row r="6142">
          <cell r="E6142" t="str">
            <v>OMEGAGAGAINESVILLEGA</v>
          </cell>
          <cell r="F6142">
            <v>690</v>
          </cell>
        </row>
        <row r="6143">
          <cell r="E6143" t="str">
            <v>OMEGAGAERWINNC</v>
          </cell>
          <cell r="F6143">
            <v>1210</v>
          </cell>
        </row>
        <row r="6144">
          <cell r="E6144" t="str">
            <v>OMEGAGASANFORDNC</v>
          </cell>
          <cell r="F6144">
            <v>1210</v>
          </cell>
        </row>
        <row r="6145">
          <cell r="E6145" t="str">
            <v>OMEGAGARAYVILLELA</v>
          </cell>
          <cell r="F6145">
            <v>1410</v>
          </cell>
        </row>
        <row r="6146">
          <cell r="E6146" t="str">
            <v>OMEGAGASTONEVILLENC</v>
          </cell>
          <cell r="F6146">
            <v>1300</v>
          </cell>
        </row>
        <row r="6147">
          <cell r="E6147" t="str">
            <v>OMEGAGANORFOLKVA</v>
          </cell>
          <cell r="F6147">
            <v>1660</v>
          </cell>
        </row>
        <row r="6148">
          <cell r="E6148" t="str">
            <v>OMEGAGABLYTHEVILLEAR</v>
          </cell>
          <cell r="F6148">
            <v>1440</v>
          </cell>
        </row>
        <row r="6149">
          <cell r="E6149" t="str">
            <v>OMEGAGARABUN GAPGA</v>
          </cell>
          <cell r="F6149">
            <v>870</v>
          </cell>
        </row>
        <row r="6150">
          <cell r="E6150" t="str">
            <v>OMEGAGAGRIFTONNC</v>
          </cell>
          <cell r="F6150">
            <v>1500</v>
          </cell>
        </row>
        <row r="6151">
          <cell r="E6151" t="str">
            <v>OMEGAGADAWSONGA</v>
          </cell>
          <cell r="F6151">
            <v>440</v>
          </cell>
        </row>
        <row r="6152">
          <cell r="E6152" t="str">
            <v>OMEGAGARINCONGA</v>
          </cell>
          <cell r="F6152">
            <v>730</v>
          </cell>
        </row>
        <row r="6153">
          <cell r="E6153" t="str">
            <v>OMEGAGAPORT WENTWORTHGA</v>
          </cell>
          <cell r="F6153">
            <v>720</v>
          </cell>
        </row>
        <row r="6154">
          <cell r="E6154" t="str">
            <v>OMEGAGAGarden CityGA</v>
          </cell>
          <cell r="F6154">
            <v>710</v>
          </cell>
        </row>
        <row r="6155">
          <cell r="E6155" t="str">
            <v>OMEGAGAGULFPORTMS</v>
          </cell>
          <cell r="F6155">
            <v>1130</v>
          </cell>
        </row>
        <row r="6156">
          <cell r="E6156" t="str">
            <v>OMEGAGAECLECTICAL</v>
          </cell>
          <cell r="F6156">
            <v>660</v>
          </cell>
        </row>
        <row r="6157">
          <cell r="E6157" t="str">
            <v>OMEGAGAJACKSONVILLEFL</v>
          </cell>
          <cell r="F6157">
            <v>590</v>
          </cell>
        </row>
        <row r="6158">
          <cell r="E6158" t="str">
            <v>OMEGAGAWESLACOTX</v>
          </cell>
          <cell r="F6158">
            <v>1681</v>
          </cell>
        </row>
        <row r="6159">
          <cell r="E6159" t="str">
            <v>PADUCAHTXDallasTX</v>
          </cell>
          <cell r="F6159">
            <v>519</v>
          </cell>
        </row>
        <row r="6160">
          <cell r="E6160" t="str">
            <v>PADUCAHTXBaytownTX</v>
          </cell>
          <cell r="F6160">
            <v>881</v>
          </cell>
        </row>
        <row r="6161">
          <cell r="E6161" t="str">
            <v>PADUCAHTXHoustonTX</v>
          </cell>
          <cell r="F6161">
            <v>854</v>
          </cell>
        </row>
        <row r="6162">
          <cell r="E6162" t="str">
            <v>PADUCAHTXHASLETTX</v>
          </cell>
          <cell r="F6162">
            <v>885</v>
          </cell>
        </row>
        <row r="6163">
          <cell r="E6163" t="str">
            <v>PADUCAHTXHOUSTONTX</v>
          </cell>
          <cell r="F6163">
            <v>2381</v>
          </cell>
        </row>
        <row r="6164">
          <cell r="E6164" t="str">
            <v>PADUCAHTXWILMERTX</v>
          </cell>
          <cell r="F6164">
            <v>1088</v>
          </cell>
        </row>
        <row r="6165">
          <cell r="E6165" t="str">
            <v>PADUCAHTXWYLIETX</v>
          </cell>
        </row>
        <row r="6166">
          <cell r="E6166" t="str">
            <v>PADUCAHTXWESLACOTX</v>
          </cell>
          <cell r="F6166">
            <v>1222</v>
          </cell>
        </row>
        <row r="6167">
          <cell r="E6167" t="str">
            <v>PARMAMOWESLACOTX</v>
          </cell>
          <cell r="F6167">
            <v>2042</v>
          </cell>
        </row>
        <row r="6168">
          <cell r="E6168" t="str">
            <v>PasadenaTXBaytownTX</v>
          </cell>
          <cell r="F6168">
            <v>368</v>
          </cell>
        </row>
        <row r="6169">
          <cell r="E6169" t="str">
            <v>PasadenaTXHoustonTX</v>
          </cell>
          <cell r="F6169">
            <v>368</v>
          </cell>
        </row>
        <row r="6170">
          <cell r="E6170" t="str">
            <v>PasadenaTXDallasTX</v>
          </cell>
          <cell r="F6170">
            <v>549</v>
          </cell>
        </row>
        <row r="6171">
          <cell r="E6171" t="str">
            <v>PasadenaTXHoustonTX</v>
          </cell>
          <cell r="F6171">
            <v>306</v>
          </cell>
        </row>
        <row r="6172">
          <cell r="E6172" t="str">
            <v>PasadenaTXLa PorteTX</v>
          </cell>
          <cell r="F6172">
            <v>297</v>
          </cell>
        </row>
        <row r="6173">
          <cell r="E6173" t="str">
            <v>PASADENATXWILMERTX</v>
          </cell>
          <cell r="F6173">
            <v>968</v>
          </cell>
        </row>
        <row r="6174">
          <cell r="E6174" t="str">
            <v>PASADENATXWESLACOTX</v>
          </cell>
          <cell r="F6174">
            <v>671</v>
          </cell>
        </row>
        <row r="6175">
          <cell r="E6175" t="str">
            <v>PECOSTXBaytownTX</v>
          </cell>
          <cell r="F6175">
            <v>1217</v>
          </cell>
        </row>
        <row r="6176">
          <cell r="E6176" t="str">
            <v>PECOSTXHoustonTX</v>
          </cell>
          <cell r="F6176">
            <v>1205</v>
          </cell>
        </row>
        <row r="6177">
          <cell r="E6177" t="str">
            <v>PECOSTXDallasTX</v>
          </cell>
          <cell r="F6177">
            <v>744</v>
          </cell>
        </row>
        <row r="6178">
          <cell r="E6178" t="str">
            <v>PELHAMGAROCKFORDTN</v>
          </cell>
          <cell r="F6178">
            <v>1130</v>
          </cell>
        </row>
        <row r="6179">
          <cell r="E6179" t="str">
            <v>PELHAMGALUMBERTONNC</v>
          </cell>
          <cell r="F6179">
            <v>1180</v>
          </cell>
        </row>
        <row r="6180">
          <cell r="E6180" t="str">
            <v>PELHAMGAKINSTONNC</v>
          </cell>
          <cell r="F6180">
            <v>1470</v>
          </cell>
        </row>
        <row r="6181">
          <cell r="E6181" t="str">
            <v>PELHAMGAROCKINGHAMNC</v>
          </cell>
          <cell r="F6181">
            <v>1140</v>
          </cell>
        </row>
        <row r="6182">
          <cell r="E6182" t="str">
            <v>PELHAMGASHELBYNC</v>
          </cell>
          <cell r="F6182">
            <v>1090</v>
          </cell>
        </row>
        <row r="6183">
          <cell r="E6183" t="str">
            <v>PELHAMGAMEMPHISTN</v>
          </cell>
          <cell r="F6183">
            <v>1270</v>
          </cell>
        </row>
        <row r="6184">
          <cell r="E6184" t="str">
            <v>PELHAMGATUNICAMS</v>
          </cell>
          <cell r="F6184">
            <v>1300</v>
          </cell>
        </row>
        <row r="6185">
          <cell r="E6185" t="str">
            <v>PELHAMGAWEST MEMPHISAR</v>
          </cell>
          <cell r="F6185">
            <v>1280</v>
          </cell>
        </row>
        <row r="6186">
          <cell r="E6186" t="str">
            <v>PELHAMGAMAYODANNC</v>
          </cell>
          <cell r="F6186">
            <v>1350</v>
          </cell>
        </row>
        <row r="6187">
          <cell r="E6187" t="str">
            <v>PELHAMGAGAINESVILLEGA</v>
          </cell>
          <cell r="F6187">
            <v>740</v>
          </cell>
        </row>
        <row r="6188">
          <cell r="E6188" t="str">
            <v>PELHAMGAHICKORYNC</v>
          </cell>
          <cell r="F6188">
            <v>1200</v>
          </cell>
        </row>
        <row r="6189">
          <cell r="E6189" t="str">
            <v>PELHAMGAPORTSMOUTHVA</v>
          </cell>
          <cell r="F6189">
            <v>1740</v>
          </cell>
        </row>
        <row r="6190">
          <cell r="E6190" t="str">
            <v>PELHAMGAGREENWOODMS</v>
          </cell>
          <cell r="F6190">
            <v>1220</v>
          </cell>
        </row>
        <row r="6191">
          <cell r="E6191" t="str">
            <v>PELHAMGAMARIONAR</v>
          </cell>
          <cell r="F6191">
            <v>1290</v>
          </cell>
        </row>
        <row r="6192">
          <cell r="E6192" t="str">
            <v>PELHAMGAINDIAN LANDSC</v>
          </cell>
          <cell r="F6192">
            <v>1080</v>
          </cell>
        </row>
        <row r="6193">
          <cell r="E6193" t="str">
            <v>PELHAMGASANFORDNC</v>
          </cell>
          <cell r="F6193">
            <v>1260</v>
          </cell>
        </row>
        <row r="6194">
          <cell r="E6194" t="str">
            <v>PELHAMGATHOMASVILLENC</v>
          </cell>
          <cell r="F6194">
            <v>1260</v>
          </cell>
        </row>
        <row r="6195">
          <cell r="E6195" t="str">
            <v>PELHAMGACENTREAL</v>
          </cell>
          <cell r="F6195">
            <v>760</v>
          </cell>
        </row>
        <row r="6196">
          <cell r="E6196" t="str">
            <v>PELHAMGAMOCKSVILLENC</v>
          </cell>
          <cell r="F6196">
            <v>1240</v>
          </cell>
        </row>
        <row r="6197">
          <cell r="E6197" t="str">
            <v>PELHAMGAEDENTONNC</v>
          </cell>
          <cell r="F6197">
            <v>1650</v>
          </cell>
        </row>
        <row r="6198">
          <cell r="E6198" t="str">
            <v>PELHAMGAMONEYMS</v>
          </cell>
          <cell r="F6198">
            <v>1260</v>
          </cell>
        </row>
        <row r="6199">
          <cell r="E6199" t="str">
            <v>PELHAMGADREWMS</v>
          </cell>
          <cell r="F6199">
            <v>1310</v>
          </cell>
        </row>
        <row r="6200">
          <cell r="E6200" t="str">
            <v>PELHAMGASTONEVILLENC</v>
          </cell>
          <cell r="F6200">
            <v>1360</v>
          </cell>
        </row>
        <row r="6201">
          <cell r="E6201" t="str">
            <v>PELHAMGAMCCALLAAL</v>
          </cell>
          <cell r="F6201">
            <v>780</v>
          </cell>
        </row>
        <row r="6202">
          <cell r="E6202" t="str">
            <v>PELHAMGAGREENWOODSC</v>
          </cell>
          <cell r="F6202">
            <v>800</v>
          </cell>
        </row>
        <row r="6203">
          <cell r="E6203" t="str">
            <v>PELHAMGAERWINNC</v>
          </cell>
          <cell r="F6203">
            <v>1320</v>
          </cell>
        </row>
        <row r="6204">
          <cell r="E6204" t="str">
            <v>PELHAMGATALLULAHLA</v>
          </cell>
          <cell r="F6204">
            <v>1260</v>
          </cell>
        </row>
        <row r="6205">
          <cell r="E6205" t="str">
            <v>PELHAMGASALISBURYNC</v>
          </cell>
          <cell r="F6205">
            <v>1200</v>
          </cell>
        </row>
        <row r="6206">
          <cell r="E6206" t="str">
            <v>PELHAMGABLYTHEVILLEAR</v>
          </cell>
          <cell r="F6206">
            <v>1420</v>
          </cell>
        </row>
        <row r="6207">
          <cell r="E6207" t="str">
            <v>PELHAMGAENOREESC</v>
          </cell>
          <cell r="F6207">
            <v>900</v>
          </cell>
        </row>
        <row r="6208">
          <cell r="E6208" t="str">
            <v>PELHAMGAINDIANOLAMS</v>
          </cell>
          <cell r="F6208">
            <v>1290</v>
          </cell>
        </row>
        <row r="6209">
          <cell r="E6209" t="str">
            <v>PELHAMGANORFOLKVA</v>
          </cell>
          <cell r="F6209">
            <v>1760</v>
          </cell>
        </row>
        <row r="6210">
          <cell r="E6210" t="str">
            <v>PELHAMGAROSSVILLETN</v>
          </cell>
          <cell r="F6210">
            <v>1250</v>
          </cell>
        </row>
        <row r="6211">
          <cell r="E6211" t="str">
            <v>PELHAMGACARTERSVILLEGA</v>
          </cell>
          <cell r="F6211">
            <v>740</v>
          </cell>
        </row>
        <row r="6212">
          <cell r="E6212" t="str">
            <v>PELHAMGAGREERSC</v>
          </cell>
          <cell r="F6212">
            <v>970</v>
          </cell>
        </row>
        <row r="6213">
          <cell r="E6213" t="str">
            <v>PELHAMGACLARKTONNC</v>
          </cell>
          <cell r="F6213">
            <v>1230</v>
          </cell>
        </row>
        <row r="6214">
          <cell r="E6214" t="str">
            <v>PELHAMGALOWELLNC</v>
          </cell>
          <cell r="F6214">
            <v>1130</v>
          </cell>
        </row>
        <row r="6215">
          <cell r="E6215" t="str">
            <v>PELHAMGAMINERAL SPRINGSNC</v>
          </cell>
          <cell r="F6215">
            <v>1080</v>
          </cell>
        </row>
        <row r="6216">
          <cell r="E6216" t="str">
            <v>PELHAMGANEW ORLEANSLA</v>
          </cell>
          <cell r="F6216">
            <v>1050</v>
          </cell>
        </row>
        <row r="6217">
          <cell r="E6217" t="str">
            <v>PELHAMGABELMONTNC</v>
          </cell>
          <cell r="F6217">
            <v>1140</v>
          </cell>
        </row>
        <row r="6218">
          <cell r="E6218" t="str">
            <v>PELHAMGAGASTONIANC</v>
          </cell>
          <cell r="F6218">
            <v>1120</v>
          </cell>
        </row>
        <row r="6219">
          <cell r="E6219" t="str">
            <v>PELHAMGAMOBILEAL</v>
          </cell>
          <cell r="F6219">
            <v>730</v>
          </cell>
        </row>
        <row r="6220">
          <cell r="E6220" t="str">
            <v>PELHAMGACHARLOTTENC</v>
          </cell>
          <cell r="F6220">
            <v>1100</v>
          </cell>
        </row>
        <row r="6221">
          <cell r="E6221" t="str">
            <v>PELHAMGASPARTANC</v>
          </cell>
          <cell r="F6221">
            <v>1330</v>
          </cell>
        </row>
        <row r="6222">
          <cell r="E6222" t="str">
            <v>PELHAMGARAYVILLELA</v>
          </cell>
          <cell r="F6222">
            <v>1330</v>
          </cell>
        </row>
        <row r="6223">
          <cell r="E6223" t="str">
            <v>PELHAMGALEXINGTONNC</v>
          </cell>
          <cell r="F6223">
            <v>1230</v>
          </cell>
        </row>
        <row r="6224">
          <cell r="E6224" t="str">
            <v>PELHAMGARABUN GAPGA</v>
          </cell>
          <cell r="F6224">
            <v>930</v>
          </cell>
        </row>
        <row r="6225">
          <cell r="E6225" t="str">
            <v>PELHAMGAGULFPORTMS</v>
          </cell>
          <cell r="F6225">
            <v>1010</v>
          </cell>
        </row>
        <row r="6226">
          <cell r="E6226" t="str">
            <v>PELHAMGAPORT WENTWORTHGA</v>
          </cell>
          <cell r="F6226">
            <v>790</v>
          </cell>
        </row>
        <row r="6227">
          <cell r="E6227" t="str">
            <v>PELHAMGAGRIFTONNC</v>
          </cell>
          <cell r="F6227">
            <v>1600</v>
          </cell>
        </row>
        <row r="6228">
          <cell r="E6228" t="str">
            <v>PELHAMGADAWSONGA</v>
          </cell>
          <cell r="F6228">
            <v>420</v>
          </cell>
        </row>
        <row r="6229">
          <cell r="E6229" t="str">
            <v>PELHAMGAGAFFNEYSC</v>
          </cell>
          <cell r="F6229">
            <v>1050</v>
          </cell>
        </row>
        <row r="6230">
          <cell r="E6230" t="str">
            <v>PELHAMGAGarden CityGA</v>
          </cell>
          <cell r="F6230">
            <v>780</v>
          </cell>
        </row>
        <row r="6231">
          <cell r="E6231" t="str">
            <v>PELHAMGARINCONGA</v>
          </cell>
          <cell r="F6231">
            <v>800</v>
          </cell>
        </row>
        <row r="6232">
          <cell r="E6232" t="str">
            <v>PELHAMGAECLECTICAL</v>
          </cell>
          <cell r="F6232">
            <v>640</v>
          </cell>
        </row>
        <row r="6233">
          <cell r="E6233" t="str">
            <v>PELHAMGAJACKSONVILLEFL</v>
          </cell>
          <cell r="F6233">
            <v>610</v>
          </cell>
        </row>
        <row r="6234">
          <cell r="E6234" t="str">
            <v>PELHAMGAWESLACOTX</v>
          </cell>
          <cell r="F6234">
            <v>1567</v>
          </cell>
        </row>
        <row r="6235">
          <cell r="E6235" t="str">
            <v>PINEHURSTGAROCKFORDTN</v>
          </cell>
          <cell r="F6235">
            <v>930</v>
          </cell>
        </row>
        <row r="6236">
          <cell r="E6236" t="str">
            <v>PINEHURSTGACHARLOTTENC</v>
          </cell>
          <cell r="F6236">
            <v>900</v>
          </cell>
        </row>
        <row r="6237">
          <cell r="E6237" t="str">
            <v>PINEHURSTGALEXINGTONNC</v>
          </cell>
          <cell r="F6237">
            <v>1030</v>
          </cell>
        </row>
        <row r="6238">
          <cell r="E6238" t="str">
            <v>PINEHURSTGALOWELLNC</v>
          </cell>
          <cell r="F6238">
            <v>930</v>
          </cell>
        </row>
        <row r="6239">
          <cell r="E6239" t="str">
            <v>PINEHURSTGATUNICAMS</v>
          </cell>
          <cell r="F6239">
            <v>1320</v>
          </cell>
        </row>
        <row r="6240">
          <cell r="E6240" t="str">
            <v>PINEHURSTGAPORTSMOUTHVA</v>
          </cell>
          <cell r="F6240">
            <v>1550</v>
          </cell>
        </row>
        <row r="6241">
          <cell r="E6241" t="str">
            <v>PINEHURSTGAWEST MEMPHISAR</v>
          </cell>
          <cell r="F6241">
            <v>1300</v>
          </cell>
        </row>
        <row r="6242">
          <cell r="E6242" t="str">
            <v>PINEHURSTGAROCKINGHAMNC</v>
          </cell>
          <cell r="F6242">
            <v>940</v>
          </cell>
        </row>
        <row r="6243">
          <cell r="E6243" t="str">
            <v>PINEHURSTGASHELBYNC</v>
          </cell>
          <cell r="F6243">
            <v>890</v>
          </cell>
        </row>
        <row r="6244">
          <cell r="E6244" t="str">
            <v>PINEHURSTGAGASTONIANC</v>
          </cell>
          <cell r="F6244">
            <v>920</v>
          </cell>
        </row>
        <row r="6245">
          <cell r="E6245" t="str">
            <v>PINEHURSTGAHICKORYNC</v>
          </cell>
          <cell r="F6245">
            <v>1000</v>
          </cell>
        </row>
        <row r="6246">
          <cell r="E6246" t="str">
            <v>PINEHURSTGAEDENTONNC</v>
          </cell>
          <cell r="F6246">
            <v>1460</v>
          </cell>
        </row>
        <row r="6247">
          <cell r="E6247" t="str">
            <v>PINEHURSTGAGREENWOODMS</v>
          </cell>
          <cell r="F6247">
            <v>1180</v>
          </cell>
        </row>
        <row r="6248">
          <cell r="E6248" t="str">
            <v>PINEHURSTGASANFORDNC</v>
          </cell>
          <cell r="F6248">
            <v>1060</v>
          </cell>
        </row>
        <row r="6249">
          <cell r="E6249" t="str">
            <v>PINEHURSTGATHOMASVILLENC</v>
          </cell>
          <cell r="F6249">
            <v>1060</v>
          </cell>
        </row>
        <row r="6250">
          <cell r="E6250" t="str">
            <v>PINEHURSTGAMAYODANNC</v>
          </cell>
          <cell r="F6250">
            <v>1150</v>
          </cell>
        </row>
        <row r="6251">
          <cell r="E6251" t="str">
            <v>PINEHURSTGAROSSVILLETN</v>
          </cell>
          <cell r="F6251">
            <v>1280</v>
          </cell>
        </row>
        <row r="6252">
          <cell r="E6252" t="str">
            <v>PINEHURSTGATALLULAHLA</v>
          </cell>
          <cell r="F6252">
            <v>1270</v>
          </cell>
        </row>
        <row r="6253">
          <cell r="E6253" t="str">
            <v>PINEHURSTGASTONEVILLENC</v>
          </cell>
          <cell r="F6253">
            <v>1160</v>
          </cell>
        </row>
        <row r="6254">
          <cell r="E6254" t="str">
            <v>PINEHURSTGAMCCALLAAL</v>
          </cell>
          <cell r="F6254">
            <v>740</v>
          </cell>
        </row>
        <row r="6255">
          <cell r="E6255" t="str">
            <v>PINEHURSTGAMOCKSVILLENC</v>
          </cell>
          <cell r="F6255">
            <v>1040</v>
          </cell>
        </row>
        <row r="6256">
          <cell r="E6256" t="str">
            <v>PINEHURSTGANORFOLKVA</v>
          </cell>
          <cell r="F6256">
            <v>1580</v>
          </cell>
        </row>
        <row r="6257">
          <cell r="E6257" t="str">
            <v>PINEHURSTGABLYTHEVILLEAR</v>
          </cell>
          <cell r="F6257">
            <v>1440</v>
          </cell>
        </row>
        <row r="6258">
          <cell r="E6258" t="str">
            <v>PINEHURSTGAMONEYMS</v>
          </cell>
          <cell r="F6258">
            <v>1220</v>
          </cell>
        </row>
        <row r="6259">
          <cell r="E6259" t="str">
            <v>PINEHURSTGASALISBURYNC</v>
          </cell>
          <cell r="F6259">
            <v>1000</v>
          </cell>
        </row>
        <row r="6260">
          <cell r="E6260" t="str">
            <v>PINEHURSTGADREWMS</v>
          </cell>
          <cell r="F6260">
            <v>1260</v>
          </cell>
        </row>
        <row r="6261">
          <cell r="E6261" t="str">
            <v>PINEHURSTGAINDIANOLAMS</v>
          </cell>
          <cell r="F6261">
            <v>1240</v>
          </cell>
        </row>
        <row r="6262">
          <cell r="E6262" t="str">
            <v>PINEHURSTGACENTREAL</v>
          </cell>
          <cell r="F6262">
            <v>650</v>
          </cell>
        </row>
        <row r="6263">
          <cell r="E6263" t="str">
            <v>PINEHURSTGAMINERAL SPRINGSNC</v>
          </cell>
          <cell r="F6263">
            <v>880</v>
          </cell>
        </row>
        <row r="6264">
          <cell r="E6264" t="str">
            <v>PINEHURSTGAMEMPHISTN</v>
          </cell>
          <cell r="F6264">
            <v>1290</v>
          </cell>
        </row>
        <row r="6265">
          <cell r="E6265" t="str">
            <v>PINEHURSTGARAYVILLELA</v>
          </cell>
          <cell r="F6265">
            <v>1340</v>
          </cell>
        </row>
        <row r="6266">
          <cell r="E6266" t="str">
            <v>PINEHURSTGABELMONTNC</v>
          </cell>
          <cell r="F6266">
            <v>940</v>
          </cell>
        </row>
        <row r="6267">
          <cell r="E6267" t="str">
            <v>PINEHURSTGANEW ORLEANSLA</v>
          </cell>
          <cell r="F6267">
            <v>1260</v>
          </cell>
        </row>
        <row r="6268">
          <cell r="E6268" t="str">
            <v>PINEHURSTGAMOBILEAL</v>
          </cell>
          <cell r="F6268">
            <v>950</v>
          </cell>
        </row>
        <row r="6269">
          <cell r="E6269" t="str">
            <v>PINEHURSTGAKINSTONNC</v>
          </cell>
          <cell r="F6269">
            <v>1280</v>
          </cell>
        </row>
        <row r="6270">
          <cell r="E6270" t="str">
            <v>PINEHURSTGAECLECTICAL</v>
          </cell>
          <cell r="F6270">
            <v>610</v>
          </cell>
        </row>
        <row r="6271">
          <cell r="E6271" t="str">
            <v>PINEHURSTGAGREENWOODSC</v>
          </cell>
          <cell r="F6271">
            <v>630</v>
          </cell>
        </row>
        <row r="6272">
          <cell r="E6272" t="str">
            <v>PINEHURSTGAMARIONAR</v>
          </cell>
          <cell r="F6272">
            <v>1310</v>
          </cell>
        </row>
        <row r="6273">
          <cell r="E6273" t="str">
            <v>PINEHURSTGAGULFPORTMS</v>
          </cell>
          <cell r="F6273">
            <v>1210</v>
          </cell>
        </row>
        <row r="6274">
          <cell r="E6274" t="str">
            <v>PINEHURSTGAPORT WENTWORTHGA</v>
          </cell>
          <cell r="F6274">
            <v>700</v>
          </cell>
        </row>
        <row r="6275">
          <cell r="E6275" t="str">
            <v>PINEHURSTGAGRIFTONNC</v>
          </cell>
          <cell r="F6275">
            <v>1410</v>
          </cell>
        </row>
        <row r="6276">
          <cell r="E6276" t="str">
            <v>PINEHURSTGAGarden CityGA</v>
          </cell>
          <cell r="F6276">
            <v>690</v>
          </cell>
        </row>
        <row r="6277">
          <cell r="E6277" t="str">
            <v>PINEHURSTGARINCONGA</v>
          </cell>
          <cell r="F6277">
            <v>710</v>
          </cell>
        </row>
        <row r="6278">
          <cell r="E6278" t="str">
            <v>PINEHURSTGADAWSONGA</v>
          </cell>
          <cell r="F6278">
            <v>430</v>
          </cell>
        </row>
        <row r="6279">
          <cell r="E6279" t="str">
            <v>PINEHURSTGASPARTANC</v>
          </cell>
          <cell r="F6279">
            <v>1130</v>
          </cell>
        </row>
        <row r="6280">
          <cell r="E6280" t="str">
            <v>PINEHURSTGAINDIAN LANDSC</v>
          </cell>
          <cell r="F6280">
            <v>880</v>
          </cell>
        </row>
        <row r="6281">
          <cell r="E6281" t="str">
            <v>PINEHURSTGAGAINESVILLEGA</v>
          </cell>
          <cell r="F6281">
            <v>590</v>
          </cell>
        </row>
        <row r="6282">
          <cell r="E6282" t="str">
            <v>PINEHURSTGALUMBERTONNC</v>
          </cell>
          <cell r="F6282">
            <v>1000</v>
          </cell>
        </row>
        <row r="6283">
          <cell r="E6283" t="str">
            <v>PINEHURSTGACARTERSVILLEGA</v>
          </cell>
          <cell r="F6283">
            <v>600</v>
          </cell>
        </row>
        <row r="6284">
          <cell r="E6284" t="str">
            <v>PINEHURSTGAERWINNC</v>
          </cell>
          <cell r="F6284">
            <v>1130</v>
          </cell>
        </row>
        <row r="6285">
          <cell r="E6285" t="str">
            <v>PINEHURSTGACLARKTONNC</v>
          </cell>
          <cell r="F6285">
            <v>1050</v>
          </cell>
        </row>
        <row r="6286">
          <cell r="E6286" t="str">
            <v>PINEHURSTGAENOREESC</v>
          </cell>
          <cell r="F6286">
            <v>700</v>
          </cell>
        </row>
        <row r="6287">
          <cell r="E6287" t="str">
            <v>PINEHURSTGAGAFFNEYSC</v>
          </cell>
          <cell r="F6287">
            <v>850</v>
          </cell>
        </row>
        <row r="6288">
          <cell r="E6288" t="str">
            <v>PINEHURSTGAJACKSONVILLEFL</v>
          </cell>
          <cell r="F6288">
            <v>670</v>
          </cell>
        </row>
        <row r="6289">
          <cell r="E6289" t="str">
            <v>PINEHURSTGARABUN GAPGA</v>
          </cell>
          <cell r="F6289">
            <v>730</v>
          </cell>
        </row>
        <row r="6290">
          <cell r="E6290" t="str">
            <v>PINEHURSTGAGREERSC</v>
          </cell>
          <cell r="F6290">
            <v>770</v>
          </cell>
        </row>
        <row r="6291">
          <cell r="E6291" t="str">
            <v>PINEHURSTGAWESLACOTX</v>
          </cell>
          <cell r="F6291">
            <v>1677</v>
          </cell>
        </row>
        <row r="6292">
          <cell r="E6292" t="str">
            <v>PLAINVIEWTXBaytownTX</v>
          </cell>
          <cell r="F6292">
            <v>1202</v>
          </cell>
        </row>
        <row r="6293">
          <cell r="E6293" t="str">
            <v>PLAINVIEWTXHoustonTX</v>
          </cell>
          <cell r="F6293">
            <v>1170</v>
          </cell>
        </row>
        <row r="6294">
          <cell r="E6294" t="str">
            <v>PLAINVIEWTXDallasTX</v>
          </cell>
          <cell r="F6294">
            <v>549</v>
          </cell>
        </row>
        <row r="6295">
          <cell r="E6295" t="str">
            <v>PLAINVIEWTXHASLETTX</v>
          </cell>
          <cell r="F6295">
            <v>1253</v>
          </cell>
        </row>
        <row r="6296">
          <cell r="E6296" t="str">
            <v>PLAINVIEWTXHOUSTONTX</v>
          </cell>
          <cell r="F6296">
            <v>2547</v>
          </cell>
        </row>
        <row r="6297">
          <cell r="E6297" t="str">
            <v>PLAINVIEWTXWILMERTX</v>
          </cell>
          <cell r="F6297">
            <v>1459</v>
          </cell>
        </row>
        <row r="6298">
          <cell r="E6298" t="str">
            <v>PLAINVIEWTXWYLIETX</v>
          </cell>
        </row>
        <row r="6299">
          <cell r="E6299" t="str">
            <v>PLAINVIEWTXWESLACOTX</v>
          </cell>
          <cell r="F6299">
            <v>1433</v>
          </cell>
        </row>
        <row r="6300">
          <cell r="E6300" t="str">
            <v>PORT WENTWORTHGAROCKFORDTN</v>
          </cell>
          <cell r="F6300">
            <v>1110</v>
          </cell>
        </row>
        <row r="6301">
          <cell r="E6301" t="str">
            <v>PORT WENTWORTHGAGASTONIANC</v>
          </cell>
          <cell r="F6301">
            <v>740</v>
          </cell>
        </row>
        <row r="6302">
          <cell r="E6302" t="str">
            <v>PORT WENTWORTHGAHICKORYNC</v>
          </cell>
          <cell r="F6302">
            <v>820</v>
          </cell>
        </row>
        <row r="6303">
          <cell r="E6303" t="str">
            <v>PORT WENTWORTHGACARTERSVILLEGA</v>
          </cell>
          <cell r="F6303">
            <v>820</v>
          </cell>
        </row>
        <row r="6304">
          <cell r="E6304" t="str">
            <v>PORT WENTWORTHGABELMONTNC</v>
          </cell>
          <cell r="F6304">
            <v>720</v>
          </cell>
        </row>
        <row r="6305">
          <cell r="E6305" t="str">
            <v>PORT WENTWORTHGAECLECTICAL</v>
          </cell>
          <cell r="F6305">
            <v>890</v>
          </cell>
        </row>
        <row r="6306">
          <cell r="E6306" t="str">
            <v>PORT WENTWORTHGAGAFFNEYSC</v>
          </cell>
          <cell r="F6306">
            <v>750</v>
          </cell>
        </row>
        <row r="6307">
          <cell r="E6307" t="str">
            <v>PORT WENTWORTHGACHARLOTTENC</v>
          </cell>
          <cell r="F6307">
            <v>710</v>
          </cell>
        </row>
        <row r="6308">
          <cell r="E6308" t="str">
            <v>PORT WENTWORTHGALOWELLNC</v>
          </cell>
          <cell r="F6308">
            <v>730</v>
          </cell>
        </row>
        <row r="6309">
          <cell r="E6309" t="str">
            <v>PORT WENTWORTHGASPARTANC</v>
          </cell>
          <cell r="F6309">
            <v>940</v>
          </cell>
        </row>
        <row r="6310">
          <cell r="E6310" t="str">
            <v>PORT WENTWORTHGALEXINGTONNC</v>
          </cell>
          <cell r="F6310">
            <v>840</v>
          </cell>
        </row>
        <row r="6311">
          <cell r="E6311" t="str">
            <v>PORT WENTWORTHGAGREENWOODMS</v>
          </cell>
          <cell r="F6311">
            <v>1530</v>
          </cell>
        </row>
        <row r="6312">
          <cell r="E6312" t="str">
            <v>PORT WENTWORTHGAKINSTONNC</v>
          </cell>
          <cell r="F6312">
            <v>950</v>
          </cell>
        </row>
        <row r="6313">
          <cell r="E6313" t="str">
            <v>PORT WENTWORTHGAMAYODANNC</v>
          </cell>
          <cell r="F6313">
            <v>930</v>
          </cell>
        </row>
        <row r="6314">
          <cell r="E6314" t="str">
            <v>PORT WENTWORTHGAGREERSC</v>
          </cell>
          <cell r="F6314">
            <v>730</v>
          </cell>
        </row>
        <row r="6315">
          <cell r="E6315" t="str">
            <v>PORT WENTWORTHGAMINERAL SPRINGSNC</v>
          </cell>
          <cell r="F6315">
            <v>700</v>
          </cell>
        </row>
        <row r="6316">
          <cell r="E6316" t="str">
            <v>PORT WENTWORTHGADAWSONGA</v>
          </cell>
          <cell r="F6316">
            <v>700</v>
          </cell>
        </row>
        <row r="6317">
          <cell r="E6317" t="str">
            <v>PORT WENTWORTHGATALLULAHLA</v>
          </cell>
          <cell r="F6317">
            <v>1700</v>
          </cell>
        </row>
        <row r="6318">
          <cell r="E6318" t="str">
            <v>PORT WENTWORTHGAPORTSMOUTHVA</v>
          </cell>
          <cell r="F6318">
            <v>1220</v>
          </cell>
        </row>
        <row r="6319">
          <cell r="E6319" t="str">
            <v>PORT WENTWORTHGAMONEYMS</v>
          </cell>
          <cell r="F6319">
            <v>1570</v>
          </cell>
        </row>
        <row r="6320">
          <cell r="E6320" t="str">
            <v>PORT WENTWORTHGATHOMASVILLENC</v>
          </cell>
          <cell r="F6320">
            <v>870</v>
          </cell>
        </row>
        <row r="6321">
          <cell r="E6321" t="str">
            <v>PORT WENTWORTHGAROSSVILLETN</v>
          </cell>
          <cell r="F6321">
            <v>1560</v>
          </cell>
        </row>
        <row r="6322">
          <cell r="E6322" t="str">
            <v>PORT WENTWORTHGAGAINESVILLEGA</v>
          </cell>
          <cell r="F6322">
            <v>820</v>
          </cell>
        </row>
        <row r="6323">
          <cell r="E6323" t="str">
            <v>PORT WENTWORTHGATUNICAMS</v>
          </cell>
          <cell r="F6323">
            <v>1600</v>
          </cell>
        </row>
        <row r="6324">
          <cell r="E6324" t="str">
            <v>PORT WENTWORTHGAEDENTONNC</v>
          </cell>
          <cell r="F6324">
            <v>1130</v>
          </cell>
        </row>
        <row r="6325">
          <cell r="E6325" t="str">
            <v>PORT WENTWORTHGAMCCALLAAL</v>
          </cell>
          <cell r="F6325">
            <v>1090</v>
          </cell>
        </row>
        <row r="6326">
          <cell r="E6326" t="str">
            <v>PORT WENTWORTHGAMOCKSVILLENC</v>
          </cell>
          <cell r="F6326">
            <v>850</v>
          </cell>
        </row>
        <row r="6327">
          <cell r="E6327" t="str">
            <v>PORT WENTWORTHGAWEST MEMPHISAR</v>
          </cell>
          <cell r="F6327">
            <v>1580</v>
          </cell>
        </row>
        <row r="6328">
          <cell r="E6328" t="str">
            <v>PORT WENTWORTHGALUMBERTONNC</v>
          </cell>
          <cell r="F6328">
            <v>680</v>
          </cell>
        </row>
        <row r="6329">
          <cell r="E6329" t="str">
            <v>PORT WENTWORTHGAMARIONAR</v>
          </cell>
          <cell r="F6329">
            <v>1590</v>
          </cell>
        </row>
        <row r="6330">
          <cell r="E6330" t="str">
            <v>PORT WENTWORTHGASTONEVILLENC</v>
          </cell>
          <cell r="F6330">
            <v>940</v>
          </cell>
        </row>
        <row r="6331">
          <cell r="E6331" t="str">
            <v>PORT WENTWORTHGAINDIAN LANDSC</v>
          </cell>
          <cell r="F6331">
            <v>700</v>
          </cell>
        </row>
        <row r="6332">
          <cell r="E6332" t="str">
            <v>PORT WENTWORTHGADREWMS</v>
          </cell>
          <cell r="F6332">
            <v>1620</v>
          </cell>
        </row>
        <row r="6333">
          <cell r="E6333" t="str">
            <v>PORT WENTWORTHGACENTREAL</v>
          </cell>
          <cell r="F6333">
            <v>910</v>
          </cell>
        </row>
        <row r="6334">
          <cell r="E6334" t="str">
            <v>PORT WENTWORTHGAINDIANOLAMS</v>
          </cell>
          <cell r="F6334">
            <v>1600</v>
          </cell>
        </row>
        <row r="6335">
          <cell r="E6335" t="str">
            <v>PORT WENTWORTHGARAYVILLELA</v>
          </cell>
          <cell r="F6335">
            <v>1770</v>
          </cell>
        </row>
        <row r="6336">
          <cell r="E6336" t="str">
            <v>PORT WENTWORTHGAERWINNC</v>
          </cell>
          <cell r="F6336">
            <v>790</v>
          </cell>
        </row>
        <row r="6337">
          <cell r="E6337" t="str">
            <v>PORT WENTWORTHGASANFORDNC</v>
          </cell>
          <cell r="F6337">
            <v>790</v>
          </cell>
        </row>
        <row r="6338">
          <cell r="E6338" t="str">
            <v>PORT WENTWORTHGASHELBYNC</v>
          </cell>
          <cell r="F6338">
            <v>790</v>
          </cell>
        </row>
        <row r="6339">
          <cell r="E6339" t="str">
            <v>PORT WENTWORTHGAROCKINGHAMNC</v>
          </cell>
          <cell r="F6339">
            <v>680</v>
          </cell>
        </row>
        <row r="6340">
          <cell r="E6340" t="str">
            <v>PORT WENTWORTHGASALISBURYNC</v>
          </cell>
          <cell r="F6340">
            <v>800</v>
          </cell>
        </row>
        <row r="6341">
          <cell r="E6341" t="str">
            <v>PORT WENTWORTHGANEW ORLEANSLA</v>
          </cell>
          <cell r="F6341">
            <v>1580</v>
          </cell>
        </row>
        <row r="6342">
          <cell r="E6342" t="str">
            <v>PORT WENTWORTHGAMEMPHISTN</v>
          </cell>
          <cell r="F6342">
            <v>1570</v>
          </cell>
        </row>
        <row r="6343">
          <cell r="E6343" t="str">
            <v>PORT WENTWORTHGANORFOLKVA</v>
          </cell>
          <cell r="F6343">
            <v>1240</v>
          </cell>
        </row>
        <row r="6344">
          <cell r="E6344" t="str">
            <v>PORT WENTWORTHGAENOREESC</v>
          </cell>
          <cell r="F6344">
            <v>670</v>
          </cell>
        </row>
        <row r="6345">
          <cell r="E6345" t="str">
            <v>PORT WENTWORTHGAGREENWOODSC</v>
          </cell>
          <cell r="F6345">
            <v>610</v>
          </cell>
        </row>
        <row r="6346">
          <cell r="E6346" t="str">
            <v>PORT WENTWORTHGACLARKTONNC</v>
          </cell>
          <cell r="F6346">
            <v>710</v>
          </cell>
        </row>
        <row r="6347">
          <cell r="E6347" t="str">
            <v>PORT WENTWORTHGARABUN GAPGA</v>
          </cell>
          <cell r="F6347">
            <v>950</v>
          </cell>
        </row>
        <row r="6348">
          <cell r="E6348" t="str">
            <v>PORT WENTWORTHGABLYTHEVILLEAR</v>
          </cell>
          <cell r="F6348">
            <v>1710</v>
          </cell>
        </row>
        <row r="6349">
          <cell r="E6349" t="str">
            <v>PORT WENTWORTHGAMOBILEAL</v>
          </cell>
          <cell r="F6349">
            <v>1270</v>
          </cell>
        </row>
        <row r="6350">
          <cell r="E6350" t="str">
            <v>PORT WENTWORTHGAGRIFTONNC</v>
          </cell>
          <cell r="F6350">
            <v>1080</v>
          </cell>
        </row>
        <row r="6351">
          <cell r="E6351" t="str">
            <v>PORT WENTWORTHGAJACKSONVILLEFL</v>
          </cell>
          <cell r="F6351">
            <v>540</v>
          </cell>
        </row>
        <row r="6352">
          <cell r="E6352" t="str">
            <v>PORT WENTWORTHGAGULFPORTMS</v>
          </cell>
          <cell r="F6352">
            <v>1540</v>
          </cell>
        </row>
        <row r="6353">
          <cell r="E6353" t="str">
            <v>PORT WENTWORTHGAGarden CityGA</v>
          </cell>
          <cell r="F6353">
            <v>440</v>
          </cell>
        </row>
        <row r="6354">
          <cell r="E6354" t="str">
            <v>PORT WENTWORTHGARINCONGA</v>
          </cell>
          <cell r="F6354">
            <v>440</v>
          </cell>
        </row>
        <row r="6355">
          <cell r="E6355" t="str">
            <v>PORTAGEVILLEMOROCKINGHAMNC</v>
          </cell>
          <cell r="F6355">
            <v>1870</v>
          </cell>
        </row>
        <row r="6356">
          <cell r="E6356" t="str">
            <v>PORTAGEVILLEMOBELMONTNC</v>
          </cell>
          <cell r="F6356">
            <v>1670</v>
          </cell>
        </row>
        <row r="6357">
          <cell r="E6357" t="str">
            <v>PORTAGEVILLEMOJACKSONVILLEFL</v>
          </cell>
          <cell r="F6357">
            <v>2110</v>
          </cell>
        </row>
        <row r="6358">
          <cell r="E6358" t="str">
            <v>PORTAGEVILLEMOGAINESVILLEGA</v>
          </cell>
          <cell r="F6358">
            <v>1410</v>
          </cell>
        </row>
        <row r="6359">
          <cell r="E6359" t="str">
            <v>PORTAGEVILLEMOINDIANOLAMS</v>
          </cell>
          <cell r="F6359">
            <v>830</v>
          </cell>
        </row>
        <row r="6360">
          <cell r="E6360" t="str">
            <v>PORTAGEVILLEMOEDENTONNC</v>
          </cell>
          <cell r="F6360">
            <v>2310</v>
          </cell>
        </row>
        <row r="6361">
          <cell r="E6361" t="str">
            <v>PORTAGEVILLEMOKINSTONNC</v>
          </cell>
          <cell r="F6361">
            <v>2190</v>
          </cell>
        </row>
        <row r="6362">
          <cell r="E6362" t="str">
            <v>PORTAGEVILLEMONEW ORLEANSLA</v>
          </cell>
          <cell r="F6362">
            <v>1410</v>
          </cell>
        </row>
        <row r="6363">
          <cell r="E6363" t="str">
            <v>PORTAGEVILLEMOGREENWOODMS</v>
          </cell>
          <cell r="F6363">
            <v>840</v>
          </cell>
        </row>
        <row r="6364">
          <cell r="E6364" t="str">
            <v>PORTAGEVILLEMOMCCALLAAL</v>
          </cell>
          <cell r="F6364">
            <v>1090</v>
          </cell>
        </row>
        <row r="6365">
          <cell r="E6365" t="str">
            <v>PORTAGEVILLEMOMONEYMS</v>
          </cell>
          <cell r="F6365">
            <v>810</v>
          </cell>
        </row>
        <row r="6366">
          <cell r="E6366" t="str">
            <v>PORTAGEVILLEMOROSSVILLETN</v>
          </cell>
          <cell r="F6366">
            <v>680</v>
          </cell>
        </row>
        <row r="6367">
          <cell r="E6367" t="str">
            <v>PORTAGEVILLEMODREWMS</v>
          </cell>
          <cell r="F6367">
            <v>780</v>
          </cell>
        </row>
        <row r="6368">
          <cell r="E6368" t="str">
            <v>PORTAGEVILLEMOTUNICAMS</v>
          </cell>
          <cell r="F6368">
            <v>680</v>
          </cell>
        </row>
        <row r="6369">
          <cell r="E6369" t="str">
            <v>PORTAGEVILLEMOMARIONAR</v>
          </cell>
          <cell r="F6369">
            <v>610</v>
          </cell>
        </row>
        <row r="6370">
          <cell r="E6370" t="str">
            <v>PORTAGEVILLEMOMEMPHISTN</v>
          </cell>
          <cell r="F6370">
            <v>630</v>
          </cell>
        </row>
        <row r="6371">
          <cell r="E6371" t="str">
            <v>PORTAGEVILLEMOWEST MEMPHISAR</v>
          </cell>
          <cell r="F6371">
            <v>610</v>
          </cell>
        </row>
        <row r="6372">
          <cell r="E6372" t="str">
            <v>PORTAGEVILLEMOGULFPORTMS</v>
          </cell>
          <cell r="F6372">
            <v>1440</v>
          </cell>
        </row>
        <row r="6373">
          <cell r="E6373" t="str">
            <v>PORTAGEVILLEMOROCKFORDTN</v>
          </cell>
          <cell r="F6373">
            <v>1190</v>
          </cell>
        </row>
        <row r="6374">
          <cell r="E6374" t="str">
            <v>PORTAGEVILLEMOECLECTICAL</v>
          </cell>
          <cell r="F6374">
            <v>1270</v>
          </cell>
        </row>
        <row r="6375">
          <cell r="E6375" t="str">
            <v>PORTAGEVILLEMOMOBILEAL</v>
          </cell>
          <cell r="F6375">
            <v>1410</v>
          </cell>
        </row>
        <row r="6376">
          <cell r="E6376" t="str">
            <v>PORTAGEVILLEMOGRIFTONNC</v>
          </cell>
          <cell r="F6376">
            <v>2320</v>
          </cell>
        </row>
        <row r="6377">
          <cell r="E6377" t="str">
            <v>PORTAGEVILLEMOGarden CityGA</v>
          </cell>
          <cell r="F6377">
            <v>1980</v>
          </cell>
        </row>
        <row r="6378">
          <cell r="E6378" t="str">
            <v>PORTAGEVILLEMOSPARTANC</v>
          </cell>
          <cell r="F6378">
            <v>1680</v>
          </cell>
        </row>
        <row r="6379">
          <cell r="E6379" t="str">
            <v>PORTAGEVILLEMOTALLULAHLA</v>
          </cell>
          <cell r="F6379">
            <v>1130</v>
          </cell>
        </row>
        <row r="6380">
          <cell r="E6380" t="str">
            <v>PORTAGEVILLEMOGREERSC</v>
          </cell>
          <cell r="F6380">
            <v>1560</v>
          </cell>
        </row>
        <row r="6381">
          <cell r="E6381" t="str">
            <v>PORTAGEVILLEMOHICKORYNC</v>
          </cell>
          <cell r="F6381">
            <v>1610</v>
          </cell>
        </row>
        <row r="6382">
          <cell r="E6382" t="str">
            <v>PORTAGEVILLEMONORFOLKVA</v>
          </cell>
          <cell r="F6382">
            <v>2360</v>
          </cell>
        </row>
        <row r="6383">
          <cell r="E6383" t="str">
            <v>PORTAGEVILLEMOBLYTHEVILLEAR</v>
          </cell>
          <cell r="F6383">
            <v>520</v>
          </cell>
        </row>
        <row r="6384">
          <cell r="E6384" t="str">
            <v>PORTAGEVILLEMOCARTERSVILLEGA</v>
          </cell>
          <cell r="F6384">
            <v>1230</v>
          </cell>
        </row>
        <row r="6385">
          <cell r="E6385" t="str">
            <v>PORTAGEVILLEMOGAFFNEYSC</v>
          </cell>
          <cell r="F6385">
            <v>1610</v>
          </cell>
        </row>
        <row r="6386">
          <cell r="E6386" t="str">
            <v>PORTAGEVILLEMOENOREESC</v>
          </cell>
          <cell r="F6386">
            <v>1620</v>
          </cell>
        </row>
        <row r="6387">
          <cell r="E6387" t="str">
            <v>PORTAGEVILLEMOPORTSMOUTHVA</v>
          </cell>
          <cell r="F6387">
            <v>2340</v>
          </cell>
        </row>
        <row r="6388">
          <cell r="E6388" t="str">
            <v>PORTAGEVILLEMODAWSONGA</v>
          </cell>
          <cell r="F6388">
            <v>1540</v>
          </cell>
        </row>
        <row r="6389">
          <cell r="E6389" t="str">
            <v>PORTAGEVILLEMOSHELBYNC</v>
          </cell>
          <cell r="F6389">
            <v>1600</v>
          </cell>
        </row>
        <row r="6390">
          <cell r="E6390" t="str">
            <v>PORTAGEVILLEMOGREENWOODSC</v>
          </cell>
          <cell r="F6390">
            <v>1630</v>
          </cell>
        </row>
        <row r="6391">
          <cell r="E6391" t="str">
            <v>PORTAGEVILLEMOLOWELLNC</v>
          </cell>
          <cell r="F6391">
            <v>1660</v>
          </cell>
        </row>
        <row r="6392">
          <cell r="E6392" t="str">
            <v>PORTAGEVILLEMOGASTONIANC</v>
          </cell>
          <cell r="F6392">
            <v>1650</v>
          </cell>
        </row>
        <row r="6393">
          <cell r="E6393" t="str">
            <v>PORTAGEVILLEMOCHARLOTTENC</v>
          </cell>
          <cell r="F6393">
            <v>1700</v>
          </cell>
        </row>
        <row r="6394">
          <cell r="E6394" t="str">
            <v>PORTAGEVILLEMOCLARKTONNC</v>
          </cell>
          <cell r="F6394">
            <v>2050</v>
          </cell>
        </row>
        <row r="6395">
          <cell r="E6395" t="str">
            <v>PORTAGEVILLEMOLUMBERTONNC</v>
          </cell>
          <cell r="F6395">
            <v>2000</v>
          </cell>
        </row>
        <row r="6396">
          <cell r="E6396" t="str">
            <v>PORTAGEVILLEMOERWINNC</v>
          </cell>
          <cell r="F6396">
            <v>2020</v>
          </cell>
        </row>
        <row r="6397">
          <cell r="E6397" t="str">
            <v>PORTAGEVILLEMOSALISBURYNC</v>
          </cell>
          <cell r="F6397">
            <v>1730</v>
          </cell>
        </row>
        <row r="6398">
          <cell r="E6398" t="str">
            <v>PORTAGEVILLEMORINCONGA</v>
          </cell>
          <cell r="F6398">
            <v>2010</v>
          </cell>
        </row>
        <row r="6399">
          <cell r="E6399" t="str">
            <v>PORTAGEVILLEMOINDIAN LANDSC</v>
          </cell>
          <cell r="F6399">
            <v>1730</v>
          </cell>
        </row>
        <row r="6400">
          <cell r="E6400" t="str">
            <v>PORTAGEVILLEMOPORT WENTWORTHGA</v>
          </cell>
          <cell r="F6400">
            <v>2000</v>
          </cell>
        </row>
        <row r="6401">
          <cell r="E6401" t="str">
            <v>PORTAGEVILLEMORABUN GAPGA</v>
          </cell>
          <cell r="F6401">
            <v>1470</v>
          </cell>
        </row>
        <row r="6402">
          <cell r="E6402" t="str">
            <v>PORTAGEVILLEMORAYVILLELA</v>
          </cell>
          <cell r="F6402">
            <v>1070</v>
          </cell>
        </row>
        <row r="6403">
          <cell r="E6403" t="str">
            <v>PORTAGEVILLEMOCENTREAL</v>
          </cell>
          <cell r="F6403">
            <v>1050</v>
          </cell>
        </row>
        <row r="6404">
          <cell r="E6404" t="str">
            <v>PORTAGEVILLEMOMINERAL SPRINGSNC</v>
          </cell>
          <cell r="F6404">
            <v>1760</v>
          </cell>
        </row>
        <row r="6405">
          <cell r="E6405" t="str">
            <v>PORTAGEVILLEMOSANFORDNC</v>
          </cell>
          <cell r="F6405">
            <v>1950</v>
          </cell>
        </row>
        <row r="6406">
          <cell r="E6406" t="str">
            <v>PORTAGEVILLEMOMOCKSVILLENC</v>
          </cell>
          <cell r="F6406">
            <v>1710</v>
          </cell>
        </row>
        <row r="6407">
          <cell r="E6407" t="str">
            <v>PORTAGEVILLEMOLEXINGTONNC</v>
          </cell>
          <cell r="F6407">
            <v>1750</v>
          </cell>
        </row>
        <row r="6408">
          <cell r="E6408" t="str">
            <v>PORTAGEVILLEMOSTONEVILLENC</v>
          </cell>
          <cell r="F6408">
            <v>1850</v>
          </cell>
        </row>
        <row r="6409">
          <cell r="E6409" t="str">
            <v>PORTAGEVILLEMOMAYODANNC</v>
          </cell>
          <cell r="F6409">
            <v>1840</v>
          </cell>
        </row>
        <row r="6410">
          <cell r="E6410" t="str">
            <v>PORTAGEVILLEMOTHOMASVILLENC</v>
          </cell>
          <cell r="F6410">
            <v>1780</v>
          </cell>
        </row>
        <row r="6411">
          <cell r="E6411" t="str">
            <v>PORTAGEVILLEMOWESLACOTX</v>
          </cell>
          <cell r="F6411">
            <v>1993</v>
          </cell>
        </row>
        <row r="6412">
          <cell r="E6412" t="str">
            <v>PORTLANDARROCKFORDTN</v>
          </cell>
          <cell r="F6412">
            <v>1460</v>
          </cell>
        </row>
        <row r="6413">
          <cell r="E6413" t="str">
            <v>PORTLANDARERWINNC</v>
          </cell>
          <cell r="F6413">
            <v>2140</v>
          </cell>
        </row>
        <row r="6414">
          <cell r="E6414" t="str">
            <v>PORTLANDARCLARKTONNC</v>
          </cell>
          <cell r="F6414">
            <v>2060</v>
          </cell>
        </row>
        <row r="6415">
          <cell r="E6415" t="str">
            <v>PORTLANDARENOREESC</v>
          </cell>
          <cell r="F6415">
            <v>1610</v>
          </cell>
        </row>
        <row r="6416">
          <cell r="E6416" t="str">
            <v>PORTLANDARLOWELLNC</v>
          </cell>
          <cell r="F6416">
            <v>1720</v>
          </cell>
        </row>
        <row r="6417">
          <cell r="E6417" t="str">
            <v>PORTLANDARGAFFNEYSC</v>
          </cell>
          <cell r="F6417">
            <v>1640</v>
          </cell>
        </row>
        <row r="6418">
          <cell r="E6418" t="str">
            <v>PORTLANDARGREERSC</v>
          </cell>
          <cell r="F6418">
            <v>1550</v>
          </cell>
        </row>
        <row r="6419">
          <cell r="E6419" t="str">
            <v>PORTLANDARLUMBERTONNC</v>
          </cell>
          <cell r="F6419">
            <v>2000</v>
          </cell>
        </row>
        <row r="6420">
          <cell r="E6420" t="str">
            <v>PORTLANDARGASTONIANC</v>
          </cell>
          <cell r="F6420">
            <v>1700</v>
          </cell>
        </row>
        <row r="6421">
          <cell r="E6421" t="str">
            <v>PORTLANDARROCKINGHAMNC</v>
          </cell>
          <cell r="F6421">
            <v>1920</v>
          </cell>
        </row>
        <row r="6422">
          <cell r="E6422" t="str">
            <v>PORTLANDARKINSTONNC</v>
          </cell>
          <cell r="F6422">
            <v>2290</v>
          </cell>
        </row>
        <row r="6423">
          <cell r="E6423" t="str">
            <v>PORTLANDARCHARLOTTENC</v>
          </cell>
          <cell r="F6423">
            <v>1750</v>
          </cell>
        </row>
        <row r="6424">
          <cell r="E6424" t="str">
            <v>PORTLANDARSHELBYNC</v>
          </cell>
          <cell r="F6424">
            <v>1670</v>
          </cell>
        </row>
        <row r="6425">
          <cell r="E6425" t="str">
            <v>PORTLANDARHICKORYNC</v>
          </cell>
          <cell r="F6425">
            <v>1780</v>
          </cell>
        </row>
        <row r="6426">
          <cell r="E6426" t="str">
            <v>PORTLANDARINDIAN LANDSC</v>
          </cell>
          <cell r="F6426">
            <v>1780</v>
          </cell>
        </row>
        <row r="6427">
          <cell r="E6427" t="str">
            <v>PORTLANDARGREENWOODSC</v>
          </cell>
          <cell r="F6427">
            <v>1540</v>
          </cell>
        </row>
        <row r="6428">
          <cell r="E6428" t="str">
            <v>PORTLANDARMOCKSVILLENC</v>
          </cell>
          <cell r="F6428">
            <v>1880</v>
          </cell>
        </row>
        <row r="6429">
          <cell r="E6429" t="str">
            <v>PORTLANDARDAWSONGA</v>
          </cell>
          <cell r="F6429">
            <v>1320</v>
          </cell>
        </row>
        <row r="6430">
          <cell r="E6430" t="str">
            <v>PORTLANDARGRIFTONNC</v>
          </cell>
          <cell r="F6430">
            <v>2420</v>
          </cell>
        </row>
        <row r="6431">
          <cell r="E6431" t="str">
            <v>PORTLANDARWEST MEMPHISAR</v>
          </cell>
          <cell r="F6431">
            <v>620</v>
          </cell>
        </row>
        <row r="6432">
          <cell r="E6432" t="str">
            <v>PORTLANDARMCCALLAAL</v>
          </cell>
          <cell r="F6432">
            <v>800</v>
          </cell>
        </row>
        <row r="6433">
          <cell r="E6433" t="str">
            <v>PORTLANDARGarden CityGA</v>
          </cell>
          <cell r="F6433">
            <v>1850</v>
          </cell>
        </row>
        <row r="6434">
          <cell r="E6434" t="str">
            <v>PORTLANDARMARIONAR</v>
          </cell>
          <cell r="F6434">
            <v>630</v>
          </cell>
        </row>
        <row r="6435">
          <cell r="E6435" t="str">
            <v>PORTLANDARROSSVILLETN</v>
          </cell>
          <cell r="F6435">
            <v>660</v>
          </cell>
        </row>
        <row r="6436">
          <cell r="E6436" t="str">
            <v>PORTLANDARRINCONGA</v>
          </cell>
          <cell r="F6436">
            <v>1880</v>
          </cell>
        </row>
        <row r="6437">
          <cell r="E6437" t="str">
            <v>PORTLANDARMEMPHISTN</v>
          </cell>
          <cell r="F6437">
            <v>610</v>
          </cell>
        </row>
        <row r="6438">
          <cell r="E6438" t="str">
            <v>PORTLANDARPORT WENTWORTHGA</v>
          </cell>
          <cell r="F6438">
            <v>1870</v>
          </cell>
        </row>
        <row r="6439">
          <cell r="E6439" t="str">
            <v>PORTLANDARTUNICAMS</v>
          </cell>
          <cell r="F6439">
            <v>550</v>
          </cell>
        </row>
        <row r="6440">
          <cell r="E6440" t="str">
            <v>PORTLANDARDREWMS</v>
          </cell>
          <cell r="F6440">
            <v>460</v>
          </cell>
        </row>
        <row r="6441">
          <cell r="E6441" t="str">
            <v>PORTLANDARGULFPORTMS</v>
          </cell>
          <cell r="F6441">
            <v>930</v>
          </cell>
        </row>
        <row r="6442">
          <cell r="E6442" t="str">
            <v>PORTLANDARRAYVILLELA</v>
          </cell>
          <cell r="F6442">
            <v>420</v>
          </cell>
        </row>
        <row r="6443">
          <cell r="E6443" t="str">
            <v>PORTLANDARINDIANOLAMS</v>
          </cell>
          <cell r="F6443">
            <v>410</v>
          </cell>
        </row>
        <row r="6444">
          <cell r="E6444" t="str">
            <v>PORTLANDARMONEYMS</v>
          </cell>
          <cell r="F6444">
            <v>470</v>
          </cell>
        </row>
        <row r="6445">
          <cell r="E6445" t="str">
            <v>PORTLANDARGREENWOODMS</v>
          </cell>
          <cell r="F6445">
            <v>460</v>
          </cell>
        </row>
        <row r="6446">
          <cell r="E6446" t="str">
            <v>PORTLANDARTALLULAHLA</v>
          </cell>
          <cell r="F6446">
            <v>440</v>
          </cell>
        </row>
        <row r="6447">
          <cell r="E6447" t="str">
            <v>PORTLANDARNORFOLKVA</v>
          </cell>
          <cell r="F6447">
            <v>2500</v>
          </cell>
        </row>
        <row r="6448">
          <cell r="E6448" t="str">
            <v>PORTLANDARBLYTHEVILLEAR</v>
          </cell>
          <cell r="F6448">
            <v>720</v>
          </cell>
        </row>
        <row r="6449">
          <cell r="E6449" t="str">
            <v>PORTLANDAREDENTONNC</v>
          </cell>
          <cell r="F6449">
            <v>2440</v>
          </cell>
        </row>
        <row r="6450">
          <cell r="E6450" t="str">
            <v>PORTLANDARPORTSMOUTHVA</v>
          </cell>
          <cell r="F6450">
            <v>2480</v>
          </cell>
        </row>
        <row r="6451">
          <cell r="E6451" t="str">
            <v>PORTLANDARLEXINGTONNC</v>
          </cell>
          <cell r="F6451">
            <v>1880</v>
          </cell>
        </row>
        <row r="6452">
          <cell r="E6452" t="str">
            <v>PORTLANDARTHOMASVILLENC</v>
          </cell>
          <cell r="F6452">
            <v>1910</v>
          </cell>
        </row>
        <row r="6453">
          <cell r="E6453" t="str">
            <v>PORTLANDARSPARTANC</v>
          </cell>
          <cell r="F6453">
            <v>1960</v>
          </cell>
        </row>
        <row r="6454">
          <cell r="E6454" t="str">
            <v>PORTLANDARSTONEVILLENC</v>
          </cell>
          <cell r="F6454">
            <v>2010</v>
          </cell>
        </row>
        <row r="6455">
          <cell r="E6455" t="str">
            <v>PORTLANDARMAYODANNC</v>
          </cell>
          <cell r="F6455">
            <v>2000</v>
          </cell>
        </row>
        <row r="6456">
          <cell r="E6456" t="str">
            <v>PORTLANDARNEW ORLEANSLA</v>
          </cell>
          <cell r="F6456">
            <v>880</v>
          </cell>
        </row>
        <row r="6457">
          <cell r="E6457" t="str">
            <v>PORTLANDARSANFORDNC</v>
          </cell>
          <cell r="F6457">
            <v>2050</v>
          </cell>
        </row>
        <row r="6458">
          <cell r="E6458" t="str">
            <v>PORTLANDARBELMONTNC</v>
          </cell>
          <cell r="F6458">
            <v>1720</v>
          </cell>
        </row>
        <row r="6459">
          <cell r="E6459" t="str">
            <v>PORTLANDARMOBILEAL</v>
          </cell>
          <cell r="F6459">
            <v>890</v>
          </cell>
        </row>
        <row r="6460">
          <cell r="E6460" t="str">
            <v>PORTLANDARMINERAL SPRINGSNC</v>
          </cell>
          <cell r="F6460">
            <v>1810</v>
          </cell>
        </row>
        <row r="6461">
          <cell r="E6461" t="str">
            <v>PORTLANDARSALISBURYNC</v>
          </cell>
          <cell r="F6461">
            <v>1840</v>
          </cell>
        </row>
        <row r="6462">
          <cell r="E6462" t="str">
            <v>PORTLANDARGAINESVILLEGA</v>
          </cell>
          <cell r="F6462">
            <v>1320</v>
          </cell>
        </row>
        <row r="6463">
          <cell r="E6463" t="str">
            <v>PORTLANDARECLECTICAL</v>
          </cell>
          <cell r="F6463">
            <v>1000</v>
          </cell>
        </row>
        <row r="6464">
          <cell r="E6464" t="str">
            <v>PORTLANDARJACKSONVILLEFL</v>
          </cell>
          <cell r="F6464">
            <v>1820</v>
          </cell>
        </row>
        <row r="6465">
          <cell r="E6465" t="str">
            <v>PORTLANDARRABUN GAPGA</v>
          </cell>
          <cell r="F6465">
            <v>1550</v>
          </cell>
        </row>
        <row r="6466">
          <cell r="E6466" t="str">
            <v>PORTLANDARCARTERSVILLEGA</v>
          </cell>
          <cell r="F6466">
            <v>1190</v>
          </cell>
        </row>
        <row r="6467">
          <cell r="E6467" t="str">
            <v>PORTLANDARCENTREAL</v>
          </cell>
          <cell r="F6467">
            <v>1050</v>
          </cell>
        </row>
        <row r="6468">
          <cell r="E6468" t="str">
            <v>PORTLANDTXBaytownTX</v>
          </cell>
          <cell r="F6468">
            <v>727</v>
          </cell>
        </row>
        <row r="6469">
          <cell r="E6469" t="str">
            <v>PORTLANDTXDallasTX</v>
          </cell>
          <cell r="F6469">
            <v>919</v>
          </cell>
        </row>
        <row r="6470">
          <cell r="E6470" t="str">
            <v>PORTLANDTXHoustonTX</v>
          </cell>
          <cell r="F6470">
            <v>672</v>
          </cell>
        </row>
        <row r="6471">
          <cell r="E6471" t="str">
            <v>PORTLANDTXHASLETTX</v>
          </cell>
          <cell r="F6471">
            <v>1733</v>
          </cell>
        </row>
        <row r="6472">
          <cell r="E6472" t="str">
            <v>PORTLANDTXHOUSTONTX</v>
          </cell>
          <cell r="F6472">
            <v>1017</v>
          </cell>
        </row>
        <row r="6473">
          <cell r="E6473" t="str">
            <v>PORTLANDTXWILMERTX</v>
          </cell>
          <cell r="F6473">
            <v>1789</v>
          </cell>
        </row>
        <row r="6474">
          <cell r="E6474" t="str">
            <v>PORTLANDTXWYLIETX</v>
          </cell>
        </row>
        <row r="6475">
          <cell r="E6475" t="str">
            <v>PORTLANDTXWESLACOTX</v>
          </cell>
          <cell r="F6475">
            <v>570</v>
          </cell>
        </row>
        <row r="6476">
          <cell r="E6476" t="str">
            <v>POSTTXDallasTX</v>
          </cell>
          <cell r="F6476">
            <v>524</v>
          </cell>
        </row>
        <row r="6477">
          <cell r="E6477" t="str">
            <v>POSTTXBaytownTX</v>
          </cell>
          <cell r="F6477">
            <v>995</v>
          </cell>
        </row>
        <row r="6478">
          <cell r="E6478" t="str">
            <v>POSTTXHoustonTX</v>
          </cell>
          <cell r="F6478">
            <v>967</v>
          </cell>
        </row>
        <row r="6479">
          <cell r="E6479" t="str">
            <v>POSTTXHASLETTX</v>
          </cell>
          <cell r="F6479">
            <v>1081</v>
          </cell>
        </row>
        <row r="6480">
          <cell r="E6480" t="str">
            <v>POSTTXHOUSTONTX</v>
          </cell>
          <cell r="F6480">
            <v>2488</v>
          </cell>
        </row>
        <row r="6481">
          <cell r="E6481" t="str">
            <v>POSTTXWILMERTX</v>
          </cell>
          <cell r="F6481">
            <v>1232</v>
          </cell>
        </row>
        <row r="6482">
          <cell r="E6482" t="str">
            <v>POSTTXWYLIETX</v>
          </cell>
        </row>
        <row r="6483">
          <cell r="E6483" t="str">
            <v>POSTTXWESLACOTX</v>
          </cell>
          <cell r="F6483">
            <v>1154</v>
          </cell>
        </row>
        <row r="6484">
          <cell r="E6484" t="str">
            <v>QUANAHTXDallasTX</v>
          </cell>
          <cell r="F6484">
            <v>584</v>
          </cell>
        </row>
        <row r="6485">
          <cell r="E6485" t="str">
            <v>QUANAHTXHoustonTX</v>
          </cell>
          <cell r="F6485">
            <v>834</v>
          </cell>
        </row>
        <row r="6486">
          <cell r="E6486" t="str">
            <v>QUANAHTXBaytownTX</v>
          </cell>
          <cell r="F6486">
            <v>817</v>
          </cell>
        </row>
        <row r="6487">
          <cell r="E6487" t="str">
            <v>QUANAHTXHASLETTX</v>
          </cell>
          <cell r="F6487">
            <v>749</v>
          </cell>
        </row>
        <row r="6488">
          <cell r="E6488" t="str">
            <v>QUANAHTXHOUSTONTX</v>
          </cell>
          <cell r="F6488">
            <v>2386</v>
          </cell>
        </row>
        <row r="6489">
          <cell r="E6489" t="str">
            <v>QUANAHTXWILMERTX</v>
          </cell>
          <cell r="F6489">
            <v>902</v>
          </cell>
        </row>
        <row r="6490">
          <cell r="E6490" t="str">
            <v>QUANAHTXWYLIETX</v>
          </cell>
        </row>
        <row r="6491">
          <cell r="E6491" t="str">
            <v>QUANAHTXWESLACOTX</v>
          </cell>
          <cell r="F6491">
            <v>1251</v>
          </cell>
        </row>
        <row r="6492">
          <cell r="E6492" t="str">
            <v>QUITAQUETXDallasTX</v>
          </cell>
          <cell r="F6492">
            <v>589</v>
          </cell>
        </row>
        <row r="6493">
          <cell r="E6493" t="str">
            <v>QUITAQUETXHoustonTX</v>
          </cell>
          <cell r="F6493">
            <v>930</v>
          </cell>
        </row>
        <row r="6494">
          <cell r="E6494" t="str">
            <v>QUITAQUETXBaytownTX</v>
          </cell>
          <cell r="F6494">
            <v>955</v>
          </cell>
        </row>
        <row r="6495">
          <cell r="E6495" t="str">
            <v>RAEFORDNCJACKSONVILLEFL</v>
          </cell>
          <cell r="F6495">
            <v>1000</v>
          </cell>
        </row>
        <row r="6496">
          <cell r="E6496" t="str">
            <v>RAEFORDNCCARTERSVILLEGA</v>
          </cell>
          <cell r="F6496">
            <v>1040</v>
          </cell>
        </row>
        <row r="6497">
          <cell r="E6497" t="str">
            <v>RAEFORDNCDAWSONGA</v>
          </cell>
          <cell r="F6497">
            <v>1170</v>
          </cell>
        </row>
        <row r="6498">
          <cell r="E6498" t="str">
            <v>RAEFORDNCROSSVILLETN</v>
          </cell>
          <cell r="F6498">
            <v>1810</v>
          </cell>
        </row>
        <row r="6499">
          <cell r="E6499" t="str">
            <v>RAEFORDNCTALLULAHLA</v>
          </cell>
          <cell r="F6499">
            <v>1960</v>
          </cell>
        </row>
        <row r="6500">
          <cell r="E6500" t="str">
            <v>RAEFORDNCBLYTHEVILLEAR</v>
          </cell>
          <cell r="F6500">
            <v>1830</v>
          </cell>
        </row>
        <row r="6501">
          <cell r="E6501" t="str">
            <v>RAEFORDNCGREENWOODMS</v>
          </cell>
          <cell r="F6501">
            <v>1790</v>
          </cell>
        </row>
        <row r="6502">
          <cell r="E6502" t="str">
            <v>RAEFORDNCWEST MEMPHISAR</v>
          </cell>
          <cell r="F6502">
            <v>1820</v>
          </cell>
        </row>
        <row r="6503">
          <cell r="E6503" t="str">
            <v>RAEFORDNCCENTREAL</v>
          </cell>
          <cell r="F6503">
            <v>1160</v>
          </cell>
        </row>
        <row r="6504">
          <cell r="E6504" t="str">
            <v>RAEFORDNCGAINESVILLEGA</v>
          </cell>
          <cell r="F6504">
            <v>880</v>
          </cell>
        </row>
        <row r="6505">
          <cell r="E6505" t="str">
            <v>RAEFORDNCSPARTANC</v>
          </cell>
          <cell r="F6505">
            <v>610</v>
          </cell>
        </row>
        <row r="6506">
          <cell r="E6506" t="str">
            <v>RAEFORDNCMARIONAR</v>
          </cell>
          <cell r="F6506">
            <v>1830</v>
          </cell>
        </row>
        <row r="6507">
          <cell r="E6507" t="str">
            <v>RAEFORDNCMONEYMS</v>
          </cell>
          <cell r="F6507">
            <v>1830</v>
          </cell>
        </row>
        <row r="6508">
          <cell r="E6508" t="str">
            <v>RAEFORDNCTUNICAMS</v>
          </cell>
          <cell r="F6508">
            <v>1860</v>
          </cell>
        </row>
        <row r="6509">
          <cell r="E6509" t="str">
            <v>RAEFORDNCMCCALLAAL</v>
          </cell>
          <cell r="F6509">
            <v>1350</v>
          </cell>
        </row>
        <row r="6510">
          <cell r="E6510" t="str">
            <v>RAEFORDNCSHELBYNC</v>
          </cell>
          <cell r="F6510">
            <v>580</v>
          </cell>
        </row>
        <row r="6511">
          <cell r="E6511" t="str">
            <v>RAEFORDNCNEW ORLEANSLA</v>
          </cell>
          <cell r="F6511">
            <v>1970</v>
          </cell>
        </row>
        <row r="6512">
          <cell r="E6512" t="str">
            <v>RAEFORDNCGREERSC</v>
          </cell>
          <cell r="F6512">
            <v>640</v>
          </cell>
        </row>
        <row r="6513">
          <cell r="E6513" t="str">
            <v>RAEFORDNCHICKORYNC</v>
          </cell>
          <cell r="F6513">
            <v>590</v>
          </cell>
        </row>
        <row r="6514">
          <cell r="E6514" t="str">
            <v>RAEFORDNCDREWMS</v>
          </cell>
          <cell r="F6514">
            <v>1870</v>
          </cell>
        </row>
        <row r="6515">
          <cell r="E6515" t="str">
            <v>RAEFORDNCINDIANOLAMS</v>
          </cell>
          <cell r="F6515">
            <v>1850</v>
          </cell>
        </row>
        <row r="6516">
          <cell r="E6516" t="str">
            <v>RAEFORDNCRAYVILLELA</v>
          </cell>
          <cell r="F6516">
            <v>2030</v>
          </cell>
        </row>
        <row r="6517">
          <cell r="E6517" t="str">
            <v>RAEFORDNCMEMPHISTN</v>
          </cell>
          <cell r="F6517">
            <v>1830</v>
          </cell>
        </row>
        <row r="6518">
          <cell r="E6518" t="str">
            <v>RAEFORDNCECLECTICAL</v>
          </cell>
          <cell r="F6518">
            <v>1280</v>
          </cell>
        </row>
        <row r="6519">
          <cell r="E6519" t="str">
            <v>RAEFORDNCENOREESC</v>
          </cell>
          <cell r="F6519">
            <v>650</v>
          </cell>
        </row>
        <row r="6520">
          <cell r="E6520" t="str">
            <v>RAEFORDNCMOBILEAL</v>
          </cell>
          <cell r="F6520">
            <v>1660</v>
          </cell>
        </row>
        <row r="6521">
          <cell r="E6521" t="str">
            <v>RAEFORDNCKINSTONNC</v>
          </cell>
          <cell r="F6521">
            <v>510</v>
          </cell>
        </row>
        <row r="6522">
          <cell r="E6522" t="str">
            <v>RAEFORDNCRABUN GAPGA</v>
          </cell>
          <cell r="F6522">
            <v>870</v>
          </cell>
        </row>
        <row r="6523">
          <cell r="E6523" t="str">
            <v>RAEFORDNCLOWELLNC</v>
          </cell>
          <cell r="F6523">
            <v>530</v>
          </cell>
        </row>
        <row r="6524">
          <cell r="E6524" t="str">
            <v>RAEFORDNCINDIAN LANDSC</v>
          </cell>
          <cell r="F6524">
            <v>500</v>
          </cell>
        </row>
        <row r="6525">
          <cell r="E6525" t="str">
            <v>RAEFORDNCMAYODANNC</v>
          </cell>
          <cell r="F6525">
            <v>520</v>
          </cell>
        </row>
        <row r="6526">
          <cell r="E6526" t="str">
            <v>RAEFORDNCMOCKSVILLENC</v>
          </cell>
          <cell r="F6526">
            <v>500</v>
          </cell>
        </row>
        <row r="6527">
          <cell r="E6527" t="str">
            <v>RAEFORDNCGASTONIANC</v>
          </cell>
          <cell r="F6527">
            <v>540</v>
          </cell>
        </row>
        <row r="6528">
          <cell r="E6528" t="str">
            <v>RAEFORDNCGAFFNEYSC</v>
          </cell>
          <cell r="F6528">
            <v>590</v>
          </cell>
        </row>
        <row r="6529">
          <cell r="E6529" t="str">
            <v>RAEFORDNCCHARLOTTENC</v>
          </cell>
          <cell r="F6529">
            <v>500</v>
          </cell>
        </row>
        <row r="6530">
          <cell r="E6530" t="str">
            <v>RAEFORDNCPORT WENTWORTHGA</v>
          </cell>
          <cell r="F6530">
            <v>810</v>
          </cell>
        </row>
        <row r="6531">
          <cell r="E6531" t="str">
            <v>RAEFORDNCSTONEVILLENC</v>
          </cell>
          <cell r="F6531">
            <v>530</v>
          </cell>
        </row>
        <row r="6532">
          <cell r="E6532" t="str">
            <v>RAEFORDNCSALISBURYNC</v>
          </cell>
          <cell r="F6532">
            <v>500</v>
          </cell>
        </row>
        <row r="6533">
          <cell r="E6533" t="str">
            <v>RAEFORDNCBELMONTNC</v>
          </cell>
          <cell r="F6533">
            <v>520</v>
          </cell>
        </row>
        <row r="6534">
          <cell r="E6534" t="str">
            <v>RAEFORDNCCLARKTONNC</v>
          </cell>
          <cell r="F6534">
            <v>400</v>
          </cell>
        </row>
        <row r="6535">
          <cell r="E6535" t="str">
            <v>RAEFORDNCGULFPORTMS</v>
          </cell>
          <cell r="F6535">
            <v>1920</v>
          </cell>
        </row>
        <row r="6536">
          <cell r="E6536" t="str">
            <v>RAEFORDNCMINERAL SPRINGSNC</v>
          </cell>
          <cell r="F6536">
            <v>470</v>
          </cell>
        </row>
        <row r="6537">
          <cell r="E6537" t="str">
            <v>RAEFORDNCLEXINGTONNC</v>
          </cell>
          <cell r="F6537">
            <v>470</v>
          </cell>
        </row>
        <row r="6538">
          <cell r="E6538" t="str">
            <v>RAEFORDNCSANFORDNC</v>
          </cell>
          <cell r="F6538">
            <v>390</v>
          </cell>
        </row>
        <row r="6539">
          <cell r="E6539" t="str">
            <v>RAEFORDNCTHOMASVILLENC</v>
          </cell>
          <cell r="F6539">
            <v>470</v>
          </cell>
        </row>
        <row r="6540">
          <cell r="E6540" t="str">
            <v>RAEFORDNCRINCONGA</v>
          </cell>
          <cell r="F6540">
            <v>810</v>
          </cell>
        </row>
        <row r="6541">
          <cell r="E6541" t="str">
            <v>RAEFORDNCGarden CityGA</v>
          </cell>
          <cell r="F6541">
            <v>810</v>
          </cell>
        </row>
        <row r="6542">
          <cell r="E6542" t="str">
            <v>RAEFORDNCLUMBERTONNC</v>
          </cell>
          <cell r="F6542">
            <v>370</v>
          </cell>
        </row>
        <row r="6543">
          <cell r="E6543" t="str">
            <v>RAEFORDNCGREENWOODSC</v>
          </cell>
          <cell r="F6543">
            <v>680</v>
          </cell>
        </row>
        <row r="6544">
          <cell r="E6544" t="str">
            <v>RAEFORDNCNORFOLKVA</v>
          </cell>
          <cell r="F6544">
            <v>720</v>
          </cell>
        </row>
        <row r="6545">
          <cell r="E6545" t="str">
            <v>RAEFORDNCROCKINGHAMNC</v>
          </cell>
          <cell r="F6545">
            <v>380</v>
          </cell>
        </row>
        <row r="6546">
          <cell r="E6546" t="str">
            <v>RAEFORDNCPORTSMOUTHVA</v>
          </cell>
          <cell r="F6546">
            <v>700</v>
          </cell>
        </row>
        <row r="6547">
          <cell r="E6547" t="str">
            <v>RAEFORDNCEDENTONNC</v>
          </cell>
          <cell r="F6547">
            <v>640</v>
          </cell>
        </row>
        <row r="6548">
          <cell r="E6548" t="str">
            <v>RAEFORDNCERWINNC</v>
          </cell>
          <cell r="F6548">
            <v>390</v>
          </cell>
        </row>
        <row r="6549">
          <cell r="E6549" t="str">
            <v>RAEFORDNCGRIFTONNC</v>
          </cell>
          <cell r="F6549">
            <v>640</v>
          </cell>
        </row>
        <row r="6550">
          <cell r="E6550" t="str">
            <v>RAEFORDNCROCKFORDTN</v>
          </cell>
          <cell r="F6550">
            <v>960</v>
          </cell>
        </row>
        <row r="6551">
          <cell r="E6551" t="str">
            <v>RALLSTXDallasTX</v>
          </cell>
          <cell r="F6551">
            <v>609</v>
          </cell>
        </row>
        <row r="6552">
          <cell r="E6552" t="str">
            <v>RALLSTXBaytownTX</v>
          </cell>
          <cell r="F6552">
            <v>1055</v>
          </cell>
        </row>
        <row r="6553">
          <cell r="E6553" t="str">
            <v>RALLSTXHoustonTX</v>
          </cell>
          <cell r="F6553">
            <v>1029</v>
          </cell>
        </row>
        <row r="6554">
          <cell r="E6554" t="str">
            <v>RALLSTXHASLETTX</v>
          </cell>
          <cell r="F6554">
            <v>1095</v>
          </cell>
        </row>
        <row r="6555">
          <cell r="E6555" t="str">
            <v>RALLSTXHOUSTONTX</v>
          </cell>
          <cell r="F6555">
            <v>2654</v>
          </cell>
        </row>
        <row r="6556">
          <cell r="E6556" t="str">
            <v>RALLSTXWILMERTX</v>
          </cell>
          <cell r="F6556">
            <v>1288</v>
          </cell>
        </row>
        <row r="6557">
          <cell r="E6557" t="str">
            <v>RALLSTXWYLIETX</v>
          </cell>
        </row>
        <row r="6558">
          <cell r="E6558" t="str">
            <v>RALLSTXWESLACOTX</v>
          </cell>
          <cell r="F6558">
            <v>1220</v>
          </cell>
        </row>
        <row r="6559">
          <cell r="E6559" t="str">
            <v>RAYMONDVILLETXHoustonTX</v>
          </cell>
          <cell r="F6559">
            <v>1027</v>
          </cell>
        </row>
        <row r="6560">
          <cell r="E6560" t="str">
            <v>RAYMONDVILLETXBaytownTX</v>
          </cell>
          <cell r="F6560">
            <v>1079</v>
          </cell>
        </row>
        <row r="6561">
          <cell r="E6561" t="str">
            <v>RAYMONDVILLETXHOUSTONTX</v>
          </cell>
          <cell r="F6561">
            <v>1490</v>
          </cell>
        </row>
        <row r="6562">
          <cell r="E6562" t="str">
            <v>RAYMONDVILLETXWESLACOTX</v>
          </cell>
          <cell r="F6562">
            <v>368</v>
          </cell>
        </row>
        <row r="6563">
          <cell r="E6563" t="str">
            <v>RAYVILLELAROCKFORDTN</v>
          </cell>
          <cell r="F6563">
            <v>1500</v>
          </cell>
        </row>
        <row r="6564">
          <cell r="E6564" t="str">
            <v>RAYVILLELAPORTSMOUTHVA</v>
          </cell>
          <cell r="F6564">
            <v>2520</v>
          </cell>
        </row>
        <row r="6565">
          <cell r="E6565" t="str">
            <v>RAYVILLELANORFOLKVA</v>
          </cell>
          <cell r="F6565">
            <v>2550</v>
          </cell>
        </row>
        <row r="6566">
          <cell r="E6566" t="str">
            <v>RAYVILLELAKINSTONNC</v>
          </cell>
          <cell r="F6566">
            <v>2340</v>
          </cell>
        </row>
        <row r="6567">
          <cell r="E6567" t="str">
            <v>RAYVILLELALUMBERTONNC</v>
          </cell>
          <cell r="F6567">
            <v>2050</v>
          </cell>
        </row>
        <row r="6568">
          <cell r="E6568" t="str">
            <v>RAYVILLELAEDENTONNC</v>
          </cell>
          <cell r="F6568">
            <v>2490</v>
          </cell>
        </row>
        <row r="6569">
          <cell r="E6569" t="str">
            <v>RAYVILLELAMINERAL SPRINGSNC</v>
          </cell>
          <cell r="F6569">
            <v>1860</v>
          </cell>
        </row>
        <row r="6570">
          <cell r="E6570" t="str">
            <v>RAYVILLELASPARTANC</v>
          </cell>
          <cell r="F6570">
            <v>2000</v>
          </cell>
        </row>
        <row r="6571">
          <cell r="E6571" t="str">
            <v>RAYVILLELALEXINGTONNC</v>
          </cell>
          <cell r="F6571">
            <v>1930</v>
          </cell>
        </row>
        <row r="6572">
          <cell r="E6572" t="str">
            <v>RAYVILLELAJACKSONVILLEFL</v>
          </cell>
          <cell r="F6572">
            <v>1720</v>
          </cell>
        </row>
        <row r="6573">
          <cell r="E6573" t="str">
            <v>RAYVILLELAINDIAN LANDSC</v>
          </cell>
          <cell r="F6573">
            <v>1830</v>
          </cell>
        </row>
        <row r="6574">
          <cell r="E6574" t="str">
            <v>RAYVILLELAMAYODANNC</v>
          </cell>
          <cell r="F6574">
            <v>2050</v>
          </cell>
        </row>
        <row r="6575">
          <cell r="E6575" t="str">
            <v>RAYVILLELATHOMASVILLENC</v>
          </cell>
          <cell r="F6575">
            <v>1950</v>
          </cell>
        </row>
        <row r="6576">
          <cell r="E6576" t="str">
            <v>RAYVILLELAERWINNC</v>
          </cell>
          <cell r="F6576">
            <v>2180</v>
          </cell>
        </row>
        <row r="6577">
          <cell r="E6577" t="str">
            <v>RAYVILLELAGREENWOODSC</v>
          </cell>
          <cell r="F6577">
            <v>1580</v>
          </cell>
        </row>
        <row r="6578">
          <cell r="E6578" t="str">
            <v>RAYVILLELASTONEVILLENC</v>
          </cell>
          <cell r="F6578">
            <v>2050</v>
          </cell>
        </row>
        <row r="6579">
          <cell r="E6579" t="str">
            <v>RAYVILLELAMOCKSVILLENC</v>
          </cell>
          <cell r="F6579">
            <v>1920</v>
          </cell>
        </row>
        <row r="6580">
          <cell r="E6580" t="str">
            <v>RAYVILLELAENOREESC</v>
          </cell>
          <cell r="F6580">
            <v>1650</v>
          </cell>
        </row>
        <row r="6581">
          <cell r="E6581" t="str">
            <v>RAYVILLELALOWELLNC</v>
          </cell>
          <cell r="F6581">
            <v>1760</v>
          </cell>
        </row>
        <row r="6582">
          <cell r="E6582" t="str">
            <v>RAYVILLELASANFORDNC</v>
          </cell>
          <cell r="F6582">
            <v>2090</v>
          </cell>
        </row>
        <row r="6583">
          <cell r="E6583" t="str">
            <v>RAYVILLELAGREERSC</v>
          </cell>
          <cell r="F6583">
            <v>1600</v>
          </cell>
        </row>
        <row r="6584">
          <cell r="E6584" t="str">
            <v>RAYVILLELABELMONTNC</v>
          </cell>
          <cell r="F6584">
            <v>1770</v>
          </cell>
        </row>
        <row r="6585">
          <cell r="E6585" t="str">
            <v>RAYVILLELACLARKTONNC</v>
          </cell>
          <cell r="F6585">
            <v>2100</v>
          </cell>
        </row>
        <row r="6586">
          <cell r="E6586" t="str">
            <v>RAYVILLELAROCKINGHAMNC</v>
          </cell>
          <cell r="F6586">
            <v>1970</v>
          </cell>
        </row>
        <row r="6587">
          <cell r="E6587" t="str">
            <v>RAYVILLELASALISBURYNC</v>
          </cell>
          <cell r="F6587">
            <v>1890</v>
          </cell>
        </row>
        <row r="6588">
          <cell r="E6588" t="str">
            <v>RAYVILLELADAWSONGA</v>
          </cell>
          <cell r="F6588">
            <v>1240</v>
          </cell>
        </row>
        <row r="6589">
          <cell r="E6589" t="str">
            <v>RAYVILLELAGAFFNEYSC</v>
          </cell>
          <cell r="F6589">
            <v>1680</v>
          </cell>
        </row>
        <row r="6590">
          <cell r="E6590" t="str">
            <v>RAYVILLELAGRIFTONNC</v>
          </cell>
          <cell r="F6590">
            <v>2470</v>
          </cell>
        </row>
        <row r="6591">
          <cell r="E6591" t="str">
            <v>RAYVILLELACHARLOTTENC</v>
          </cell>
          <cell r="F6591">
            <v>1800</v>
          </cell>
        </row>
        <row r="6592">
          <cell r="E6592" t="str">
            <v>RAYVILLELASHELBYNC</v>
          </cell>
          <cell r="F6592">
            <v>1720</v>
          </cell>
        </row>
        <row r="6593">
          <cell r="E6593" t="str">
            <v>RAYVILLELAHICKORYNC</v>
          </cell>
          <cell r="F6593">
            <v>1830</v>
          </cell>
        </row>
        <row r="6594">
          <cell r="E6594" t="str">
            <v>RAYVILLELAGASTONIANC</v>
          </cell>
          <cell r="F6594">
            <v>1750</v>
          </cell>
        </row>
        <row r="6595">
          <cell r="E6595" t="str">
            <v>RAYVILLELAGAINESVILLEGA</v>
          </cell>
          <cell r="F6595">
            <v>1360</v>
          </cell>
        </row>
        <row r="6596">
          <cell r="E6596" t="str">
            <v>RAYVILLELAROSSVILLETN</v>
          </cell>
          <cell r="F6596">
            <v>760</v>
          </cell>
        </row>
        <row r="6597">
          <cell r="E6597" t="str">
            <v>RAYVILLELAMCCALLAAL</v>
          </cell>
          <cell r="F6597">
            <v>840</v>
          </cell>
        </row>
        <row r="6598">
          <cell r="E6598" t="str">
            <v>RAYVILLELAECLECTICAL</v>
          </cell>
          <cell r="F6598">
            <v>990</v>
          </cell>
        </row>
        <row r="6599">
          <cell r="E6599" t="str">
            <v>RAYVILLELAGarden CityGA</v>
          </cell>
          <cell r="F6599">
            <v>1890</v>
          </cell>
        </row>
        <row r="6600">
          <cell r="E6600" t="str">
            <v>RAYVILLELARINCONGA</v>
          </cell>
          <cell r="F6600">
            <v>1920</v>
          </cell>
        </row>
        <row r="6601">
          <cell r="E6601" t="str">
            <v>RAYVILLELAPORT WENTWORTHGA</v>
          </cell>
          <cell r="F6601">
            <v>1910</v>
          </cell>
        </row>
        <row r="6602">
          <cell r="E6602" t="str">
            <v>RAYVILLELACENTREAL</v>
          </cell>
          <cell r="F6602">
            <v>1090</v>
          </cell>
        </row>
        <row r="6603">
          <cell r="E6603" t="str">
            <v>RAYVILLELATUNICAMS</v>
          </cell>
          <cell r="F6603">
            <v>640</v>
          </cell>
        </row>
        <row r="6604">
          <cell r="E6604" t="str">
            <v>RAYVILLELAGULFPORTMS</v>
          </cell>
          <cell r="F6604">
            <v>820</v>
          </cell>
        </row>
        <row r="6605">
          <cell r="E6605" t="str">
            <v>RAYVILLELAMONEYMS</v>
          </cell>
          <cell r="F6605">
            <v>560</v>
          </cell>
        </row>
        <row r="6606">
          <cell r="E6606" t="str">
            <v>RAYVILLELARABUN GAPGA</v>
          </cell>
          <cell r="F6606">
            <v>1600</v>
          </cell>
        </row>
        <row r="6607">
          <cell r="E6607" t="str">
            <v>RAYVILLELADREWMS</v>
          </cell>
          <cell r="F6607">
            <v>550</v>
          </cell>
        </row>
        <row r="6608">
          <cell r="E6608" t="str">
            <v>RAYVILLELAINDIANOLAMS</v>
          </cell>
          <cell r="F6608">
            <v>510</v>
          </cell>
        </row>
        <row r="6609">
          <cell r="E6609" t="str">
            <v>RAYVILLELATALLULAHLA</v>
          </cell>
          <cell r="F6609">
            <v>380</v>
          </cell>
        </row>
        <row r="6610">
          <cell r="E6610" t="str">
            <v>RAYVILLELAMEMPHISTN</v>
          </cell>
          <cell r="F6610">
            <v>700</v>
          </cell>
        </row>
        <row r="6611">
          <cell r="E6611" t="str">
            <v>RAYVILLELAMARIONAR</v>
          </cell>
          <cell r="F6611">
            <v>720</v>
          </cell>
        </row>
        <row r="6612">
          <cell r="E6612" t="str">
            <v>RAYVILLELAWEST MEMPHISAR</v>
          </cell>
          <cell r="F6612">
            <v>710</v>
          </cell>
        </row>
        <row r="6613">
          <cell r="E6613" t="str">
            <v>RAYVILLELACARTERSVILLEGA</v>
          </cell>
          <cell r="F6613">
            <v>1230</v>
          </cell>
        </row>
        <row r="6614">
          <cell r="E6614" t="str">
            <v>RAYVILLELABLYTHEVILLEAR</v>
          </cell>
          <cell r="F6614">
            <v>850</v>
          </cell>
        </row>
        <row r="6615">
          <cell r="E6615" t="str">
            <v>RAYVILLELAMOBILEAL</v>
          </cell>
          <cell r="F6615">
            <v>790</v>
          </cell>
        </row>
        <row r="6616">
          <cell r="E6616" t="str">
            <v>RAYVILLELAGREENWOODMS</v>
          </cell>
          <cell r="F6616">
            <v>550</v>
          </cell>
        </row>
        <row r="6617">
          <cell r="E6617" t="str">
            <v>RAYVILLELANEW ORLEANSLA</v>
          </cell>
          <cell r="F6617">
            <v>700</v>
          </cell>
        </row>
        <row r="6618">
          <cell r="E6618" t="str">
            <v>RAYVILLELAHoustonTX</v>
          </cell>
          <cell r="F6618">
            <v>1182</v>
          </cell>
        </row>
        <row r="6619">
          <cell r="E6619" t="str">
            <v>RAYVILLELABaytownTX</v>
          </cell>
          <cell r="F6619">
            <v>1032</v>
          </cell>
        </row>
        <row r="6620">
          <cell r="E6620" t="str">
            <v>RAYVILLELAWESLACOTX</v>
          </cell>
          <cell r="F6620">
            <v>1352</v>
          </cell>
        </row>
        <row r="6621">
          <cell r="E6621" t="str">
            <v>RINCONGAINDIAN LANDSC</v>
          </cell>
          <cell r="F6621">
            <v>700</v>
          </cell>
        </row>
        <row r="6622">
          <cell r="E6622" t="str">
            <v>RINCONGAERWINNC</v>
          </cell>
          <cell r="F6622">
            <v>800</v>
          </cell>
        </row>
        <row r="6623">
          <cell r="E6623" t="str">
            <v>RINCONGAGASTONIANC</v>
          </cell>
          <cell r="F6623">
            <v>750</v>
          </cell>
        </row>
        <row r="6624">
          <cell r="E6624" t="str">
            <v>RINCONGAHICKORYNC</v>
          </cell>
          <cell r="F6624">
            <v>830</v>
          </cell>
        </row>
        <row r="6625">
          <cell r="E6625" t="str">
            <v>RINCONGABELMONTNC</v>
          </cell>
          <cell r="F6625">
            <v>730</v>
          </cell>
        </row>
        <row r="6626">
          <cell r="E6626" t="str">
            <v>RINCONGAGAFFNEYSC</v>
          </cell>
          <cell r="F6626">
            <v>760</v>
          </cell>
        </row>
        <row r="6627">
          <cell r="E6627" t="str">
            <v>RINCONGALOWELLNC</v>
          </cell>
          <cell r="F6627">
            <v>740</v>
          </cell>
        </row>
        <row r="6628">
          <cell r="E6628" t="str">
            <v>RINCONGACHARLOTTENC</v>
          </cell>
          <cell r="F6628">
            <v>720</v>
          </cell>
        </row>
        <row r="6629">
          <cell r="E6629" t="str">
            <v>RINCONGAENOREESC</v>
          </cell>
          <cell r="F6629">
            <v>680</v>
          </cell>
        </row>
        <row r="6630">
          <cell r="E6630" t="str">
            <v>RINCONGAMARIONAR</v>
          </cell>
          <cell r="F6630">
            <v>1600</v>
          </cell>
        </row>
        <row r="6631">
          <cell r="E6631" t="str">
            <v>RINCONGALEXINGTONNC</v>
          </cell>
          <cell r="F6631">
            <v>850</v>
          </cell>
        </row>
        <row r="6632">
          <cell r="E6632" t="str">
            <v>RINCONGAMONEYMS</v>
          </cell>
          <cell r="F6632">
            <v>1580</v>
          </cell>
        </row>
        <row r="6633">
          <cell r="E6633" t="str">
            <v>RINCONGAROCKINGHAMNC</v>
          </cell>
          <cell r="F6633">
            <v>690</v>
          </cell>
        </row>
        <row r="6634">
          <cell r="E6634" t="str">
            <v>RINCONGAROSSVILLETN</v>
          </cell>
          <cell r="F6634">
            <v>1570</v>
          </cell>
        </row>
        <row r="6635">
          <cell r="E6635" t="str">
            <v>RINCONGATUNICAMS</v>
          </cell>
          <cell r="F6635">
            <v>1610</v>
          </cell>
        </row>
        <row r="6636">
          <cell r="E6636" t="str">
            <v>RINCONGAMCCALLAAL</v>
          </cell>
          <cell r="F6636">
            <v>1100</v>
          </cell>
        </row>
        <row r="6637">
          <cell r="E6637" t="str">
            <v>RINCONGAWEST MEMPHISAR</v>
          </cell>
          <cell r="F6637">
            <v>1590</v>
          </cell>
        </row>
        <row r="6638">
          <cell r="E6638" t="str">
            <v>RINCONGASPARTANC</v>
          </cell>
          <cell r="F6638">
            <v>950</v>
          </cell>
        </row>
        <row r="6639">
          <cell r="E6639" t="str">
            <v>RINCONGATHOMASVILLENC</v>
          </cell>
          <cell r="F6639">
            <v>880</v>
          </cell>
        </row>
        <row r="6640">
          <cell r="E6640" t="str">
            <v>RINCONGADREWMS</v>
          </cell>
          <cell r="F6640">
            <v>1630</v>
          </cell>
        </row>
        <row r="6641">
          <cell r="E6641" t="str">
            <v>RINCONGACENTREAL</v>
          </cell>
          <cell r="F6641">
            <v>920</v>
          </cell>
        </row>
        <row r="6642">
          <cell r="E6642" t="str">
            <v>RINCONGAKINSTONNC</v>
          </cell>
          <cell r="F6642">
            <v>960</v>
          </cell>
        </row>
        <row r="6643">
          <cell r="E6643" t="str">
            <v>RINCONGAEDENTONNC</v>
          </cell>
          <cell r="F6643">
            <v>1140</v>
          </cell>
        </row>
        <row r="6644">
          <cell r="E6644" t="str">
            <v>RINCONGAINDIANOLAMS</v>
          </cell>
          <cell r="F6644">
            <v>1610</v>
          </cell>
        </row>
        <row r="6645">
          <cell r="E6645" t="str">
            <v>RINCONGARAYVILLELA</v>
          </cell>
          <cell r="F6645">
            <v>1790</v>
          </cell>
        </row>
        <row r="6646">
          <cell r="E6646" t="str">
            <v>RINCONGAMAYODANNC</v>
          </cell>
          <cell r="F6646">
            <v>940</v>
          </cell>
        </row>
        <row r="6647">
          <cell r="E6647" t="str">
            <v>RINCONGAGREERSC</v>
          </cell>
          <cell r="F6647">
            <v>740</v>
          </cell>
        </row>
        <row r="6648">
          <cell r="E6648" t="str">
            <v>RINCONGAPORTSMOUTHVA</v>
          </cell>
          <cell r="F6648">
            <v>1230</v>
          </cell>
        </row>
        <row r="6649">
          <cell r="E6649" t="str">
            <v>RINCONGASTONEVILLENC</v>
          </cell>
          <cell r="F6649">
            <v>950</v>
          </cell>
        </row>
        <row r="6650">
          <cell r="E6650" t="str">
            <v>RINCONGANEW ORLEANSLA</v>
          </cell>
          <cell r="F6650">
            <v>1600</v>
          </cell>
        </row>
        <row r="6651">
          <cell r="E6651" t="str">
            <v>RINCONGAMOBILEAL</v>
          </cell>
          <cell r="F6651">
            <v>1290</v>
          </cell>
        </row>
        <row r="6652">
          <cell r="E6652" t="str">
            <v>RINCONGAMEMPHISTN</v>
          </cell>
          <cell r="F6652">
            <v>1590</v>
          </cell>
        </row>
        <row r="6653">
          <cell r="E6653" t="str">
            <v>RINCONGAMINERAL SPRINGSNC</v>
          </cell>
          <cell r="F6653">
            <v>700</v>
          </cell>
        </row>
        <row r="6654">
          <cell r="E6654" t="str">
            <v>RINCONGAMOCKSVILLENC</v>
          </cell>
          <cell r="F6654">
            <v>850</v>
          </cell>
        </row>
        <row r="6655">
          <cell r="E6655" t="str">
            <v>RINCONGASANFORDNC</v>
          </cell>
          <cell r="F6655">
            <v>800</v>
          </cell>
        </row>
        <row r="6656">
          <cell r="E6656" t="str">
            <v>RINCONGASHELBYNC</v>
          </cell>
          <cell r="F6656">
            <v>800</v>
          </cell>
        </row>
        <row r="6657">
          <cell r="E6657" t="str">
            <v>RINCONGACARTERSVILLEGA</v>
          </cell>
          <cell r="F6657">
            <v>830</v>
          </cell>
        </row>
        <row r="6658">
          <cell r="E6658" t="str">
            <v>RINCONGAGAINESVILLEGA</v>
          </cell>
          <cell r="F6658">
            <v>700</v>
          </cell>
        </row>
        <row r="6659">
          <cell r="E6659" t="str">
            <v>RINCONGABLYTHEVILLEAR</v>
          </cell>
          <cell r="F6659">
            <v>1720</v>
          </cell>
        </row>
        <row r="6660">
          <cell r="E6660" t="str">
            <v>RINCONGASALISBURYNC</v>
          </cell>
          <cell r="F6660">
            <v>810</v>
          </cell>
        </row>
        <row r="6661">
          <cell r="E6661" t="str">
            <v>RINCONGAECLECTICAL</v>
          </cell>
          <cell r="F6661">
            <v>900</v>
          </cell>
        </row>
        <row r="6662">
          <cell r="E6662" t="str">
            <v>RINCONGALUMBERTONNC</v>
          </cell>
          <cell r="F6662">
            <v>680</v>
          </cell>
        </row>
        <row r="6663">
          <cell r="E6663" t="str">
            <v>RINCONGARABUN GAPGA</v>
          </cell>
          <cell r="F6663">
            <v>810</v>
          </cell>
        </row>
        <row r="6664">
          <cell r="E6664" t="str">
            <v>RINCONGAGREENWOODSC</v>
          </cell>
          <cell r="F6664">
            <v>590</v>
          </cell>
        </row>
        <row r="6665">
          <cell r="E6665" t="str">
            <v>RINCONGANORFOLKVA</v>
          </cell>
          <cell r="F6665">
            <v>1250</v>
          </cell>
        </row>
        <row r="6666">
          <cell r="E6666" t="str">
            <v>RINCONGATALLULAHLA</v>
          </cell>
          <cell r="F6666">
            <v>1710</v>
          </cell>
        </row>
        <row r="6667">
          <cell r="E6667" t="str">
            <v>RINCONGAGREENWOODMS</v>
          </cell>
          <cell r="F6667">
            <v>1540</v>
          </cell>
        </row>
        <row r="6668">
          <cell r="E6668" t="str">
            <v>RINCONGAGRIFTONNC</v>
          </cell>
          <cell r="F6668">
            <v>1090</v>
          </cell>
        </row>
        <row r="6669">
          <cell r="E6669" t="str">
            <v>RINCONGAGULFPORTMS</v>
          </cell>
          <cell r="F6669">
            <v>1550</v>
          </cell>
        </row>
        <row r="6670">
          <cell r="E6670" t="str">
            <v>RINCONGAGarden CityGA</v>
          </cell>
          <cell r="F6670">
            <v>450</v>
          </cell>
        </row>
        <row r="6671">
          <cell r="E6671" t="str">
            <v>RINCONGAPORT WENTWORTHGA</v>
          </cell>
          <cell r="F6671">
            <v>440</v>
          </cell>
        </row>
        <row r="6672">
          <cell r="E6672" t="str">
            <v>RINCONGACLARKTONNC</v>
          </cell>
          <cell r="F6672">
            <v>720</v>
          </cell>
        </row>
        <row r="6673">
          <cell r="E6673" t="str">
            <v>RINCONGAJACKSONVILLEFL</v>
          </cell>
          <cell r="F6673">
            <v>550</v>
          </cell>
        </row>
        <row r="6674">
          <cell r="E6674" t="str">
            <v>RINCONGADAWSONGA</v>
          </cell>
          <cell r="F6674">
            <v>710</v>
          </cell>
        </row>
        <row r="6675">
          <cell r="E6675" t="str">
            <v>RINCONGAROCKFORDTN</v>
          </cell>
          <cell r="F6675">
            <v>1120</v>
          </cell>
        </row>
        <row r="6676">
          <cell r="E6676" t="str">
            <v>ROLLING FORKMSROCKFORDTN</v>
          </cell>
          <cell r="F6676">
            <v>1460</v>
          </cell>
        </row>
        <row r="6677">
          <cell r="E6677" t="str">
            <v>ROLLING FORKMSCHARLOTTENC</v>
          </cell>
          <cell r="F6677">
            <v>1750</v>
          </cell>
        </row>
        <row r="6678">
          <cell r="E6678" t="str">
            <v>ROLLING FORKMSLEXINGTONNC</v>
          </cell>
          <cell r="F6678">
            <v>1880</v>
          </cell>
        </row>
        <row r="6679">
          <cell r="E6679" t="str">
            <v>ROLLING FORKMSINDIAN LANDSC</v>
          </cell>
          <cell r="F6679">
            <v>1780</v>
          </cell>
        </row>
        <row r="6680">
          <cell r="E6680" t="str">
            <v>ROLLING FORKMSNORFOLKVA</v>
          </cell>
          <cell r="F6680">
            <v>2500</v>
          </cell>
        </row>
        <row r="6681">
          <cell r="E6681" t="str">
            <v>ROLLING FORKMSGREENWOODSC</v>
          </cell>
          <cell r="F6681">
            <v>1540</v>
          </cell>
        </row>
        <row r="6682">
          <cell r="E6682" t="str">
            <v>ROLLING FORKMSSPARTANC</v>
          </cell>
          <cell r="F6682">
            <v>1950</v>
          </cell>
        </row>
        <row r="6683">
          <cell r="E6683" t="str">
            <v>ROLLING FORKMSEDENTONNC</v>
          </cell>
          <cell r="F6683">
            <v>2440</v>
          </cell>
        </row>
        <row r="6684">
          <cell r="E6684" t="str">
            <v>ROLLING FORKMSTHOMASVILLENC</v>
          </cell>
          <cell r="F6684">
            <v>1910</v>
          </cell>
        </row>
        <row r="6685">
          <cell r="E6685" t="str">
            <v>ROLLING FORKMSENOREESC</v>
          </cell>
          <cell r="F6685">
            <v>1610</v>
          </cell>
        </row>
        <row r="6686">
          <cell r="E6686" t="str">
            <v>ROLLING FORKMSGREERSC</v>
          </cell>
          <cell r="F6686">
            <v>1560</v>
          </cell>
        </row>
        <row r="6687">
          <cell r="E6687" t="str">
            <v>ROLLING FORKMSMAYODANNC</v>
          </cell>
          <cell r="F6687">
            <v>2000</v>
          </cell>
        </row>
        <row r="6688">
          <cell r="E6688" t="str">
            <v>ROLLING FORKMSLOWELLNC</v>
          </cell>
          <cell r="F6688">
            <v>1720</v>
          </cell>
        </row>
        <row r="6689">
          <cell r="E6689" t="str">
            <v>ROLLING FORKMSROSSVILLETN</v>
          </cell>
          <cell r="F6689">
            <v>640</v>
          </cell>
        </row>
        <row r="6690">
          <cell r="E6690" t="str">
            <v>ROLLING FORKMSMOCKSVILLENC</v>
          </cell>
          <cell r="F6690">
            <v>1880</v>
          </cell>
        </row>
        <row r="6691">
          <cell r="E6691" t="str">
            <v>ROLLING FORKMSSTONEVILLENC</v>
          </cell>
          <cell r="F6691">
            <v>2010</v>
          </cell>
        </row>
        <row r="6692">
          <cell r="E6692" t="str">
            <v>ROLLING FORKMSBELMONTNC</v>
          </cell>
          <cell r="F6692">
            <v>1730</v>
          </cell>
        </row>
        <row r="6693">
          <cell r="E6693" t="str">
            <v>ROLLING FORKMSERWINNC</v>
          </cell>
          <cell r="F6693">
            <v>2140</v>
          </cell>
        </row>
        <row r="6694">
          <cell r="E6694" t="str">
            <v>ROLLING FORKMSGAFFNEYSC</v>
          </cell>
          <cell r="F6694">
            <v>1640</v>
          </cell>
        </row>
        <row r="6695">
          <cell r="E6695" t="str">
            <v>ROLLING FORKMSSANFORDNC</v>
          </cell>
          <cell r="F6695">
            <v>2050</v>
          </cell>
        </row>
        <row r="6696">
          <cell r="E6696" t="str">
            <v>ROLLING FORKMSSALISBURYNC</v>
          </cell>
          <cell r="F6696">
            <v>1840</v>
          </cell>
        </row>
        <row r="6697">
          <cell r="E6697" t="str">
            <v>ROLLING FORKMSBLYTHEVILLEAR</v>
          </cell>
          <cell r="F6697">
            <v>690</v>
          </cell>
        </row>
        <row r="6698">
          <cell r="E6698" t="str">
            <v>ROLLING FORKMSROCKINGHAMNC</v>
          </cell>
          <cell r="F6698">
            <v>1920</v>
          </cell>
        </row>
        <row r="6699">
          <cell r="E6699" t="str">
            <v>ROLLING FORKMSMCCALLAAL</v>
          </cell>
          <cell r="F6699">
            <v>800</v>
          </cell>
        </row>
        <row r="6700">
          <cell r="E6700" t="str">
            <v>ROLLING FORKMSCLARKTONNC</v>
          </cell>
          <cell r="F6700">
            <v>2050</v>
          </cell>
        </row>
        <row r="6701">
          <cell r="E6701" t="str">
            <v>ROLLING FORKMSSHELBYNC</v>
          </cell>
          <cell r="F6701">
            <v>1670</v>
          </cell>
        </row>
        <row r="6702">
          <cell r="E6702" t="str">
            <v>ROLLING FORKMSGASTONIANC</v>
          </cell>
          <cell r="F6702">
            <v>1700</v>
          </cell>
        </row>
        <row r="6703">
          <cell r="E6703" t="str">
            <v>ROLLING FORKMSGAINESVILLEGA</v>
          </cell>
          <cell r="F6703">
            <v>1320</v>
          </cell>
        </row>
        <row r="6704">
          <cell r="E6704" t="str">
            <v>ROLLING FORKMSHICKORYNC</v>
          </cell>
          <cell r="F6704">
            <v>1780</v>
          </cell>
        </row>
        <row r="6705">
          <cell r="E6705" t="str">
            <v>ROLLING FORKMSMINERAL SPRINGSNC</v>
          </cell>
          <cell r="F6705">
            <v>1810</v>
          </cell>
        </row>
        <row r="6706">
          <cell r="E6706" t="str">
            <v>ROLLING FORKMSLUMBERTONNC</v>
          </cell>
          <cell r="F6706">
            <v>2000</v>
          </cell>
        </row>
        <row r="6707">
          <cell r="E6707" t="str">
            <v>ROLLING FORKMSTUNICAMS</v>
          </cell>
          <cell r="F6707">
            <v>530</v>
          </cell>
        </row>
        <row r="6708">
          <cell r="E6708" t="str">
            <v>ROLLING FORKMSWEST MEMPHISAR</v>
          </cell>
          <cell r="F6708">
            <v>600</v>
          </cell>
        </row>
        <row r="6709">
          <cell r="E6709" t="str">
            <v>ROLLING FORKMSKINSTONNC</v>
          </cell>
          <cell r="F6709">
            <v>2290</v>
          </cell>
        </row>
        <row r="6710">
          <cell r="E6710" t="str">
            <v>ROLLING FORKMSRINCONGA</v>
          </cell>
          <cell r="F6710">
            <v>1880</v>
          </cell>
        </row>
        <row r="6711">
          <cell r="E6711" t="str">
            <v>ROLLING FORKMSRABUN GAPGA</v>
          </cell>
          <cell r="F6711">
            <v>1560</v>
          </cell>
        </row>
        <row r="6712">
          <cell r="E6712" t="str">
            <v>ROLLING FORKMSMARIONAR</v>
          </cell>
          <cell r="F6712">
            <v>610</v>
          </cell>
        </row>
        <row r="6713">
          <cell r="E6713" t="str">
            <v>ROLLING FORKMSMEMPHISTN</v>
          </cell>
          <cell r="F6713">
            <v>590</v>
          </cell>
        </row>
        <row r="6714">
          <cell r="E6714" t="str">
            <v>ROLLING FORKMSMONEYMS</v>
          </cell>
          <cell r="F6714">
            <v>460</v>
          </cell>
        </row>
        <row r="6715">
          <cell r="E6715" t="str">
            <v>ROLLING FORKMSPORT WENTWORTHGA</v>
          </cell>
          <cell r="F6715">
            <v>1860</v>
          </cell>
        </row>
        <row r="6716">
          <cell r="E6716" t="str">
            <v>ROLLING FORKMSTALLULAHLA</v>
          </cell>
          <cell r="F6716">
            <v>420</v>
          </cell>
        </row>
        <row r="6717">
          <cell r="E6717" t="str">
            <v>ROLLING FORKMSGULFPORTMS</v>
          </cell>
          <cell r="F6717">
            <v>790</v>
          </cell>
        </row>
        <row r="6718">
          <cell r="E6718" t="str">
            <v>ROLLING FORKMSGREENWOODMS</v>
          </cell>
          <cell r="F6718">
            <v>440</v>
          </cell>
        </row>
        <row r="6719">
          <cell r="E6719" t="str">
            <v>ROLLING FORKMSGRIFTONNC</v>
          </cell>
          <cell r="F6719">
            <v>2420</v>
          </cell>
        </row>
        <row r="6720">
          <cell r="E6720" t="str">
            <v>ROLLING FORKMSDREWMS</v>
          </cell>
          <cell r="F6720">
            <v>440</v>
          </cell>
        </row>
        <row r="6721">
          <cell r="E6721" t="str">
            <v>ROLLING FORKMSGarden CityGA</v>
          </cell>
          <cell r="F6721">
            <v>1850</v>
          </cell>
        </row>
        <row r="6722">
          <cell r="E6722" t="str">
            <v>ROLLING FORKMSINDIANOLAMS</v>
          </cell>
          <cell r="F6722">
            <v>400</v>
          </cell>
        </row>
        <row r="6723">
          <cell r="E6723" t="str">
            <v>ROLLING FORKMSPORTSMOUTHVA</v>
          </cell>
          <cell r="F6723">
            <v>2470</v>
          </cell>
        </row>
        <row r="6724">
          <cell r="E6724" t="str">
            <v>ROLLING FORKMSCENTREAL</v>
          </cell>
          <cell r="F6724">
            <v>1050</v>
          </cell>
        </row>
        <row r="6725">
          <cell r="E6725" t="str">
            <v>ROLLING FORKMSDAWSONGA</v>
          </cell>
          <cell r="F6725">
            <v>1200</v>
          </cell>
        </row>
        <row r="6726">
          <cell r="E6726" t="str">
            <v>ROLLING FORKMSMOBILEAL</v>
          </cell>
          <cell r="F6726">
            <v>750</v>
          </cell>
        </row>
        <row r="6727">
          <cell r="E6727" t="str">
            <v>ROLLING FORKMSRAYVILLELA</v>
          </cell>
          <cell r="F6727">
            <v>480</v>
          </cell>
        </row>
        <row r="6728">
          <cell r="E6728" t="str">
            <v>ROLLING FORKMSECLECTICAL</v>
          </cell>
          <cell r="F6728">
            <v>950</v>
          </cell>
        </row>
        <row r="6729">
          <cell r="E6729" t="str">
            <v>ROLLING FORKMSNEW ORLEANSLA</v>
          </cell>
          <cell r="F6729">
            <v>740</v>
          </cell>
        </row>
        <row r="6730">
          <cell r="E6730" t="str">
            <v>ROLLING FORKMSCARTERSVILLEGA</v>
          </cell>
          <cell r="F6730">
            <v>1190</v>
          </cell>
        </row>
        <row r="6731">
          <cell r="E6731" t="str">
            <v>ROLLING FORKMSJACKSONVILLEFL</v>
          </cell>
          <cell r="F6731">
            <v>1670</v>
          </cell>
        </row>
        <row r="6732">
          <cell r="E6732" t="str">
            <v>ROLLING FORKMSWESLACOTX</v>
          </cell>
          <cell r="F6732">
            <v>1465</v>
          </cell>
        </row>
        <row r="6733">
          <cell r="E6733" t="str">
            <v>ROSENBERGTXHoustonTX</v>
          </cell>
          <cell r="F6733">
            <v>546</v>
          </cell>
        </row>
        <row r="6734">
          <cell r="E6734" t="str">
            <v>ROSENBERGTXDallasTX</v>
          </cell>
          <cell r="F6734">
            <v>579</v>
          </cell>
        </row>
        <row r="6735">
          <cell r="E6735" t="str">
            <v>ROSENBERGTXBaytownTX</v>
          </cell>
          <cell r="F6735">
            <v>525</v>
          </cell>
        </row>
        <row r="6736">
          <cell r="E6736" t="str">
            <v>RULETXBaytownTX</v>
          </cell>
          <cell r="F6736">
            <v>795</v>
          </cell>
        </row>
        <row r="6737">
          <cell r="E6737" t="str">
            <v>RULETXDallasTX</v>
          </cell>
          <cell r="F6737">
            <v>519</v>
          </cell>
        </row>
        <row r="6738">
          <cell r="E6738" t="str">
            <v>RULETXHoustonTX</v>
          </cell>
          <cell r="F6738">
            <v>768</v>
          </cell>
        </row>
        <row r="6739">
          <cell r="E6739" t="str">
            <v>RULETXHASLETTX</v>
          </cell>
          <cell r="F6739">
            <v>756</v>
          </cell>
        </row>
        <row r="6740">
          <cell r="E6740" t="str">
            <v>RULETXHOUSTONTX</v>
          </cell>
          <cell r="F6740">
            <v>1799</v>
          </cell>
        </row>
        <row r="6741">
          <cell r="E6741" t="str">
            <v>RULETXWILMERTX</v>
          </cell>
          <cell r="F6741">
            <v>845</v>
          </cell>
        </row>
        <row r="6742">
          <cell r="E6742" t="str">
            <v>RULETXWYLIETX</v>
          </cell>
        </row>
        <row r="6743">
          <cell r="E6743" t="str">
            <v>RULETXWESLACOTX</v>
          </cell>
          <cell r="F6743">
            <v>1093</v>
          </cell>
        </row>
        <row r="6744">
          <cell r="E6744" t="str">
            <v>SAINT JOSEPHLAWESLACOTX</v>
          </cell>
          <cell r="F6744">
            <v>1343</v>
          </cell>
        </row>
        <row r="6745">
          <cell r="E6745" t="str">
            <v>SALTILLOMSWESLACOTX</v>
          </cell>
          <cell r="F6745">
            <v>1630</v>
          </cell>
        </row>
        <row r="6746">
          <cell r="E6746" t="str">
            <v>SAN ANGELOTXHoustonTX</v>
          </cell>
          <cell r="F6746">
            <v>662</v>
          </cell>
        </row>
        <row r="6747">
          <cell r="E6747" t="str">
            <v>SAN ANGELOTXBaytownTX</v>
          </cell>
          <cell r="F6747">
            <v>690</v>
          </cell>
        </row>
        <row r="6748">
          <cell r="E6748" t="str">
            <v>SAN ANGELOTXDallasTX</v>
          </cell>
          <cell r="F6748">
            <v>519</v>
          </cell>
        </row>
        <row r="6749">
          <cell r="E6749" t="str">
            <v>SAVANNAHGAROCKFORDTN</v>
          </cell>
          <cell r="F6749">
            <v>1120</v>
          </cell>
        </row>
        <row r="6750">
          <cell r="E6750" t="str">
            <v>SAVANNAHGAERWINNC</v>
          </cell>
          <cell r="F6750">
            <v>800</v>
          </cell>
        </row>
        <row r="6751">
          <cell r="E6751" t="str">
            <v>SAVANNAHGASANFORDNC</v>
          </cell>
          <cell r="F6751">
            <v>800</v>
          </cell>
        </row>
        <row r="6752">
          <cell r="E6752" t="str">
            <v>SAVANNAHGASHELBYNC</v>
          </cell>
          <cell r="F6752">
            <v>800</v>
          </cell>
        </row>
        <row r="6753">
          <cell r="E6753" t="str">
            <v>SAVANNAHGAGAINESVILLEGA</v>
          </cell>
          <cell r="F6753">
            <v>800</v>
          </cell>
        </row>
        <row r="6754">
          <cell r="E6754" t="str">
            <v>SAVANNAHGASALISBURYNC</v>
          </cell>
          <cell r="F6754">
            <v>810</v>
          </cell>
        </row>
        <row r="6755">
          <cell r="E6755" t="str">
            <v>SAVANNAHGAMARIONAR</v>
          </cell>
          <cell r="F6755">
            <v>1570</v>
          </cell>
        </row>
        <row r="6756">
          <cell r="E6756" t="str">
            <v>SAVANNAHGANORFOLKVA</v>
          </cell>
          <cell r="F6756">
            <v>1250</v>
          </cell>
        </row>
        <row r="6757">
          <cell r="E6757" t="str">
            <v>SAVANNAHGAINDIAN LANDSC</v>
          </cell>
          <cell r="F6757">
            <v>700</v>
          </cell>
        </row>
        <row r="6758">
          <cell r="E6758" t="str">
            <v>SAVANNAHGAMONEYMS</v>
          </cell>
          <cell r="F6758">
            <v>1550</v>
          </cell>
        </row>
        <row r="6759">
          <cell r="E6759" t="str">
            <v>SAVANNAHGACLARKTONNC</v>
          </cell>
          <cell r="F6759">
            <v>720</v>
          </cell>
        </row>
        <row r="6760">
          <cell r="E6760" t="str">
            <v>SAVANNAHGADREWMS</v>
          </cell>
          <cell r="F6760">
            <v>1600</v>
          </cell>
        </row>
        <row r="6761">
          <cell r="E6761" t="str">
            <v>SAVANNAHGACENTREAL</v>
          </cell>
          <cell r="F6761">
            <v>890</v>
          </cell>
        </row>
        <row r="6762">
          <cell r="E6762" t="str">
            <v>SAVANNAHGAINDIANOLAMS</v>
          </cell>
          <cell r="F6762">
            <v>1580</v>
          </cell>
        </row>
        <row r="6763">
          <cell r="E6763" t="str">
            <v>SAVANNAHGAGASTONIANC</v>
          </cell>
          <cell r="F6763">
            <v>750</v>
          </cell>
        </row>
        <row r="6764">
          <cell r="E6764" t="str">
            <v>SAVANNAHGARAYVILLELA</v>
          </cell>
          <cell r="F6764">
            <v>1760</v>
          </cell>
        </row>
        <row r="6765">
          <cell r="E6765" t="str">
            <v>SAVANNAHGAROCKINGHAMNC</v>
          </cell>
          <cell r="F6765">
            <v>690</v>
          </cell>
        </row>
        <row r="6766">
          <cell r="E6766" t="str">
            <v>SAVANNAHGAHICKORYNC</v>
          </cell>
          <cell r="F6766">
            <v>830</v>
          </cell>
        </row>
        <row r="6767">
          <cell r="E6767" t="str">
            <v>SAVANNAHGABELMONTNC</v>
          </cell>
          <cell r="F6767">
            <v>730</v>
          </cell>
        </row>
        <row r="6768">
          <cell r="E6768" t="str">
            <v>SAVANNAHGAGAFFNEYSC</v>
          </cell>
          <cell r="F6768">
            <v>760</v>
          </cell>
        </row>
        <row r="6769">
          <cell r="E6769" t="str">
            <v>SAVANNAHGANEW ORLEANSLA</v>
          </cell>
          <cell r="F6769">
            <v>1570</v>
          </cell>
        </row>
        <row r="6770">
          <cell r="E6770" t="str">
            <v>SAVANNAHGAENOREESC</v>
          </cell>
          <cell r="F6770">
            <v>680</v>
          </cell>
        </row>
        <row r="6771">
          <cell r="E6771" t="str">
            <v>SAVANNAHGALOWELLNC</v>
          </cell>
          <cell r="F6771">
            <v>740</v>
          </cell>
        </row>
        <row r="6772">
          <cell r="E6772" t="str">
            <v>SAVANNAHGAMEMPHISTN</v>
          </cell>
          <cell r="F6772">
            <v>1560</v>
          </cell>
        </row>
        <row r="6773">
          <cell r="E6773" t="str">
            <v>SAVANNAHGADAWSONGA</v>
          </cell>
          <cell r="F6773">
            <v>690</v>
          </cell>
        </row>
        <row r="6774">
          <cell r="E6774" t="str">
            <v>SAVANNAHGACHARLOTTENC</v>
          </cell>
          <cell r="F6774">
            <v>720</v>
          </cell>
        </row>
        <row r="6775">
          <cell r="E6775" t="str">
            <v>SAVANNAHGASPARTANC</v>
          </cell>
          <cell r="F6775">
            <v>950</v>
          </cell>
        </row>
        <row r="6776">
          <cell r="E6776" t="str">
            <v>SAVANNAHGALEXINGTONNC</v>
          </cell>
          <cell r="F6776">
            <v>850</v>
          </cell>
        </row>
        <row r="6777">
          <cell r="E6777" t="str">
            <v>SAVANNAHGAKINSTONNC</v>
          </cell>
          <cell r="F6777">
            <v>960</v>
          </cell>
        </row>
        <row r="6778">
          <cell r="E6778" t="str">
            <v>SAVANNAHGABLYTHEVILLEAR</v>
          </cell>
          <cell r="F6778">
            <v>1700</v>
          </cell>
        </row>
        <row r="6779">
          <cell r="E6779" t="str">
            <v>SAVANNAHGACARTERSVILLEGA</v>
          </cell>
          <cell r="F6779">
            <v>810</v>
          </cell>
        </row>
        <row r="6780">
          <cell r="E6780" t="str">
            <v>SAVANNAHGAECLECTICAL</v>
          </cell>
          <cell r="F6780">
            <v>880</v>
          </cell>
        </row>
        <row r="6781">
          <cell r="E6781" t="str">
            <v>SAVANNAHGAMAYODANNC</v>
          </cell>
          <cell r="F6781">
            <v>940</v>
          </cell>
        </row>
        <row r="6782">
          <cell r="E6782" t="str">
            <v>SAVANNAHGAPORTSMOUTHVA</v>
          </cell>
          <cell r="F6782">
            <v>1230</v>
          </cell>
        </row>
        <row r="6783">
          <cell r="E6783" t="str">
            <v>SAVANNAHGATHOMASVILLENC</v>
          </cell>
          <cell r="F6783">
            <v>870</v>
          </cell>
        </row>
        <row r="6784">
          <cell r="E6784" t="str">
            <v>SAVANNAHGAMOBILEAL</v>
          </cell>
          <cell r="F6784">
            <v>1220</v>
          </cell>
        </row>
        <row r="6785">
          <cell r="E6785" t="str">
            <v>SAVANNAHGAGREENWOODMS</v>
          </cell>
          <cell r="F6785">
            <v>1510</v>
          </cell>
        </row>
        <row r="6786">
          <cell r="E6786" t="str">
            <v>SAVANNAHGAEDENTONNC</v>
          </cell>
          <cell r="F6786">
            <v>1130</v>
          </cell>
        </row>
        <row r="6787">
          <cell r="E6787" t="str">
            <v>SAVANNAHGAMOCKSVILLENC</v>
          </cell>
          <cell r="F6787">
            <v>850</v>
          </cell>
        </row>
        <row r="6788">
          <cell r="E6788" t="str">
            <v>SAVANNAHGAMINERAL SPRINGSNC</v>
          </cell>
          <cell r="F6788">
            <v>700</v>
          </cell>
        </row>
        <row r="6789">
          <cell r="E6789" t="str">
            <v>SAVANNAHGAGREERSC</v>
          </cell>
          <cell r="F6789">
            <v>730</v>
          </cell>
        </row>
        <row r="6790">
          <cell r="E6790" t="str">
            <v>SAVANNAHGASTONEVILLENC</v>
          </cell>
          <cell r="F6790">
            <v>940</v>
          </cell>
        </row>
        <row r="6791">
          <cell r="E6791" t="str">
            <v>SAVANNAHGATALLULAHLA</v>
          </cell>
          <cell r="F6791">
            <v>1680</v>
          </cell>
        </row>
        <row r="6792">
          <cell r="E6792" t="str">
            <v>SAVANNAHGARABUN GAPGA</v>
          </cell>
          <cell r="F6792">
            <v>840</v>
          </cell>
        </row>
        <row r="6793">
          <cell r="E6793" t="str">
            <v>SAVANNAHGAROSSVILLETN</v>
          </cell>
          <cell r="F6793">
            <v>1540</v>
          </cell>
        </row>
        <row r="6794">
          <cell r="E6794" t="str">
            <v>SAVANNAHGATUNICAMS</v>
          </cell>
          <cell r="F6794">
            <v>1580</v>
          </cell>
        </row>
        <row r="6795">
          <cell r="E6795" t="str">
            <v>SAVANNAHGAMCCALLAAL</v>
          </cell>
          <cell r="F6795">
            <v>1070</v>
          </cell>
        </row>
        <row r="6796">
          <cell r="E6796" t="str">
            <v>SAVANNAHGAGREENWOODSC</v>
          </cell>
          <cell r="F6796">
            <v>610</v>
          </cell>
        </row>
        <row r="6797">
          <cell r="E6797" t="str">
            <v>SAVANNAHGAWEST MEMPHISAR</v>
          </cell>
          <cell r="F6797">
            <v>1560</v>
          </cell>
        </row>
        <row r="6798">
          <cell r="E6798" t="str">
            <v>SAVANNAHGALUMBERTONNC</v>
          </cell>
          <cell r="F6798">
            <v>680</v>
          </cell>
        </row>
        <row r="6799">
          <cell r="E6799" t="str">
            <v>SAVANNAHGAJACKSONVILLEFL</v>
          </cell>
          <cell r="F6799">
            <v>530</v>
          </cell>
        </row>
        <row r="6800">
          <cell r="E6800" t="str">
            <v>SAVANNAHGAGRIFTONNC</v>
          </cell>
          <cell r="F6800">
            <v>1090</v>
          </cell>
        </row>
        <row r="6801">
          <cell r="E6801" t="str">
            <v>SAVANNAHGAGULFPORTMS</v>
          </cell>
          <cell r="F6801">
            <v>1520</v>
          </cell>
        </row>
        <row r="6802">
          <cell r="E6802" t="str">
            <v>SAVANNAHGAPORT WENTWORTHGA</v>
          </cell>
          <cell r="F6802">
            <v>440</v>
          </cell>
        </row>
        <row r="6803">
          <cell r="E6803" t="str">
            <v>SAVANNAHGARINCONGA</v>
          </cell>
          <cell r="F6803">
            <v>450</v>
          </cell>
        </row>
        <row r="6804">
          <cell r="E6804" t="str">
            <v>SEABOARDNCROCKFORDTN</v>
          </cell>
          <cell r="F6804">
            <v>1160</v>
          </cell>
        </row>
        <row r="6805">
          <cell r="E6805" t="str">
            <v>SEABOARDNCENOREESC</v>
          </cell>
          <cell r="F6805">
            <v>910</v>
          </cell>
        </row>
        <row r="6806">
          <cell r="E6806" t="str">
            <v>SEABOARDNCGAINESVILLEGA</v>
          </cell>
          <cell r="F6806">
            <v>1150</v>
          </cell>
        </row>
        <row r="6807">
          <cell r="E6807" t="str">
            <v>SEABOARDNCJACKSONVILLEFL</v>
          </cell>
          <cell r="F6807">
            <v>1340</v>
          </cell>
        </row>
        <row r="6808">
          <cell r="E6808" t="str">
            <v>SEABOARDNCTUNICAMS</v>
          </cell>
          <cell r="F6808">
            <v>2080</v>
          </cell>
        </row>
        <row r="6809">
          <cell r="E6809" t="str">
            <v>SEABOARDNCGREERSC</v>
          </cell>
          <cell r="F6809">
            <v>890</v>
          </cell>
        </row>
        <row r="6810">
          <cell r="E6810" t="str">
            <v>SEABOARDNCDAWSONGA</v>
          </cell>
          <cell r="F6810">
            <v>1530</v>
          </cell>
        </row>
        <row r="6811">
          <cell r="E6811" t="str">
            <v>SEABOARDNCGREENWOODSC</v>
          </cell>
          <cell r="F6811">
            <v>1020</v>
          </cell>
        </row>
        <row r="6812">
          <cell r="E6812" t="str">
            <v>SEABOARDNCGREENWOODMS</v>
          </cell>
          <cell r="F6812">
            <v>2060</v>
          </cell>
        </row>
        <row r="6813">
          <cell r="E6813" t="str">
            <v>SEABOARDNCINDIAN LANDSC</v>
          </cell>
          <cell r="F6813">
            <v>750</v>
          </cell>
        </row>
        <row r="6814">
          <cell r="E6814" t="str">
            <v>SEABOARDNCSALISBURYNC</v>
          </cell>
          <cell r="F6814">
            <v>640</v>
          </cell>
        </row>
        <row r="6815">
          <cell r="E6815" t="str">
            <v>SEABOARDNCCENTREAL</v>
          </cell>
          <cell r="F6815">
            <v>1430</v>
          </cell>
        </row>
        <row r="6816">
          <cell r="E6816" t="str">
            <v>SEABOARDNCTALLULAHLA</v>
          </cell>
          <cell r="F6816">
            <v>2230</v>
          </cell>
        </row>
        <row r="6817">
          <cell r="E6817" t="str">
            <v>SEABOARDNCROSSVILLETN</v>
          </cell>
          <cell r="F6817">
            <v>2010</v>
          </cell>
        </row>
        <row r="6818">
          <cell r="E6818" t="str">
            <v>SEABOARDNCGAFFNEYSC</v>
          </cell>
          <cell r="F6818">
            <v>810</v>
          </cell>
        </row>
        <row r="6819">
          <cell r="E6819" t="str">
            <v>SEABOARDNCMONEYMS</v>
          </cell>
          <cell r="F6819">
            <v>2100</v>
          </cell>
        </row>
        <row r="6820">
          <cell r="E6820" t="str">
            <v>SEABOARDNCMCCALLAAL</v>
          </cell>
          <cell r="F6820">
            <v>1620</v>
          </cell>
        </row>
        <row r="6821">
          <cell r="E6821" t="str">
            <v>SEABOARDNCNEW ORLEANSLA</v>
          </cell>
          <cell r="F6821">
            <v>2280</v>
          </cell>
        </row>
        <row r="6822">
          <cell r="E6822" t="str">
            <v>SEABOARDNCBLYTHEVILLEAR</v>
          </cell>
          <cell r="F6822">
            <v>2020</v>
          </cell>
        </row>
        <row r="6823">
          <cell r="E6823" t="str">
            <v>SEABOARDNCCARTERSVILLEGA</v>
          </cell>
          <cell r="F6823">
            <v>1310</v>
          </cell>
        </row>
        <row r="6824">
          <cell r="E6824" t="str">
            <v>SEABOARDNCDREWMS</v>
          </cell>
          <cell r="F6824">
            <v>2140</v>
          </cell>
        </row>
        <row r="6825">
          <cell r="E6825" t="str">
            <v>SEABOARDNCINDIANOLAMS</v>
          </cell>
          <cell r="F6825">
            <v>2120</v>
          </cell>
        </row>
        <row r="6826">
          <cell r="E6826" t="str">
            <v>SEABOARDNCWEST MEMPHISAR</v>
          </cell>
          <cell r="F6826">
            <v>2010</v>
          </cell>
        </row>
        <row r="6827">
          <cell r="E6827" t="str">
            <v>SEABOARDNCRAYVILLELA</v>
          </cell>
          <cell r="F6827">
            <v>2300</v>
          </cell>
        </row>
        <row r="6828">
          <cell r="E6828" t="str">
            <v>SEABOARDNCECLECTICAL</v>
          </cell>
          <cell r="F6828">
            <v>1590</v>
          </cell>
        </row>
        <row r="6829">
          <cell r="E6829" t="str">
            <v>SEABOARDNCMOBILEAL</v>
          </cell>
          <cell r="F6829">
            <v>1970</v>
          </cell>
        </row>
        <row r="6830">
          <cell r="E6830" t="str">
            <v>SEABOARDNCMEMPHISTN</v>
          </cell>
          <cell r="F6830">
            <v>2030</v>
          </cell>
        </row>
        <row r="6831">
          <cell r="E6831" t="str">
            <v>SEABOARDNCMARIONAR</v>
          </cell>
          <cell r="F6831">
            <v>2020</v>
          </cell>
        </row>
        <row r="6832">
          <cell r="E6832" t="str">
            <v>SEABOARDNCKINSTONNC</v>
          </cell>
          <cell r="F6832">
            <v>510</v>
          </cell>
        </row>
        <row r="6833">
          <cell r="E6833" t="str">
            <v>SEABOARDNCNORFOLKVA</v>
          </cell>
          <cell r="F6833">
            <v>450</v>
          </cell>
        </row>
        <row r="6834">
          <cell r="E6834" t="str">
            <v>SEABOARDNCSTONEVILLENC</v>
          </cell>
          <cell r="F6834">
            <v>610</v>
          </cell>
        </row>
        <row r="6835">
          <cell r="E6835" t="str">
            <v>SEABOARDNCGarden CityGA</v>
          </cell>
          <cell r="F6835">
            <v>1150</v>
          </cell>
        </row>
        <row r="6836">
          <cell r="E6836" t="str">
            <v>SEABOARDNCEDENTONNC</v>
          </cell>
          <cell r="F6836">
            <v>430</v>
          </cell>
        </row>
        <row r="6837">
          <cell r="E6837" t="str">
            <v>SEABOARDNCGULFPORTMS</v>
          </cell>
          <cell r="F6837">
            <v>2240</v>
          </cell>
        </row>
        <row r="6838">
          <cell r="E6838" t="str">
            <v>SEABOARDNCSANFORDNC</v>
          </cell>
          <cell r="F6838">
            <v>540</v>
          </cell>
        </row>
        <row r="6839">
          <cell r="E6839" t="str">
            <v>SEABOARDNCERWINNC</v>
          </cell>
          <cell r="F6839">
            <v>500</v>
          </cell>
        </row>
        <row r="6840">
          <cell r="E6840" t="str">
            <v>SEABOARDNCRABUN GAPGA</v>
          </cell>
          <cell r="F6840">
            <v>1130</v>
          </cell>
        </row>
        <row r="6841">
          <cell r="E6841" t="str">
            <v>SEABOARDNCPORT WENTWORTHGA</v>
          </cell>
          <cell r="F6841">
            <v>1140</v>
          </cell>
        </row>
        <row r="6842">
          <cell r="E6842" t="str">
            <v>SEABOARDNCPORTSMOUTHVA</v>
          </cell>
          <cell r="F6842">
            <v>430</v>
          </cell>
        </row>
        <row r="6843">
          <cell r="E6843" t="str">
            <v>SEABOARDNCRINCONGA</v>
          </cell>
          <cell r="F6843">
            <v>1150</v>
          </cell>
        </row>
        <row r="6844">
          <cell r="E6844" t="str">
            <v>SEABOARDNCGRIFTONNC</v>
          </cell>
          <cell r="F6844">
            <v>570</v>
          </cell>
        </row>
        <row r="6845">
          <cell r="E6845" t="str">
            <v>SEABOARDNCMINERAL SPRINGSNC</v>
          </cell>
          <cell r="F6845">
            <v>710</v>
          </cell>
        </row>
        <row r="6846">
          <cell r="E6846" t="str">
            <v>SEABOARDNCBELMONTNC</v>
          </cell>
          <cell r="F6846">
            <v>720</v>
          </cell>
        </row>
        <row r="6847">
          <cell r="E6847" t="str">
            <v>SEABOARDNCLOWELLNC</v>
          </cell>
          <cell r="F6847">
            <v>720</v>
          </cell>
        </row>
        <row r="6848">
          <cell r="E6848" t="str">
            <v>SEABOARDNCGASTONIANC</v>
          </cell>
          <cell r="F6848">
            <v>740</v>
          </cell>
        </row>
        <row r="6849">
          <cell r="E6849" t="str">
            <v>SEABOARDNCTHOMASVILLENC</v>
          </cell>
          <cell r="F6849">
            <v>590</v>
          </cell>
        </row>
        <row r="6850">
          <cell r="E6850" t="str">
            <v>SEABOARDNCMAYODANNC</v>
          </cell>
          <cell r="F6850">
            <v>600</v>
          </cell>
        </row>
        <row r="6851">
          <cell r="E6851" t="str">
            <v>SEABOARDNCCHARLOTTENC</v>
          </cell>
          <cell r="F6851">
            <v>700</v>
          </cell>
        </row>
        <row r="6852">
          <cell r="E6852" t="str">
            <v>SEABOARDNCLUMBERTONNC</v>
          </cell>
          <cell r="F6852">
            <v>580</v>
          </cell>
        </row>
        <row r="6853">
          <cell r="E6853" t="str">
            <v>SEABOARDNCSHELBYNC</v>
          </cell>
          <cell r="F6853">
            <v>790</v>
          </cell>
        </row>
        <row r="6854">
          <cell r="E6854" t="str">
            <v>SEABOARDNCLEXINGTONNC</v>
          </cell>
          <cell r="F6854">
            <v>610</v>
          </cell>
        </row>
        <row r="6855">
          <cell r="E6855" t="str">
            <v>SEABOARDNCCLARKTONNC</v>
          </cell>
          <cell r="F6855">
            <v>590</v>
          </cell>
        </row>
        <row r="6856">
          <cell r="E6856" t="str">
            <v>SEABOARDNCSPARTANC</v>
          </cell>
          <cell r="F6856">
            <v>710</v>
          </cell>
        </row>
        <row r="6857">
          <cell r="E6857" t="str">
            <v>SEABOARDNCROCKINGHAMNC</v>
          </cell>
          <cell r="F6857">
            <v>620</v>
          </cell>
        </row>
        <row r="6858">
          <cell r="E6858" t="str">
            <v>SEABOARDNCMOCKSVILLENC</v>
          </cell>
          <cell r="F6858">
            <v>640</v>
          </cell>
        </row>
        <row r="6859">
          <cell r="E6859" t="str">
            <v>SEABOARDNCHICKORYNC</v>
          </cell>
          <cell r="F6859">
            <v>710</v>
          </cell>
        </row>
        <row r="6860">
          <cell r="E6860" t="str">
            <v>SEAGRAVESTXDallasTX</v>
          </cell>
          <cell r="F6860">
            <v>549</v>
          </cell>
        </row>
        <row r="6861">
          <cell r="E6861" t="str">
            <v>SEAGRAVESTXHoustonTX</v>
          </cell>
          <cell r="F6861">
            <v>1093</v>
          </cell>
        </row>
        <row r="6862">
          <cell r="E6862" t="str">
            <v>SEAGRAVESTXBaytownTX</v>
          </cell>
          <cell r="F6862">
            <v>1121</v>
          </cell>
        </row>
        <row r="6863">
          <cell r="E6863" t="str">
            <v>SEAGRAVESTXHASLETTX</v>
          </cell>
          <cell r="F6863">
            <v>1400</v>
          </cell>
        </row>
        <row r="6864">
          <cell r="E6864" t="str">
            <v>SEAGRAVESTXHOUSTONTX</v>
          </cell>
          <cell r="F6864">
            <v>2788</v>
          </cell>
        </row>
        <row r="6865">
          <cell r="E6865" t="str">
            <v>SEAGRAVESTXWILMERTX</v>
          </cell>
          <cell r="F6865">
            <v>1526</v>
          </cell>
        </row>
        <row r="6866">
          <cell r="E6866" t="str">
            <v>SEAGRAVESTXWYLIETX</v>
          </cell>
        </row>
        <row r="6867">
          <cell r="E6867" t="str">
            <v>SEAGRAVESTXWESLACOTX</v>
          </cell>
          <cell r="F6867">
            <v>1228</v>
          </cell>
        </row>
        <row r="6868">
          <cell r="E6868" t="str">
            <v>SEBASTIANTXHoustonTX</v>
          </cell>
          <cell r="F6868">
            <v>1072</v>
          </cell>
        </row>
        <row r="6869">
          <cell r="E6869" t="str">
            <v>SEBASTIANTXBaytownTX</v>
          </cell>
          <cell r="F6869">
            <v>1124</v>
          </cell>
        </row>
        <row r="6870">
          <cell r="E6870" t="str">
            <v>SEBASTIANTXDallasTX</v>
          </cell>
          <cell r="F6870">
            <v>924</v>
          </cell>
        </row>
        <row r="6871">
          <cell r="E6871" t="str">
            <v>SEBASTIANTXHOUSTONTX</v>
          </cell>
          <cell r="F6871">
            <v>1476</v>
          </cell>
        </row>
        <row r="6872">
          <cell r="E6872" t="str">
            <v>SEBASTIANTXWESLACOTX</v>
          </cell>
          <cell r="F6872">
            <v>368</v>
          </cell>
        </row>
        <row r="6873">
          <cell r="E6873" t="str">
            <v>SELMAALROCKFORDTN</v>
          </cell>
          <cell r="F6873">
            <v>930</v>
          </cell>
        </row>
        <row r="6874">
          <cell r="E6874" t="str">
            <v>SELMAALSANFORDNC</v>
          </cell>
          <cell r="F6874">
            <v>1490</v>
          </cell>
        </row>
        <row r="6875">
          <cell r="E6875" t="str">
            <v>SELMAALMARIONAR</v>
          </cell>
          <cell r="F6875">
            <v>850</v>
          </cell>
        </row>
        <row r="6876">
          <cell r="E6876" t="str">
            <v>SELMAALSALISBURYNC</v>
          </cell>
          <cell r="F6876">
            <v>1290</v>
          </cell>
        </row>
        <row r="6877">
          <cell r="E6877" t="str">
            <v>SELMAALTALLULAHLA</v>
          </cell>
          <cell r="F6877">
            <v>720</v>
          </cell>
        </row>
        <row r="6878">
          <cell r="E6878" t="str">
            <v>SELMAALROCKINGHAMNC</v>
          </cell>
          <cell r="F6878">
            <v>1370</v>
          </cell>
        </row>
        <row r="6879">
          <cell r="E6879" t="str">
            <v>SELMAALROSSVILLETN</v>
          </cell>
          <cell r="F6879">
            <v>810</v>
          </cell>
        </row>
        <row r="6880">
          <cell r="E6880" t="str">
            <v>SELMAALSHELBYNC</v>
          </cell>
          <cell r="F6880">
            <v>1120</v>
          </cell>
        </row>
        <row r="6881">
          <cell r="E6881" t="str">
            <v>SELMAALCHARLOTTENC</v>
          </cell>
          <cell r="F6881">
            <v>1200</v>
          </cell>
        </row>
        <row r="6882">
          <cell r="E6882" t="str">
            <v>SELMAALWEST MEMPHISAR</v>
          </cell>
          <cell r="F6882">
            <v>840</v>
          </cell>
        </row>
        <row r="6883">
          <cell r="E6883" t="str">
            <v>SELMAALGASTONIANC</v>
          </cell>
          <cell r="F6883">
            <v>1150</v>
          </cell>
        </row>
        <row r="6884">
          <cell r="E6884" t="str">
            <v>SELMAALGAINESVILLEGA</v>
          </cell>
          <cell r="F6884">
            <v>770</v>
          </cell>
        </row>
        <row r="6885">
          <cell r="E6885" t="str">
            <v>SELMAALHICKORYNC</v>
          </cell>
          <cell r="F6885">
            <v>1230</v>
          </cell>
        </row>
        <row r="6886">
          <cell r="E6886" t="str">
            <v>SELMAALCLARKTONNC</v>
          </cell>
          <cell r="F6886">
            <v>1460</v>
          </cell>
        </row>
        <row r="6887">
          <cell r="E6887" t="str">
            <v>SELMAALPORTSMOUTHVA</v>
          </cell>
          <cell r="F6887">
            <v>1920</v>
          </cell>
        </row>
        <row r="6888">
          <cell r="E6888" t="str">
            <v>SELMAALLUMBERTONNC</v>
          </cell>
          <cell r="F6888">
            <v>1410</v>
          </cell>
        </row>
        <row r="6889">
          <cell r="E6889" t="str">
            <v>SELMAALMINERAL SPRINGSNC</v>
          </cell>
          <cell r="F6889">
            <v>1260</v>
          </cell>
        </row>
        <row r="6890">
          <cell r="E6890" t="str">
            <v>SELMAALGREENWOODSC</v>
          </cell>
          <cell r="F6890">
            <v>970</v>
          </cell>
        </row>
        <row r="6891">
          <cell r="E6891" t="str">
            <v>SELMAALMONEYMS</v>
          </cell>
          <cell r="F6891">
            <v>730</v>
          </cell>
        </row>
        <row r="6892">
          <cell r="E6892" t="str">
            <v>SELMAALLEXINGTONNC</v>
          </cell>
          <cell r="F6892">
            <v>1330</v>
          </cell>
        </row>
        <row r="6893">
          <cell r="E6893" t="str">
            <v>SELMAALNORFOLKVA</v>
          </cell>
          <cell r="F6893">
            <v>1950</v>
          </cell>
        </row>
        <row r="6894">
          <cell r="E6894" t="str">
            <v>SELMAALMEMPHISTN</v>
          </cell>
          <cell r="F6894">
            <v>830</v>
          </cell>
        </row>
        <row r="6895">
          <cell r="E6895" t="str">
            <v>SELMAALKINSTONNC</v>
          </cell>
          <cell r="F6895">
            <v>1700</v>
          </cell>
        </row>
        <row r="6896">
          <cell r="E6896" t="str">
            <v>SELMAALSPARTANC</v>
          </cell>
          <cell r="F6896">
            <v>1420</v>
          </cell>
        </row>
        <row r="6897">
          <cell r="E6897" t="str">
            <v>SELMAALMAYODANNC</v>
          </cell>
          <cell r="F6897">
            <v>1450</v>
          </cell>
        </row>
        <row r="6898">
          <cell r="E6898" t="str">
            <v>SELMAALCENTREAL</v>
          </cell>
          <cell r="F6898">
            <v>590</v>
          </cell>
        </row>
        <row r="6899">
          <cell r="E6899" t="str">
            <v>SELMAALCARTERSVILLEGA</v>
          </cell>
          <cell r="F6899">
            <v>740</v>
          </cell>
        </row>
        <row r="6900">
          <cell r="E6900" t="str">
            <v>SELMAALNEW ORLEANSLA</v>
          </cell>
          <cell r="F6900">
            <v>820</v>
          </cell>
        </row>
        <row r="6901">
          <cell r="E6901" t="str">
            <v>SELMAALRAYVILLELA</v>
          </cell>
          <cell r="F6901">
            <v>800</v>
          </cell>
        </row>
        <row r="6902">
          <cell r="E6902" t="str">
            <v>SELMAALTHOMASVILLENC</v>
          </cell>
          <cell r="F6902">
            <v>1360</v>
          </cell>
        </row>
        <row r="6903">
          <cell r="E6903" t="str">
            <v>SELMAALDREWMS</v>
          </cell>
          <cell r="F6903">
            <v>780</v>
          </cell>
        </row>
        <row r="6904">
          <cell r="E6904" t="str">
            <v>SELMAALBLYTHEVILLEAR</v>
          </cell>
          <cell r="F6904">
            <v>970</v>
          </cell>
        </row>
        <row r="6905">
          <cell r="E6905" t="str">
            <v>SELMAALINDIANOLAMS</v>
          </cell>
          <cell r="F6905">
            <v>750</v>
          </cell>
        </row>
        <row r="6906">
          <cell r="E6906" t="str">
            <v>SELMAALENOREESC</v>
          </cell>
          <cell r="F6906">
            <v>1050</v>
          </cell>
        </row>
        <row r="6907">
          <cell r="E6907" t="str">
            <v>SELMAALGREERSC</v>
          </cell>
          <cell r="F6907">
            <v>1000</v>
          </cell>
        </row>
        <row r="6908">
          <cell r="E6908" t="str">
            <v>SELMAALEDENTONNC</v>
          </cell>
          <cell r="F6908">
            <v>1870</v>
          </cell>
        </row>
        <row r="6909">
          <cell r="E6909" t="str">
            <v>SELMAALMOBILEAL</v>
          </cell>
          <cell r="F6909">
            <v>560</v>
          </cell>
        </row>
        <row r="6910">
          <cell r="E6910" t="str">
            <v>SELMAALLOWELLNC</v>
          </cell>
          <cell r="F6910">
            <v>1160</v>
          </cell>
        </row>
        <row r="6911">
          <cell r="E6911" t="str">
            <v>SELMAALMOCKSVILLENC</v>
          </cell>
          <cell r="F6911">
            <v>1320</v>
          </cell>
        </row>
        <row r="6912">
          <cell r="E6912" t="str">
            <v>SELMAALSTONEVILLENC</v>
          </cell>
          <cell r="F6912">
            <v>1450</v>
          </cell>
        </row>
        <row r="6913">
          <cell r="E6913" t="str">
            <v>SELMAALBELMONTNC</v>
          </cell>
          <cell r="F6913">
            <v>1170</v>
          </cell>
        </row>
        <row r="6914">
          <cell r="E6914" t="str">
            <v>SELMAALTUNICAMS</v>
          </cell>
          <cell r="F6914">
            <v>860</v>
          </cell>
        </row>
        <row r="6915">
          <cell r="E6915" t="str">
            <v>SELMAALRABUN GAPGA</v>
          </cell>
          <cell r="F6915">
            <v>960</v>
          </cell>
        </row>
        <row r="6916">
          <cell r="E6916" t="str">
            <v>SELMAALERWINNC</v>
          </cell>
          <cell r="F6916">
            <v>1540</v>
          </cell>
        </row>
        <row r="6917">
          <cell r="E6917" t="str">
            <v>SELMAALDAWSONGA</v>
          </cell>
          <cell r="F6917">
            <v>620</v>
          </cell>
        </row>
        <row r="6918">
          <cell r="E6918" t="str">
            <v>SELMAALPORT WENTWORTHGA</v>
          </cell>
          <cell r="F6918">
            <v>1140</v>
          </cell>
        </row>
        <row r="6919">
          <cell r="E6919" t="str">
            <v>SELMAALECLECTICAL</v>
          </cell>
          <cell r="F6919">
            <v>460</v>
          </cell>
        </row>
        <row r="6920">
          <cell r="E6920" t="str">
            <v>SELMAALGRIFTONNC</v>
          </cell>
          <cell r="F6920">
            <v>1830</v>
          </cell>
        </row>
        <row r="6921">
          <cell r="E6921" t="str">
            <v>SELMAALMCCALLAAL</v>
          </cell>
          <cell r="F6921">
            <v>420</v>
          </cell>
        </row>
        <row r="6922">
          <cell r="E6922" t="str">
            <v>SELMAALGarden CityGA</v>
          </cell>
          <cell r="F6922">
            <v>1120</v>
          </cell>
        </row>
        <row r="6923">
          <cell r="E6923" t="str">
            <v>SELMAALRINCONGA</v>
          </cell>
          <cell r="F6923">
            <v>1150</v>
          </cell>
        </row>
        <row r="6924">
          <cell r="E6924" t="str">
            <v>SELMAALGULFPORTMS</v>
          </cell>
          <cell r="F6924">
            <v>780</v>
          </cell>
        </row>
        <row r="6925">
          <cell r="E6925" t="str">
            <v>SELMAALGREENWOODMS</v>
          </cell>
          <cell r="F6925">
            <v>690</v>
          </cell>
        </row>
        <row r="6926">
          <cell r="E6926" t="str">
            <v>SELMAALGAFFNEYSC</v>
          </cell>
          <cell r="F6926">
            <v>1080</v>
          </cell>
        </row>
        <row r="6927">
          <cell r="E6927" t="str">
            <v>SELMAALINDIAN LANDSC</v>
          </cell>
          <cell r="F6927">
            <v>1230</v>
          </cell>
        </row>
        <row r="6928">
          <cell r="E6928" t="str">
            <v>SELMAALJACKSONVILLEFL</v>
          </cell>
          <cell r="F6928">
            <v>1090</v>
          </cell>
        </row>
        <row r="6929">
          <cell r="E6929" t="str">
            <v>SEMINOLETXDallasTX</v>
          </cell>
          <cell r="F6929">
            <v>574</v>
          </cell>
        </row>
        <row r="6930">
          <cell r="E6930" t="str">
            <v>SEMINOLETXHoustonTX</v>
          </cell>
          <cell r="F6930">
            <v>1091</v>
          </cell>
        </row>
        <row r="6931">
          <cell r="E6931" t="str">
            <v>SEMINOLETXBaytownTX</v>
          </cell>
          <cell r="F6931">
            <v>1118</v>
          </cell>
        </row>
        <row r="6932">
          <cell r="E6932" t="str">
            <v>SEMINOLETXHASLETTX</v>
          </cell>
          <cell r="F6932">
            <v>1447</v>
          </cell>
        </row>
        <row r="6933">
          <cell r="E6933" t="str">
            <v>SEMINOLETXHOUSTONTX</v>
          </cell>
          <cell r="F6933">
            <v>2777</v>
          </cell>
        </row>
        <row r="6934">
          <cell r="E6934" t="str">
            <v>SEMINOLETXWILMERTX</v>
          </cell>
          <cell r="F6934">
            <v>1520</v>
          </cell>
        </row>
        <row r="6935">
          <cell r="E6935" t="str">
            <v>SEMINOLETXWYLIETX</v>
          </cell>
        </row>
        <row r="6936">
          <cell r="E6936" t="str">
            <v>SEMINOLETXWESLACOTX</v>
          </cell>
          <cell r="F6936">
            <v>1224</v>
          </cell>
        </row>
        <row r="6937">
          <cell r="E6937" t="str">
            <v>SHALLOWATERTXDallasTX</v>
          </cell>
          <cell r="F6937">
            <v>628</v>
          </cell>
        </row>
        <row r="6938">
          <cell r="E6938" t="str">
            <v>SHALLOWATERTXHoustonTX</v>
          </cell>
          <cell r="F6938">
            <v>1064</v>
          </cell>
        </row>
        <row r="6939">
          <cell r="E6939" t="str">
            <v>SHALLOWATERTXBaytownTX</v>
          </cell>
          <cell r="F6939">
            <v>1091</v>
          </cell>
        </row>
        <row r="6940">
          <cell r="E6940" t="str">
            <v>SHELBYNCKINSTONNC</v>
          </cell>
          <cell r="F6940">
            <v>810</v>
          </cell>
        </row>
        <row r="6941">
          <cell r="E6941" t="str">
            <v>SHELBYNCMONEYMS</v>
          </cell>
          <cell r="F6941">
            <v>1480</v>
          </cell>
        </row>
        <row r="6942">
          <cell r="E6942" t="str">
            <v>SHELBYNCDREWMS</v>
          </cell>
          <cell r="F6942">
            <v>1530</v>
          </cell>
        </row>
        <row r="6943">
          <cell r="E6943" t="str">
            <v>SHELBYNCINDIANOLAMS</v>
          </cell>
          <cell r="F6943">
            <v>1510</v>
          </cell>
        </row>
        <row r="6944">
          <cell r="E6944" t="str">
            <v>SHELBYNCRAYVILLELA</v>
          </cell>
          <cell r="F6944">
            <v>1690</v>
          </cell>
        </row>
        <row r="6945">
          <cell r="E6945" t="str">
            <v>SHELBYNCECLECTICAL</v>
          </cell>
          <cell r="F6945">
            <v>980</v>
          </cell>
        </row>
        <row r="6946">
          <cell r="E6946" t="str">
            <v>SHELBYNCROSSVILLETN</v>
          </cell>
          <cell r="F6946">
            <v>1440</v>
          </cell>
        </row>
        <row r="6947">
          <cell r="E6947" t="str">
            <v>SHELBYNCMOBILEAL</v>
          </cell>
          <cell r="F6947">
            <v>1360</v>
          </cell>
        </row>
        <row r="6948">
          <cell r="E6948" t="str">
            <v>SHELBYNCCARTERSVILLEGA</v>
          </cell>
          <cell r="F6948">
            <v>700</v>
          </cell>
        </row>
        <row r="6949">
          <cell r="E6949" t="str">
            <v>SHELBYNCDAWSONGA</v>
          </cell>
          <cell r="F6949">
            <v>1020</v>
          </cell>
        </row>
        <row r="6950">
          <cell r="E6950" t="str">
            <v>SHELBYNCJACKSONVILLEFL</v>
          </cell>
          <cell r="F6950">
            <v>1100</v>
          </cell>
        </row>
        <row r="6951">
          <cell r="E6951" t="str">
            <v>SHELBYNCBLYTHEVILLEAR</v>
          </cell>
          <cell r="F6951">
            <v>1460</v>
          </cell>
        </row>
        <row r="6952">
          <cell r="E6952" t="str">
            <v>SHELBYNCGAINESVILLEGA</v>
          </cell>
          <cell r="F6952">
            <v>580</v>
          </cell>
        </row>
        <row r="6953">
          <cell r="E6953" t="str">
            <v>SHELBYNCGREENWOODMS</v>
          </cell>
          <cell r="F6953">
            <v>1440</v>
          </cell>
        </row>
        <row r="6954">
          <cell r="E6954" t="str">
            <v>SHELBYNCMEMPHISTN</v>
          </cell>
          <cell r="F6954">
            <v>1460</v>
          </cell>
        </row>
        <row r="6955">
          <cell r="E6955" t="str">
            <v>SHELBYNCWEST MEMPHISAR</v>
          </cell>
          <cell r="F6955">
            <v>1450</v>
          </cell>
        </row>
        <row r="6956">
          <cell r="E6956" t="str">
            <v>SHELBYNCCENTREAL</v>
          </cell>
          <cell r="F6956">
            <v>810</v>
          </cell>
        </row>
        <row r="6957">
          <cell r="E6957" t="str">
            <v>SHELBYNCTALLULAHLA</v>
          </cell>
          <cell r="F6957">
            <v>1610</v>
          </cell>
        </row>
        <row r="6958">
          <cell r="E6958" t="str">
            <v>SHELBYNCMARIONAR</v>
          </cell>
          <cell r="F6958">
            <v>1460</v>
          </cell>
        </row>
        <row r="6959">
          <cell r="E6959" t="str">
            <v>SHELBYNCTUNICAMS</v>
          </cell>
          <cell r="F6959">
            <v>1510</v>
          </cell>
        </row>
        <row r="6960">
          <cell r="E6960" t="str">
            <v>SHELBYNCMCCALLAAL</v>
          </cell>
          <cell r="F6960">
            <v>1000</v>
          </cell>
        </row>
        <row r="6961">
          <cell r="E6961" t="str">
            <v>SHELBYNCNEW ORLEANSLA</v>
          </cell>
          <cell r="F6961">
            <v>1670</v>
          </cell>
        </row>
        <row r="6962">
          <cell r="E6962" t="str">
            <v>SHELBYNCRABUN GAPGA</v>
          </cell>
          <cell r="F6962">
            <v>590</v>
          </cell>
        </row>
        <row r="6963">
          <cell r="E6963" t="str">
            <v>SHELBYNCPORT WENTWORTHGA</v>
          </cell>
          <cell r="F6963">
            <v>900</v>
          </cell>
        </row>
        <row r="6964">
          <cell r="E6964" t="str">
            <v>SHELBYNCRINCONGA</v>
          </cell>
          <cell r="F6964">
            <v>910</v>
          </cell>
        </row>
        <row r="6965">
          <cell r="E6965" t="str">
            <v>SHELBYNCGarden CityGA</v>
          </cell>
          <cell r="F6965">
            <v>900</v>
          </cell>
        </row>
        <row r="6966">
          <cell r="E6966" t="str">
            <v>SHELBYNCGREENWOODSC</v>
          </cell>
          <cell r="F6966">
            <v>480</v>
          </cell>
        </row>
        <row r="6967">
          <cell r="E6967" t="str">
            <v>SHELBYNCLOWELLNC</v>
          </cell>
          <cell r="F6967">
            <v>360</v>
          </cell>
        </row>
        <row r="6968">
          <cell r="E6968" t="str">
            <v>SHELBYNCGREERSC</v>
          </cell>
          <cell r="F6968">
            <v>400</v>
          </cell>
        </row>
        <row r="6969">
          <cell r="E6969" t="str">
            <v>SHELBYNCGULFPORTMS</v>
          </cell>
          <cell r="F6969">
            <v>1620</v>
          </cell>
        </row>
        <row r="6970">
          <cell r="E6970" t="str">
            <v>SHELBYNCBELMONTNC</v>
          </cell>
          <cell r="F6970">
            <v>370</v>
          </cell>
        </row>
        <row r="6971">
          <cell r="E6971" t="str">
            <v>SHELBYNCENOREESC</v>
          </cell>
          <cell r="F6971">
            <v>420</v>
          </cell>
        </row>
        <row r="6972">
          <cell r="E6972" t="str">
            <v>SHELBYNCCHARLOTTENC</v>
          </cell>
          <cell r="F6972">
            <v>390</v>
          </cell>
        </row>
        <row r="6973">
          <cell r="E6973" t="str">
            <v>SHELBYNCINDIAN LANDSC</v>
          </cell>
          <cell r="F6973">
            <v>410</v>
          </cell>
        </row>
        <row r="6974">
          <cell r="E6974" t="str">
            <v>SHELBYNCHICKORYNC</v>
          </cell>
          <cell r="F6974">
            <v>390</v>
          </cell>
        </row>
        <row r="6975">
          <cell r="E6975" t="str">
            <v>SHELBYNCGAFFNEYSC</v>
          </cell>
          <cell r="F6975">
            <v>350</v>
          </cell>
        </row>
        <row r="6976">
          <cell r="E6976" t="str">
            <v>SHELBYNCGASTONIANC</v>
          </cell>
          <cell r="F6976">
            <v>350</v>
          </cell>
        </row>
        <row r="6977">
          <cell r="E6977" t="str">
            <v>SHELBYNCLEXINGTONNC</v>
          </cell>
          <cell r="F6977">
            <v>480</v>
          </cell>
        </row>
        <row r="6978">
          <cell r="E6978" t="str">
            <v>SHELBYNCROCKINGHAMNC</v>
          </cell>
          <cell r="F6978">
            <v>510</v>
          </cell>
        </row>
        <row r="6979">
          <cell r="E6979" t="str">
            <v>SHELBYNCMINERAL SPRINGSNC</v>
          </cell>
          <cell r="F6979">
            <v>430</v>
          </cell>
        </row>
        <row r="6980">
          <cell r="E6980" t="str">
            <v>SHELBYNCMOCKSVILLENC</v>
          </cell>
          <cell r="F6980">
            <v>450</v>
          </cell>
        </row>
        <row r="6981">
          <cell r="E6981" t="str">
            <v>SHELBYNCTHOMASVILLENC</v>
          </cell>
          <cell r="F6981">
            <v>500</v>
          </cell>
        </row>
        <row r="6982">
          <cell r="E6982" t="str">
            <v>SHELBYNCCLARKTONNC</v>
          </cell>
          <cell r="F6982">
            <v>630</v>
          </cell>
        </row>
        <row r="6983">
          <cell r="E6983" t="str">
            <v>SHELBYNCSALISBURYNC</v>
          </cell>
          <cell r="F6983">
            <v>450</v>
          </cell>
        </row>
        <row r="6984">
          <cell r="E6984" t="str">
            <v>SHELBYNCLUMBERTONNC</v>
          </cell>
          <cell r="F6984">
            <v>600</v>
          </cell>
        </row>
        <row r="6985">
          <cell r="E6985" t="str">
            <v>SHELBYNCERWINNC</v>
          </cell>
          <cell r="F6985">
            <v>640</v>
          </cell>
        </row>
        <row r="6986">
          <cell r="E6986" t="str">
            <v>SHELBYNCSPARTANC</v>
          </cell>
          <cell r="F6986">
            <v>510</v>
          </cell>
        </row>
        <row r="6987">
          <cell r="E6987" t="str">
            <v>SHELBYNCGRIFTONNC</v>
          </cell>
          <cell r="F6987">
            <v>950</v>
          </cell>
        </row>
        <row r="6988">
          <cell r="E6988" t="str">
            <v>SHELBYNCNORFOLKVA</v>
          </cell>
          <cell r="F6988">
            <v>990</v>
          </cell>
        </row>
        <row r="6989">
          <cell r="E6989" t="str">
            <v>SHELBYNCPORTSMOUTHVA</v>
          </cell>
          <cell r="F6989">
            <v>970</v>
          </cell>
        </row>
        <row r="6990">
          <cell r="E6990" t="str">
            <v>SHELBYNCMAYODANNC</v>
          </cell>
          <cell r="F6990">
            <v>530</v>
          </cell>
        </row>
        <row r="6991">
          <cell r="E6991" t="str">
            <v>SHELBYNCSTONEVILLENC</v>
          </cell>
          <cell r="F6991">
            <v>540</v>
          </cell>
        </row>
        <row r="6992">
          <cell r="E6992" t="str">
            <v>SHELBYNCROCKFORDTN</v>
          </cell>
          <cell r="F6992">
            <v>630</v>
          </cell>
        </row>
        <row r="6993">
          <cell r="E6993" t="str">
            <v>SHELBYNCEDENTONNC</v>
          </cell>
          <cell r="F6993">
            <v>930</v>
          </cell>
        </row>
        <row r="6994">
          <cell r="E6994" t="str">
            <v>SHELBYNCSANFORDNC</v>
          </cell>
          <cell r="F6994">
            <v>590</v>
          </cell>
        </row>
        <row r="6995">
          <cell r="E6995" t="str">
            <v>SHELLMANGAROCKFORDTN</v>
          </cell>
          <cell r="F6995">
            <v>1010</v>
          </cell>
        </row>
        <row r="6996">
          <cell r="E6996" t="str">
            <v>SHELLMANGAMOCKSVILLENC</v>
          </cell>
          <cell r="F6996">
            <v>1210</v>
          </cell>
        </row>
        <row r="6997">
          <cell r="E6997" t="str">
            <v>SHELLMANGASTONEVILLENC</v>
          </cell>
          <cell r="F6997">
            <v>1340</v>
          </cell>
        </row>
        <row r="6998">
          <cell r="E6998" t="str">
            <v>SHELLMANGAMINERAL SPRINGSNC</v>
          </cell>
          <cell r="F6998">
            <v>1060</v>
          </cell>
        </row>
        <row r="6999">
          <cell r="E6999" t="str">
            <v>SHELLMANGATHOMASVILLENC</v>
          </cell>
          <cell r="F6999">
            <v>1240</v>
          </cell>
        </row>
        <row r="7000">
          <cell r="E7000" t="str">
            <v>SHELLMANGAMEMPHISTN</v>
          </cell>
          <cell r="F7000">
            <v>1140</v>
          </cell>
        </row>
        <row r="7001">
          <cell r="E7001" t="str">
            <v>SHELLMANGARAYVILLELA</v>
          </cell>
          <cell r="F7001">
            <v>1190</v>
          </cell>
        </row>
        <row r="7002">
          <cell r="E7002" t="str">
            <v>SHELLMANGAENOREESC</v>
          </cell>
          <cell r="F7002">
            <v>940</v>
          </cell>
        </row>
        <row r="7003">
          <cell r="E7003" t="str">
            <v>SHELLMANGAGREERSC</v>
          </cell>
          <cell r="F7003">
            <v>890</v>
          </cell>
        </row>
        <row r="7004">
          <cell r="E7004" t="str">
            <v>SHELLMANGAMOBILEAL</v>
          </cell>
          <cell r="F7004">
            <v>750</v>
          </cell>
        </row>
        <row r="7005">
          <cell r="E7005" t="str">
            <v>SHELLMANGAGAFFNEYSC</v>
          </cell>
          <cell r="F7005">
            <v>970</v>
          </cell>
        </row>
        <row r="7006">
          <cell r="E7006" t="str">
            <v>SHELLMANGALOWELLNC</v>
          </cell>
          <cell r="F7006">
            <v>1050</v>
          </cell>
        </row>
        <row r="7007">
          <cell r="E7007" t="str">
            <v>SHELLMANGAKINSTONNC</v>
          </cell>
          <cell r="F7007">
            <v>1460</v>
          </cell>
        </row>
        <row r="7008">
          <cell r="E7008" t="str">
            <v>SHELLMANGABELMONTNC</v>
          </cell>
          <cell r="F7008">
            <v>1060</v>
          </cell>
        </row>
        <row r="7009">
          <cell r="E7009" t="str">
            <v>SHELLMANGADREWMS</v>
          </cell>
          <cell r="F7009">
            <v>1120</v>
          </cell>
        </row>
        <row r="7010">
          <cell r="E7010" t="str">
            <v>SHELLMANGAINDIANOLAMS</v>
          </cell>
          <cell r="F7010">
            <v>1100</v>
          </cell>
        </row>
        <row r="7011">
          <cell r="E7011" t="str">
            <v>SHELLMANGAGASTONIANC</v>
          </cell>
          <cell r="F7011">
            <v>1040</v>
          </cell>
        </row>
        <row r="7012">
          <cell r="E7012" t="str">
            <v>SHELLMANGAPORTSMOUTHVA</v>
          </cell>
          <cell r="F7012">
            <v>1730</v>
          </cell>
        </row>
        <row r="7013">
          <cell r="E7013" t="str">
            <v>SHELLMANGAROCKINGHAMNC</v>
          </cell>
          <cell r="F7013">
            <v>1120</v>
          </cell>
        </row>
        <row r="7014">
          <cell r="E7014" t="str">
            <v>SHELLMANGASALISBURYNC</v>
          </cell>
          <cell r="F7014">
            <v>1180</v>
          </cell>
        </row>
        <row r="7015">
          <cell r="E7015" t="str">
            <v>SHELLMANGAEDENTONNC</v>
          </cell>
          <cell r="F7015">
            <v>1640</v>
          </cell>
        </row>
        <row r="7016">
          <cell r="E7016" t="str">
            <v>SHELLMANGASHELBYNC</v>
          </cell>
          <cell r="F7016">
            <v>1010</v>
          </cell>
        </row>
        <row r="7017">
          <cell r="E7017" t="str">
            <v>SHELLMANGASANFORDNC</v>
          </cell>
          <cell r="F7017">
            <v>1240</v>
          </cell>
        </row>
        <row r="7018">
          <cell r="E7018" t="str">
            <v>SHELLMANGAMCCALLAAL</v>
          </cell>
          <cell r="F7018">
            <v>670</v>
          </cell>
        </row>
        <row r="7019">
          <cell r="E7019" t="str">
            <v>SHELLMANGACHARLOTTENC</v>
          </cell>
          <cell r="F7019">
            <v>1090</v>
          </cell>
        </row>
        <row r="7020">
          <cell r="E7020" t="str">
            <v>SHELLMANGALEXINGTONNC</v>
          </cell>
          <cell r="F7020">
            <v>1220</v>
          </cell>
        </row>
        <row r="7021">
          <cell r="E7021" t="str">
            <v>SHELLMANGAHICKORYNC</v>
          </cell>
          <cell r="F7021">
            <v>1120</v>
          </cell>
        </row>
        <row r="7022">
          <cell r="E7022" t="str">
            <v>SHELLMANGAINDIAN LANDSC</v>
          </cell>
          <cell r="F7022">
            <v>1120</v>
          </cell>
        </row>
        <row r="7023">
          <cell r="E7023" t="str">
            <v>SHELLMANGAROSSVILLETN</v>
          </cell>
          <cell r="F7023">
            <v>1130</v>
          </cell>
        </row>
        <row r="7024">
          <cell r="E7024" t="str">
            <v>SHELLMANGABLYTHEVILLEAR</v>
          </cell>
          <cell r="F7024">
            <v>1290</v>
          </cell>
        </row>
        <row r="7025">
          <cell r="E7025" t="str">
            <v>SHELLMANGAERWINNC</v>
          </cell>
          <cell r="F7025">
            <v>1300</v>
          </cell>
        </row>
        <row r="7026">
          <cell r="E7026" t="str">
            <v>SHELLMANGASPARTANC</v>
          </cell>
          <cell r="F7026">
            <v>1300</v>
          </cell>
        </row>
        <row r="7027">
          <cell r="E7027" t="str">
            <v>SHELLMANGAGREENWOODSC</v>
          </cell>
          <cell r="F7027">
            <v>770</v>
          </cell>
        </row>
        <row r="7028">
          <cell r="E7028" t="str">
            <v>SHELLMANGATALLULAHLA</v>
          </cell>
          <cell r="F7028">
            <v>1110</v>
          </cell>
        </row>
        <row r="7029">
          <cell r="E7029" t="str">
            <v>SHELLMANGACENTREAL</v>
          </cell>
          <cell r="F7029">
            <v>650</v>
          </cell>
        </row>
        <row r="7030">
          <cell r="E7030" t="str">
            <v>SHELLMANGANORFOLKVA</v>
          </cell>
          <cell r="F7030">
            <v>1750</v>
          </cell>
        </row>
        <row r="7031">
          <cell r="E7031" t="str">
            <v>SHELLMANGAGREENWOODMS</v>
          </cell>
          <cell r="F7031">
            <v>1030</v>
          </cell>
        </row>
        <row r="7032">
          <cell r="E7032" t="str">
            <v>SHELLMANGAGAINESVILLEGA</v>
          </cell>
          <cell r="F7032">
            <v>670</v>
          </cell>
        </row>
        <row r="7033">
          <cell r="E7033" t="str">
            <v>SHELLMANGAECLECTICAL</v>
          </cell>
          <cell r="F7033">
            <v>550</v>
          </cell>
        </row>
        <row r="7034">
          <cell r="E7034" t="str">
            <v>SHELLMANGACLARKTONNC</v>
          </cell>
          <cell r="F7034">
            <v>1220</v>
          </cell>
        </row>
        <row r="7035">
          <cell r="E7035" t="str">
            <v>SHELLMANGALUMBERTONNC</v>
          </cell>
          <cell r="F7035">
            <v>1170</v>
          </cell>
        </row>
        <row r="7036">
          <cell r="E7036" t="str">
            <v>SHELLMANGATUNICAMS</v>
          </cell>
          <cell r="F7036">
            <v>1170</v>
          </cell>
        </row>
        <row r="7037">
          <cell r="E7037" t="str">
            <v>SHELLMANGAWEST MEMPHISAR</v>
          </cell>
          <cell r="F7037">
            <v>1150</v>
          </cell>
        </row>
        <row r="7038">
          <cell r="E7038" t="str">
            <v>SHELLMANGAMAYODANNC</v>
          </cell>
          <cell r="F7038">
            <v>1330</v>
          </cell>
        </row>
        <row r="7039">
          <cell r="E7039" t="str">
            <v>SHELLMANGANEW ORLEANSLA</v>
          </cell>
          <cell r="F7039">
            <v>1070</v>
          </cell>
        </row>
        <row r="7040">
          <cell r="E7040" t="str">
            <v>SHELLMANGAMONEYMS</v>
          </cell>
          <cell r="F7040">
            <v>1070</v>
          </cell>
        </row>
        <row r="7041">
          <cell r="E7041" t="str">
            <v>SHELLMANGAMARIONAR</v>
          </cell>
          <cell r="F7041">
            <v>1160</v>
          </cell>
        </row>
        <row r="7042">
          <cell r="E7042" t="str">
            <v>SHELLMANGARABUN GAPGA</v>
          </cell>
          <cell r="F7042">
            <v>840</v>
          </cell>
        </row>
        <row r="7043">
          <cell r="E7043" t="str">
            <v>SHELLMANGACARTERSVILLEGA</v>
          </cell>
          <cell r="F7043">
            <v>650</v>
          </cell>
        </row>
        <row r="7044">
          <cell r="E7044" t="str">
            <v>SHELLMANGAGULFPORTMS</v>
          </cell>
          <cell r="F7044">
            <v>1020</v>
          </cell>
        </row>
        <row r="7045">
          <cell r="E7045" t="str">
            <v>SHELLMANGAPORT WENTWORTHGA</v>
          </cell>
          <cell r="F7045">
            <v>810</v>
          </cell>
        </row>
        <row r="7046">
          <cell r="E7046" t="str">
            <v>SHELLMANGAGarden CityGA</v>
          </cell>
          <cell r="F7046">
            <v>800</v>
          </cell>
        </row>
        <row r="7047">
          <cell r="E7047" t="str">
            <v>SHELLMANGAGRIFTONNC</v>
          </cell>
          <cell r="F7047">
            <v>1590</v>
          </cell>
        </row>
        <row r="7048">
          <cell r="E7048" t="str">
            <v>SHELLMANGADAWSONGA</v>
          </cell>
          <cell r="F7048">
            <v>350</v>
          </cell>
        </row>
        <row r="7049">
          <cell r="E7049" t="str">
            <v>SHELLMANGARINCONGA</v>
          </cell>
          <cell r="F7049">
            <v>820</v>
          </cell>
        </row>
        <row r="7050">
          <cell r="E7050" t="str">
            <v>SHELLMANGAJACKSONVILLEFL</v>
          </cell>
          <cell r="F7050">
            <v>700</v>
          </cell>
        </row>
        <row r="7051">
          <cell r="E7051" t="str">
            <v>SNYDERTXDallasTX</v>
          </cell>
          <cell r="F7051">
            <v>518</v>
          </cell>
        </row>
        <row r="7052">
          <cell r="E7052" t="str">
            <v>SNYDERTXHoustonTX</v>
          </cell>
          <cell r="F7052">
            <v>877</v>
          </cell>
        </row>
        <row r="7053">
          <cell r="E7053" t="str">
            <v>SNYDERTXBaytownTX</v>
          </cell>
          <cell r="F7053">
            <v>903</v>
          </cell>
        </row>
        <row r="7054">
          <cell r="E7054" t="str">
            <v>SNYDERTXHASLETTX</v>
          </cell>
          <cell r="F7054">
            <v>972</v>
          </cell>
        </row>
        <row r="7055">
          <cell r="E7055" t="str">
            <v>SNYDERTXHOUSTONTX</v>
          </cell>
          <cell r="F7055">
            <v>2274</v>
          </cell>
        </row>
        <row r="7056">
          <cell r="E7056" t="str">
            <v>SNYDERTXWILMERTX</v>
          </cell>
          <cell r="F7056">
            <v>1069</v>
          </cell>
        </row>
        <row r="7057">
          <cell r="E7057" t="str">
            <v>SNYDERTXWYLIETX</v>
          </cell>
        </row>
        <row r="7058">
          <cell r="E7058" t="str">
            <v>SNYDERTXWESLACOTX</v>
          </cell>
          <cell r="F7058">
            <v>1073</v>
          </cell>
        </row>
        <row r="7059">
          <cell r="E7059" t="str">
            <v>SOMERVILLETNPORTSMOUTHVA</v>
          </cell>
          <cell r="F7059">
            <v>2110</v>
          </cell>
        </row>
        <row r="7060">
          <cell r="E7060" t="str">
            <v>SOMERVILLETNNORFOLKVA</v>
          </cell>
          <cell r="F7060">
            <v>2130</v>
          </cell>
        </row>
        <row r="7061">
          <cell r="E7061" t="str">
            <v>SOMERVILLETNROCKFORDTN</v>
          </cell>
          <cell r="F7061">
            <v>960</v>
          </cell>
        </row>
        <row r="7062">
          <cell r="E7062" t="str">
            <v>SOMERVILLETNLEXINGTONNC</v>
          </cell>
          <cell r="F7062">
            <v>1520</v>
          </cell>
        </row>
        <row r="7063">
          <cell r="E7063" t="str">
            <v>SOMERVILLETNGASTONIANC</v>
          </cell>
          <cell r="F7063">
            <v>1420</v>
          </cell>
        </row>
        <row r="7064">
          <cell r="E7064" t="str">
            <v>SOMERVILLETNSHELBYNC</v>
          </cell>
          <cell r="F7064">
            <v>1370</v>
          </cell>
        </row>
        <row r="7065">
          <cell r="E7065" t="str">
            <v>SOMERVILLETNSALISBURYNC</v>
          </cell>
          <cell r="F7065">
            <v>1500</v>
          </cell>
        </row>
        <row r="7066">
          <cell r="E7066" t="str">
            <v>SOMERVILLETNHICKORYNC</v>
          </cell>
          <cell r="F7066">
            <v>1380</v>
          </cell>
        </row>
        <row r="7067">
          <cell r="E7067" t="str">
            <v>SOMERVILLETNGREERSC</v>
          </cell>
          <cell r="F7067">
            <v>1330</v>
          </cell>
        </row>
        <row r="7068">
          <cell r="E7068" t="str">
            <v>SOMERVILLETNLUMBERTONNC</v>
          </cell>
          <cell r="F7068">
            <v>1770</v>
          </cell>
        </row>
        <row r="7069">
          <cell r="E7069" t="str">
            <v>SOMERVILLETNGREENWOODSC</v>
          </cell>
          <cell r="F7069">
            <v>1390</v>
          </cell>
        </row>
        <row r="7070">
          <cell r="E7070" t="str">
            <v>SOMERVILLETNCHARLOTTENC</v>
          </cell>
          <cell r="F7070">
            <v>1470</v>
          </cell>
        </row>
        <row r="7071">
          <cell r="E7071" t="str">
            <v>SOMERVILLETNINDIAN LANDSC</v>
          </cell>
          <cell r="F7071">
            <v>1500</v>
          </cell>
        </row>
        <row r="7072">
          <cell r="E7072" t="str">
            <v>SOMERVILLETNSPARTANC</v>
          </cell>
          <cell r="F7072">
            <v>1450</v>
          </cell>
        </row>
        <row r="7073">
          <cell r="E7073" t="str">
            <v>SOMERVILLETNMCCALLAAL</v>
          </cell>
          <cell r="F7073">
            <v>750</v>
          </cell>
        </row>
        <row r="7074">
          <cell r="E7074" t="str">
            <v>SOMERVILLETNMAYODANNC</v>
          </cell>
          <cell r="F7074">
            <v>1610</v>
          </cell>
        </row>
        <row r="7075">
          <cell r="E7075" t="str">
            <v>SOMERVILLETNSANFORDNC</v>
          </cell>
          <cell r="F7075">
            <v>1720</v>
          </cell>
        </row>
        <row r="7076">
          <cell r="E7076" t="str">
            <v>SOMERVILLETNENOREESC</v>
          </cell>
          <cell r="F7076">
            <v>1390</v>
          </cell>
        </row>
        <row r="7077">
          <cell r="E7077" t="str">
            <v>SOMERVILLETNSTONEVILLENC</v>
          </cell>
          <cell r="F7077">
            <v>1620</v>
          </cell>
        </row>
        <row r="7078">
          <cell r="E7078" t="str">
            <v>SOMERVILLETNERWINNC</v>
          </cell>
          <cell r="F7078">
            <v>1800</v>
          </cell>
        </row>
        <row r="7079">
          <cell r="E7079" t="str">
            <v>SOMERVILLETNKINSTONNC</v>
          </cell>
          <cell r="F7079">
            <v>1960</v>
          </cell>
        </row>
        <row r="7080">
          <cell r="E7080" t="str">
            <v>SOMERVILLETNTHOMASVILLENC</v>
          </cell>
          <cell r="F7080">
            <v>1560</v>
          </cell>
        </row>
        <row r="7081">
          <cell r="E7081" t="str">
            <v>SOMERVILLETNMOCKSVILLENC</v>
          </cell>
          <cell r="F7081">
            <v>1480</v>
          </cell>
        </row>
        <row r="7082">
          <cell r="E7082" t="str">
            <v>SOMERVILLETNJACKSONVILLEFL</v>
          </cell>
          <cell r="F7082">
            <v>1690</v>
          </cell>
        </row>
        <row r="7083">
          <cell r="E7083" t="str">
            <v>SOMERVILLETNINDIANOLAMS</v>
          </cell>
          <cell r="F7083">
            <v>600</v>
          </cell>
        </row>
        <row r="7084">
          <cell r="E7084" t="str">
            <v>SOMERVILLETNLOWELLNC</v>
          </cell>
          <cell r="F7084">
            <v>1430</v>
          </cell>
        </row>
        <row r="7085">
          <cell r="E7085" t="str">
            <v>SOMERVILLETNROCKINGHAMNC</v>
          </cell>
          <cell r="F7085">
            <v>1640</v>
          </cell>
        </row>
        <row r="7086">
          <cell r="E7086" t="str">
            <v>SOMERVILLETNCLARKTONNC</v>
          </cell>
          <cell r="F7086">
            <v>1820</v>
          </cell>
        </row>
        <row r="7087">
          <cell r="E7087" t="str">
            <v>SOMERVILLETNGREENWOODMS</v>
          </cell>
          <cell r="F7087">
            <v>600</v>
          </cell>
        </row>
        <row r="7088">
          <cell r="E7088" t="str">
            <v>SOMERVILLETNDREWMS</v>
          </cell>
          <cell r="F7088">
            <v>560</v>
          </cell>
        </row>
        <row r="7089">
          <cell r="E7089" t="str">
            <v>SOMERVILLETNMONEYMS</v>
          </cell>
          <cell r="F7089">
            <v>590</v>
          </cell>
        </row>
        <row r="7090">
          <cell r="E7090" t="str">
            <v>SOMERVILLETNMARIONAR</v>
          </cell>
          <cell r="F7090">
            <v>410</v>
          </cell>
        </row>
        <row r="7091">
          <cell r="E7091" t="str">
            <v>SOMERVILLETNTUNICAMS</v>
          </cell>
          <cell r="F7091">
            <v>460</v>
          </cell>
        </row>
        <row r="7092">
          <cell r="E7092" t="str">
            <v>SOMERVILLETNRABUN GAPGA</v>
          </cell>
          <cell r="F7092">
            <v>1230</v>
          </cell>
        </row>
        <row r="7093">
          <cell r="E7093" t="str">
            <v>SOMERVILLETNGRIFTONNC</v>
          </cell>
          <cell r="F7093">
            <v>2090</v>
          </cell>
        </row>
        <row r="7094">
          <cell r="E7094" t="str">
            <v>SOMERVILLETNGULFPORTMS</v>
          </cell>
          <cell r="F7094">
            <v>1150</v>
          </cell>
        </row>
        <row r="7095">
          <cell r="E7095" t="str">
            <v>SOMERVILLETNROSSVILLETN</v>
          </cell>
          <cell r="F7095">
            <v>350</v>
          </cell>
        </row>
        <row r="7096">
          <cell r="E7096" t="str">
            <v>SOMERVILLETNWEST MEMPHISAR</v>
          </cell>
          <cell r="F7096">
            <v>400</v>
          </cell>
        </row>
        <row r="7097">
          <cell r="E7097" t="str">
            <v>SOMERVILLETNMEMPHISTN</v>
          </cell>
          <cell r="F7097">
            <v>400</v>
          </cell>
        </row>
        <row r="7098">
          <cell r="E7098" t="str">
            <v>SOMERVILLETNBELMONTNC</v>
          </cell>
          <cell r="F7098">
            <v>1440</v>
          </cell>
        </row>
        <row r="7099">
          <cell r="E7099" t="str">
            <v>SOMERVILLETNMINERAL SPRINGSNC</v>
          </cell>
          <cell r="F7099">
            <v>1530</v>
          </cell>
        </row>
        <row r="7100">
          <cell r="E7100" t="str">
            <v>SOMERVILLETNRINCONGA</v>
          </cell>
          <cell r="F7100">
            <v>1730</v>
          </cell>
        </row>
        <row r="7101">
          <cell r="E7101" t="str">
            <v>SOMERVILLETNMOBILEAL</v>
          </cell>
          <cell r="F7101">
            <v>1040</v>
          </cell>
        </row>
        <row r="7102">
          <cell r="E7102" t="str">
            <v>SOMERVILLETNPORT WENTWORTHGA</v>
          </cell>
          <cell r="F7102">
            <v>1710</v>
          </cell>
        </row>
        <row r="7103">
          <cell r="E7103" t="str">
            <v>SOMERVILLETNBLYTHEVILLEAR</v>
          </cell>
          <cell r="F7103">
            <v>490</v>
          </cell>
        </row>
        <row r="7104">
          <cell r="E7104" t="str">
            <v>SOMERVILLETNTALLULAHLA</v>
          </cell>
          <cell r="F7104">
            <v>840</v>
          </cell>
        </row>
        <row r="7105">
          <cell r="E7105" t="str">
            <v>SOMERVILLETNGarden CityGA</v>
          </cell>
          <cell r="F7105">
            <v>1700</v>
          </cell>
        </row>
        <row r="7106">
          <cell r="E7106" t="str">
            <v>SOMERVILLETNCENTREAL</v>
          </cell>
          <cell r="F7106">
            <v>730</v>
          </cell>
        </row>
        <row r="7107">
          <cell r="E7107" t="str">
            <v>SOMERVILLETNDAWSONGA</v>
          </cell>
          <cell r="F7107">
            <v>1190</v>
          </cell>
        </row>
        <row r="7108">
          <cell r="E7108" t="str">
            <v>SOMERVILLETNCARTERSVILLEGA</v>
          </cell>
          <cell r="F7108">
            <v>870</v>
          </cell>
        </row>
        <row r="7109">
          <cell r="E7109" t="str">
            <v>SOMERVILLETNNEW ORLEANSLA</v>
          </cell>
          <cell r="F7109">
            <v>1110</v>
          </cell>
        </row>
        <row r="7110">
          <cell r="E7110" t="str">
            <v>SOMERVILLETNGAINESVILLEGA</v>
          </cell>
          <cell r="F7110">
            <v>1170</v>
          </cell>
        </row>
        <row r="7111">
          <cell r="E7111" t="str">
            <v>SOMERVILLETNECLECTICAL</v>
          </cell>
          <cell r="F7111">
            <v>920</v>
          </cell>
        </row>
        <row r="7112">
          <cell r="E7112" t="str">
            <v>SOMERVILLETNRAYVILLELA</v>
          </cell>
          <cell r="F7112">
            <v>800</v>
          </cell>
        </row>
        <row r="7113">
          <cell r="E7113" t="str">
            <v>SOMERVILLETNGAFFNEYSC</v>
          </cell>
          <cell r="F7113">
            <v>1380</v>
          </cell>
        </row>
        <row r="7114">
          <cell r="E7114" t="str">
            <v>SOMERVILLETNEDENTONNC</v>
          </cell>
          <cell r="F7114">
            <v>2080</v>
          </cell>
        </row>
        <row r="7115">
          <cell r="E7115" t="str">
            <v>SOMERVILLETNWESLACOTX</v>
          </cell>
          <cell r="F7115">
            <v>1727</v>
          </cell>
        </row>
        <row r="7116">
          <cell r="E7116" t="str">
            <v>ST JOSEPHLAEDENTONNC</v>
          </cell>
          <cell r="F7116">
            <v>2490</v>
          </cell>
        </row>
        <row r="7117">
          <cell r="E7117" t="str">
            <v>ST JOSEPHLANORFOLKVA</v>
          </cell>
          <cell r="F7117">
            <v>2550</v>
          </cell>
        </row>
        <row r="7118">
          <cell r="E7118" t="str">
            <v>ST JOSEPHLAKINSTONNC</v>
          </cell>
          <cell r="F7118">
            <v>2340</v>
          </cell>
        </row>
        <row r="7119">
          <cell r="E7119" t="str">
            <v>ST JOSEPHLAMINERAL SPRINGSNC</v>
          </cell>
          <cell r="F7119">
            <v>1860</v>
          </cell>
        </row>
        <row r="7120">
          <cell r="E7120" t="str">
            <v>ST JOSEPHLASPARTANC</v>
          </cell>
          <cell r="F7120">
            <v>2000</v>
          </cell>
        </row>
        <row r="7121">
          <cell r="E7121" t="str">
            <v>ST JOSEPHLATHOMASVILLENC</v>
          </cell>
          <cell r="F7121">
            <v>1960</v>
          </cell>
        </row>
        <row r="7122">
          <cell r="E7122" t="str">
            <v>ST JOSEPHLAJACKSONVILLEFL</v>
          </cell>
          <cell r="F7122">
            <v>1720</v>
          </cell>
        </row>
        <row r="7123">
          <cell r="E7123" t="str">
            <v>ST JOSEPHLAMAYODANNC</v>
          </cell>
          <cell r="F7123">
            <v>2050</v>
          </cell>
        </row>
        <row r="7124">
          <cell r="E7124" t="str">
            <v>ST JOSEPHLAERWINNC</v>
          </cell>
          <cell r="F7124">
            <v>2180</v>
          </cell>
        </row>
        <row r="7125">
          <cell r="E7125" t="str">
            <v>ST JOSEPHLAGREENWOODSC</v>
          </cell>
          <cell r="F7125">
            <v>1580</v>
          </cell>
        </row>
        <row r="7126">
          <cell r="E7126" t="str">
            <v>ST JOSEPHLASTONEVILLENC</v>
          </cell>
          <cell r="F7126">
            <v>2050</v>
          </cell>
        </row>
        <row r="7127">
          <cell r="E7127" t="str">
            <v>ST JOSEPHLAPORTSMOUTHVA</v>
          </cell>
          <cell r="F7127">
            <v>2520</v>
          </cell>
        </row>
        <row r="7128">
          <cell r="E7128" t="str">
            <v>ST JOSEPHLAMOCKSVILLENC</v>
          </cell>
          <cell r="F7128">
            <v>1920</v>
          </cell>
        </row>
        <row r="7129">
          <cell r="E7129" t="str">
            <v>ST JOSEPHLAENOREESC</v>
          </cell>
          <cell r="F7129">
            <v>1650</v>
          </cell>
        </row>
        <row r="7130">
          <cell r="E7130" t="str">
            <v>ST JOSEPHLASANFORDNC</v>
          </cell>
          <cell r="F7130">
            <v>2090</v>
          </cell>
        </row>
        <row r="7131">
          <cell r="E7131" t="str">
            <v>ST JOSEPHLAGREERSC</v>
          </cell>
          <cell r="F7131">
            <v>1600</v>
          </cell>
        </row>
        <row r="7132">
          <cell r="E7132" t="str">
            <v>ST JOSEPHLACLARKTONNC</v>
          </cell>
          <cell r="F7132">
            <v>2100</v>
          </cell>
        </row>
        <row r="7133">
          <cell r="E7133" t="str">
            <v>ST JOSEPHLAROCKINGHAMNC</v>
          </cell>
          <cell r="F7133">
            <v>1970</v>
          </cell>
        </row>
        <row r="7134">
          <cell r="E7134" t="str">
            <v>ST JOSEPHLASALISBURYNC</v>
          </cell>
          <cell r="F7134">
            <v>1890</v>
          </cell>
        </row>
        <row r="7135">
          <cell r="E7135" t="str">
            <v>ST JOSEPHLALOWELLNC</v>
          </cell>
          <cell r="F7135">
            <v>1760</v>
          </cell>
        </row>
        <row r="7136">
          <cell r="E7136" t="str">
            <v>ST JOSEPHLAGAFFNEYSC</v>
          </cell>
          <cell r="F7136">
            <v>1680</v>
          </cell>
        </row>
        <row r="7137">
          <cell r="E7137" t="str">
            <v>ST JOSEPHLABELMONTNC</v>
          </cell>
          <cell r="F7137">
            <v>1770</v>
          </cell>
        </row>
        <row r="7138">
          <cell r="E7138" t="str">
            <v>ST JOSEPHLASHELBYNC</v>
          </cell>
          <cell r="F7138">
            <v>1720</v>
          </cell>
        </row>
        <row r="7139">
          <cell r="E7139" t="str">
            <v>ST JOSEPHLALUMBERTONNC</v>
          </cell>
          <cell r="F7139">
            <v>2050</v>
          </cell>
        </row>
        <row r="7140">
          <cell r="E7140" t="str">
            <v>ST JOSEPHLAGASTONIANC</v>
          </cell>
          <cell r="F7140">
            <v>1750</v>
          </cell>
        </row>
        <row r="7141">
          <cell r="E7141" t="str">
            <v>ST JOSEPHLADAWSONGA</v>
          </cell>
          <cell r="F7141">
            <v>1240</v>
          </cell>
        </row>
        <row r="7142">
          <cell r="E7142" t="str">
            <v>ST JOSEPHLALEXINGTONNC</v>
          </cell>
          <cell r="F7142">
            <v>1930</v>
          </cell>
        </row>
        <row r="7143">
          <cell r="E7143" t="str">
            <v>ST JOSEPHLACHARLOTTENC</v>
          </cell>
          <cell r="F7143">
            <v>1800</v>
          </cell>
        </row>
        <row r="7144">
          <cell r="E7144" t="str">
            <v>ST JOSEPHLAHICKORYNC</v>
          </cell>
          <cell r="F7144">
            <v>1830</v>
          </cell>
        </row>
        <row r="7145">
          <cell r="E7145" t="str">
            <v>ST JOSEPHLAINDIAN LANDSC</v>
          </cell>
          <cell r="F7145">
            <v>1830</v>
          </cell>
        </row>
        <row r="7146">
          <cell r="E7146" t="str">
            <v>ST JOSEPHLABLYTHEVILLEAR</v>
          </cell>
          <cell r="F7146">
            <v>990</v>
          </cell>
        </row>
        <row r="7147">
          <cell r="E7147" t="str">
            <v>ST JOSEPHLAROSSVILLETN</v>
          </cell>
          <cell r="F7147">
            <v>880</v>
          </cell>
        </row>
        <row r="7148">
          <cell r="E7148" t="str">
            <v>ST JOSEPHLAGAINESVILLEGA</v>
          </cell>
          <cell r="F7148">
            <v>1360</v>
          </cell>
        </row>
        <row r="7149">
          <cell r="E7149" t="str">
            <v>ST JOSEPHLAMCCALLAAL</v>
          </cell>
          <cell r="F7149">
            <v>840</v>
          </cell>
        </row>
        <row r="7150">
          <cell r="E7150" t="str">
            <v>ST JOSEPHLAMEMPHISTN</v>
          </cell>
          <cell r="F7150">
            <v>740</v>
          </cell>
        </row>
        <row r="7151">
          <cell r="E7151" t="str">
            <v>ST JOSEPHLAECLECTICAL</v>
          </cell>
          <cell r="F7151">
            <v>990</v>
          </cell>
        </row>
        <row r="7152">
          <cell r="E7152" t="str">
            <v>ST JOSEPHLACENTREAL</v>
          </cell>
          <cell r="F7152">
            <v>1090</v>
          </cell>
        </row>
        <row r="7153">
          <cell r="E7153" t="str">
            <v>ST JOSEPHLAWEST MEMPHISAR</v>
          </cell>
          <cell r="F7153">
            <v>850</v>
          </cell>
        </row>
        <row r="7154">
          <cell r="E7154" t="str">
            <v>ST JOSEPHLAPORT WENTWORTHGA</v>
          </cell>
          <cell r="F7154">
            <v>1910</v>
          </cell>
        </row>
        <row r="7155">
          <cell r="E7155" t="str">
            <v>ST JOSEPHLAMARIONAR</v>
          </cell>
          <cell r="F7155">
            <v>860</v>
          </cell>
        </row>
        <row r="7156">
          <cell r="E7156" t="str">
            <v>ST JOSEPHLAGRIFTONNC</v>
          </cell>
          <cell r="F7156">
            <v>2470</v>
          </cell>
        </row>
        <row r="7157">
          <cell r="E7157" t="str">
            <v>ST JOSEPHLAMONEYMS</v>
          </cell>
          <cell r="F7157">
            <v>600</v>
          </cell>
        </row>
        <row r="7158">
          <cell r="E7158" t="str">
            <v>ST JOSEPHLAGREENWOODMS</v>
          </cell>
          <cell r="F7158">
            <v>570</v>
          </cell>
        </row>
        <row r="7159">
          <cell r="E7159" t="str">
            <v>ST JOSEPHLATUNICAMS</v>
          </cell>
          <cell r="F7159">
            <v>680</v>
          </cell>
        </row>
        <row r="7160">
          <cell r="E7160" t="str">
            <v>ST JOSEPHLAGarden CityGA</v>
          </cell>
          <cell r="F7160">
            <v>1900</v>
          </cell>
        </row>
        <row r="7161">
          <cell r="E7161" t="str">
            <v>ST JOSEPHLARINCONGA</v>
          </cell>
          <cell r="F7161">
            <v>1920</v>
          </cell>
        </row>
        <row r="7162">
          <cell r="E7162" t="str">
            <v>ST JOSEPHLAGULFPORTMS</v>
          </cell>
          <cell r="F7162">
            <v>820</v>
          </cell>
        </row>
        <row r="7163">
          <cell r="E7163" t="str">
            <v>ST JOSEPHLARABUN GAPGA</v>
          </cell>
          <cell r="F7163">
            <v>1600</v>
          </cell>
        </row>
        <row r="7164">
          <cell r="E7164" t="str">
            <v>ST JOSEPHLARAYVILLELA</v>
          </cell>
          <cell r="F7164">
            <v>430</v>
          </cell>
        </row>
        <row r="7165">
          <cell r="E7165" t="str">
            <v>ST JOSEPHLATALLULAHLA</v>
          </cell>
          <cell r="F7165">
            <v>380</v>
          </cell>
        </row>
        <row r="7166">
          <cell r="E7166" t="str">
            <v>ST JOSEPHLACARTERSVILLEGA</v>
          </cell>
          <cell r="F7166">
            <v>1230</v>
          </cell>
        </row>
        <row r="7167">
          <cell r="E7167" t="str">
            <v>ST JOSEPHLAMOBILEAL</v>
          </cell>
          <cell r="F7167">
            <v>790</v>
          </cell>
        </row>
        <row r="7168">
          <cell r="E7168" t="str">
            <v>ST JOSEPHLAINDIANOLAMS</v>
          </cell>
          <cell r="F7168">
            <v>540</v>
          </cell>
        </row>
        <row r="7169">
          <cell r="E7169" t="str">
            <v>ST JOSEPHLADREWMS</v>
          </cell>
          <cell r="F7169">
            <v>590</v>
          </cell>
        </row>
        <row r="7170">
          <cell r="E7170" t="str">
            <v>ST JOSEPHLANEW ORLEANSLA</v>
          </cell>
          <cell r="F7170">
            <v>650</v>
          </cell>
        </row>
        <row r="7171">
          <cell r="E7171" t="str">
            <v>ST JOSEPHLAROCKFORDTN</v>
          </cell>
          <cell r="F7171">
            <v>1500</v>
          </cell>
        </row>
        <row r="7172">
          <cell r="E7172" t="str">
            <v>ST MATTHEWSSCROCKFORDTN</v>
          </cell>
          <cell r="F7172">
            <v>840</v>
          </cell>
        </row>
        <row r="7173">
          <cell r="E7173" t="str">
            <v>ST MATTHEWSSCCARTERSVILLEGA</v>
          </cell>
          <cell r="F7173">
            <v>800</v>
          </cell>
        </row>
        <row r="7174">
          <cell r="E7174" t="str">
            <v>ST MATTHEWSSCECLECTICAL</v>
          </cell>
          <cell r="F7174">
            <v>1030</v>
          </cell>
        </row>
        <row r="7175">
          <cell r="E7175" t="str">
            <v>ST MATTHEWSSCMOBILEAL</v>
          </cell>
          <cell r="F7175">
            <v>1410</v>
          </cell>
        </row>
        <row r="7176">
          <cell r="E7176" t="str">
            <v>ST MATTHEWSSCINDIANOLAMS</v>
          </cell>
          <cell r="F7176">
            <v>1600</v>
          </cell>
        </row>
        <row r="7177">
          <cell r="E7177" t="str">
            <v>ST MATTHEWSSCRAYVILLELA</v>
          </cell>
          <cell r="F7177">
            <v>1780</v>
          </cell>
        </row>
        <row r="7178">
          <cell r="E7178" t="str">
            <v>ST MATTHEWSSCMEMPHISTN</v>
          </cell>
          <cell r="F7178">
            <v>1580</v>
          </cell>
        </row>
        <row r="7179">
          <cell r="E7179" t="str">
            <v>ST MATTHEWSSCBLYTHEVILLEAR</v>
          </cell>
          <cell r="F7179">
            <v>1720</v>
          </cell>
        </row>
        <row r="7180">
          <cell r="E7180" t="str">
            <v>ST MATTHEWSSCMOCKSVILLENC</v>
          </cell>
          <cell r="F7180">
            <v>620</v>
          </cell>
        </row>
        <row r="7181">
          <cell r="E7181" t="str">
            <v>ST MATTHEWSSCKINSTONNC</v>
          </cell>
          <cell r="F7181">
            <v>760</v>
          </cell>
        </row>
        <row r="7182">
          <cell r="E7182" t="str">
            <v>ST MATTHEWSSCTALLULAHLA</v>
          </cell>
          <cell r="F7182">
            <v>1710</v>
          </cell>
        </row>
        <row r="7183">
          <cell r="E7183" t="str">
            <v>ST MATTHEWSSCGREENWOODMS</v>
          </cell>
          <cell r="F7183">
            <v>1530</v>
          </cell>
        </row>
        <row r="7184">
          <cell r="E7184" t="str">
            <v>ST MATTHEWSSCGAINESVILLEGA</v>
          </cell>
          <cell r="F7184">
            <v>680</v>
          </cell>
        </row>
        <row r="7185">
          <cell r="E7185" t="str">
            <v>ST MATTHEWSSCCENTREAL</v>
          </cell>
          <cell r="F7185">
            <v>920</v>
          </cell>
        </row>
        <row r="7186">
          <cell r="E7186" t="str">
            <v>ST MATTHEWSSCNEW ORLEANSLA</v>
          </cell>
          <cell r="F7186">
            <v>1720</v>
          </cell>
        </row>
        <row r="7187">
          <cell r="E7187" t="str">
            <v>ST MATTHEWSSCLEXINGTONNC</v>
          </cell>
          <cell r="F7187">
            <v>610</v>
          </cell>
        </row>
        <row r="7188">
          <cell r="E7188" t="str">
            <v>ST MATTHEWSSCMARIONAR</v>
          </cell>
          <cell r="F7188">
            <v>1590</v>
          </cell>
        </row>
        <row r="7189">
          <cell r="E7189" t="str">
            <v>ST MATTHEWSSCMONEYMS</v>
          </cell>
          <cell r="F7189">
            <v>1570</v>
          </cell>
        </row>
        <row r="7190">
          <cell r="E7190" t="str">
            <v>ST MATTHEWSSCROSSVILLETN</v>
          </cell>
          <cell r="F7190">
            <v>1560</v>
          </cell>
        </row>
        <row r="7191">
          <cell r="E7191" t="str">
            <v>ST MATTHEWSSCTHOMASVILLENC</v>
          </cell>
          <cell r="F7191">
            <v>630</v>
          </cell>
        </row>
        <row r="7192">
          <cell r="E7192" t="str">
            <v>ST MATTHEWSSCDREWMS</v>
          </cell>
          <cell r="F7192">
            <v>1620</v>
          </cell>
        </row>
        <row r="7193">
          <cell r="E7193" t="str">
            <v>ST MATTHEWSSCTUNICAMS</v>
          </cell>
          <cell r="F7193">
            <v>1600</v>
          </cell>
        </row>
        <row r="7194">
          <cell r="E7194" t="str">
            <v>ST MATTHEWSSCMCCALLAAL</v>
          </cell>
          <cell r="F7194">
            <v>1090</v>
          </cell>
        </row>
        <row r="7195">
          <cell r="E7195" t="str">
            <v>ST MATTHEWSSCWEST MEMPHISAR</v>
          </cell>
          <cell r="F7195">
            <v>1580</v>
          </cell>
        </row>
        <row r="7196">
          <cell r="E7196" t="str">
            <v>ST MATTHEWSSCMINERAL SPRINGSNC</v>
          </cell>
          <cell r="F7196">
            <v>510</v>
          </cell>
        </row>
        <row r="7197">
          <cell r="E7197" t="str">
            <v>ST MATTHEWSSCRABUN GAPGA</v>
          </cell>
          <cell r="F7197">
            <v>690</v>
          </cell>
        </row>
        <row r="7198">
          <cell r="E7198" t="str">
            <v>ST MATTHEWSSCGREENWOODSC</v>
          </cell>
          <cell r="F7198">
            <v>510</v>
          </cell>
        </row>
        <row r="7199">
          <cell r="E7199" t="str">
            <v>ST MATTHEWSSCINDIAN LANDSC</v>
          </cell>
          <cell r="F7199">
            <v>510</v>
          </cell>
        </row>
        <row r="7200">
          <cell r="E7200" t="str">
            <v>ST MATTHEWSSCROCKINGHAMNC</v>
          </cell>
          <cell r="F7200">
            <v>520</v>
          </cell>
        </row>
        <row r="7201">
          <cell r="E7201" t="str">
            <v>ST MATTHEWSSCENOREESC</v>
          </cell>
          <cell r="F7201">
            <v>480</v>
          </cell>
        </row>
        <row r="7202">
          <cell r="E7202" t="str">
            <v>ST MATTHEWSSCGULFPORTMS</v>
          </cell>
          <cell r="F7202">
            <v>1670</v>
          </cell>
        </row>
        <row r="7203">
          <cell r="E7203" t="str">
            <v>ST MATTHEWSSCRINCONGA</v>
          </cell>
          <cell r="F7203">
            <v>630</v>
          </cell>
        </row>
        <row r="7204">
          <cell r="E7204" t="str">
            <v>ST MATTHEWSSCGarden CityGA</v>
          </cell>
          <cell r="F7204">
            <v>620</v>
          </cell>
        </row>
        <row r="7205">
          <cell r="E7205" t="str">
            <v>ST MATTHEWSSCPORT WENTWORTHGA</v>
          </cell>
          <cell r="F7205">
            <v>620</v>
          </cell>
        </row>
        <row r="7206">
          <cell r="E7206" t="str">
            <v>ST MATTHEWSSCCHARLOTTENC</v>
          </cell>
          <cell r="F7206">
            <v>520</v>
          </cell>
        </row>
        <row r="7207">
          <cell r="E7207" t="str">
            <v>ST MATTHEWSSCBELMONTNC</v>
          </cell>
          <cell r="F7207">
            <v>530</v>
          </cell>
        </row>
        <row r="7208">
          <cell r="E7208" t="str">
            <v>ST MATTHEWSSCMAYODANNC</v>
          </cell>
          <cell r="F7208">
            <v>690</v>
          </cell>
        </row>
        <row r="7209">
          <cell r="E7209" t="str">
            <v>ST MATTHEWSSCSTONEVILLENC</v>
          </cell>
          <cell r="F7209">
            <v>700</v>
          </cell>
        </row>
        <row r="7210">
          <cell r="E7210" t="str">
            <v>ST MATTHEWSSCSANFORDNC</v>
          </cell>
          <cell r="F7210">
            <v>600</v>
          </cell>
        </row>
        <row r="7211">
          <cell r="E7211" t="str">
            <v>ST MATTHEWSSCLOWELLNC</v>
          </cell>
          <cell r="F7211">
            <v>540</v>
          </cell>
        </row>
        <row r="7212">
          <cell r="E7212" t="str">
            <v>ST MATTHEWSSCLUMBERTONNC</v>
          </cell>
          <cell r="F7212">
            <v>540</v>
          </cell>
        </row>
        <row r="7213">
          <cell r="E7213" t="str">
            <v>ST MATTHEWSSCNORFOLKVA</v>
          </cell>
          <cell r="F7213">
            <v>1050</v>
          </cell>
        </row>
        <row r="7214">
          <cell r="E7214" t="str">
            <v>ST MATTHEWSSCDAWSONGA</v>
          </cell>
          <cell r="F7214">
            <v>920</v>
          </cell>
        </row>
        <row r="7215">
          <cell r="E7215" t="str">
            <v>ST MATTHEWSSCGASTONIANC</v>
          </cell>
          <cell r="F7215">
            <v>550</v>
          </cell>
        </row>
        <row r="7216">
          <cell r="E7216" t="str">
            <v>ST MATTHEWSSCGREERSC</v>
          </cell>
          <cell r="F7216">
            <v>530</v>
          </cell>
        </row>
        <row r="7217">
          <cell r="E7217" t="str">
            <v>ST MATTHEWSSCPORTSMOUTHVA</v>
          </cell>
          <cell r="F7217">
            <v>1020</v>
          </cell>
        </row>
        <row r="7218">
          <cell r="E7218" t="str">
            <v>ST MATTHEWSSCCLARKTONNC</v>
          </cell>
          <cell r="F7218">
            <v>580</v>
          </cell>
        </row>
        <row r="7219">
          <cell r="E7219" t="str">
            <v>ST MATTHEWSSCGAFFNEYSC</v>
          </cell>
          <cell r="F7219">
            <v>550</v>
          </cell>
        </row>
        <row r="7220">
          <cell r="E7220" t="str">
            <v>ST MATTHEWSSCJACKSONVILLEFL</v>
          </cell>
          <cell r="F7220">
            <v>730</v>
          </cell>
        </row>
        <row r="7221">
          <cell r="E7221" t="str">
            <v>ST MATTHEWSSCEDENTONNC</v>
          </cell>
          <cell r="F7221">
            <v>940</v>
          </cell>
        </row>
        <row r="7222">
          <cell r="E7222" t="str">
            <v>ST MATTHEWSSCGRIFTONNC</v>
          </cell>
          <cell r="F7222">
            <v>890</v>
          </cell>
        </row>
        <row r="7223">
          <cell r="E7223" t="str">
            <v>ST MATTHEWSSCSHELBYNC</v>
          </cell>
          <cell r="F7223">
            <v>580</v>
          </cell>
        </row>
        <row r="7224">
          <cell r="E7224" t="str">
            <v>ST MATTHEWSSCSALISBURYNC</v>
          </cell>
          <cell r="F7224">
            <v>590</v>
          </cell>
        </row>
        <row r="7225">
          <cell r="E7225" t="str">
            <v>ST MATTHEWSSCHICKORYNC</v>
          </cell>
          <cell r="F7225">
            <v>600</v>
          </cell>
        </row>
        <row r="7226">
          <cell r="E7226" t="str">
            <v>ST MATTHEWSSCERWINNC</v>
          </cell>
          <cell r="F7226">
            <v>640</v>
          </cell>
        </row>
        <row r="7227">
          <cell r="E7227" t="str">
            <v>ST MATTHEWSSCSPARTANC</v>
          </cell>
          <cell r="F7227">
            <v>680</v>
          </cell>
        </row>
        <row r="7228">
          <cell r="E7228" t="str">
            <v>ST. JOSEPHLABaytownTX</v>
          </cell>
          <cell r="F7228">
            <v>709</v>
          </cell>
        </row>
        <row r="7229">
          <cell r="E7229" t="str">
            <v>ST. JOSEPHLAHoustonTX</v>
          </cell>
          <cell r="F7229">
            <v>711</v>
          </cell>
        </row>
        <row r="7230">
          <cell r="E7230" t="str">
            <v>STAMFORDTXBaytownTX</v>
          </cell>
          <cell r="F7230">
            <v>828</v>
          </cell>
        </row>
        <row r="7231">
          <cell r="E7231" t="str">
            <v>STAMFORDTXHoustonTX</v>
          </cell>
          <cell r="F7231">
            <v>800</v>
          </cell>
        </row>
        <row r="7232">
          <cell r="E7232" t="str">
            <v>STAMFORDTXDallasTX</v>
          </cell>
          <cell r="F7232">
            <v>476</v>
          </cell>
        </row>
        <row r="7233">
          <cell r="E7233" t="str">
            <v>STAMFORDTXHOUSTONTX</v>
          </cell>
          <cell r="F7233">
            <v>2284</v>
          </cell>
        </row>
        <row r="7234">
          <cell r="E7234" t="str">
            <v>STAMFORDTXWESLACOTX</v>
          </cell>
          <cell r="F7234">
            <v>1061</v>
          </cell>
        </row>
        <row r="7235">
          <cell r="E7235" t="str">
            <v>STANTONTXHoustonTX</v>
          </cell>
          <cell r="F7235">
            <v>1029</v>
          </cell>
        </row>
        <row r="7236">
          <cell r="E7236" t="str">
            <v>STANTONTXDallasTX</v>
          </cell>
          <cell r="F7236">
            <v>524</v>
          </cell>
        </row>
        <row r="7237">
          <cell r="E7237" t="str">
            <v>STANTONTXBaytownTX</v>
          </cell>
          <cell r="F7237">
            <v>1045</v>
          </cell>
        </row>
        <row r="7238">
          <cell r="E7238" t="str">
            <v>STANTONTXHASLETTX</v>
          </cell>
          <cell r="F7238">
            <v>1172</v>
          </cell>
        </row>
        <row r="7239">
          <cell r="E7239" t="str">
            <v>STANTONTXHOUSTONTX</v>
          </cell>
          <cell r="F7239">
            <v>2456</v>
          </cell>
        </row>
        <row r="7240">
          <cell r="E7240" t="str">
            <v>STANTONTXWILMERTX</v>
          </cell>
          <cell r="F7240">
            <v>1299</v>
          </cell>
        </row>
        <row r="7241">
          <cell r="E7241" t="str">
            <v>STANTONTXWYLIETX</v>
          </cell>
        </row>
        <row r="7242">
          <cell r="E7242" t="str">
            <v>STANTONTXWESLACOTX</v>
          </cell>
          <cell r="F7242">
            <v>1124</v>
          </cell>
        </row>
        <row r="7243">
          <cell r="E7243" t="str">
            <v>STATESBOROGATHOMASVILLENC</v>
          </cell>
          <cell r="F7243">
            <v>850</v>
          </cell>
        </row>
        <row r="7244">
          <cell r="E7244" t="str">
            <v>STATESBOROGAROSSVILLETN</v>
          </cell>
          <cell r="F7244">
            <v>1470</v>
          </cell>
        </row>
        <row r="7245">
          <cell r="E7245" t="str">
            <v>STATESBOROGAKINSTONNC</v>
          </cell>
          <cell r="F7245">
            <v>990</v>
          </cell>
        </row>
        <row r="7246">
          <cell r="E7246" t="str">
            <v>STATESBOROGAMAYODANNC</v>
          </cell>
          <cell r="F7246">
            <v>940</v>
          </cell>
        </row>
        <row r="7247">
          <cell r="E7247" t="str">
            <v>STATESBOROGAMONEYMS</v>
          </cell>
          <cell r="F7247">
            <v>1480</v>
          </cell>
        </row>
        <row r="7248">
          <cell r="E7248" t="str">
            <v>STATESBOROGACHARLOTTENC</v>
          </cell>
          <cell r="F7248">
            <v>700</v>
          </cell>
        </row>
        <row r="7249">
          <cell r="E7249" t="str">
            <v>STATESBOROGADREWMS</v>
          </cell>
          <cell r="F7249">
            <v>1530</v>
          </cell>
        </row>
        <row r="7250">
          <cell r="E7250" t="str">
            <v>STATESBOROGACENTREAL</v>
          </cell>
          <cell r="F7250">
            <v>820</v>
          </cell>
        </row>
        <row r="7251">
          <cell r="E7251" t="str">
            <v>STATESBOROGAINDIANOLAMS</v>
          </cell>
          <cell r="F7251">
            <v>1510</v>
          </cell>
        </row>
        <row r="7252">
          <cell r="E7252" t="str">
            <v>STATESBOROGASTONEVILLENC</v>
          </cell>
          <cell r="F7252">
            <v>950</v>
          </cell>
        </row>
        <row r="7253">
          <cell r="E7253" t="str">
            <v>STATESBOROGARAYVILLELA</v>
          </cell>
          <cell r="F7253">
            <v>1690</v>
          </cell>
        </row>
        <row r="7254">
          <cell r="E7254" t="str">
            <v>STATESBOROGAPORTSMOUTHVA</v>
          </cell>
          <cell r="F7254">
            <v>1260</v>
          </cell>
        </row>
        <row r="7255">
          <cell r="E7255" t="str">
            <v>STATESBOROGAMOCKSVILLENC</v>
          </cell>
          <cell r="F7255">
            <v>830</v>
          </cell>
        </row>
        <row r="7256">
          <cell r="E7256" t="str">
            <v>STATESBOROGANEW ORLEANSLA</v>
          </cell>
          <cell r="F7256">
            <v>1500</v>
          </cell>
        </row>
        <row r="7257">
          <cell r="E7257" t="str">
            <v>STATESBOROGAEDENTONNC</v>
          </cell>
          <cell r="F7257">
            <v>1170</v>
          </cell>
        </row>
        <row r="7258">
          <cell r="E7258" t="str">
            <v>STATESBOROGABELMONTNC</v>
          </cell>
          <cell r="F7258">
            <v>710</v>
          </cell>
        </row>
        <row r="7259">
          <cell r="E7259" t="str">
            <v>STATESBOROGASALISBURYNC</v>
          </cell>
          <cell r="F7259">
            <v>790</v>
          </cell>
        </row>
        <row r="7260">
          <cell r="E7260" t="str">
            <v>STATESBOROGASHELBYNC</v>
          </cell>
          <cell r="F7260">
            <v>690</v>
          </cell>
        </row>
        <row r="7261">
          <cell r="E7261" t="str">
            <v>STATESBOROGAMINERAL SPRINGSNC</v>
          </cell>
          <cell r="F7261">
            <v>690</v>
          </cell>
        </row>
        <row r="7262">
          <cell r="E7262" t="str">
            <v>STATESBOROGAMEMPHISTN</v>
          </cell>
          <cell r="F7262">
            <v>1490</v>
          </cell>
        </row>
        <row r="7263">
          <cell r="E7263" t="str">
            <v>STATESBOROGABLYTHEVILLEAR</v>
          </cell>
          <cell r="F7263">
            <v>1630</v>
          </cell>
        </row>
        <row r="7264">
          <cell r="E7264" t="str">
            <v>STATESBOROGAGASTONIANC</v>
          </cell>
          <cell r="F7264">
            <v>730</v>
          </cell>
        </row>
        <row r="7265">
          <cell r="E7265" t="str">
            <v>STATESBOROGAECLECTICAL</v>
          </cell>
          <cell r="F7265">
            <v>810</v>
          </cell>
        </row>
        <row r="7266">
          <cell r="E7266" t="str">
            <v>STATESBOROGAHICKORYNC</v>
          </cell>
          <cell r="F7266">
            <v>810</v>
          </cell>
        </row>
        <row r="7267">
          <cell r="E7267" t="str">
            <v>STATESBOROGAMOBILEAL</v>
          </cell>
          <cell r="F7267">
            <v>1190</v>
          </cell>
        </row>
        <row r="7268">
          <cell r="E7268" t="str">
            <v>STATESBOROGAERWINNC</v>
          </cell>
          <cell r="F7268">
            <v>840</v>
          </cell>
        </row>
        <row r="7269">
          <cell r="E7269" t="str">
            <v>STATESBOROGASANFORDNC</v>
          </cell>
          <cell r="F7269">
            <v>840</v>
          </cell>
        </row>
        <row r="7270">
          <cell r="E7270" t="str">
            <v>STATESBOROGALOWELLNC</v>
          </cell>
          <cell r="F7270">
            <v>720</v>
          </cell>
        </row>
        <row r="7271">
          <cell r="E7271" t="str">
            <v>STATESBOROGALUMBERTONNC</v>
          </cell>
          <cell r="F7271">
            <v>700</v>
          </cell>
        </row>
        <row r="7272">
          <cell r="E7272" t="str">
            <v>STATESBOROGAGREENWOODMS</v>
          </cell>
          <cell r="F7272">
            <v>1440</v>
          </cell>
        </row>
        <row r="7273">
          <cell r="E7273" t="str">
            <v>STATESBOROGALEXINGTONNC</v>
          </cell>
          <cell r="F7273">
            <v>820</v>
          </cell>
        </row>
        <row r="7274">
          <cell r="E7274" t="str">
            <v>STATESBOROGANORFOLKVA</v>
          </cell>
          <cell r="F7274">
            <v>1280</v>
          </cell>
        </row>
        <row r="7275">
          <cell r="E7275" t="str">
            <v>STATESBOROGAGAINESVILLEGA</v>
          </cell>
          <cell r="F7275">
            <v>650</v>
          </cell>
        </row>
        <row r="7276">
          <cell r="E7276" t="str">
            <v>STATESBOROGAGREENWOODSC</v>
          </cell>
          <cell r="F7276">
            <v>540</v>
          </cell>
        </row>
        <row r="7277">
          <cell r="E7277" t="str">
            <v>STATESBOROGATALLULAHLA</v>
          </cell>
          <cell r="F7277">
            <v>1610</v>
          </cell>
        </row>
        <row r="7278">
          <cell r="E7278" t="str">
            <v>STATESBOROGARABUN GAPGA</v>
          </cell>
          <cell r="F7278">
            <v>740</v>
          </cell>
        </row>
        <row r="7279">
          <cell r="E7279" t="str">
            <v>STATESBOROGATUNICAMS</v>
          </cell>
          <cell r="F7279">
            <v>1510</v>
          </cell>
        </row>
        <row r="7280">
          <cell r="E7280" t="str">
            <v>STATESBOROGAMCCALLAAL</v>
          </cell>
          <cell r="F7280">
            <v>1000</v>
          </cell>
        </row>
        <row r="7281">
          <cell r="E7281" t="str">
            <v>STATESBOROGAWEST MEMPHISAR</v>
          </cell>
          <cell r="F7281">
            <v>1490</v>
          </cell>
        </row>
        <row r="7282">
          <cell r="E7282" t="str">
            <v>STATESBOROGAGREERSC</v>
          </cell>
          <cell r="F7282">
            <v>640</v>
          </cell>
        </row>
        <row r="7283">
          <cell r="E7283" t="str">
            <v>STATESBOROGAENOREESC</v>
          </cell>
          <cell r="F7283">
            <v>610</v>
          </cell>
        </row>
        <row r="7284">
          <cell r="E7284" t="str">
            <v>STATESBOROGAMARIONAR</v>
          </cell>
          <cell r="F7284">
            <v>1500</v>
          </cell>
        </row>
        <row r="7285">
          <cell r="E7285" t="str">
            <v>STATESBOROGAGRIFTONNC</v>
          </cell>
          <cell r="F7285">
            <v>1120</v>
          </cell>
        </row>
        <row r="7286">
          <cell r="E7286" t="str">
            <v>STATESBOROGAGULFPORTMS</v>
          </cell>
          <cell r="F7286">
            <v>1450</v>
          </cell>
        </row>
        <row r="7287">
          <cell r="E7287" t="str">
            <v>STATESBOROGAROCKFORDTN</v>
          </cell>
          <cell r="F7287">
            <v>1000</v>
          </cell>
        </row>
        <row r="7288">
          <cell r="E7288" t="str">
            <v>STATESBOROGAPORT WENTWORTHGA</v>
          </cell>
          <cell r="F7288">
            <v>500</v>
          </cell>
        </row>
        <row r="7289">
          <cell r="E7289" t="str">
            <v>STATESBOROGAGarden CityGA</v>
          </cell>
          <cell r="F7289">
            <v>490</v>
          </cell>
        </row>
        <row r="7290">
          <cell r="E7290" t="str">
            <v>STATESBOROGARINCONGA</v>
          </cell>
          <cell r="F7290">
            <v>490</v>
          </cell>
        </row>
        <row r="7291">
          <cell r="E7291" t="str">
            <v>STATESBOROGACARTERSVILLEGA</v>
          </cell>
          <cell r="F7291">
            <v>740</v>
          </cell>
        </row>
        <row r="7292">
          <cell r="E7292" t="str">
            <v>STATESBOROGAROCKINGHAMNC</v>
          </cell>
          <cell r="F7292">
            <v>690</v>
          </cell>
        </row>
        <row r="7293">
          <cell r="E7293" t="str">
            <v>STATESBOROGASPARTANC</v>
          </cell>
          <cell r="F7293">
            <v>920</v>
          </cell>
        </row>
        <row r="7294">
          <cell r="E7294" t="str">
            <v>STATESBOROGACLARKTONNC</v>
          </cell>
          <cell r="F7294">
            <v>750</v>
          </cell>
        </row>
        <row r="7295">
          <cell r="E7295" t="str">
            <v>STATESBOROGAINDIAN LANDSC</v>
          </cell>
          <cell r="F7295">
            <v>680</v>
          </cell>
        </row>
        <row r="7296">
          <cell r="E7296" t="str">
            <v>STATESBOROGAGAFFNEYSC</v>
          </cell>
          <cell r="F7296">
            <v>680</v>
          </cell>
        </row>
        <row r="7297">
          <cell r="E7297" t="str">
            <v>STATESBOROGAJACKSONVILLEFL</v>
          </cell>
          <cell r="F7297">
            <v>590</v>
          </cell>
        </row>
        <row r="7298">
          <cell r="E7298" t="str">
            <v>STATESBOROGADAWSONGA</v>
          </cell>
          <cell r="F7298">
            <v>640</v>
          </cell>
        </row>
        <row r="7299">
          <cell r="E7299" t="str">
            <v>STATESBOROGAWESLACOTX</v>
          </cell>
          <cell r="F7299">
            <v>2385</v>
          </cell>
        </row>
        <row r="7300">
          <cell r="E7300" t="str">
            <v>SUDANTXDallasTX</v>
          </cell>
          <cell r="F7300">
            <v>599</v>
          </cell>
        </row>
        <row r="7301">
          <cell r="E7301" t="str">
            <v>SUDANTXBaytownTX</v>
          </cell>
          <cell r="F7301">
            <v>1165</v>
          </cell>
        </row>
        <row r="7302">
          <cell r="E7302" t="str">
            <v>SUDANTXHoustonTX</v>
          </cell>
          <cell r="F7302">
            <v>1137</v>
          </cell>
        </row>
        <row r="7303">
          <cell r="E7303" t="str">
            <v>SUDANTXHASLETTX</v>
          </cell>
          <cell r="F7303">
            <v>1706</v>
          </cell>
        </row>
        <row r="7304">
          <cell r="E7304" t="str">
            <v>SUDANTXHOUSTONTX</v>
          </cell>
          <cell r="F7304">
            <v>2943</v>
          </cell>
        </row>
        <row r="7305">
          <cell r="E7305" t="str">
            <v>SUDANTXWILMERTX</v>
          </cell>
          <cell r="F7305">
            <v>1849</v>
          </cell>
        </row>
        <row r="7306">
          <cell r="E7306" t="str">
            <v>SUDANTXWYLIETX</v>
          </cell>
        </row>
        <row r="7307">
          <cell r="E7307" t="str">
            <v>SUDANTXWESLACOTX</v>
          </cell>
          <cell r="F7307">
            <v>1386</v>
          </cell>
        </row>
        <row r="7308">
          <cell r="E7308" t="str">
            <v>SUFFOLKVAROCKFORDTN</v>
          </cell>
          <cell r="F7308">
            <v>1280</v>
          </cell>
        </row>
        <row r="7309">
          <cell r="E7309" t="str">
            <v>SUFFOLKVAGAFFNEYSC</v>
          </cell>
          <cell r="F7309">
            <v>920</v>
          </cell>
        </row>
        <row r="7310">
          <cell r="E7310" t="str">
            <v>SUFFOLKVAHICKORYNC</v>
          </cell>
          <cell r="F7310">
            <v>820</v>
          </cell>
        </row>
        <row r="7311">
          <cell r="E7311" t="str">
            <v>SUFFOLKVAGREERSC</v>
          </cell>
          <cell r="F7311">
            <v>1000</v>
          </cell>
        </row>
        <row r="7312">
          <cell r="E7312" t="str">
            <v>SUFFOLKVASHELBYNC</v>
          </cell>
          <cell r="F7312">
            <v>900</v>
          </cell>
        </row>
        <row r="7313">
          <cell r="E7313" t="str">
            <v>SUFFOLKVAGASTONIANC</v>
          </cell>
          <cell r="F7313">
            <v>850</v>
          </cell>
        </row>
        <row r="7314">
          <cell r="E7314" t="str">
            <v>SUFFOLKVABELMONTNC</v>
          </cell>
          <cell r="F7314">
            <v>830</v>
          </cell>
        </row>
        <row r="7315">
          <cell r="E7315" t="str">
            <v>SUFFOLKVALEXINGTONNC</v>
          </cell>
          <cell r="F7315">
            <v>690</v>
          </cell>
        </row>
        <row r="7316">
          <cell r="E7316" t="str">
            <v>SUFFOLKVAMONEYMS</v>
          </cell>
          <cell r="F7316">
            <v>2210</v>
          </cell>
        </row>
        <row r="7317">
          <cell r="E7317" t="str">
            <v>SUFFOLKVACHARLOTTENC</v>
          </cell>
          <cell r="F7317">
            <v>810</v>
          </cell>
        </row>
        <row r="7318">
          <cell r="E7318" t="str">
            <v>SUFFOLKVAGREENWOODSC</v>
          </cell>
          <cell r="F7318">
            <v>1120</v>
          </cell>
        </row>
        <row r="7319">
          <cell r="E7319" t="str">
            <v>SUFFOLKVALOWELLNC</v>
          </cell>
          <cell r="F7319">
            <v>840</v>
          </cell>
        </row>
        <row r="7320">
          <cell r="E7320" t="str">
            <v>SUFFOLKVADREWMS</v>
          </cell>
          <cell r="F7320">
            <v>2260</v>
          </cell>
        </row>
        <row r="7321">
          <cell r="E7321" t="str">
            <v>SUFFOLKVACARTERSVILLEGA</v>
          </cell>
          <cell r="F7321">
            <v>1430</v>
          </cell>
        </row>
        <row r="7322">
          <cell r="E7322" t="str">
            <v>SUFFOLKVAMCCALLAAL</v>
          </cell>
          <cell r="F7322">
            <v>1730</v>
          </cell>
        </row>
        <row r="7323">
          <cell r="E7323" t="str">
            <v>SUFFOLKVAJACKSONVILLEFL</v>
          </cell>
          <cell r="F7323">
            <v>1460</v>
          </cell>
        </row>
        <row r="7324">
          <cell r="E7324" t="str">
            <v>SUFFOLKVASALISBURYNC</v>
          </cell>
          <cell r="F7324">
            <v>720</v>
          </cell>
        </row>
        <row r="7325">
          <cell r="E7325" t="str">
            <v>SUFFOLKVAMOCKSVILLENC</v>
          </cell>
          <cell r="F7325">
            <v>720</v>
          </cell>
        </row>
        <row r="7326">
          <cell r="E7326" t="str">
            <v>SUFFOLKVANEW ORLEANSLA</v>
          </cell>
          <cell r="F7326">
            <v>2400</v>
          </cell>
        </row>
        <row r="7327">
          <cell r="E7327" t="str">
            <v>SUFFOLKVAMOBILEAL</v>
          </cell>
          <cell r="F7327">
            <v>2090</v>
          </cell>
        </row>
        <row r="7328">
          <cell r="E7328" t="str">
            <v>SUFFOLKVAENOREESC</v>
          </cell>
          <cell r="F7328">
            <v>1030</v>
          </cell>
        </row>
        <row r="7329">
          <cell r="E7329" t="str">
            <v>SUFFOLKVABLYTHEVILLEAR</v>
          </cell>
          <cell r="F7329">
            <v>2140</v>
          </cell>
        </row>
        <row r="7330">
          <cell r="E7330" t="str">
            <v>SUFFOLKVADAWSONGA</v>
          </cell>
          <cell r="F7330">
            <v>1650</v>
          </cell>
        </row>
        <row r="7331">
          <cell r="E7331" t="str">
            <v>SUFFOLKVAGAINESVILLEGA</v>
          </cell>
          <cell r="F7331">
            <v>1270</v>
          </cell>
        </row>
        <row r="7332">
          <cell r="E7332" t="str">
            <v>SUFFOLKVASTONEVILLENC</v>
          </cell>
          <cell r="F7332">
            <v>630</v>
          </cell>
        </row>
        <row r="7333">
          <cell r="E7333" t="str">
            <v>SUFFOLKVAINDIANOLAMS</v>
          </cell>
          <cell r="F7333">
            <v>2240</v>
          </cell>
        </row>
        <row r="7334">
          <cell r="E7334" t="str">
            <v>SUFFOLKVAWEST MEMPHISAR</v>
          </cell>
          <cell r="F7334">
            <v>2130</v>
          </cell>
        </row>
        <row r="7335">
          <cell r="E7335" t="str">
            <v>SUFFOLKVARAYVILLELA</v>
          </cell>
          <cell r="F7335">
            <v>2420</v>
          </cell>
        </row>
        <row r="7336">
          <cell r="E7336" t="str">
            <v>SUFFOLKVAECLECTICAL</v>
          </cell>
          <cell r="F7336">
            <v>1710</v>
          </cell>
        </row>
        <row r="7337">
          <cell r="E7337" t="str">
            <v>SUFFOLKVAMEMPHISTN</v>
          </cell>
          <cell r="F7337">
            <v>2150</v>
          </cell>
        </row>
        <row r="7338">
          <cell r="E7338" t="str">
            <v>SUFFOLKVAERWINNC</v>
          </cell>
          <cell r="F7338">
            <v>580</v>
          </cell>
        </row>
        <row r="7339">
          <cell r="E7339" t="str">
            <v>SUFFOLKVASPARTANC</v>
          </cell>
          <cell r="F7339">
            <v>820</v>
          </cell>
        </row>
        <row r="7340">
          <cell r="E7340" t="str">
            <v>SUFFOLKVAMARIONAR</v>
          </cell>
          <cell r="F7340">
            <v>2130</v>
          </cell>
        </row>
        <row r="7341">
          <cell r="E7341" t="str">
            <v>SUFFOLKVAMAYODANNC</v>
          </cell>
          <cell r="F7341">
            <v>630</v>
          </cell>
        </row>
        <row r="7342">
          <cell r="E7342" t="str">
            <v>SUFFOLKVATHOMASVILLENC</v>
          </cell>
          <cell r="F7342">
            <v>670</v>
          </cell>
        </row>
        <row r="7343">
          <cell r="E7343" t="str">
            <v>SUFFOLKVAINDIAN LANDSC</v>
          </cell>
          <cell r="F7343">
            <v>860</v>
          </cell>
        </row>
        <row r="7344">
          <cell r="E7344" t="str">
            <v>SUFFOLKVATUNICAMS</v>
          </cell>
          <cell r="F7344">
            <v>2190</v>
          </cell>
        </row>
        <row r="7345">
          <cell r="E7345" t="str">
            <v>SUFFOLKVAROSSVILLETN</v>
          </cell>
          <cell r="F7345">
            <v>2120</v>
          </cell>
        </row>
        <row r="7346">
          <cell r="E7346" t="str">
            <v>SUFFOLKVACENTREAL</v>
          </cell>
          <cell r="F7346">
            <v>1540</v>
          </cell>
        </row>
        <row r="7347">
          <cell r="E7347" t="str">
            <v>SUFFOLKVATALLULAHLA</v>
          </cell>
          <cell r="F7347">
            <v>2340</v>
          </cell>
        </row>
        <row r="7348">
          <cell r="E7348" t="str">
            <v>SUFFOLKVAGREENWOODMS</v>
          </cell>
          <cell r="F7348">
            <v>2170</v>
          </cell>
        </row>
        <row r="7349">
          <cell r="E7349" t="str">
            <v>SUFFOLKVAPORT WENTWORTHGA</v>
          </cell>
          <cell r="F7349">
            <v>1260</v>
          </cell>
        </row>
        <row r="7350">
          <cell r="E7350" t="str">
            <v>SUFFOLKVARABUN GAPGA</v>
          </cell>
          <cell r="F7350">
            <v>1260</v>
          </cell>
        </row>
        <row r="7351">
          <cell r="E7351" t="str">
            <v>SUFFOLKVARINCONGA</v>
          </cell>
          <cell r="F7351">
            <v>1270</v>
          </cell>
        </row>
        <row r="7352">
          <cell r="E7352" t="str">
            <v>SUFFOLKVASANFORDNC</v>
          </cell>
          <cell r="F7352">
            <v>620</v>
          </cell>
        </row>
        <row r="7353">
          <cell r="E7353" t="str">
            <v>SUFFOLKVAGarden CityGA</v>
          </cell>
          <cell r="F7353">
            <v>1270</v>
          </cell>
        </row>
        <row r="7354">
          <cell r="E7354" t="str">
            <v>SUFFOLKVAEDENTONNC</v>
          </cell>
          <cell r="F7354">
            <v>420</v>
          </cell>
        </row>
        <row r="7355">
          <cell r="E7355" t="str">
            <v>SUFFOLKVAKINSTONNC</v>
          </cell>
          <cell r="F7355">
            <v>520</v>
          </cell>
        </row>
        <row r="7356">
          <cell r="E7356" t="str">
            <v>SUFFOLKVAGULFPORTMS</v>
          </cell>
          <cell r="F7356">
            <v>2350</v>
          </cell>
        </row>
        <row r="7357">
          <cell r="E7357" t="str">
            <v>SUFFOLKVAGRIFTONNC</v>
          </cell>
          <cell r="F7357">
            <v>610</v>
          </cell>
        </row>
        <row r="7358">
          <cell r="E7358" t="str">
            <v>SUFFOLKVAMINERAL SPRINGSNC</v>
          </cell>
          <cell r="F7358">
            <v>830</v>
          </cell>
        </row>
        <row r="7359">
          <cell r="E7359" t="str">
            <v>SUFFOLKVALUMBERTONNC</v>
          </cell>
          <cell r="F7359">
            <v>670</v>
          </cell>
        </row>
        <row r="7360">
          <cell r="E7360" t="str">
            <v>SUFFOLKVAROCKINGHAMNC</v>
          </cell>
          <cell r="F7360">
            <v>710</v>
          </cell>
        </row>
        <row r="7361">
          <cell r="E7361" t="str">
            <v>SUFFOLKVAPORTSMOUTHVA</v>
          </cell>
          <cell r="F7361">
            <v>360</v>
          </cell>
        </row>
        <row r="7362">
          <cell r="E7362" t="str">
            <v>SUFFOLKVANORFOLKVA</v>
          </cell>
          <cell r="F7362">
            <v>380</v>
          </cell>
        </row>
        <row r="7363">
          <cell r="E7363" t="str">
            <v>SUFFOLKVACLARKTONNC</v>
          </cell>
          <cell r="F7363">
            <v>670</v>
          </cell>
        </row>
        <row r="7364">
          <cell r="E7364" t="str">
            <v>SURRENCYGAROCKFORDTN</v>
          </cell>
          <cell r="F7364">
            <v>1130</v>
          </cell>
        </row>
        <row r="7365">
          <cell r="E7365" t="str">
            <v>SURRENCYGACARTERSVILLEGA</v>
          </cell>
          <cell r="F7365">
            <v>740</v>
          </cell>
        </row>
        <row r="7366">
          <cell r="E7366" t="str">
            <v>SURRENCYGAGASTONIANC</v>
          </cell>
          <cell r="F7366">
            <v>870</v>
          </cell>
        </row>
        <row r="7367">
          <cell r="E7367" t="str">
            <v>SURRENCYGAMINERAL SPRINGSNC</v>
          </cell>
          <cell r="F7367">
            <v>820</v>
          </cell>
        </row>
        <row r="7368">
          <cell r="E7368" t="str">
            <v>SURRENCYGAHICKORYNC</v>
          </cell>
          <cell r="F7368">
            <v>950</v>
          </cell>
        </row>
        <row r="7369">
          <cell r="E7369" t="str">
            <v>SURRENCYGAENOREESC</v>
          </cell>
          <cell r="F7369">
            <v>700</v>
          </cell>
        </row>
        <row r="7370">
          <cell r="E7370" t="str">
            <v>SURRENCYGABELMONTNC</v>
          </cell>
          <cell r="F7370">
            <v>850</v>
          </cell>
        </row>
        <row r="7371">
          <cell r="E7371" t="str">
            <v>SURRENCYGASANFORDNC</v>
          </cell>
          <cell r="F7371">
            <v>980</v>
          </cell>
        </row>
        <row r="7372">
          <cell r="E7372" t="str">
            <v>SURRENCYGASHELBYNC</v>
          </cell>
          <cell r="F7372">
            <v>830</v>
          </cell>
        </row>
        <row r="7373">
          <cell r="E7373" t="str">
            <v>SURRENCYGALOWELLNC</v>
          </cell>
          <cell r="F7373">
            <v>860</v>
          </cell>
        </row>
        <row r="7374">
          <cell r="E7374" t="str">
            <v>SURRENCYGACHARLOTTENC</v>
          </cell>
          <cell r="F7374">
            <v>840</v>
          </cell>
        </row>
        <row r="7375">
          <cell r="E7375" t="str">
            <v>SURRENCYGAGAINESVILLEGA</v>
          </cell>
          <cell r="F7375">
            <v>740</v>
          </cell>
        </row>
        <row r="7376">
          <cell r="E7376" t="str">
            <v>SURRENCYGALEXINGTONNC</v>
          </cell>
          <cell r="F7376">
            <v>970</v>
          </cell>
        </row>
        <row r="7377">
          <cell r="E7377" t="str">
            <v>SURRENCYGANORFOLKVA</v>
          </cell>
          <cell r="F7377">
            <v>1430</v>
          </cell>
        </row>
        <row r="7378">
          <cell r="E7378" t="str">
            <v>SURRENCYGARAYVILLELA</v>
          </cell>
          <cell r="F7378">
            <v>1550</v>
          </cell>
        </row>
        <row r="7379">
          <cell r="E7379" t="str">
            <v>SURRENCYGAMARIONAR</v>
          </cell>
          <cell r="F7379">
            <v>1510</v>
          </cell>
        </row>
        <row r="7380">
          <cell r="E7380" t="str">
            <v>SURRENCYGAMONEYMS</v>
          </cell>
          <cell r="F7380">
            <v>1490</v>
          </cell>
        </row>
        <row r="7381">
          <cell r="E7381" t="str">
            <v>SURRENCYGATUNICAMS</v>
          </cell>
          <cell r="F7381">
            <v>1520</v>
          </cell>
        </row>
        <row r="7382">
          <cell r="E7382" t="str">
            <v>SURRENCYGAMCCALLAAL</v>
          </cell>
          <cell r="F7382">
            <v>1010</v>
          </cell>
        </row>
        <row r="7383">
          <cell r="E7383" t="str">
            <v>SURRENCYGANEW ORLEANSLA</v>
          </cell>
          <cell r="F7383">
            <v>1410</v>
          </cell>
        </row>
        <row r="7384">
          <cell r="E7384" t="str">
            <v>SURRENCYGAROCKINGHAMNC</v>
          </cell>
          <cell r="F7384">
            <v>860</v>
          </cell>
        </row>
        <row r="7385">
          <cell r="E7385" t="str">
            <v>SURRENCYGAWEST MEMPHISAR</v>
          </cell>
          <cell r="F7385">
            <v>1500</v>
          </cell>
        </row>
        <row r="7386">
          <cell r="E7386" t="str">
            <v>SURRENCYGASPARTANC</v>
          </cell>
          <cell r="F7386">
            <v>1070</v>
          </cell>
        </row>
        <row r="7387">
          <cell r="E7387" t="str">
            <v>SURRENCYGAROSSVILLETN</v>
          </cell>
          <cell r="F7387">
            <v>1480</v>
          </cell>
        </row>
        <row r="7388">
          <cell r="E7388" t="str">
            <v>SURRENCYGAGREERSC</v>
          </cell>
          <cell r="F7388">
            <v>740</v>
          </cell>
        </row>
        <row r="7389">
          <cell r="E7389" t="str">
            <v>SURRENCYGAINDIAN LANDSC</v>
          </cell>
          <cell r="F7389">
            <v>820</v>
          </cell>
        </row>
        <row r="7390">
          <cell r="E7390" t="str">
            <v>SURRENCYGATHOMASVILLENC</v>
          </cell>
          <cell r="F7390">
            <v>1000</v>
          </cell>
        </row>
        <row r="7391">
          <cell r="E7391" t="str">
            <v>SURRENCYGAMOBILEAL</v>
          </cell>
          <cell r="F7391">
            <v>1090</v>
          </cell>
        </row>
        <row r="7392">
          <cell r="E7392" t="str">
            <v>SURRENCYGALUMBERTONNC</v>
          </cell>
          <cell r="F7392">
            <v>850</v>
          </cell>
        </row>
        <row r="7393">
          <cell r="E7393" t="str">
            <v>SURRENCYGAECLECTICAL</v>
          </cell>
          <cell r="F7393">
            <v>780</v>
          </cell>
        </row>
        <row r="7394">
          <cell r="E7394" t="str">
            <v>SURRENCYGADREWMS</v>
          </cell>
          <cell r="F7394">
            <v>1540</v>
          </cell>
        </row>
        <row r="7395">
          <cell r="E7395" t="str">
            <v>SURRENCYGACENTREAL</v>
          </cell>
          <cell r="F7395">
            <v>830</v>
          </cell>
        </row>
        <row r="7396">
          <cell r="E7396" t="str">
            <v>SURRENCYGAINDIANOLAMS</v>
          </cell>
          <cell r="F7396">
            <v>1520</v>
          </cell>
        </row>
        <row r="7397">
          <cell r="E7397" t="str">
            <v>SURRENCYGAPORTSMOUTHVA</v>
          </cell>
          <cell r="F7397">
            <v>1410</v>
          </cell>
        </row>
        <row r="7398">
          <cell r="E7398" t="str">
            <v>SURRENCYGAMOCKSVILLENC</v>
          </cell>
          <cell r="F7398">
            <v>970</v>
          </cell>
        </row>
        <row r="7399">
          <cell r="E7399" t="str">
            <v>SURRENCYGAKINSTONNC</v>
          </cell>
          <cell r="F7399">
            <v>1130</v>
          </cell>
        </row>
        <row r="7400">
          <cell r="E7400" t="str">
            <v>SURRENCYGADAWSONGA</v>
          </cell>
          <cell r="F7400">
            <v>560</v>
          </cell>
        </row>
        <row r="7401">
          <cell r="E7401" t="str">
            <v>SURRENCYGAEDENTONNC</v>
          </cell>
          <cell r="F7401">
            <v>1310</v>
          </cell>
        </row>
        <row r="7402">
          <cell r="E7402" t="str">
            <v>SURRENCYGAMEMPHISTN</v>
          </cell>
          <cell r="F7402">
            <v>1490</v>
          </cell>
        </row>
        <row r="7403">
          <cell r="E7403" t="str">
            <v>SURRENCYGATALLULAHLA</v>
          </cell>
          <cell r="F7403">
            <v>1470</v>
          </cell>
        </row>
        <row r="7404">
          <cell r="E7404" t="str">
            <v>SURRENCYGASALISBURYNC</v>
          </cell>
          <cell r="F7404">
            <v>930</v>
          </cell>
        </row>
        <row r="7405">
          <cell r="E7405" t="str">
            <v>SURRENCYGAGREENWOODSC</v>
          </cell>
          <cell r="F7405">
            <v>630</v>
          </cell>
        </row>
        <row r="7406">
          <cell r="E7406" t="str">
            <v>SURRENCYGAMAYODANNC</v>
          </cell>
          <cell r="F7406">
            <v>1110</v>
          </cell>
        </row>
        <row r="7407">
          <cell r="E7407" t="str">
            <v>SURRENCYGABLYTHEVILLEAR</v>
          </cell>
          <cell r="F7407">
            <v>1630</v>
          </cell>
        </row>
        <row r="7408">
          <cell r="E7408" t="str">
            <v>SURRENCYGASTONEVILLENC</v>
          </cell>
          <cell r="F7408">
            <v>1120</v>
          </cell>
        </row>
        <row r="7409">
          <cell r="E7409" t="str">
            <v>SURRENCYGAGAFFNEYSC</v>
          </cell>
          <cell r="F7409">
            <v>790</v>
          </cell>
        </row>
        <row r="7410">
          <cell r="E7410" t="str">
            <v>SURRENCYGARABUN GAPGA</v>
          </cell>
          <cell r="F7410">
            <v>840</v>
          </cell>
        </row>
        <row r="7411">
          <cell r="E7411" t="str">
            <v>SURRENCYGAGREENWOODMS</v>
          </cell>
          <cell r="F7411">
            <v>1450</v>
          </cell>
        </row>
        <row r="7412">
          <cell r="E7412" t="str">
            <v>SURRENCYGAJACKSONVILLEFL</v>
          </cell>
          <cell r="F7412">
            <v>510</v>
          </cell>
        </row>
        <row r="7413">
          <cell r="E7413" t="str">
            <v>SURRENCYGAGULFPORTMS</v>
          </cell>
          <cell r="F7413">
            <v>1360</v>
          </cell>
        </row>
        <row r="7414">
          <cell r="E7414" t="str">
            <v>SURRENCYGARINCONGA</v>
          </cell>
          <cell r="F7414">
            <v>570</v>
          </cell>
        </row>
        <row r="7415">
          <cell r="E7415" t="str">
            <v>SURRENCYGAPORT WENTWORTHGA</v>
          </cell>
          <cell r="F7415">
            <v>560</v>
          </cell>
        </row>
        <row r="7416">
          <cell r="E7416" t="str">
            <v>SURRENCYGAGarden CityGA</v>
          </cell>
          <cell r="F7416">
            <v>550</v>
          </cell>
        </row>
        <row r="7417">
          <cell r="E7417" t="str">
            <v>SURRENCYGAERWINNC</v>
          </cell>
          <cell r="F7417">
            <v>980</v>
          </cell>
        </row>
        <row r="7418">
          <cell r="E7418" t="str">
            <v>SURRENCYGAGRIFTONNC</v>
          </cell>
          <cell r="F7418">
            <v>1270</v>
          </cell>
        </row>
        <row r="7419">
          <cell r="E7419" t="str">
            <v>SURRENCYGACLARKTONNC</v>
          </cell>
          <cell r="F7419">
            <v>900</v>
          </cell>
        </row>
        <row r="7420">
          <cell r="E7420" t="str">
            <v>SURRENCYGAWESLACOTX</v>
          </cell>
          <cell r="F7420">
            <v>2256</v>
          </cell>
        </row>
        <row r="7421">
          <cell r="E7421" t="str">
            <v>SWEET WATERALROCKFORDTN</v>
          </cell>
          <cell r="F7421">
            <v>1080</v>
          </cell>
        </row>
        <row r="7422">
          <cell r="E7422" t="str">
            <v>SWEET WATERALMAYODANNC</v>
          </cell>
          <cell r="F7422">
            <v>1620</v>
          </cell>
        </row>
        <row r="7423">
          <cell r="E7423" t="str">
            <v>SWEET WATERALROSSVILLETN</v>
          </cell>
          <cell r="F7423">
            <v>780</v>
          </cell>
        </row>
        <row r="7424">
          <cell r="E7424" t="str">
            <v>SWEET WATERALWEST MEMPHISAR</v>
          </cell>
          <cell r="F7424">
            <v>810</v>
          </cell>
        </row>
        <row r="7425">
          <cell r="E7425" t="str">
            <v>SWEET WATERALMOCKSVILLENC</v>
          </cell>
          <cell r="F7425">
            <v>1500</v>
          </cell>
        </row>
        <row r="7426">
          <cell r="E7426" t="str">
            <v>SWEET WATERALRAYVILLELA</v>
          </cell>
          <cell r="F7426">
            <v>700</v>
          </cell>
        </row>
        <row r="7427">
          <cell r="E7427" t="str">
            <v>SWEET WATERALSTONEVILLENC</v>
          </cell>
          <cell r="F7427">
            <v>1630</v>
          </cell>
        </row>
        <row r="7428">
          <cell r="E7428" t="str">
            <v>SWEET WATERALBELMONTNC</v>
          </cell>
          <cell r="F7428">
            <v>1350</v>
          </cell>
        </row>
        <row r="7429">
          <cell r="E7429" t="str">
            <v>SWEET WATERALMONEYMS</v>
          </cell>
          <cell r="F7429">
            <v>690</v>
          </cell>
        </row>
        <row r="7430">
          <cell r="E7430" t="str">
            <v>SWEET WATERALKINSTONNC</v>
          </cell>
          <cell r="F7430">
            <v>1820</v>
          </cell>
        </row>
        <row r="7431">
          <cell r="E7431" t="str">
            <v>SWEET WATERALSANFORDNC</v>
          </cell>
          <cell r="F7431">
            <v>1670</v>
          </cell>
        </row>
        <row r="7432">
          <cell r="E7432" t="str">
            <v>SWEET WATERALINDIANOLAMS</v>
          </cell>
          <cell r="F7432">
            <v>700</v>
          </cell>
        </row>
        <row r="7433">
          <cell r="E7433" t="str">
            <v>SWEET WATERALLOWELLNC</v>
          </cell>
          <cell r="F7433">
            <v>1340</v>
          </cell>
        </row>
        <row r="7434">
          <cell r="E7434" t="str">
            <v>SWEET WATERALSALISBURYNC</v>
          </cell>
          <cell r="F7434">
            <v>1470</v>
          </cell>
        </row>
        <row r="7435">
          <cell r="E7435" t="str">
            <v>SWEET WATERALROCKINGHAMNC</v>
          </cell>
          <cell r="F7435">
            <v>1550</v>
          </cell>
        </row>
        <row r="7436">
          <cell r="E7436" t="str">
            <v>SWEET WATERALSHELBYNC</v>
          </cell>
          <cell r="F7436">
            <v>1300</v>
          </cell>
        </row>
        <row r="7437">
          <cell r="E7437" t="str">
            <v>SWEET WATERALGASTONIANC</v>
          </cell>
          <cell r="F7437">
            <v>1330</v>
          </cell>
        </row>
        <row r="7438">
          <cell r="E7438" t="str">
            <v>SWEET WATERALPORTSMOUTHVA</v>
          </cell>
          <cell r="F7438">
            <v>2100</v>
          </cell>
        </row>
        <row r="7439">
          <cell r="E7439" t="str">
            <v>SWEET WATERALEDENTONNC</v>
          </cell>
          <cell r="F7439">
            <v>2000</v>
          </cell>
        </row>
        <row r="7440">
          <cell r="E7440" t="str">
            <v>SWEET WATERALMEMPHISTN</v>
          </cell>
          <cell r="F7440">
            <v>800</v>
          </cell>
        </row>
        <row r="7441">
          <cell r="E7441" t="str">
            <v>SWEET WATERALNEW ORLEANSLA</v>
          </cell>
          <cell r="F7441">
            <v>690</v>
          </cell>
        </row>
        <row r="7442">
          <cell r="E7442" t="str">
            <v>SWEET WATERALBLYTHEVILLEAR</v>
          </cell>
          <cell r="F7442">
            <v>950</v>
          </cell>
        </row>
        <row r="7443">
          <cell r="E7443" t="str">
            <v>SWEET WATERALCHARLOTTENC</v>
          </cell>
          <cell r="F7443">
            <v>1380</v>
          </cell>
        </row>
        <row r="7444">
          <cell r="E7444" t="str">
            <v>SWEET WATERALLEXINGTONNC</v>
          </cell>
          <cell r="F7444">
            <v>1510</v>
          </cell>
        </row>
        <row r="7445">
          <cell r="E7445" t="str">
            <v>SWEET WATERALHICKORYNC</v>
          </cell>
          <cell r="F7445">
            <v>1410</v>
          </cell>
        </row>
        <row r="7446">
          <cell r="E7446" t="str">
            <v>SWEET WATERALINDIAN LANDSC</v>
          </cell>
          <cell r="F7446">
            <v>1410</v>
          </cell>
        </row>
        <row r="7447">
          <cell r="E7447" t="str">
            <v>SWEET WATERALMINERAL SPRINGSNC</v>
          </cell>
          <cell r="F7447">
            <v>1430</v>
          </cell>
        </row>
        <row r="7448">
          <cell r="E7448" t="str">
            <v>SWEET WATERALSPARTANC</v>
          </cell>
          <cell r="F7448">
            <v>1570</v>
          </cell>
        </row>
        <row r="7449">
          <cell r="E7449" t="str">
            <v>SWEET WATERALGREENWOODMS</v>
          </cell>
          <cell r="F7449">
            <v>660</v>
          </cell>
        </row>
        <row r="7450">
          <cell r="E7450" t="str">
            <v>SWEET WATERALTUNICAMS</v>
          </cell>
          <cell r="F7450">
            <v>830</v>
          </cell>
        </row>
        <row r="7451">
          <cell r="E7451" t="str">
            <v>SWEET WATERALCLARKTONNC</v>
          </cell>
          <cell r="F7451">
            <v>1580</v>
          </cell>
        </row>
        <row r="7452">
          <cell r="E7452" t="str">
            <v>SWEET WATERALTHOMASVILLENC</v>
          </cell>
          <cell r="F7452">
            <v>1530</v>
          </cell>
        </row>
        <row r="7453">
          <cell r="E7453" t="str">
            <v>SWEET WATERALNORFOLKVA</v>
          </cell>
          <cell r="F7453">
            <v>2120</v>
          </cell>
        </row>
        <row r="7454">
          <cell r="E7454" t="str">
            <v>SWEET WATERALDREWMS</v>
          </cell>
          <cell r="F7454">
            <v>730</v>
          </cell>
        </row>
        <row r="7455">
          <cell r="E7455" t="str">
            <v>SWEET WATERALMARIONAR</v>
          </cell>
          <cell r="F7455">
            <v>820</v>
          </cell>
        </row>
        <row r="7456">
          <cell r="E7456" t="str">
            <v>SWEET WATERALTALLULAHLA</v>
          </cell>
          <cell r="F7456">
            <v>650</v>
          </cell>
        </row>
        <row r="7457">
          <cell r="E7457" t="str">
            <v>SWEET WATERALECLECTICAL</v>
          </cell>
          <cell r="F7457">
            <v>540</v>
          </cell>
        </row>
        <row r="7458">
          <cell r="E7458" t="str">
            <v>SWEET WATERALMCCALLAAL</v>
          </cell>
          <cell r="F7458">
            <v>520</v>
          </cell>
        </row>
        <row r="7459">
          <cell r="E7459" t="str">
            <v>SWEET WATERALMOBILEAL</v>
          </cell>
          <cell r="F7459">
            <v>490</v>
          </cell>
        </row>
        <row r="7460">
          <cell r="E7460" t="str">
            <v>SWEET WATERALRABUN GAPGA</v>
          </cell>
          <cell r="F7460">
            <v>1150</v>
          </cell>
        </row>
        <row r="7461">
          <cell r="E7461" t="str">
            <v>SWEET WATERALGRIFTONNC</v>
          </cell>
          <cell r="F7461">
            <v>1950</v>
          </cell>
        </row>
        <row r="7462">
          <cell r="E7462" t="str">
            <v>SWEET WATERALGULFPORTMS</v>
          </cell>
          <cell r="F7462">
            <v>710</v>
          </cell>
        </row>
        <row r="7463">
          <cell r="E7463" t="str">
            <v>SWEET WATERALCARTERSVILLEGA</v>
          </cell>
          <cell r="F7463">
            <v>820</v>
          </cell>
        </row>
        <row r="7464">
          <cell r="E7464" t="str">
            <v>SWEET WATERALGAINESVILLEGA</v>
          </cell>
          <cell r="F7464">
            <v>950</v>
          </cell>
        </row>
        <row r="7465">
          <cell r="E7465" t="str">
            <v>SWEET WATERALRINCONGA</v>
          </cell>
          <cell r="F7465">
            <v>1270</v>
          </cell>
        </row>
        <row r="7466">
          <cell r="E7466" t="str">
            <v>SWEET WATERALENOREESC</v>
          </cell>
          <cell r="F7466">
            <v>1230</v>
          </cell>
        </row>
        <row r="7467">
          <cell r="E7467" t="str">
            <v>SWEET WATERALGREERSC</v>
          </cell>
          <cell r="F7467">
            <v>1180</v>
          </cell>
        </row>
        <row r="7468">
          <cell r="E7468" t="str">
            <v>SWEET WATERALLUMBERTONNC</v>
          </cell>
          <cell r="F7468">
            <v>1530</v>
          </cell>
        </row>
        <row r="7469">
          <cell r="E7469" t="str">
            <v>SWEET WATERALERWINNC</v>
          </cell>
          <cell r="F7469">
            <v>1660</v>
          </cell>
        </row>
        <row r="7470">
          <cell r="E7470" t="str">
            <v>SWEET WATERALDAWSONGA</v>
          </cell>
          <cell r="F7470">
            <v>700</v>
          </cell>
        </row>
        <row r="7471">
          <cell r="E7471" t="str">
            <v>SWEET WATERALGAFFNEYSC</v>
          </cell>
          <cell r="F7471">
            <v>1260</v>
          </cell>
        </row>
        <row r="7472">
          <cell r="E7472" t="str">
            <v>SWEET WATERALPORT WENTWORTHGA</v>
          </cell>
          <cell r="F7472">
            <v>1260</v>
          </cell>
        </row>
        <row r="7473">
          <cell r="E7473" t="str">
            <v>SWEET WATERALGarden CityGA</v>
          </cell>
          <cell r="F7473">
            <v>1250</v>
          </cell>
        </row>
        <row r="7474">
          <cell r="E7474" t="str">
            <v>SWEET WATERALGREENWOODSC</v>
          </cell>
          <cell r="F7474">
            <v>1090</v>
          </cell>
        </row>
        <row r="7475">
          <cell r="E7475" t="str">
            <v>SWEET WATERALCENTREAL</v>
          </cell>
          <cell r="F7475">
            <v>690</v>
          </cell>
        </row>
        <row r="7476">
          <cell r="E7476" t="str">
            <v>SWEET WATERALJACKSONVILLEFL</v>
          </cell>
          <cell r="F7476">
            <v>1160</v>
          </cell>
        </row>
        <row r="7477">
          <cell r="E7477" t="str">
            <v>SWEETWATERTXHoustonTX</v>
          </cell>
          <cell r="F7477">
            <v>809</v>
          </cell>
        </row>
        <row r="7478">
          <cell r="E7478" t="str">
            <v>SWEETWATERTXDallasTX</v>
          </cell>
          <cell r="F7478">
            <v>502</v>
          </cell>
        </row>
        <row r="7479">
          <cell r="E7479" t="str">
            <v>SWEETWATERTXBaytownTX</v>
          </cell>
          <cell r="F7479">
            <v>835</v>
          </cell>
        </row>
        <row r="7480">
          <cell r="E7480" t="str">
            <v>SWEETWATERTXHutchinsTX</v>
          </cell>
          <cell r="F7480">
            <v>855</v>
          </cell>
        </row>
        <row r="7481">
          <cell r="E7481" t="str">
            <v>SWEETWATERTXHasletTX</v>
          </cell>
          <cell r="F7481">
            <v>849</v>
          </cell>
        </row>
        <row r="7482">
          <cell r="E7482" t="str">
            <v>SWEETWATERTXWylieTX</v>
          </cell>
          <cell r="F7482">
            <v>1025</v>
          </cell>
        </row>
        <row r="7483">
          <cell r="E7483" t="str">
            <v>SWEETWATERTXHOUSTONTX</v>
          </cell>
          <cell r="F7483">
            <v>2386</v>
          </cell>
        </row>
        <row r="7484">
          <cell r="E7484" t="str">
            <v>SWEETWATERTXWILMERTX</v>
          </cell>
          <cell r="F7484">
            <v>932</v>
          </cell>
        </row>
        <row r="7485">
          <cell r="E7485" t="str">
            <v>SWEETWATERTXWESLACOTX</v>
          </cell>
          <cell r="F7485">
            <v>1001</v>
          </cell>
        </row>
        <row r="7486">
          <cell r="E7486" t="str">
            <v>SYCAMOREGAROCKFORDTN</v>
          </cell>
          <cell r="F7486">
            <v>1020</v>
          </cell>
        </row>
        <row r="7487">
          <cell r="E7487" t="str">
            <v>SYCAMOREGACLARKTONNC</v>
          </cell>
          <cell r="F7487">
            <v>1130</v>
          </cell>
        </row>
        <row r="7488">
          <cell r="E7488" t="str">
            <v>SYCAMOREGASALISBURYNC</v>
          </cell>
          <cell r="F7488">
            <v>1080</v>
          </cell>
        </row>
        <row r="7489">
          <cell r="E7489" t="str">
            <v>SYCAMOREGAENOREESC</v>
          </cell>
          <cell r="F7489">
            <v>780</v>
          </cell>
        </row>
        <row r="7490">
          <cell r="E7490" t="str">
            <v>SYCAMOREGAMOBILEAL</v>
          </cell>
          <cell r="F7490">
            <v>920</v>
          </cell>
        </row>
        <row r="7491">
          <cell r="E7491" t="str">
            <v>SYCAMOREGAGREERSC</v>
          </cell>
          <cell r="F7491">
            <v>860</v>
          </cell>
        </row>
        <row r="7492">
          <cell r="E7492" t="str">
            <v>SYCAMOREGADREWMS</v>
          </cell>
          <cell r="F7492">
            <v>1300</v>
          </cell>
        </row>
        <row r="7493">
          <cell r="E7493" t="str">
            <v>SYCAMOREGAINDIANOLAMS</v>
          </cell>
          <cell r="F7493">
            <v>1280</v>
          </cell>
        </row>
        <row r="7494">
          <cell r="E7494" t="str">
            <v>SYCAMOREGAROSSVILLETN</v>
          </cell>
          <cell r="F7494">
            <v>1250</v>
          </cell>
        </row>
        <row r="7495">
          <cell r="E7495" t="str">
            <v>SYCAMOREGAMINERAL SPRINGSNC</v>
          </cell>
          <cell r="F7495">
            <v>970</v>
          </cell>
        </row>
        <row r="7496">
          <cell r="E7496" t="str">
            <v>SYCAMOREGALUMBERTONNC</v>
          </cell>
          <cell r="F7496">
            <v>1080</v>
          </cell>
        </row>
        <row r="7497">
          <cell r="E7497" t="str">
            <v>SYCAMOREGARAYVILLELA</v>
          </cell>
          <cell r="F7497">
            <v>1380</v>
          </cell>
        </row>
        <row r="7498">
          <cell r="E7498" t="str">
            <v>SYCAMOREGABELMONTNC</v>
          </cell>
          <cell r="F7498">
            <v>1030</v>
          </cell>
        </row>
        <row r="7499">
          <cell r="E7499" t="str">
            <v>SYCAMOREGAKINSTONNC</v>
          </cell>
          <cell r="F7499">
            <v>1370</v>
          </cell>
        </row>
        <row r="7500">
          <cell r="E7500" t="str">
            <v>SYCAMOREGABLYTHEVILLEAR</v>
          </cell>
          <cell r="F7500">
            <v>1410</v>
          </cell>
        </row>
        <row r="7501">
          <cell r="E7501" t="str">
            <v>SYCAMOREGACHARLOTTENC</v>
          </cell>
          <cell r="F7501">
            <v>990</v>
          </cell>
        </row>
        <row r="7502">
          <cell r="E7502" t="str">
            <v>SYCAMOREGAGAFFNEYSC</v>
          </cell>
          <cell r="F7502">
            <v>940</v>
          </cell>
        </row>
        <row r="7503">
          <cell r="E7503" t="str">
            <v>SYCAMOREGALEXINGTONNC</v>
          </cell>
          <cell r="F7503">
            <v>1120</v>
          </cell>
        </row>
        <row r="7504">
          <cell r="E7504" t="str">
            <v>SYCAMOREGALOWELLNC</v>
          </cell>
          <cell r="F7504">
            <v>1020</v>
          </cell>
        </row>
        <row r="7505">
          <cell r="E7505" t="str">
            <v>SYCAMOREGAPORTSMOUTHVA</v>
          </cell>
          <cell r="F7505">
            <v>1640</v>
          </cell>
        </row>
        <row r="7506">
          <cell r="E7506" t="str">
            <v>SYCAMOREGAROCKINGHAMNC</v>
          </cell>
          <cell r="F7506">
            <v>1030</v>
          </cell>
        </row>
        <row r="7507">
          <cell r="E7507" t="str">
            <v>SYCAMOREGASHELBYNC</v>
          </cell>
          <cell r="F7507">
            <v>980</v>
          </cell>
        </row>
        <row r="7508">
          <cell r="E7508" t="str">
            <v>SYCAMOREGAGASTONIANC</v>
          </cell>
          <cell r="F7508">
            <v>1010</v>
          </cell>
        </row>
        <row r="7509">
          <cell r="E7509" t="str">
            <v>SYCAMOREGAEDENTONNC</v>
          </cell>
          <cell r="F7509">
            <v>1550</v>
          </cell>
        </row>
        <row r="7510">
          <cell r="E7510" t="str">
            <v>SYCAMOREGAMEMPHISTN</v>
          </cell>
          <cell r="F7510">
            <v>1270</v>
          </cell>
        </row>
        <row r="7511">
          <cell r="E7511" t="str">
            <v>SYCAMOREGASPARTANC</v>
          </cell>
          <cell r="F7511">
            <v>1220</v>
          </cell>
        </row>
        <row r="7512">
          <cell r="E7512" t="str">
            <v>SYCAMOREGASANFORDNC</v>
          </cell>
          <cell r="F7512">
            <v>1150</v>
          </cell>
        </row>
        <row r="7513">
          <cell r="E7513" t="str">
            <v>SYCAMOREGATHOMASVILLENC</v>
          </cell>
          <cell r="F7513">
            <v>1150</v>
          </cell>
        </row>
        <row r="7514">
          <cell r="E7514" t="str">
            <v>SYCAMOREGAMARIONAR</v>
          </cell>
          <cell r="F7514">
            <v>1290</v>
          </cell>
        </row>
        <row r="7515">
          <cell r="E7515" t="str">
            <v>SYCAMOREGAMAYODANNC</v>
          </cell>
          <cell r="F7515">
            <v>1230</v>
          </cell>
        </row>
        <row r="7516">
          <cell r="E7516" t="str">
            <v>SYCAMOREGACARTERSVILLEGA</v>
          </cell>
          <cell r="F7516">
            <v>650</v>
          </cell>
        </row>
        <row r="7517">
          <cell r="E7517" t="str">
            <v>SYCAMOREGACENTREAL</v>
          </cell>
          <cell r="F7517">
            <v>710</v>
          </cell>
        </row>
        <row r="7518">
          <cell r="E7518" t="str">
            <v>SYCAMOREGAHICKORYNC</v>
          </cell>
          <cell r="F7518">
            <v>1080</v>
          </cell>
        </row>
        <row r="7519">
          <cell r="E7519" t="str">
            <v>SYCAMOREGATUNICAMS</v>
          </cell>
          <cell r="F7519">
            <v>1290</v>
          </cell>
        </row>
        <row r="7520">
          <cell r="E7520" t="str">
            <v>SYCAMOREGAERWINNC</v>
          </cell>
          <cell r="F7520">
            <v>1210</v>
          </cell>
        </row>
        <row r="7521">
          <cell r="E7521" t="str">
            <v>SYCAMOREGAWEST MEMPHISAR</v>
          </cell>
          <cell r="F7521">
            <v>1270</v>
          </cell>
        </row>
        <row r="7522">
          <cell r="E7522" t="str">
            <v>SYCAMOREGASTONEVILLENC</v>
          </cell>
          <cell r="F7522">
            <v>1240</v>
          </cell>
        </row>
        <row r="7523">
          <cell r="E7523" t="str">
            <v>SYCAMOREGAINDIAN LANDSC</v>
          </cell>
          <cell r="F7523">
            <v>960</v>
          </cell>
        </row>
        <row r="7524">
          <cell r="E7524" t="str">
            <v>SYCAMOREGAGREENWOODMS</v>
          </cell>
          <cell r="F7524">
            <v>1210</v>
          </cell>
        </row>
        <row r="7525">
          <cell r="E7525" t="str">
            <v>SYCAMOREGATALLULAHLA</v>
          </cell>
          <cell r="F7525">
            <v>1300</v>
          </cell>
        </row>
        <row r="7526">
          <cell r="E7526" t="str">
            <v>SYCAMOREGAMOCKSVILLENC</v>
          </cell>
          <cell r="F7526">
            <v>1120</v>
          </cell>
        </row>
        <row r="7527">
          <cell r="E7527" t="str">
            <v>SYCAMOREGAMCCALLAAL</v>
          </cell>
          <cell r="F7527">
            <v>770</v>
          </cell>
        </row>
        <row r="7528">
          <cell r="E7528" t="str">
            <v>SYCAMOREGAGAINESVILLEGA</v>
          </cell>
          <cell r="F7528">
            <v>650</v>
          </cell>
        </row>
        <row r="7529">
          <cell r="E7529" t="str">
            <v>SYCAMOREGANORFOLKVA</v>
          </cell>
          <cell r="F7529">
            <v>1660</v>
          </cell>
        </row>
        <row r="7530">
          <cell r="E7530" t="str">
            <v>SYCAMOREGANEW ORLEANSLA</v>
          </cell>
          <cell r="F7530">
            <v>1240</v>
          </cell>
        </row>
        <row r="7531">
          <cell r="E7531" t="str">
            <v>SYCAMOREGAGREENWOODSC</v>
          </cell>
          <cell r="F7531">
            <v>690</v>
          </cell>
        </row>
        <row r="7532">
          <cell r="E7532" t="str">
            <v>SYCAMOREGAMONEYMS</v>
          </cell>
          <cell r="F7532">
            <v>1250</v>
          </cell>
        </row>
        <row r="7533">
          <cell r="E7533" t="str">
            <v>SYCAMOREGAGRIFTONNC</v>
          </cell>
          <cell r="F7533">
            <v>1500</v>
          </cell>
        </row>
        <row r="7534">
          <cell r="E7534" t="str">
            <v>SYCAMOREGARABUN GAPGA</v>
          </cell>
          <cell r="F7534">
            <v>810</v>
          </cell>
        </row>
        <row r="7535">
          <cell r="E7535" t="str">
            <v>SYCAMOREGADAWSONGA</v>
          </cell>
          <cell r="F7535">
            <v>420</v>
          </cell>
        </row>
        <row r="7536">
          <cell r="E7536" t="str">
            <v>SYCAMOREGAGULFPORTMS</v>
          </cell>
          <cell r="F7536">
            <v>1190</v>
          </cell>
        </row>
        <row r="7537">
          <cell r="E7537" t="str">
            <v>SYCAMOREGAPORT WENTWORTHGA</v>
          </cell>
          <cell r="F7537">
            <v>720</v>
          </cell>
        </row>
        <row r="7538">
          <cell r="E7538" t="str">
            <v>SYCAMOREGAGarden CityGA</v>
          </cell>
          <cell r="F7538">
            <v>710</v>
          </cell>
        </row>
        <row r="7539">
          <cell r="E7539" t="str">
            <v>SYCAMOREGARINCONGA</v>
          </cell>
          <cell r="F7539">
            <v>730</v>
          </cell>
        </row>
        <row r="7540">
          <cell r="E7540" t="str">
            <v>SYCAMOREGAECLECTICAL</v>
          </cell>
          <cell r="F7540">
            <v>640</v>
          </cell>
        </row>
        <row r="7541">
          <cell r="E7541" t="str">
            <v>SYCAMOREGAJACKSONVILLEFL</v>
          </cell>
          <cell r="F7541">
            <v>610</v>
          </cell>
        </row>
        <row r="7542">
          <cell r="E7542" t="str">
            <v>SYCAMOREGAWESLACOTX</v>
          </cell>
          <cell r="F7542">
            <v>1657</v>
          </cell>
        </row>
        <row r="7543">
          <cell r="E7543" t="str">
            <v>SYLVANIAGAROCKFORDTN</v>
          </cell>
          <cell r="F7543">
            <v>1000</v>
          </cell>
        </row>
        <row r="7544">
          <cell r="E7544" t="str">
            <v>SYLVANIAGALEXINGTONNC</v>
          </cell>
          <cell r="F7544">
            <v>730</v>
          </cell>
        </row>
        <row r="7545">
          <cell r="E7545" t="str">
            <v>SYLVANIAGASALISBURYNC</v>
          </cell>
          <cell r="F7545">
            <v>700</v>
          </cell>
        </row>
        <row r="7546">
          <cell r="E7546" t="str">
            <v>SYLVANIAGANEW ORLEANSLA</v>
          </cell>
          <cell r="F7546">
            <v>1550</v>
          </cell>
        </row>
        <row r="7547">
          <cell r="E7547" t="str">
            <v>SYLVANIAGAMAYODANNC</v>
          </cell>
          <cell r="F7547">
            <v>850</v>
          </cell>
        </row>
        <row r="7548">
          <cell r="E7548" t="str">
            <v>SYLVANIAGAGREENWOODMS</v>
          </cell>
          <cell r="F7548">
            <v>1470</v>
          </cell>
        </row>
        <row r="7549">
          <cell r="E7549" t="str">
            <v>SYLVANIAGALUMBERTONNC</v>
          </cell>
          <cell r="F7549">
            <v>670</v>
          </cell>
        </row>
        <row r="7550">
          <cell r="E7550" t="str">
            <v>SYLVANIAGAGAINESVILLEGA</v>
          </cell>
          <cell r="F7550">
            <v>640</v>
          </cell>
        </row>
        <row r="7551">
          <cell r="E7551" t="str">
            <v>SYLVANIAGATHOMASVILLENC</v>
          </cell>
          <cell r="F7551">
            <v>760</v>
          </cell>
        </row>
        <row r="7552">
          <cell r="E7552" t="str">
            <v>SYLVANIAGAKINSTONNC</v>
          </cell>
          <cell r="F7552">
            <v>940</v>
          </cell>
        </row>
        <row r="7553">
          <cell r="E7553" t="str">
            <v>SYLVANIAGAMOCKSVILLENC</v>
          </cell>
          <cell r="F7553">
            <v>740</v>
          </cell>
        </row>
        <row r="7554">
          <cell r="E7554" t="str">
            <v>SYLVANIAGAMOBILEAL</v>
          </cell>
          <cell r="F7554">
            <v>1240</v>
          </cell>
        </row>
        <row r="7555">
          <cell r="E7555" t="str">
            <v>SYLVANIAGATALLULAHLA</v>
          </cell>
          <cell r="F7555">
            <v>1640</v>
          </cell>
        </row>
        <row r="7556">
          <cell r="E7556" t="str">
            <v>SYLVANIAGAMONEYMS</v>
          </cell>
          <cell r="F7556">
            <v>1510</v>
          </cell>
        </row>
        <row r="7557">
          <cell r="E7557" t="str">
            <v>SYLVANIAGAGASTONIANC</v>
          </cell>
          <cell r="F7557">
            <v>660</v>
          </cell>
        </row>
        <row r="7558">
          <cell r="E7558" t="str">
            <v>SYLVANIAGAPORTSMOUTHVA</v>
          </cell>
          <cell r="F7558">
            <v>1210</v>
          </cell>
        </row>
        <row r="7559">
          <cell r="E7559" t="str">
            <v>SYLVANIAGATUNICAMS</v>
          </cell>
          <cell r="F7559">
            <v>1540</v>
          </cell>
        </row>
        <row r="7560">
          <cell r="E7560" t="str">
            <v>SYLVANIAGAMCCALLAAL</v>
          </cell>
          <cell r="F7560">
            <v>1030</v>
          </cell>
        </row>
        <row r="7561">
          <cell r="E7561" t="str">
            <v>SYLVANIAGAWEST MEMPHISAR</v>
          </cell>
          <cell r="F7561">
            <v>1520</v>
          </cell>
        </row>
        <row r="7562">
          <cell r="E7562" t="str">
            <v>SYLVANIAGAGREERSC</v>
          </cell>
          <cell r="F7562">
            <v>650</v>
          </cell>
        </row>
        <row r="7563">
          <cell r="E7563" t="str">
            <v>SYLVANIAGASTONEVILLENC</v>
          </cell>
          <cell r="F7563">
            <v>860</v>
          </cell>
        </row>
        <row r="7564">
          <cell r="E7564" t="str">
            <v>SYLVANIAGAROSSVILLETN</v>
          </cell>
          <cell r="F7564">
            <v>1500</v>
          </cell>
        </row>
        <row r="7565">
          <cell r="E7565" t="str">
            <v>SYLVANIAGAEDENTONNC</v>
          </cell>
          <cell r="F7565">
            <v>1120</v>
          </cell>
        </row>
        <row r="7566">
          <cell r="E7566" t="str">
            <v>SYLVANIAGAROCKINGHAMNC</v>
          </cell>
          <cell r="F7566">
            <v>660</v>
          </cell>
        </row>
        <row r="7567">
          <cell r="E7567" t="str">
            <v>SYLVANIAGACENTREAL</v>
          </cell>
          <cell r="F7567">
            <v>860</v>
          </cell>
        </row>
        <row r="7568">
          <cell r="E7568" t="str">
            <v>SYLVANIAGACARTERSVILLEGA</v>
          </cell>
          <cell r="F7568">
            <v>740</v>
          </cell>
        </row>
        <row r="7569">
          <cell r="E7569" t="str">
            <v>SYLVANIAGAMARIONAR</v>
          </cell>
          <cell r="F7569">
            <v>1530</v>
          </cell>
        </row>
        <row r="7570">
          <cell r="E7570" t="str">
            <v>SYLVANIAGACHARLOTTENC</v>
          </cell>
          <cell r="F7570">
            <v>640</v>
          </cell>
        </row>
        <row r="7571">
          <cell r="E7571" t="str">
            <v>SYLVANIAGADREWMS</v>
          </cell>
          <cell r="F7571">
            <v>1550</v>
          </cell>
        </row>
        <row r="7572">
          <cell r="E7572" t="str">
            <v>SYLVANIAGARABUN GAPGA</v>
          </cell>
          <cell r="F7572">
            <v>720</v>
          </cell>
        </row>
        <row r="7573">
          <cell r="E7573" t="str">
            <v>SYLVANIAGAINDIANOLAMS</v>
          </cell>
          <cell r="F7573">
            <v>1530</v>
          </cell>
        </row>
        <row r="7574">
          <cell r="E7574" t="str">
            <v>SYLVANIAGARAYVILLELA</v>
          </cell>
          <cell r="F7574">
            <v>1710</v>
          </cell>
        </row>
        <row r="7575">
          <cell r="E7575" t="str">
            <v>SYLVANIAGASHELBYNC</v>
          </cell>
          <cell r="F7575">
            <v>690</v>
          </cell>
        </row>
        <row r="7576">
          <cell r="E7576" t="str">
            <v>SYLVANIAGAERWINNC</v>
          </cell>
          <cell r="F7576">
            <v>780</v>
          </cell>
        </row>
        <row r="7577">
          <cell r="E7577" t="str">
            <v>SYLVANIAGASANFORDNC</v>
          </cell>
          <cell r="F7577">
            <v>780</v>
          </cell>
        </row>
        <row r="7578">
          <cell r="E7578" t="str">
            <v>SYLVANIAGABELMONTNC</v>
          </cell>
          <cell r="F7578">
            <v>640</v>
          </cell>
        </row>
        <row r="7579">
          <cell r="E7579" t="str">
            <v>SYLVANIAGAHICKORYNC</v>
          </cell>
          <cell r="F7579">
            <v>710</v>
          </cell>
        </row>
        <row r="7580">
          <cell r="E7580" t="str">
            <v>SYLVANIAGAMINERAL SPRINGSNC</v>
          </cell>
          <cell r="F7580">
            <v>620</v>
          </cell>
        </row>
        <row r="7581">
          <cell r="E7581" t="str">
            <v>SYLVANIAGAMEMPHISTN</v>
          </cell>
          <cell r="F7581">
            <v>1510</v>
          </cell>
        </row>
        <row r="7582">
          <cell r="E7582" t="str">
            <v>SYLVANIAGANORFOLKVA</v>
          </cell>
          <cell r="F7582">
            <v>1230</v>
          </cell>
        </row>
        <row r="7583">
          <cell r="E7583" t="str">
            <v>SYLVANIAGABLYTHEVILLEAR</v>
          </cell>
          <cell r="F7583">
            <v>1650</v>
          </cell>
        </row>
        <row r="7584">
          <cell r="E7584" t="str">
            <v>SYLVANIAGALOWELLNC</v>
          </cell>
          <cell r="F7584">
            <v>650</v>
          </cell>
        </row>
        <row r="7585">
          <cell r="E7585" t="str">
            <v>SYLVANIAGAINDIAN LANDSC</v>
          </cell>
          <cell r="F7585">
            <v>620</v>
          </cell>
        </row>
        <row r="7586">
          <cell r="E7586" t="str">
            <v>SYLVANIAGAGREENWOODSC</v>
          </cell>
          <cell r="F7586">
            <v>530</v>
          </cell>
        </row>
        <row r="7587">
          <cell r="E7587" t="str">
            <v>SYLVANIAGAGRIFTONNC</v>
          </cell>
          <cell r="F7587">
            <v>1070</v>
          </cell>
        </row>
        <row r="7588">
          <cell r="E7588" t="str">
            <v>SYLVANIAGAGULFPORTMS</v>
          </cell>
          <cell r="F7588">
            <v>1500</v>
          </cell>
        </row>
        <row r="7589">
          <cell r="E7589" t="str">
            <v>SYLVANIAGAGarden CityGA</v>
          </cell>
          <cell r="F7589">
            <v>510</v>
          </cell>
        </row>
        <row r="7590">
          <cell r="E7590" t="str">
            <v>SYLVANIAGAPORT WENTWORTHGA</v>
          </cell>
          <cell r="F7590">
            <v>510</v>
          </cell>
        </row>
        <row r="7591">
          <cell r="E7591" t="str">
            <v>SYLVANIAGARINCONGA</v>
          </cell>
          <cell r="F7591">
            <v>490</v>
          </cell>
        </row>
        <row r="7592">
          <cell r="E7592" t="str">
            <v>SYLVANIAGAENOREESC</v>
          </cell>
          <cell r="F7592">
            <v>600</v>
          </cell>
        </row>
        <row r="7593">
          <cell r="E7593" t="str">
            <v>SYLVANIAGAECLECTICAL</v>
          </cell>
          <cell r="F7593">
            <v>860</v>
          </cell>
        </row>
        <row r="7594">
          <cell r="E7594" t="str">
            <v>SYLVANIAGACLARKTONNC</v>
          </cell>
          <cell r="F7594">
            <v>700</v>
          </cell>
        </row>
        <row r="7595">
          <cell r="E7595" t="str">
            <v>SYLVANIAGASPARTANC</v>
          </cell>
          <cell r="F7595">
            <v>830</v>
          </cell>
        </row>
        <row r="7596">
          <cell r="E7596" t="str">
            <v>SYLVANIAGAGAFFNEYSC</v>
          </cell>
          <cell r="F7596">
            <v>660</v>
          </cell>
        </row>
        <row r="7597">
          <cell r="E7597" t="str">
            <v>SYLVANIAGADAWSONGA</v>
          </cell>
          <cell r="F7597">
            <v>670</v>
          </cell>
        </row>
        <row r="7598">
          <cell r="E7598" t="str">
            <v>SYLVANIAGAJACKSONVILLEFL</v>
          </cell>
          <cell r="F7598">
            <v>610</v>
          </cell>
        </row>
        <row r="7599">
          <cell r="E7599" t="str">
            <v>SYLVANIAGAWESLACOTX</v>
          </cell>
          <cell r="F7599">
            <v>2430</v>
          </cell>
        </row>
        <row r="7600">
          <cell r="E7600" t="str">
            <v>SYLVESTERGAROCKFORDTN</v>
          </cell>
          <cell r="F7600">
            <v>1050</v>
          </cell>
        </row>
        <row r="7601">
          <cell r="E7601" t="str">
            <v>SYLVESTERGAMINERAL SPRINGSNC</v>
          </cell>
          <cell r="F7601">
            <v>1000</v>
          </cell>
        </row>
        <row r="7602">
          <cell r="E7602" t="str">
            <v>SYLVESTERGABELMONTNC</v>
          </cell>
          <cell r="F7602">
            <v>1060</v>
          </cell>
        </row>
        <row r="7603">
          <cell r="E7603" t="str">
            <v>SYLVESTERGAMOBILEAL</v>
          </cell>
          <cell r="F7603">
            <v>810</v>
          </cell>
        </row>
        <row r="7604">
          <cell r="E7604" t="str">
            <v>SYLVESTERGAKINSTONNC</v>
          </cell>
          <cell r="F7604">
            <v>1400</v>
          </cell>
        </row>
        <row r="7605">
          <cell r="E7605" t="str">
            <v>SYLVESTERGACHARLOTTENC</v>
          </cell>
          <cell r="F7605">
            <v>1020</v>
          </cell>
        </row>
        <row r="7606">
          <cell r="E7606" t="str">
            <v>SYLVESTERGAGAFFNEYSC</v>
          </cell>
          <cell r="F7606">
            <v>970</v>
          </cell>
        </row>
        <row r="7607">
          <cell r="E7607" t="str">
            <v>SYLVESTERGALEXINGTONNC</v>
          </cell>
          <cell r="F7607">
            <v>1150</v>
          </cell>
        </row>
        <row r="7608">
          <cell r="E7608" t="str">
            <v>SYLVESTERGALOWELLNC</v>
          </cell>
          <cell r="F7608">
            <v>1050</v>
          </cell>
        </row>
        <row r="7609">
          <cell r="E7609" t="str">
            <v>SYLVESTERGAMONEYMS</v>
          </cell>
          <cell r="F7609">
            <v>1220</v>
          </cell>
        </row>
        <row r="7610">
          <cell r="E7610" t="str">
            <v>SYLVESTERGADREWMS</v>
          </cell>
          <cell r="F7610">
            <v>1270</v>
          </cell>
        </row>
        <row r="7611">
          <cell r="E7611" t="str">
            <v>SYLVESTERGAPORTSMOUTHVA</v>
          </cell>
          <cell r="F7611">
            <v>1670</v>
          </cell>
        </row>
        <row r="7612">
          <cell r="E7612" t="str">
            <v>SYLVESTERGAMCCALLAAL</v>
          </cell>
          <cell r="F7612">
            <v>740</v>
          </cell>
        </row>
        <row r="7613">
          <cell r="E7613" t="str">
            <v>SYLVESTERGAROCKINGHAMNC</v>
          </cell>
          <cell r="F7613">
            <v>1060</v>
          </cell>
        </row>
        <row r="7614">
          <cell r="E7614" t="str">
            <v>SYLVESTERGASHELBYNC</v>
          </cell>
          <cell r="F7614">
            <v>1010</v>
          </cell>
        </row>
        <row r="7615">
          <cell r="E7615" t="str">
            <v>SYLVESTERGAGASTONIANC</v>
          </cell>
          <cell r="F7615">
            <v>1040</v>
          </cell>
        </row>
        <row r="7616">
          <cell r="E7616" t="str">
            <v>SYLVESTERGAROSSVILLETN</v>
          </cell>
          <cell r="F7616">
            <v>1220</v>
          </cell>
        </row>
        <row r="7617">
          <cell r="E7617" t="str">
            <v>SYLVESTERGAEDENTONNC</v>
          </cell>
          <cell r="F7617">
            <v>1580</v>
          </cell>
        </row>
        <row r="7618">
          <cell r="E7618" t="str">
            <v>SYLVESTERGASPARTANC</v>
          </cell>
          <cell r="F7618">
            <v>1250</v>
          </cell>
        </row>
        <row r="7619">
          <cell r="E7619" t="str">
            <v>SYLVESTERGACENTREAL</v>
          </cell>
          <cell r="F7619">
            <v>750</v>
          </cell>
        </row>
        <row r="7620">
          <cell r="E7620" t="str">
            <v>SYLVESTERGARAYVILLELA</v>
          </cell>
          <cell r="F7620">
            <v>1350</v>
          </cell>
        </row>
        <row r="7621">
          <cell r="E7621" t="str">
            <v>SYLVESTERGASANFORDNC</v>
          </cell>
          <cell r="F7621">
            <v>1180</v>
          </cell>
        </row>
        <row r="7622">
          <cell r="E7622" t="str">
            <v>SYLVESTERGATHOMASVILLENC</v>
          </cell>
          <cell r="F7622">
            <v>1180</v>
          </cell>
        </row>
        <row r="7623">
          <cell r="E7623" t="str">
            <v>SYLVESTERGABLYTHEVILLEAR</v>
          </cell>
          <cell r="F7623">
            <v>1380</v>
          </cell>
        </row>
        <row r="7624">
          <cell r="E7624" t="str">
            <v>SYLVESTERGAINDIANOLAMS</v>
          </cell>
          <cell r="F7624">
            <v>1250</v>
          </cell>
        </row>
        <row r="7625">
          <cell r="E7625" t="str">
            <v>SYLVESTERGACARTERSVILLEGA</v>
          </cell>
          <cell r="F7625">
            <v>680</v>
          </cell>
        </row>
        <row r="7626">
          <cell r="E7626" t="str">
            <v>SYLVESTERGAMAYODANNC</v>
          </cell>
          <cell r="F7626">
            <v>1270</v>
          </cell>
        </row>
        <row r="7627">
          <cell r="E7627" t="str">
            <v>SYLVESTERGAHICKORYNC</v>
          </cell>
          <cell r="F7627">
            <v>1120</v>
          </cell>
        </row>
        <row r="7628">
          <cell r="E7628" t="str">
            <v>SYLVESTERGAERWINNC</v>
          </cell>
          <cell r="F7628">
            <v>1250</v>
          </cell>
        </row>
        <row r="7629">
          <cell r="E7629" t="str">
            <v>SYLVESTERGASTONEVILLENC</v>
          </cell>
          <cell r="F7629">
            <v>1280</v>
          </cell>
        </row>
        <row r="7630">
          <cell r="E7630" t="str">
            <v>SYLVESTERGAINDIAN LANDSC</v>
          </cell>
          <cell r="F7630">
            <v>1000</v>
          </cell>
        </row>
        <row r="7631">
          <cell r="E7631" t="str">
            <v>SYLVESTERGAGREENWOODSC</v>
          </cell>
          <cell r="F7631">
            <v>720</v>
          </cell>
        </row>
        <row r="7632">
          <cell r="E7632" t="str">
            <v>SYLVESTERGAGAINESVILLEGA</v>
          </cell>
          <cell r="F7632">
            <v>670</v>
          </cell>
        </row>
        <row r="7633">
          <cell r="E7633" t="str">
            <v>SYLVESTERGAMOCKSVILLENC</v>
          </cell>
          <cell r="F7633">
            <v>1150</v>
          </cell>
        </row>
        <row r="7634">
          <cell r="E7634" t="str">
            <v>SYLVESTERGAMEMPHISTN</v>
          </cell>
          <cell r="F7634">
            <v>1230</v>
          </cell>
        </row>
        <row r="7635">
          <cell r="E7635" t="str">
            <v>SYLVESTERGANORFOLKVA</v>
          </cell>
          <cell r="F7635">
            <v>1690</v>
          </cell>
        </row>
        <row r="7636">
          <cell r="E7636" t="str">
            <v>SYLVESTERGACLARKTONNC</v>
          </cell>
          <cell r="F7636">
            <v>1160</v>
          </cell>
        </row>
        <row r="7637">
          <cell r="E7637" t="str">
            <v>SYLVESTERGASALISBURYNC</v>
          </cell>
          <cell r="F7637">
            <v>1110</v>
          </cell>
        </row>
        <row r="7638">
          <cell r="E7638" t="str">
            <v>SYLVESTERGALUMBERTONNC</v>
          </cell>
          <cell r="F7638">
            <v>1110</v>
          </cell>
        </row>
        <row r="7639">
          <cell r="E7639" t="str">
            <v>SYLVESTERGAENOREESC</v>
          </cell>
          <cell r="F7639">
            <v>810</v>
          </cell>
        </row>
        <row r="7640">
          <cell r="E7640" t="str">
            <v>SYLVESTERGAGREERSC</v>
          </cell>
          <cell r="F7640">
            <v>890</v>
          </cell>
        </row>
        <row r="7641">
          <cell r="E7641" t="str">
            <v>SYLVESTERGATUNICAMS</v>
          </cell>
          <cell r="F7641">
            <v>1260</v>
          </cell>
        </row>
        <row r="7642">
          <cell r="E7642" t="str">
            <v>SYLVESTERGAWEST MEMPHISAR</v>
          </cell>
          <cell r="F7642">
            <v>1240</v>
          </cell>
        </row>
        <row r="7643">
          <cell r="E7643" t="str">
            <v>SYLVESTERGANEW ORLEANSLA</v>
          </cell>
          <cell r="F7643">
            <v>1130</v>
          </cell>
        </row>
        <row r="7644">
          <cell r="E7644" t="str">
            <v>SYLVESTERGARABUN GAPGA</v>
          </cell>
          <cell r="F7644">
            <v>840</v>
          </cell>
        </row>
        <row r="7645">
          <cell r="E7645" t="str">
            <v>SYLVESTERGAGREENWOODMS</v>
          </cell>
          <cell r="F7645">
            <v>1180</v>
          </cell>
        </row>
        <row r="7646">
          <cell r="E7646" t="str">
            <v>SYLVESTERGATALLULAHLA</v>
          </cell>
          <cell r="F7646">
            <v>1270</v>
          </cell>
        </row>
        <row r="7647">
          <cell r="E7647" t="str">
            <v>SYLVESTERGAMARIONAR</v>
          </cell>
          <cell r="F7647">
            <v>1250</v>
          </cell>
        </row>
        <row r="7648">
          <cell r="E7648" t="str">
            <v>SYLVESTERGAGULFPORTMS</v>
          </cell>
          <cell r="F7648">
            <v>1080</v>
          </cell>
        </row>
        <row r="7649">
          <cell r="E7649" t="str">
            <v>SYLVESTERGARINCONGA</v>
          </cell>
          <cell r="F7649">
            <v>750</v>
          </cell>
        </row>
        <row r="7650">
          <cell r="E7650" t="str">
            <v>SYLVESTERGAGRIFTONNC</v>
          </cell>
          <cell r="F7650">
            <v>1530</v>
          </cell>
        </row>
        <row r="7651">
          <cell r="E7651" t="str">
            <v>SYLVESTERGAGarden CityGA</v>
          </cell>
          <cell r="F7651">
            <v>730</v>
          </cell>
        </row>
        <row r="7652">
          <cell r="E7652" t="str">
            <v>SYLVESTERGAPORT WENTWORTHGA</v>
          </cell>
          <cell r="F7652">
            <v>740</v>
          </cell>
        </row>
        <row r="7653">
          <cell r="E7653" t="str">
            <v>SYLVESTERGADAWSONGA</v>
          </cell>
          <cell r="F7653">
            <v>390</v>
          </cell>
        </row>
        <row r="7654">
          <cell r="E7654" t="str">
            <v>SYLVESTERGAECLECTICAL</v>
          </cell>
          <cell r="F7654">
            <v>620</v>
          </cell>
        </row>
        <row r="7655">
          <cell r="E7655" t="str">
            <v>SYLVESTERGAJACKSONVILLEFL</v>
          </cell>
          <cell r="F7655">
            <v>610</v>
          </cell>
        </row>
        <row r="7656">
          <cell r="E7656" t="str">
            <v>SYLVESTERGAWESLACOTX</v>
          </cell>
          <cell r="F7656">
            <v>1623</v>
          </cell>
        </row>
        <row r="7657">
          <cell r="E7657" t="str">
            <v>TAHOKATXDallasTX</v>
          </cell>
          <cell r="F7657">
            <v>549</v>
          </cell>
        </row>
        <row r="7658">
          <cell r="E7658" t="str">
            <v>TAHOKATXHoustonTX</v>
          </cell>
          <cell r="F7658">
            <v>1009</v>
          </cell>
        </row>
        <row r="7659">
          <cell r="E7659" t="str">
            <v>TAHOKATXBaytownTX</v>
          </cell>
          <cell r="F7659">
            <v>1038</v>
          </cell>
        </row>
        <row r="7660">
          <cell r="E7660" t="str">
            <v>TAHOKATXHASLETTX</v>
          </cell>
          <cell r="F7660">
            <v>1274</v>
          </cell>
        </row>
        <row r="7661">
          <cell r="E7661" t="str">
            <v>TAHOKATXHOUSTONTX</v>
          </cell>
          <cell r="F7661">
            <v>2616</v>
          </cell>
        </row>
        <row r="7662">
          <cell r="E7662" t="str">
            <v>TAHOKATXWILMERTX</v>
          </cell>
          <cell r="F7662">
            <v>1480</v>
          </cell>
        </row>
        <row r="7663">
          <cell r="E7663" t="str">
            <v>TAHOKATXWYLIETX</v>
          </cell>
        </row>
        <row r="7664">
          <cell r="E7664" t="str">
            <v>TAHOKATXWESLACOTX</v>
          </cell>
          <cell r="F7664">
            <v>1201</v>
          </cell>
        </row>
        <row r="7665">
          <cell r="E7665" t="str">
            <v>TALLASSEEALROCKFORDTN</v>
          </cell>
          <cell r="F7665">
            <v>950</v>
          </cell>
        </row>
        <row r="7666">
          <cell r="E7666" t="str">
            <v>TALLASSEEALBELMONTNC</v>
          </cell>
          <cell r="F7666">
            <v>1000</v>
          </cell>
        </row>
        <row r="7667">
          <cell r="E7667" t="str">
            <v>TALLASSEEALGASTONIANC</v>
          </cell>
          <cell r="F7667">
            <v>980</v>
          </cell>
        </row>
        <row r="7668">
          <cell r="E7668" t="str">
            <v>TALLASSEEALCLARKTONNC</v>
          </cell>
          <cell r="F7668">
            <v>1290</v>
          </cell>
        </row>
        <row r="7669">
          <cell r="E7669" t="str">
            <v>TALLASSEEALPORTSMOUTHVA</v>
          </cell>
          <cell r="F7669">
            <v>1750</v>
          </cell>
        </row>
        <row r="7670">
          <cell r="E7670" t="str">
            <v>TALLASSEEALTUNICAMS</v>
          </cell>
          <cell r="F7670">
            <v>940</v>
          </cell>
        </row>
        <row r="7671">
          <cell r="E7671" t="str">
            <v>TALLASSEEALMEMPHISTN</v>
          </cell>
          <cell r="F7671">
            <v>910</v>
          </cell>
        </row>
        <row r="7672">
          <cell r="E7672" t="str">
            <v>TALLASSEEALGAFFNEYSC</v>
          </cell>
          <cell r="F7672">
            <v>910</v>
          </cell>
        </row>
        <row r="7673">
          <cell r="E7673" t="str">
            <v>TALLASSEEALERWINNC</v>
          </cell>
          <cell r="F7673">
            <v>1370</v>
          </cell>
        </row>
        <row r="7674">
          <cell r="E7674" t="str">
            <v>TALLASSEEALSANFORDNC</v>
          </cell>
          <cell r="F7674">
            <v>1320</v>
          </cell>
        </row>
        <row r="7675">
          <cell r="E7675" t="str">
            <v>TALLASSEEALRAYVILLELA</v>
          </cell>
          <cell r="F7675">
            <v>990</v>
          </cell>
        </row>
        <row r="7676">
          <cell r="E7676" t="str">
            <v>TALLASSEEALROSSVILLETN</v>
          </cell>
          <cell r="F7676">
            <v>890</v>
          </cell>
        </row>
        <row r="7677">
          <cell r="E7677" t="str">
            <v>TALLASSEEALSALISBURYNC</v>
          </cell>
          <cell r="F7677">
            <v>1120</v>
          </cell>
        </row>
        <row r="7678">
          <cell r="E7678" t="str">
            <v>TALLASSEEALROCKINGHAMNC</v>
          </cell>
          <cell r="F7678">
            <v>1200</v>
          </cell>
        </row>
        <row r="7679">
          <cell r="E7679" t="str">
            <v>TALLASSEEALMARIONAR</v>
          </cell>
          <cell r="F7679">
            <v>930</v>
          </cell>
        </row>
        <row r="7680">
          <cell r="E7680" t="str">
            <v>TALLASSEEALNEW ORLEANSLA</v>
          </cell>
          <cell r="F7680">
            <v>910</v>
          </cell>
        </row>
        <row r="7681">
          <cell r="E7681" t="str">
            <v>TALLASSEEALSHELBYNC</v>
          </cell>
          <cell r="F7681">
            <v>950</v>
          </cell>
        </row>
        <row r="7682">
          <cell r="E7682" t="str">
            <v>TALLASSEEALCHARLOTTENC</v>
          </cell>
          <cell r="F7682">
            <v>1030</v>
          </cell>
        </row>
        <row r="7683">
          <cell r="E7683" t="str">
            <v>TALLASSEEALHICKORYNC</v>
          </cell>
          <cell r="F7683">
            <v>1060</v>
          </cell>
        </row>
        <row r="7684">
          <cell r="E7684" t="str">
            <v>TALLASSEEALLUMBERTONNC</v>
          </cell>
          <cell r="F7684">
            <v>1240</v>
          </cell>
        </row>
        <row r="7685">
          <cell r="E7685" t="str">
            <v>TALLASSEEALWEST MEMPHISAR</v>
          </cell>
          <cell r="F7685">
            <v>920</v>
          </cell>
        </row>
        <row r="7686">
          <cell r="E7686" t="str">
            <v>TALLASSEEALMINERAL SPRINGSNC</v>
          </cell>
          <cell r="F7686">
            <v>1090</v>
          </cell>
        </row>
        <row r="7687">
          <cell r="E7687" t="str">
            <v>TALLASSEEALSPARTANC</v>
          </cell>
          <cell r="F7687">
            <v>1250</v>
          </cell>
        </row>
        <row r="7688">
          <cell r="E7688" t="str">
            <v>TALLASSEEALGREENWOODSC</v>
          </cell>
          <cell r="F7688">
            <v>800</v>
          </cell>
        </row>
        <row r="7689">
          <cell r="E7689" t="str">
            <v>TALLASSEEALLEXINGTONNC</v>
          </cell>
          <cell r="F7689">
            <v>1160</v>
          </cell>
        </row>
        <row r="7690">
          <cell r="E7690" t="str">
            <v>TALLASSEEALINDIAN LANDSC</v>
          </cell>
          <cell r="F7690">
            <v>1060</v>
          </cell>
        </row>
        <row r="7691">
          <cell r="E7691" t="str">
            <v>TALLASSEEALNORFOLKVA</v>
          </cell>
          <cell r="F7691">
            <v>1780</v>
          </cell>
        </row>
        <row r="7692">
          <cell r="E7692" t="str">
            <v>TALLASSEEALKINSTONNC</v>
          </cell>
          <cell r="F7692">
            <v>1530</v>
          </cell>
        </row>
        <row r="7693">
          <cell r="E7693" t="str">
            <v>TALLASSEEALEDENTONNC</v>
          </cell>
          <cell r="F7693">
            <v>1710</v>
          </cell>
        </row>
        <row r="7694">
          <cell r="E7694" t="str">
            <v>TALLASSEEALMAYODANNC</v>
          </cell>
          <cell r="F7694">
            <v>1280</v>
          </cell>
        </row>
        <row r="7695">
          <cell r="E7695" t="str">
            <v>TALLASSEEALMONEYMS</v>
          </cell>
          <cell r="F7695">
            <v>860</v>
          </cell>
        </row>
        <row r="7696">
          <cell r="E7696" t="str">
            <v>TALLASSEEALSTONEVILLENC</v>
          </cell>
          <cell r="F7696">
            <v>1280</v>
          </cell>
        </row>
        <row r="7697">
          <cell r="E7697" t="str">
            <v>TALLASSEEALDREWMS</v>
          </cell>
          <cell r="F7697">
            <v>910</v>
          </cell>
        </row>
        <row r="7698">
          <cell r="E7698" t="str">
            <v>TALLASSEEALTALLULAHLA</v>
          </cell>
          <cell r="F7698">
            <v>910</v>
          </cell>
        </row>
        <row r="7699">
          <cell r="E7699" t="str">
            <v>TALLASSEEALTHOMASVILLENC</v>
          </cell>
          <cell r="F7699">
            <v>1180</v>
          </cell>
        </row>
        <row r="7700">
          <cell r="E7700" t="str">
            <v>TALLASSEEALINDIANOLAMS</v>
          </cell>
          <cell r="F7700">
            <v>890</v>
          </cell>
        </row>
        <row r="7701">
          <cell r="E7701" t="str">
            <v>TALLASSEEALGAINESVILLEGA</v>
          </cell>
          <cell r="F7701">
            <v>630</v>
          </cell>
        </row>
        <row r="7702">
          <cell r="E7702" t="str">
            <v>TALLASSEEALENOREESC</v>
          </cell>
          <cell r="F7702">
            <v>880</v>
          </cell>
        </row>
        <row r="7703">
          <cell r="E7703" t="str">
            <v>TALLASSEEALBLYTHEVILLEAR</v>
          </cell>
          <cell r="F7703">
            <v>1050</v>
          </cell>
        </row>
        <row r="7704">
          <cell r="E7704" t="str">
            <v>TALLASSEEALGREERSC</v>
          </cell>
          <cell r="F7704">
            <v>830</v>
          </cell>
        </row>
        <row r="7705">
          <cell r="E7705" t="str">
            <v>TALLASSEEALJACKSONVILLEFL</v>
          </cell>
          <cell r="F7705">
            <v>960</v>
          </cell>
        </row>
        <row r="7706">
          <cell r="E7706" t="str">
            <v>TALLASSEEALLOWELLNC</v>
          </cell>
          <cell r="F7706">
            <v>990</v>
          </cell>
        </row>
        <row r="7707">
          <cell r="E7707" t="str">
            <v>TALLASSEEALMOCKSVILLENC</v>
          </cell>
          <cell r="F7707">
            <v>1150</v>
          </cell>
        </row>
        <row r="7708">
          <cell r="E7708" t="str">
            <v>TALLASSEEALCENTREAL</v>
          </cell>
          <cell r="F7708">
            <v>540</v>
          </cell>
        </row>
        <row r="7709">
          <cell r="E7709" t="str">
            <v>TALLASSEEALCARTERSVILLEGA</v>
          </cell>
          <cell r="F7709">
            <v>610</v>
          </cell>
        </row>
        <row r="7710">
          <cell r="E7710" t="str">
            <v>TALLASSEEALMOBILEAL</v>
          </cell>
          <cell r="F7710">
            <v>630</v>
          </cell>
        </row>
        <row r="7711">
          <cell r="E7711" t="str">
            <v>TALLASSEEALRABUN GAPGA</v>
          </cell>
          <cell r="F7711">
            <v>780</v>
          </cell>
        </row>
        <row r="7712">
          <cell r="E7712" t="str">
            <v>TALLASSEEALMCCALLAAL</v>
          </cell>
          <cell r="F7712">
            <v>530</v>
          </cell>
        </row>
        <row r="7713">
          <cell r="E7713" t="str">
            <v>TALLASSEEALPORT WENTWORTHGA</v>
          </cell>
          <cell r="F7713">
            <v>970</v>
          </cell>
        </row>
        <row r="7714">
          <cell r="E7714" t="str">
            <v>TALLASSEEALDAWSONGA</v>
          </cell>
          <cell r="F7714">
            <v>540</v>
          </cell>
        </row>
        <row r="7715">
          <cell r="E7715" t="str">
            <v>TALLASSEEALGRIFTONNC</v>
          </cell>
          <cell r="F7715">
            <v>1660</v>
          </cell>
        </row>
        <row r="7716">
          <cell r="E7716" t="str">
            <v>TALLASSEEALGarden CityGA</v>
          </cell>
          <cell r="F7716">
            <v>950</v>
          </cell>
        </row>
        <row r="7717">
          <cell r="E7717" t="str">
            <v>TALLASSEEALGULFPORTMS</v>
          </cell>
          <cell r="F7717">
            <v>860</v>
          </cell>
        </row>
        <row r="7718">
          <cell r="E7718" t="str">
            <v>TALLASSEEALRINCONGA</v>
          </cell>
          <cell r="F7718">
            <v>980</v>
          </cell>
        </row>
        <row r="7719">
          <cell r="E7719" t="str">
            <v>TALLASSEEALGREENWOODMS</v>
          </cell>
          <cell r="F7719">
            <v>830</v>
          </cell>
        </row>
        <row r="7720">
          <cell r="E7720" t="str">
            <v>TALLASSEEALECLECTICAL</v>
          </cell>
          <cell r="F7720">
            <v>340</v>
          </cell>
        </row>
        <row r="7721">
          <cell r="E7721" t="str">
            <v>TALLULAHLAROCKFORDTN</v>
          </cell>
          <cell r="F7721">
            <v>1420</v>
          </cell>
        </row>
        <row r="7722">
          <cell r="E7722" t="str">
            <v>TALLULAHLANORFOLKVA</v>
          </cell>
          <cell r="F7722">
            <v>2470</v>
          </cell>
        </row>
        <row r="7723">
          <cell r="E7723" t="str">
            <v>TALLULAHLAKINSTONNC</v>
          </cell>
          <cell r="F7723">
            <v>2260</v>
          </cell>
        </row>
        <row r="7724">
          <cell r="E7724" t="str">
            <v>TALLULAHLAEDENTONNC</v>
          </cell>
          <cell r="F7724">
            <v>2410</v>
          </cell>
        </row>
        <row r="7725">
          <cell r="E7725" t="str">
            <v>TALLULAHLAMAYODANNC</v>
          </cell>
          <cell r="F7725">
            <v>1970</v>
          </cell>
        </row>
        <row r="7726">
          <cell r="E7726" t="str">
            <v>TALLULAHLASTONEVILLENC</v>
          </cell>
          <cell r="F7726">
            <v>1980</v>
          </cell>
        </row>
        <row r="7727">
          <cell r="E7727" t="str">
            <v>TALLULAHLAPORTSMOUTHVA</v>
          </cell>
          <cell r="F7727">
            <v>2450</v>
          </cell>
        </row>
        <row r="7728">
          <cell r="E7728" t="str">
            <v>TALLULAHLAMOCKSVILLENC</v>
          </cell>
          <cell r="F7728">
            <v>1850</v>
          </cell>
        </row>
        <row r="7729">
          <cell r="E7729" t="str">
            <v>TALLULAHLATHOMASVILLENC</v>
          </cell>
          <cell r="F7729">
            <v>1880</v>
          </cell>
        </row>
        <row r="7730">
          <cell r="E7730" t="str">
            <v>TALLULAHLAERWINNC</v>
          </cell>
          <cell r="F7730">
            <v>2100</v>
          </cell>
        </row>
        <row r="7731">
          <cell r="E7731" t="str">
            <v>TALLULAHLACLARKTONNC</v>
          </cell>
          <cell r="F7731">
            <v>2020</v>
          </cell>
        </row>
        <row r="7732">
          <cell r="E7732" t="str">
            <v>TALLULAHLAENOREESC</v>
          </cell>
          <cell r="F7732">
            <v>1570</v>
          </cell>
        </row>
        <row r="7733">
          <cell r="E7733" t="str">
            <v>TALLULAHLALOWELLNC</v>
          </cell>
          <cell r="F7733">
            <v>1680</v>
          </cell>
        </row>
        <row r="7734">
          <cell r="E7734" t="str">
            <v>TALLULAHLASANFORDNC</v>
          </cell>
          <cell r="F7734">
            <v>2010</v>
          </cell>
        </row>
        <row r="7735">
          <cell r="E7735" t="str">
            <v>TALLULAHLAGAFFNEYSC</v>
          </cell>
          <cell r="F7735">
            <v>1600</v>
          </cell>
        </row>
        <row r="7736">
          <cell r="E7736" t="str">
            <v>TALLULAHLAGREERSC</v>
          </cell>
          <cell r="F7736">
            <v>1520</v>
          </cell>
        </row>
        <row r="7737">
          <cell r="E7737" t="str">
            <v>TALLULAHLABELMONTNC</v>
          </cell>
          <cell r="F7737">
            <v>1690</v>
          </cell>
        </row>
        <row r="7738">
          <cell r="E7738" t="str">
            <v>TALLULAHLALUMBERTONNC</v>
          </cell>
          <cell r="F7738">
            <v>1970</v>
          </cell>
        </row>
        <row r="7739">
          <cell r="E7739" t="str">
            <v>TALLULAHLAGASTONIANC</v>
          </cell>
          <cell r="F7739">
            <v>1670</v>
          </cell>
        </row>
        <row r="7740">
          <cell r="E7740" t="str">
            <v>TALLULAHLAROCKINGHAMNC</v>
          </cell>
          <cell r="F7740">
            <v>1890</v>
          </cell>
        </row>
        <row r="7741">
          <cell r="E7741" t="str">
            <v>TALLULAHLASALISBURYNC</v>
          </cell>
          <cell r="F7741">
            <v>1810</v>
          </cell>
        </row>
        <row r="7742">
          <cell r="E7742" t="str">
            <v>TALLULAHLADAWSONGA</v>
          </cell>
          <cell r="F7742">
            <v>1160</v>
          </cell>
        </row>
        <row r="7743">
          <cell r="E7743" t="str">
            <v>TALLULAHLALEXINGTONNC</v>
          </cell>
          <cell r="F7743">
            <v>1850</v>
          </cell>
        </row>
        <row r="7744">
          <cell r="E7744" t="str">
            <v>TALLULAHLACHARLOTTENC</v>
          </cell>
          <cell r="F7744">
            <v>1720</v>
          </cell>
        </row>
        <row r="7745">
          <cell r="E7745" t="str">
            <v>TALLULAHLASHELBYNC</v>
          </cell>
          <cell r="F7745">
            <v>1640</v>
          </cell>
        </row>
        <row r="7746">
          <cell r="E7746" t="str">
            <v>TALLULAHLAHICKORYNC</v>
          </cell>
          <cell r="F7746">
            <v>1750</v>
          </cell>
        </row>
        <row r="7747">
          <cell r="E7747" t="str">
            <v>TALLULAHLAINDIAN LANDSC</v>
          </cell>
          <cell r="F7747">
            <v>1750</v>
          </cell>
        </row>
        <row r="7748">
          <cell r="E7748" t="str">
            <v>TALLULAHLAMINERAL SPRINGSNC</v>
          </cell>
          <cell r="F7748">
            <v>1780</v>
          </cell>
        </row>
        <row r="7749">
          <cell r="E7749" t="str">
            <v>TALLULAHLASPARTANC</v>
          </cell>
          <cell r="F7749">
            <v>1920</v>
          </cell>
        </row>
        <row r="7750">
          <cell r="E7750" t="str">
            <v>TALLULAHLAMCCALLAAL</v>
          </cell>
          <cell r="F7750">
            <v>770</v>
          </cell>
        </row>
        <row r="7751">
          <cell r="E7751" t="str">
            <v>TALLULAHLAJACKSONVILLEFL</v>
          </cell>
          <cell r="F7751">
            <v>1640</v>
          </cell>
        </row>
        <row r="7752">
          <cell r="E7752" t="str">
            <v>TALLULAHLAGAINESVILLEGA</v>
          </cell>
          <cell r="F7752">
            <v>1290</v>
          </cell>
        </row>
        <row r="7753">
          <cell r="E7753" t="str">
            <v>TALLULAHLAECLECTICAL</v>
          </cell>
          <cell r="F7753">
            <v>920</v>
          </cell>
        </row>
        <row r="7754">
          <cell r="E7754" t="str">
            <v>TALLULAHLAGREENWOODSC</v>
          </cell>
          <cell r="F7754">
            <v>1510</v>
          </cell>
        </row>
        <row r="7755">
          <cell r="E7755" t="str">
            <v>TALLULAHLACENTREAL</v>
          </cell>
          <cell r="F7755">
            <v>1020</v>
          </cell>
        </row>
        <row r="7756">
          <cell r="E7756" t="str">
            <v>TALLULAHLAMEMPHISTN</v>
          </cell>
          <cell r="F7756">
            <v>670</v>
          </cell>
        </row>
        <row r="7757">
          <cell r="E7757" t="str">
            <v>TALLULAHLAWEST MEMPHISAR</v>
          </cell>
          <cell r="F7757">
            <v>770</v>
          </cell>
        </row>
        <row r="7758">
          <cell r="E7758" t="str">
            <v>TALLULAHLAMARIONAR</v>
          </cell>
          <cell r="F7758">
            <v>780</v>
          </cell>
        </row>
        <row r="7759">
          <cell r="E7759" t="str">
            <v>TALLULAHLAPORT WENTWORTHGA</v>
          </cell>
          <cell r="F7759">
            <v>1830</v>
          </cell>
        </row>
        <row r="7760">
          <cell r="E7760" t="str">
            <v>TALLULAHLAGRIFTONNC</v>
          </cell>
          <cell r="F7760">
            <v>2390</v>
          </cell>
        </row>
        <row r="7761">
          <cell r="E7761" t="str">
            <v>TALLULAHLABLYTHEVILLEAR</v>
          </cell>
          <cell r="F7761">
            <v>910</v>
          </cell>
        </row>
        <row r="7762">
          <cell r="E7762" t="str">
            <v>TALLULAHLARABUN GAPGA</v>
          </cell>
          <cell r="F7762">
            <v>1520</v>
          </cell>
        </row>
        <row r="7763">
          <cell r="E7763" t="str">
            <v>TALLULAHLAROSSVILLETN</v>
          </cell>
          <cell r="F7763">
            <v>800</v>
          </cell>
        </row>
        <row r="7764">
          <cell r="E7764" t="str">
            <v>TALLULAHLATUNICAMS</v>
          </cell>
          <cell r="F7764">
            <v>620</v>
          </cell>
        </row>
        <row r="7765">
          <cell r="E7765" t="str">
            <v>TALLULAHLAGarden CityGA</v>
          </cell>
          <cell r="F7765">
            <v>1820</v>
          </cell>
        </row>
        <row r="7766">
          <cell r="E7766" t="str">
            <v>TALLULAHLARINCONGA</v>
          </cell>
          <cell r="F7766">
            <v>1850</v>
          </cell>
        </row>
        <row r="7767">
          <cell r="E7767" t="str">
            <v>TALLULAHLAGREENWOODMS</v>
          </cell>
          <cell r="F7767">
            <v>510</v>
          </cell>
        </row>
        <row r="7768">
          <cell r="E7768" t="str">
            <v>TALLULAHLAINDIANOLAMS</v>
          </cell>
          <cell r="F7768">
            <v>480</v>
          </cell>
        </row>
        <row r="7769">
          <cell r="E7769" t="str">
            <v>TALLULAHLAMONEYMS</v>
          </cell>
          <cell r="F7769">
            <v>540</v>
          </cell>
        </row>
        <row r="7770">
          <cell r="E7770" t="str">
            <v>TALLULAHLAGULFPORTMS</v>
          </cell>
          <cell r="F7770">
            <v>770</v>
          </cell>
        </row>
        <row r="7771">
          <cell r="E7771" t="str">
            <v>TALLULAHLADREWMS</v>
          </cell>
          <cell r="F7771">
            <v>530</v>
          </cell>
        </row>
        <row r="7772">
          <cell r="E7772" t="str">
            <v>TALLULAHLARAYVILLELA</v>
          </cell>
          <cell r="F7772">
            <v>380</v>
          </cell>
        </row>
        <row r="7773">
          <cell r="E7773" t="str">
            <v>TALLULAHLAMOBILEAL</v>
          </cell>
          <cell r="F7773">
            <v>710</v>
          </cell>
        </row>
        <row r="7774">
          <cell r="E7774" t="str">
            <v>TALLULAHLACARTERSVILLEGA</v>
          </cell>
          <cell r="F7774">
            <v>1160</v>
          </cell>
        </row>
        <row r="7775">
          <cell r="E7775" t="str">
            <v>TALLULAHLANEW ORLEANSLA</v>
          </cell>
          <cell r="F7775">
            <v>700</v>
          </cell>
        </row>
        <row r="7776">
          <cell r="E7776" t="str">
            <v>TALLULAHLAHoustonTX</v>
          </cell>
          <cell r="F7776">
            <v>1198</v>
          </cell>
        </row>
        <row r="7777">
          <cell r="E7777" t="str">
            <v>TALLULAHLABaytownTX</v>
          </cell>
          <cell r="F7777">
            <v>1137</v>
          </cell>
        </row>
        <row r="7778">
          <cell r="E7778" t="str">
            <v>TALLULAHLAWESLACOTX</v>
          </cell>
          <cell r="F7778">
            <v>1485</v>
          </cell>
        </row>
        <row r="7779">
          <cell r="E7779" t="str">
            <v>TAYLORTXHoustonTX</v>
          </cell>
          <cell r="F7779">
            <v>540</v>
          </cell>
        </row>
        <row r="7780">
          <cell r="E7780" t="str">
            <v>TAYLORTXBaytownTX</v>
          </cell>
          <cell r="F7780">
            <v>595</v>
          </cell>
        </row>
        <row r="7781">
          <cell r="E7781" t="str">
            <v>TAYLORTXHASLETTX</v>
          </cell>
          <cell r="F7781">
            <v>752</v>
          </cell>
        </row>
        <row r="7782">
          <cell r="E7782" t="str">
            <v>TAYLORTXHOUSTONTX</v>
          </cell>
          <cell r="F7782">
            <v>895</v>
          </cell>
        </row>
        <row r="7783">
          <cell r="E7783" t="str">
            <v>TAYLORTXWILMERTX</v>
          </cell>
          <cell r="F7783">
            <v>692</v>
          </cell>
        </row>
        <row r="7784">
          <cell r="E7784" t="str">
            <v>TAYLORTXWYLIETX</v>
          </cell>
        </row>
        <row r="7785">
          <cell r="E7785" t="str">
            <v>TAYLORTXWESLACOTX</v>
          </cell>
          <cell r="F7785">
            <v>620</v>
          </cell>
        </row>
        <row r="7786">
          <cell r="E7786" t="str">
            <v>TAYLORSVILLEGAROCKFORDTN</v>
          </cell>
          <cell r="F7786">
            <v>560</v>
          </cell>
        </row>
        <row r="7787">
          <cell r="E7787" t="str">
            <v>TAYLORSVILLEGAGASTONIANC</v>
          </cell>
          <cell r="F7787">
            <v>740</v>
          </cell>
        </row>
        <row r="7788">
          <cell r="E7788" t="str">
            <v>TAYLORSVILLEGAMINERAL SPRINGSNC</v>
          </cell>
          <cell r="F7788">
            <v>850</v>
          </cell>
        </row>
        <row r="7789">
          <cell r="E7789" t="str">
            <v>TAYLORSVILLEGAGREENWOODMS</v>
          </cell>
          <cell r="F7789">
            <v>940</v>
          </cell>
        </row>
        <row r="7790">
          <cell r="E7790" t="str">
            <v>TAYLORSVILLEGACHARLOTTENC</v>
          </cell>
          <cell r="F7790">
            <v>790</v>
          </cell>
        </row>
        <row r="7791">
          <cell r="E7791" t="str">
            <v>TAYLORSVILLEGALEXINGTONNC</v>
          </cell>
          <cell r="F7791">
            <v>920</v>
          </cell>
        </row>
        <row r="7792">
          <cell r="E7792" t="str">
            <v>TAYLORSVILLEGAHICKORYNC</v>
          </cell>
          <cell r="F7792">
            <v>820</v>
          </cell>
        </row>
        <row r="7793">
          <cell r="E7793" t="str">
            <v>TAYLORSVILLEGAINDIAN LANDSC</v>
          </cell>
          <cell r="F7793">
            <v>820</v>
          </cell>
        </row>
        <row r="7794">
          <cell r="E7794" t="str">
            <v>TAYLORSVILLEGAMONEYMS</v>
          </cell>
          <cell r="F7794">
            <v>980</v>
          </cell>
        </row>
        <row r="7795">
          <cell r="E7795" t="str">
            <v>TAYLORSVILLEGACLARKTONNC</v>
          </cell>
          <cell r="F7795">
            <v>1110</v>
          </cell>
        </row>
        <row r="7796">
          <cell r="E7796" t="str">
            <v>TAYLORSVILLEGASPARTANC</v>
          </cell>
          <cell r="F7796">
            <v>1010</v>
          </cell>
        </row>
        <row r="7797">
          <cell r="E7797" t="str">
            <v>TAYLORSVILLEGABLYTHEVILLEAR</v>
          </cell>
          <cell r="F7797">
            <v>1120</v>
          </cell>
        </row>
        <row r="7798">
          <cell r="E7798" t="str">
            <v>TAYLORSVILLEGAEDENTONNC</v>
          </cell>
          <cell r="F7798">
            <v>1480</v>
          </cell>
        </row>
        <row r="7799">
          <cell r="E7799" t="str">
            <v>TAYLORSVILLEGAMOBILEAL</v>
          </cell>
          <cell r="F7799">
            <v>930</v>
          </cell>
        </row>
        <row r="7800">
          <cell r="E7800" t="str">
            <v>TAYLORSVILLEGATHOMASVILLENC</v>
          </cell>
          <cell r="F7800">
            <v>950</v>
          </cell>
        </row>
        <row r="7801">
          <cell r="E7801" t="str">
            <v>TAYLORSVILLEGAROSSVILLETN</v>
          </cell>
          <cell r="F7801">
            <v>850</v>
          </cell>
        </row>
        <row r="7802">
          <cell r="E7802" t="str">
            <v>TAYLORSVILLEGANORFOLKVA</v>
          </cell>
          <cell r="F7802">
            <v>1540</v>
          </cell>
        </row>
        <row r="7803">
          <cell r="E7803" t="str">
            <v>TAYLORSVILLEGADREWMS</v>
          </cell>
          <cell r="F7803">
            <v>1030</v>
          </cell>
        </row>
        <row r="7804">
          <cell r="E7804" t="str">
            <v>TAYLORSVILLEGAINDIANOLAMS</v>
          </cell>
          <cell r="F7804">
            <v>1010</v>
          </cell>
        </row>
        <row r="7805">
          <cell r="E7805" t="str">
            <v>TAYLORSVILLEGATUNICAMS</v>
          </cell>
          <cell r="F7805">
            <v>1010</v>
          </cell>
        </row>
        <row r="7806">
          <cell r="E7806" t="str">
            <v>TAYLORSVILLEGANEW ORLEANSLA</v>
          </cell>
          <cell r="F7806">
            <v>1210</v>
          </cell>
        </row>
        <row r="7807">
          <cell r="E7807" t="str">
            <v>TAYLORSVILLEGAMAYODANNC</v>
          </cell>
          <cell r="F7807">
            <v>1040</v>
          </cell>
        </row>
        <row r="7808">
          <cell r="E7808" t="str">
            <v>TAYLORSVILLEGARAYVILLELA</v>
          </cell>
          <cell r="F7808">
            <v>1190</v>
          </cell>
        </row>
        <row r="7809">
          <cell r="E7809" t="str">
            <v>TAYLORSVILLEGAKINSTONNC</v>
          </cell>
          <cell r="F7809">
            <v>1350</v>
          </cell>
        </row>
        <row r="7810">
          <cell r="E7810" t="str">
            <v>TAYLORSVILLEGADAWSONGA</v>
          </cell>
          <cell r="F7810">
            <v>630</v>
          </cell>
        </row>
        <row r="7811">
          <cell r="E7811" t="str">
            <v>TAYLORSVILLEGAMOCKSVILLENC</v>
          </cell>
          <cell r="F7811">
            <v>920</v>
          </cell>
        </row>
        <row r="7812">
          <cell r="E7812" t="str">
            <v>TAYLORSVILLEGASTONEVILLENC</v>
          </cell>
          <cell r="F7812">
            <v>1050</v>
          </cell>
        </row>
        <row r="7813">
          <cell r="E7813" t="str">
            <v>TAYLORSVILLEGABELMONTNC</v>
          </cell>
          <cell r="F7813">
            <v>770</v>
          </cell>
        </row>
        <row r="7814">
          <cell r="E7814" t="str">
            <v>TAYLORSVILLEGAMARIONAR</v>
          </cell>
          <cell r="F7814">
            <v>1000</v>
          </cell>
        </row>
        <row r="7815">
          <cell r="E7815" t="str">
            <v>TAYLORSVILLEGASANFORDNC</v>
          </cell>
          <cell r="F7815">
            <v>1080</v>
          </cell>
        </row>
        <row r="7816">
          <cell r="E7816" t="str">
            <v>TAYLORSVILLEGAWEST MEMPHISAR</v>
          </cell>
          <cell r="F7816">
            <v>980</v>
          </cell>
        </row>
        <row r="7817">
          <cell r="E7817" t="str">
            <v>TAYLORSVILLEGALOWELLNC</v>
          </cell>
          <cell r="F7817">
            <v>750</v>
          </cell>
        </row>
        <row r="7818">
          <cell r="E7818" t="str">
            <v>TAYLORSVILLEGASALISBURYNC</v>
          </cell>
          <cell r="F7818">
            <v>880</v>
          </cell>
        </row>
        <row r="7819">
          <cell r="E7819" t="str">
            <v>TAYLORSVILLEGAECLECTICAL</v>
          </cell>
          <cell r="F7819">
            <v>550</v>
          </cell>
        </row>
        <row r="7820">
          <cell r="E7820" t="str">
            <v>TAYLORSVILLEGASHELBYNC</v>
          </cell>
          <cell r="F7820">
            <v>710</v>
          </cell>
        </row>
        <row r="7821">
          <cell r="E7821" t="str">
            <v>TAYLORSVILLEGAMCCALLAAL</v>
          </cell>
          <cell r="F7821">
            <v>560</v>
          </cell>
        </row>
        <row r="7822">
          <cell r="E7822" t="str">
            <v>TAYLORSVILLEGAMEMPHISTN</v>
          </cell>
          <cell r="F7822">
            <v>970</v>
          </cell>
        </row>
        <row r="7823">
          <cell r="E7823" t="str">
            <v>TAYLORSVILLEGAPORTSMOUTHVA</v>
          </cell>
          <cell r="F7823">
            <v>1510</v>
          </cell>
        </row>
        <row r="7824">
          <cell r="E7824" t="str">
            <v>TAYLORSVILLEGATALLULAHLA</v>
          </cell>
          <cell r="F7824">
            <v>1110</v>
          </cell>
        </row>
        <row r="7825">
          <cell r="E7825" t="str">
            <v>TAYLORSVILLEGAGAINESVILLEGA</v>
          </cell>
          <cell r="F7825">
            <v>470</v>
          </cell>
        </row>
        <row r="7826">
          <cell r="E7826" t="str">
            <v>TAYLORSVILLEGAGarden CityGA</v>
          </cell>
          <cell r="F7826">
            <v>910</v>
          </cell>
        </row>
        <row r="7827">
          <cell r="E7827" t="str">
            <v>TAYLORSVILLEGARINCONGA</v>
          </cell>
          <cell r="F7827">
            <v>940</v>
          </cell>
        </row>
        <row r="7828">
          <cell r="E7828" t="str">
            <v>TAYLORSVILLEGAGRIFTONNC</v>
          </cell>
          <cell r="F7828">
            <v>1480</v>
          </cell>
        </row>
        <row r="7829">
          <cell r="E7829" t="str">
            <v>TAYLORSVILLEGAPORT WENTWORTHGA</v>
          </cell>
          <cell r="F7829">
            <v>920</v>
          </cell>
        </row>
        <row r="7830">
          <cell r="E7830" t="str">
            <v>TAYLORSVILLEGACENTREAL</v>
          </cell>
          <cell r="F7830">
            <v>400</v>
          </cell>
        </row>
        <row r="7831">
          <cell r="E7831" t="str">
            <v>TAYLORSVILLEGAGULFPORTMS</v>
          </cell>
          <cell r="F7831">
            <v>1190</v>
          </cell>
        </row>
        <row r="7832">
          <cell r="E7832" t="str">
            <v>TAYLORSVILLEGACARTERSVILLEGA</v>
          </cell>
          <cell r="F7832">
            <v>340</v>
          </cell>
        </row>
        <row r="7833">
          <cell r="E7833" t="str">
            <v>TAYLORSVILLEGAROCKINGHAMNC</v>
          </cell>
          <cell r="F7833">
            <v>960</v>
          </cell>
        </row>
        <row r="7834">
          <cell r="E7834" t="str">
            <v>TAYLORSVILLEGALUMBERTONNC</v>
          </cell>
          <cell r="F7834">
            <v>1060</v>
          </cell>
        </row>
        <row r="7835">
          <cell r="E7835" t="str">
            <v>TAYLORSVILLEGAERWINNC</v>
          </cell>
          <cell r="F7835">
            <v>1190</v>
          </cell>
        </row>
        <row r="7836">
          <cell r="E7836" t="str">
            <v>TAYLORSVILLEGAJACKSONVILLEFL</v>
          </cell>
          <cell r="F7836">
            <v>1040</v>
          </cell>
        </row>
        <row r="7837">
          <cell r="E7837" t="str">
            <v>TAYLORSVILLEGAGREENWOODSC</v>
          </cell>
          <cell r="F7837">
            <v>620</v>
          </cell>
        </row>
        <row r="7838">
          <cell r="E7838" t="str">
            <v>TAYLORSVILLEGAENOREESC</v>
          </cell>
          <cell r="F7838">
            <v>670</v>
          </cell>
        </row>
        <row r="7839">
          <cell r="E7839" t="str">
            <v>TAYLORSVILLEGARABUN GAPGA</v>
          </cell>
          <cell r="F7839">
            <v>590</v>
          </cell>
        </row>
        <row r="7840">
          <cell r="E7840" t="str">
            <v>TAYLORSVILLEGAGREERSC</v>
          </cell>
          <cell r="F7840">
            <v>630</v>
          </cell>
        </row>
        <row r="7841">
          <cell r="E7841" t="str">
            <v>TAYLORSVILLEGAGAFFNEYSC</v>
          </cell>
          <cell r="F7841">
            <v>690</v>
          </cell>
        </row>
        <row r="7842">
          <cell r="E7842" t="str">
            <v>TIFTONGAROCKFORDTN</v>
          </cell>
          <cell r="F7842">
            <v>1060</v>
          </cell>
        </row>
        <row r="7843">
          <cell r="E7843" t="str">
            <v>TIFTONGAENOREESC</v>
          </cell>
          <cell r="F7843">
            <v>820</v>
          </cell>
        </row>
        <row r="7844">
          <cell r="E7844" t="str">
            <v>TIFTONGAGREENWOODSC</v>
          </cell>
          <cell r="F7844">
            <v>720</v>
          </cell>
        </row>
        <row r="7845">
          <cell r="E7845" t="str">
            <v>TIFTONGAGREENWOODMS</v>
          </cell>
          <cell r="F7845">
            <v>1230</v>
          </cell>
        </row>
        <row r="7846">
          <cell r="E7846" t="str">
            <v>TIFTONGAERWINNC</v>
          </cell>
          <cell r="F7846">
            <v>1190</v>
          </cell>
        </row>
        <row r="7847">
          <cell r="E7847" t="str">
            <v>TIFTONGASANFORDNC</v>
          </cell>
          <cell r="F7847">
            <v>1190</v>
          </cell>
        </row>
        <row r="7848">
          <cell r="E7848" t="str">
            <v>TIFTONGAMARIONAR</v>
          </cell>
          <cell r="F7848">
            <v>1300</v>
          </cell>
        </row>
        <row r="7849">
          <cell r="E7849" t="str">
            <v>TIFTONGAMOBILEAL</v>
          </cell>
          <cell r="F7849">
            <v>880</v>
          </cell>
        </row>
        <row r="7850">
          <cell r="E7850" t="str">
            <v>TIFTONGASALISBURYNC</v>
          </cell>
          <cell r="F7850">
            <v>1120</v>
          </cell>
        </row>
        <row r="7851">
          <cell r="E7851" t="str">
            <v>TIFTONGATUNICAMS</v>
          </cell>
          <cell r="F7851">
            <v>1310</v>
          </cell>
        </row>
        <row r="7852">
          <cell r="E7852" t="str">
            <v>TIFTONGANORFOLKVA</v>
          </cell>
          <cell r="F7852">
            <v>1640</v>
          </cell>
        </row>
        <row r="7853">
          <cell r="E7853" t="str">
            <v>TIFTONGAGAINESVILLEGA</v>
          </cell>
          <cell r="F7853">
            <v>680</v>
          </cell>
        </row>
        <row r="7854">
          <cell r="E7854" t="str">
            <v>TIFTONGAGREERSC</v>
          </cell>
          <cell r="F7854">
            <v>900</v>
          </cell>
        </row>
        <row r="7855">
          <cell r="E7855" t="str">
            <v>TIFTONGAWEST MEMPHISAR</v>
          </cell>
          <cell r="F7855">
            <v>1290</v>
          </cell>
        </row>
        <row r="7856">
          <cell r="E7856" t="str">
            <v>TIFTONGACLARKTONNC</v>
          </cell>
          <cell r="F7856">
            <v>1110</v>
          </cell>
        </row>
        <row r="7857">
          <cell r="E7857" t="str">
            <v>TIFTONGALOWELLNC</v>
          </cell>
          <cell r="F7857">
            <v>1060</v>
          </cell>
        </row>
        <row r="7858">
          <cell r="E7858" t="str">
            <v>TIFTONGAMINERAL SPRINGSNC</v>
          </cell>
          <cell r="F7858">
            <v>1010</v>
          </cell>
        </row>
        <row r="7859">
          <cell r="E7859" t="str">
            <v>TIFTONGATALLULAHLA</v>
          </cell>
          <cell r="F7859">
            <v>1320</v>
          </cell>
        </row>
        <row r="7860">
          <cell r="E7860" t="str">
            <v>TIFTONGAMCCALLAAL</v>
          </cell>
          <cell r="F7860">
            <v>790</v>
          </cell>
        </row>
        <row r="7861">
          <cell r="E7861" t="str">
            <v>TIFTONGABELMONTNC</v>
          </cell>
          <cell r="F7861">
            <v>1070</v>
          </cell>
        </row>
        <row r="7862">
          <cell r="E7862" t="str">
            <v>TIFTONGAGASTONIANC</v>
          </cell>
          <cell r="F7862">
            <v>1050</v>
          </cell>
        </row>
        <row r="7863">
          <cell r="E7863" t="str">
            <v>TIFTONGACHARLOTTENC</v>
          </cell>
          <cell r="F7863">
            <v>1030</v>
          </cell>
        </row>
        <row r="7864">
          <cell r="E7864" t="str">
            <v>TIFTONGASPARTANC</v>
          </cell>
          <cell r="F7864">
            <v>1260</v>
          </cell>
        </row>
        <row r="7865">
          <cell r="E7865" t="str">
            <v>TIFTONGAMONEYMS</v>
          </cell>
          <cell r="F7865">
            <v>1270</v>
          </cell>
        </row>
        <row r="7866">
          <cell r="E7866" t="str">
            <v>TIFTONGAGAFFNEYSC</v>
          </cell>
          <cell r="F7866">
            <v>980</v>
          </cell>
        </row>
        <row r="7867">
          <cell r="E7867" t="str">
            <v>TIFTONGALEXINGTONNC</v>
          </cell>
          <cell r="F7867">
            <v>1160</v>
          </cell>
        </row>
        <row r="7868">
          <cell r="E7868" t="str">
            <v>TIFTONGALUMBERTONNC</v>
          </cell>
          <cell r="F7868">
            <v>1060</v>
          </cell>
        </row>
        <row r="7869">
          <cell r="E7869" t="str">
            <v>TIFTONGADREWMS</v>
          </cell>
          <cell r="F7869">
            <v>1320</v>
          </cell>
        </row>
        <row r="7870">
          <cell r="E7870" t="str">
            <v>TIFTONGAINDIANOLAMS</v>
          </cell>
          <cell r="F7870">
            <v>1300</v>
          </cell>
        </row>
        <row r="7871">
          <cell r="E7871" t="str">
            <v>TIFTONGAROSSVILLETN</v>
          </cell>
          <cell r="F7871">
            <v>1270</v>
          </cell>
        </row>
        <row r="7872">
          <cell r="E7872" t="str">
            <v>TIFTONGAKINSTONNC</v>
          </cell>
          <cell r="F7872">
            <v>1350</v>
          </cell>
        </row>
        <row r="7873">
          <cell r="E7873" t="str">
            <v>TIFTONGAROCKINGHAMNC</v>
          </cell>
          <cell r="F7873">
            <v>1070</v>
          </cell>
        </row>
        <row r="7874">
          <cell r="E7874" t="str">
            <v>TIFTONGASHELBYNC</v>
          </cell>
          <cell r="F7874">
            <v>1020</v>
          </cell>
        </row>
        <row r="7875">
          <cell r="E7875" t="str">
            <v>TIFTONGAMAYODANNC</v>
          </cell>
          <cell r="F7875">
            <v>1280</v>
          </cell>
        </row>
        <row r="7876">
          <cell r="E7876" t="str">
            <v>TIFTONGARAYVILLELA</v>
          </cell>
          <cell r="F7876">
            <v>1400</v>
          </cell>
        </row>
        <row r="7877">
          <cell r="E7877" t="str">
            <v>TIFTONGAHICKORYNC</v>
          </cell>
          <cell r="F7877">
            <v>1130</v>
          </cell>
        </row>
        <row r="7878">
          <cell r="E7878" t="str">
            <v>TIFTONGACENTREAL</v>
          </cell>
          <cell r="F7878">
            <v>750</v>
          </cell>
        </row>
        <row r="7879">
          <cell r="E7879" t="str">
            <v>TIFTONGAPORTSMOUTHVA</v>
          </cell>
          <cell r="F7879">
            <v>1610</v>
          </cell>
        </row>
        <row r="7880">
          <cell r="E7880" t="str">
            <v>TIFTONGASTONEVILLENC</v>
          </cell>
          <cell r="F7880">
            <v>1280</v>
          </cell>
        </row>
        <row r="7881">
          <cell r="E7881" t="str">
            <v>TIFTONGABLYTHEVILLEAR</v>
          </cell>
          <cell r="F7881">
            <v>1420</v>
          </cell>
        </row>
        <row r="7882">
          <cell r="E7882" t="str">
            <v>TIFTONGAINDIAN LANDSC</v>
          </cell>
          <cell r="F7882">
            <v>1000</v>
          </cell>
        </row>
        <row r="7883">
          <cell r="E7883" t="str">
            <v>TIFTONGATHOMASVILLENC</v>
          </cell>
          <cell r="F7883">
            <v>1180</v>
          </cell>
        </row>
        <row r="7884">
          <cell r="E7884" t="str">
            <v>TIFTONGAMOCKSVILLENC</v>
          </cell>
          <cell r="F7884">
            <v>1160</v>
          </cell>
        </row>
        <row r="7885">
          <cell r="E7885" t="str">
            <v>TIFTONGAEDENTONNC</v>
          </cell>
          <cell r="F7885">
            <v>1520</v>
          </cell>
        </row>
        <row r="7886">
          <cell r="E7886" t="str">
            <v>TIFTONGACARTERSVILLEGA</v>
          </cell>
          <cell r="F7886">
            <v>680</v>
          </cell>
        </row>
        <row r="7887">
          <cell r="E7887" t="str">
            <v>TIFTONGAMEMPHISTN</v>
          </cell>
          <cell r="F7887">
            <v>1280</v>
          </cell>
        </row>
        <row r="7888">
          <cell r="E7888" t="str">
            <v>TIFTONGANEW ORLEANSLA</v>
          </cell>
          <cell r="F7888">
            <v>1200</v>
          </cell>
        </row>
        <row r="7889">
          <cell r="E7889" t="str">
            <v>TIFTONGARABUN GAPGA</v>
          </cell>
          <cell r="F7889">
            <v>850</v>
          </cell>
        </row>
        <row r="7890">
          <cell r="E7890" t="str">
            <v>TIFTONGAGRIFTONNC</v>
          </cell>
          <cell r="F7890">
            <v>1480</v>
          </cell>
        </row>
        <row r="7891">
          <cell r="E7891" t="str">
            <v>TIFTONGADAWSONGA</v>
          </cell>
          <cell r="F7891">
            <v>420</v>
          </cell>
        </row>
        <row r="7892">
          <cell r="E7892" t="str">
            <v>TIFTONGAGULFPORTMS</v>
          </cell>
          <cell r="F7892">
            <v>1150</v>
          </cell>
        </row>
        <row r="7893">
          <cell r="E7893" t="str">
            <v>TIFTONGARINCONGA</v>
          </cell>
          <cell r="F7893">
            <v>720</v>
          </cell>
        </row>
        <row r="7894">
          <cell r="E7894" t="str">
            <v>TIFTONGAPORT WENTWORTHGA</v>
          </cell>
          <cell r="F7894">
            <v>710</v>
          </cell>
        </row>
        <row r="7895">
          <cell r="E7895" t="str">
            <v>TIFTONGAGarden CityGA</v>
          </cell>
          <cell r="F7895">
            <v>700</v>
          </cell>
        </row>
        <row r="7896">
          <cell r="E7896" t="str">
            <v>TIFTONGAECLECTICAL</v>
          </cell>
          <cell r="F7896">
            <v>650</v>
          </cell>
        </row>
        <row r="7897">
          <cell r="E7897" t="str">
            <v>TIFTONGAJACKSONVILLEFL</v>
          </cell>
          <cell r="F7897">
            <v>580</v>
          </cell>
        </row>
        <row r="7898">
          <cell r="E7898" t="str">
            <v>TIFTONGAWESLACOTX</v>
          </cell>
          <cell r="F7898">
            <v>1647</v>
          </cell>
        </row>
        <row r="7899">
          <cell r="E7899" t="str">
            <v>TORNILLOTXDallasTX</v>
          </cell>
          <cell r="F7899">
            <v>964</v>
          </cell>
        </row>
        <row r="7900">
          <cell r="E7900" t="str">
            <v>TORNILLOTXHoustonTX</v>
          </cell>
          <cell r="F7900">
            <v>1383</v>
          </cell>
        </row>
        <row r="7901">
          <cell r="E7901" t="str">
            <v>TORNILLOTXBaytownTX</v>
          </cell>
          <cell r="F7901">
            <v>1413</v>
          </cell>
        </row>
        <row r="7902">
          <cell r="E7902" t="str">
            <v>TORNILLOTXHOUSTONTX</v>
          </cell>
          <cell r="F7902">
            <v>3550</v>
          </cell>
        </row>
        <row r="7903">
          <cell r="E7903" t="str">
            <v>TORNILLOTXWESLACOTX</v>
          </cell>
          <cell r="F7903">
            <v>1528</v>
          </cell>
        </row>
        <row r="7904">
          <cell r="E7904" t="str">
            <v>TRENTONNCJACKSONVILLEFL</v>
          </cell>
          <cell r="F7904">
            <v>1300</v>
          </cell>
        </row>
        <row r="7905">
          <cell r="E7905" t="str">
            <v>TRENTONNCTALLULAHLA</v>
          </cell>
          <cell r="F7905">
            <v>2270</v>
          </cell>
        </row>
        <row r="7906">
          <cell r="E7906" t="str">
            <v>TRENTONNCGREENWOODMS</v>
          </cell>
          <cell r="F7906">
            <v>2100</v>
          </cell>
        </row>
        <row r="7907">
          <cell r="E7907" t="str">
            <v>TRENTONNCGAINESVILLEGA</v>
          </cell>
          <cell r="F7907">
            <v>1220</v>
          </cell>
        </row>
        <row r="7908">
          <cell r="E7908" t="str">
            <v>TRENTONNCWEST MEMPHISAR</v>
          </cell>
          <cell r="F7908">
            <v>2080</v>
          </cell>
        </row>
        <row r="7909">
          <cell r="E7909" t="str">
            <v>TRENTONNCMEMPHISTN</v>
          </cell>
          <cell r="F7909">
            <v>2100</v>
          </cell>
        </row>
        <row r="7910">
          <cell r="E7910" t="str">
            <v>TRENTONNCCENTREAL</v>
          </cell>
          <cell r="F7910">
            <v>1490</v>
          </cell>
        </row>
        <row r="7911">
          <cell r="E7911" t="str">
            <v>TRENTONNCMARIONAR</v>
          </cell>
          <cell r="F7911">
            <v>2090</v>
          </cell>
        </row>
        <row r="7912">
          <cell r="E7912" t="str">
            <v>TRENTONNCNEW ORLEANSLA</v>
          </cell>
          <cell r="F7912">
            <v>2290</v>
          </cell>
        </row>
        <row r="7913">
          <cell r="E7913" t="str">
            <v>TRENTONNCDAWSONGA</v>
          </cell>
          <cell r="F7913">
            <v>1490</v>
          </cell>
        </row>
        <row r="7914">
          <cell r="E7914" t="str">
            <v>TRENTONNCMONEYMS</v>
          </cell>
          <cell r="F7914">
            <v>2140</v>
          </cell>
        </row>
        <row r="7915">
          <cell r="E7915" t="str">
            <v>TRENTONNCDREWMS</v>
          </cell>
          <cell r="F7915">
            <v>2190</v>
          </cell>
        </row>
        <row r="7916">
          <cell r="E7916" t="str">
            <v>TRENTONNCMCCALLAAL</v>
          </cell>
          <cell r="F7916">
            <v>1660</v>
          </cell>
        </row>
        <row r="7917">
          <cell r="E7917" t="str">
            <v>TRENTONNCINDIAN LANDSC</v>
          </cell>
          <cell r="F7917">
            <v>740</v>
          </cell>
        </row>
        <row r="7918">
          <cell r="E7918" t="str">
            <v>TRENTONNCTUNICAMS</v>
          </cell>
          <cell r="F7918">
            <v>2150</v>
          </cell>
        </row>
        <row r="7919">
          <cell r="E7919" t="str">
            <v>TRENTONNCRAYVILLELA</v>
          </cell>
          <cell r="F7919">
            <v>2350</v>
          </cell>
        </row>
        <row r="7920">
          <cell r="E7920" t="str">
            <v>TRENTONNCNORFOLKVA</v>
          </cell>
          <cell r="F7920">
            <v>610</v>
          </cell>
        </row>
        <row r="7921">
          <cell r="E7921" t="str">
            <v>TRENTONNCENOREESC</v>
          </cell>
          <cell r="F7921">
            <v>950</v>
          </cell>
        </row>
        <row r="7922">
          <cell r="E7922" t="str">
            <v>TRENTONNCECLECTICAL</v>
          </cell>
          <cell r="F7922">
            <v>1600</v>
          </cell>
        </row>
        <row r="7923">
          <cell r="E7923" t="str">
            <v>TRENTONNCMOBILEAL</v>
          </cell>
          <cell r="F7923">
            <v>1970</v>
          </cell>
        </row>
        <row r="7924">
          <cell r="E7924" t="str">
            <v>TRENTONNCROSSVILLETN</v>
          </cell>
          <cell r="F7924">
            <v>2070</v>
          </cell>
        </row>
        <row r="7925">
          <cell r="E7925" t="str">
            <v>TRENTONNCGAFFNEYSC</v>
          </cell>
          <cell r="F7925">
            <v>870</v>
          </cell>
        </row>
        <row r="7926">
          <cell r="E7926" t="str">
            <v>TRENTONNCINDIANOLAMS</v>
          </cell>
          <cell r="F7926">
            <v>2160</v>
          </cell>
        </row>
        <row r="7927">
          <cell r="E7927" t="str">
            <v>TRENTONNCBELMONTNC</v>
          </cell>
          <cell r="F7927">
            <v>780</v>
          </cell>
        </row>
        <row r="7928">
          <cell r="E7928" t="str">
            <v>TRENTONNCCARTERSVILLEGA</v>
          </cell>
          <cell r="F7928">
            <v>1370</v>
          </cell>
        </row>
        <row r="7929">
          <cell r="E7929" t="str">
            <v>TRENTONNCPORTSMOUTHVA</v>
          </cell>
          <cell r="F7929">
            <v>580</v>
          </cell>
        </row>
        <row r="7930">
          <cell r="E7930" t="str">
            <v>TRENTONNCBLYTHEVILLEAR</v>
          </cell>
          <cell r="F7930">
            <v>2090</v>
          </cell>
        </row>
        <row r="7931">
          <cell r="E7931" t="str">
            <v>TRENTONNCROCKINGHAMNC</v>
          </cell>
          <cell r="F7931">
            <v>610</v>
          </cell>
        </row>
        <row r="7932">
          <cell r="E7932" t="str">
            <v>TRENTONNCRINCONGA</v>
          </cell>
          <cell r="F7932">
            <v>1110</v>
          </cell>
        </row>
        <row r="7933">
          <cell r="E7933" t="str">
            <v>TRENTONNCSANFORDNC</v>
          </cell>
          <cell r="F7933">
            <v>530</v>
          </cell>
        </row>
        <row r="7934">
          <cell r="E7934" t="str">
            <v>TRENTONNCRABUN GAPGA</v>
          </cell>
          <cell r="F7934">
            <v>1210</v>
          </cell>
        </row>
        <row r="7935">
          <cell r="E7935" t="str">
            <v>TRENTONNCEDENTONNC</v>
          </cell>
          <cell r="F7935">
            <v>490</v>
          </cell>
        </row>
        <row r="7936">
          <cell r="E7936" t="str">
            <v>TRENTONNCPORT WENTWORTHGA</v>
          </cell>
          <cell r="F7936">
            <v>1100</v>
          </cell>
        </row>
        <row r="7937">
          <cell r="E7937" t="str">
            <v>TRENTONNCGULFPORTMS</v>
          </cell>
          <cell r="F7937">
            <v>2240</v>
          </cell>
        </row>
        <row r="7938">
          <cell r="E7938" t="str">
            <v>TRENTONNCKINSTONNC</v>
          </cell>
          <cell r="F7938">
            <v>360</v>
          </cell>
        </row>
        <row r="7939">
          <cell r="E7939" t="str">
            <v>TRENTONNCCHARLOTTENC</v>
          </cell>
          <cell r="F7939">
            <v>760</v>
          </cell>
        </row>
        <row r="7940">
          <cell r="E7940" t="str">
            <v>TRENTONNCGREERSC</v>
          </cell>
          <cell r="F7940">
            <v>950</v>
          </cell>
        </row>
        <row r="7941">
          <cell r="E7941" t="str">
            <v>TRENTONNCGREENWOODSC</v>
          </cell>
          <cell r="F7941">
            <v>980</v>
          </cell>
        </row>
        <row r="7942">
          <cell r="E7942" t="str">
            <v>TRENTONNCLOWELLNC</v>
          </cell>
          <cell r="F7942">
            <v>790</v>
          </cell>
        </row>
        <row r="7943">
          <cell r="E7943" t="str">
            <v>TRENTONNCSPARTANC</v>
          </cell>
          <cell r="F7943">
            <v>780</v>
          </cell>
        </row>
        <row r="7944">
          <cell r="E7944" t="str">
            <v>TRENTONNCHICKORYNC</v>
          </cell>
          <cell r="F7944">
            <v>770</v>
          </cell>
        </row>
        <row r="7945">
          <cell r="E7945" t="str">
            <v>TRENTONNCSHELBYNC</v>
          </cell>
          <cell r="F7945">
            <v>850</v>
          </cell>
        </row>
        <row r="7946">
          <cell r="E7946" t="str">
            <v>TRENTONNCSALISBURYNC</v>
          </cell>
          <cell r="F7946">
            <v>680</v>
          </cell>
        </row>
        <row r="7947">
          <cell r="E7947" t="str">
            <v>TRENTONNCMINERAL SPRINGSNC</v>
          </cell>
          <cell r="F7947">
            <v>700</v>
          </cell>
        </row>
        <row r="7948">
          <cell r="E7948" t="str">
            <v>TRENTONNCCLARKTONNC</v>
          </cell>
          <cell r="F7948">
            <v>480</v>
          </cell>
        </row>
        <row r="7949">
          <cell r="E7949" t="str">
            <v>TRENTONNCLUMBERTONNC</v>
          </cell>
          <cell r="F7949">
            <v>560</v>
          </cell>
        </row>
        <row r="7950">
          <cell r="E7950" t="str">
            <v>TRENTONNCTHOMASVILLENC</v>
          </cell>
          <cell r="F7950">
            <v>640</v>
          </cell>
        </row>
        <row r="7951">
          <cell r="E7951" t="str">
            <v>TRENTONNCMAYODANNC</v>
          </cell>
          <cell r="F7951">
            <v>650</v>
          </cell>
        </row>
        <row r="7952">
          <cell r="E7952" t="str">
            <v>TRENTONNCGASTONIANC</v>
          </cell>
          <cell r="F7952">
            <v>800</v>
          </cell>
        </row>
        <row r="7953">
          <cell r="E7953" t="str">
            <v>TRENTONNCERWINNC</v>
          </cell>
          <cell r="F7953">
            <v>480</v>
          </cell>
        </row>
        <row r="7954">
          <cell r="E7954" t="str">
            <v>TRENTONNCSTONEVILLENC</v>
          </cell>
          <cell r="F7954">
            <v>650</v>
          </cell>
        </row>
        <row r="7955">
          <cell r="E7955" t="str">
            <v>TRENTONNCGarden CityGA</v>
          </cell>
          <cell r="F7955">
            <v>1110</v>
          </cell>
        </row>
        <row r="7956">
          <cell r="E7956" t="str">
            <v>TRENTONNCLEXINGTONNC</v>
          </cell>
          <cell r="F7956">
            <v>660</v>
          </cell>
        </row>
        <row r="7957">
          <cell r="E7957" t="str">
            <v>TRENTONNCMOCKSVILLENC</v>
          </cell>
          <cell r="F7957">
            <v>680</v>
          </cell>
        </row>
        <row r="7958">
          <cell r="E7958" t="str">
            <v>TRENTONNCGRIFTONNC</v>
          </cell>
          <cell r="F7958">
            <v>480</v>
          </cell>
        </row>
        <row r="7959">
          <cell r="E7959" t="str">
            <v>TRENTONNCROCKFORDTN</v>
          </cell>
          <cell r="F7959">
            <v>1230</v>
          </cell>
        </row>
        <row r="7960">
          <cell r="E7960" t="str">
            <v>TULIATXDallasTX</v>
          </cell>
          <cell r="F7960">
            <v>574</v>
          </cell>
        </row>
        <row r="7961">
          <cell r="E7961" t="str">
            <v>TULIATXBaytownTX</v>
          </cell>
          <cell r="F7961">
            <v>1206</v>
          </cell>
        </row>
        <row r="7962">
          <cell r="E7962" t="str">
            <v>TULIATXHoustonTX</v>
          </cell>
          <cell r="F7962">
            <v>1174</v>
          </cell>
        </row>
        <row r="7963">
          <cell r="E7963" t="str">
            <v>TULIATXHASLETTX</v>
          </cell>
          <cell r="F7963">
            <v>1286</v>
          </cell>
        </row>
        <row r="7964">
          <cell r="E7964" t="str">
            <v>TULIATXHOUSTONTX</v>
          </cell>
          <cell r="F7964">
            <v>2547</v>
          </cell>
        </row>
        <row r="7965">
          <cell r="E7965" t="str">
            <v>TULIATXWILMERTX</v>
          </cell>
          <cell r="F7965">
            <v>1408</v>
          </cell>
        </row>
        <row r="7966">
          <cell r="E7966" t="str">
            <v>TULIATXWYLIETX</v>
          </cell>
        </row>
        <row r="7967">
          <cell r="E7967" t="str">
            <v>TULIATXWESLACOTX</v>
          </cell>
          <cell r="F7967">
            <v>1454</v>
          </cell>
        </row>
        <row r="7968">
          <cell r="E7968" t="str">
            <v>TUNICAMSROCKFORDTN</v>
          </cell>
          <cell r="F7968">
            <v>1130</v>
          </cell>
        </row>
        <row r="7969">
          <cell r="E7969" t="str">
            <v>TUNICAMSMOCKSVILLENC</v>
          </cell>
          <cell r="F7969">
            <v>1650</v>
          </cell>
        </row>
        <row r="7970">
          <cell r="E7970" t="str">
            <v>TUNICAMSENOREESC</v>
          </cell>
          <cell r="F7970">
            <v>1460</v>
          </cell>
        </row>
        <row r="7971">
          <cell r="E7971" t="str">
            <v>TUNICAMSGREERSC</v>
          </cell>
          <cell r="F7971">
            <v>1410</v>
          </cell>
        </row>
        <row r="7972">
          <cell r="E7972" t="str">
            <v>TUNICAMSLOWELLNC</v>
          </cell>
          <cell r="F7972">
            <v>1570</v>
          </cell>
        </row>
        <row r="7973">
          <cell r="E7973" t="str">
            <v>TUNICAMSJACKSONVILLEFL</v>
          </cell>
          <cell r="F7973">
            <v>1700</v>
          </cell>
        </row>
        <row r="7974">
          <cell r="E7974" t="str">
            <v>TUNICAMSBELMONTNC</v>
          </cell>
          <cell r="F7974">
            <v>1580</v>
          </cell>
        </row>
        <row r="7975">
          <cell r="E7975" t="str">
            <v>TUNICAMSERWINNC</v>
          </cell>
          <cell r="F7975">
            <v>1990</v>
          </cell>
        </row>
        <row r="7976">
          <cell r="E7976" t="str">
            <v>TUNICAMSGASTONIANC</v>
          </cell>
          <cell r="F7976">
            <v>1560</v>
          </cell>
        </row>
        <row r="7977">
          <cell r="E7977" t="str">
            <v>TUNICAMSLEXINGTONNC</v>
          </cell>
          <cell r="F7977">
            <v>1690</v>
          </cell>
        </row>
        <row r="7978">
          <cell r="E7978" t="str">
            <v>TUNICAMSSALISBURYNC</v>
          </cell>
          <cell r="F7978">
            <v>1670</v>
          </cell>
        </row>
        <row r="7979">
          <cell r="E7979" t="str">
            <v>TUNICAMSRAYVILLELA</v>
          </cell>
          <cell r="F7979">
            <v>640</v>
          </cell>
        </row>
        <row r="7980">
          <cell r="E7980" t="str">
            <v>TUNICAMSSPARTANC</v>
          </cell>
          <cell r="F7980">
            <v>1620</v>
          </cell>
        </row>
        <row r="7981">
          <cell r="E7981" t="str">
            <v>TUNICAMSHICKORYNC</v>
          </cell>
          <cell r="F7981">
            <v>1550</v>
          </cell>
        </row>
        <row r="7982">
          <cell r="E7982" t="str">
            <v>TUNICAMSROCKINGHAMNC</v>
          </cell>
          <cell r="F7982">
            <v>1780</v>
          </cell>
        </row>
        <row r="7983">
          <cell r="E7983" t="str">
            <v>TUNICAMSMAYODANNC</v>
          </cell>
          <cell r="F7983">
            <v>1780</v>
          </cell>
        </row>
        <row r="7984">
          <cell r="E7984" t="str">
            <v>TUNICAMSCLARKTONNC</v>
          </cell>
          <cell r="F7984">
            <v>1910</v>
          </cell>
        </row>
        <row r="7985">
          <cell r="E7985" t="str">
            <v>TUNICAMSLUMBERTONNC</v>
          </cell>
          <cell r="F7985">
            <v>1860</v>
          </cell>
        </row>
        <row r="7986">
          <cell r="E7986" t="str">
            <v>TUNICAMSSHELBYNC</v>
          </cell>
          <cell r="F7986">
            <v>1530</v>
          </cell>
        </row>
        <row r="7987">
          <cell r="E7987" t="str">
            <v>TUNICAMSSANFORDNC</v>
          </cell>
          <cell r="F7987">
            <v>1890</v>
          </cell>
        </row>
        <row r="7988">
          <cell r="E7988" t="str">
            <v>TUNICAMSCHARLOTTENC</v>
          </cell>
          <cell r="F7988">
            <v>1610</v>
          </cell>
        </row>
        <row r="7989">
          <cell r="E7989" t="str">
            <v>TUNICAMSSTONEVILLENC</v>
          </cell>
          <cell r="F7989">
            <v>1790</v>
          </cell>
        </row>
        <row r="7990">
          <cell r="E7990" t="str">
            <v>TUNICAMSMINERAL SPRINGSNC</v>
          </cell>
          <cell r="F7990">
            <v>1660</v>
          </cell>
        </row>
        <row r="7991">
          <cell r="E7991" t="str">
            <v>TUNICAMSGREENWOODSC</v>
          </cell>
          <cell r="F7991">
            <v>1390</v>
          </cell>
        </row>
        <row r="7992">
          <cell r="E7992" t="str">
            <v>TUNICAMSTALLULAHLA</v>
          </cell>
          <cell r="F7992">
            <v>610</v>
          </cell>
        </row>
        <row r="7993">
          <cell r="E7993" t="str">
            <v>TUNICAMSKINSTONNC</v>
          </cell>
          <cell r="F7993">
            <v>2140</v>
          </cell>
        </row>
        <row r="7994">
          <cell r="E7994" t="str">
            <v>TUNICAMSINDIAN LANDSC</v>
          </cell>
          <cell r="F7994">
            <v>1630</v>
          </cell>
        </row>
        <row r="7995">
          <cell r="E7995" t="str">
            <v>TUNICAMSMCCALLAAL</v>
          </cell>
          <cell r="F7995">
            <v>750</v>
          </cell>
        </row>
        <row r="7996">
          <cell r="E7996" t="str">
            <v>TUNICAMSTHOMASVILLENC</v>
          </cell>
          <cell r="F7996">
            <v>1720</v>
          </cell>
        </row>
        <row r="7997">
          <cell r="E7997" t="str">
            <v>TUNICAMSINDIANOLAMS</v>
          </cell>
          <cell r="F7997">
            <v>470</v>
          </cell>
        </row>
        <row r="7998">
          <cell r="E7998" t="str">
            <v>TUNICAMSGULFPORTMS</v>
          </cell>
          <cell r="F7998">
            <v>1090</v>
          </cell>
        </row>
        <row r="7999">
          <cell r="E7999" t="str">
            <v>TUNICAMSGREENWOODMS</v>
          </cell>
          <cell r="F7999">
            <v>460</v>
          </cell>
        </row>
        <row r="8000">
          <cell r="E8000" t="str">
            <v>TUNICAMSBLYTHEVILLEAR</v>
          </cell>
          <cell r="F8000">
            <v>480</v>
          </cell>
        </row>
        <row r="8001">
          <cell r="E8001" t="str">
            <v>TUNICAMSMEMPHISTN</v>
          </cell>
          <cell r="F8001">
            <v>370</v>
          </cell>
        </row>
        <row r="8002">
          <cell r="E8002" t="str">
            <v>TUNICAMSGRIFTONNC</v>
          </cell>
          <cell r="F8002">
            <v>2260</v>
          </cell>
        </row>
        <row r="8003">
          <cell r="E8003" t="str">
            <v>TUNICAMSMONEYMS</v>
          </cell>
          <cell r="F8003">
            <v>450</v>
          </cell>
        </row>
        <row r="8004">
          <cell r="E8004" t="str">
            <v>TUNICAMSROSSVILLETN</v>
          </cell>
          <cell r="F8004">
            <v>420</v>
          </cell>
        </row>
        <row r="8005">
          <cell r="E8005" t="str">
            <v>TUNICAMSDREWMS</v>
          </cell>
          <cell r="F8005">
            <v>420</v>
          </cell>
        </row>
        <row r="8006">
          <cell r="E8006" t="str">
            <v>TUNICAMSMOBILEAL</v>
          </cell>
          <cell r="F8006">
            <v>1050</v>
          </cell>
        </row>
        <row r="8007">
          <cell r="E8007" t="str">
            <v>TUNICAMSRINCONGA</v>
          </cell>
          <cell r="F8007">
            <v>1730</v>
          </cell>
        </row>
        <row r="8008">
          <cell r="E8008" t="str">
            <v>TUNICAMSCARTERSVILLEGA</v>
          </cell>
          <cell r="F8008">
            <v>1040</v>
          </cell>
        </row>
        <row r="8009">
          <cell r="E8009" t="str">
            <v>TUNICAMSWEST MEMPHISAR</v>
          </cell>
          <cell r="F8009">
            <v>390</v>
          </cell>
        </row>
        <row r="8010">
          <cell r="E8010" t="str">
            <v>TUNICAMSMARIONAR</v>
          </cell>
          <cell r="F8010">
            <v>400</v>
          </cell>
        </row>
        <row r="8011">
          <cell r="E8011" t="str">
            <v>TUNICAMSPORT WENTWORTHGA</v>
          </cell>
          <cell r="F8011">
            <v>1720</v>
          </cell>
        </row>
        <row r="8012">
          <cell r="E8012" t="str">
            <v>TUNICAMSCENTREAL</v>
          </cell>
          <cell r="F8012">
            <v>900</v>
          </cell>
        </row>
        <row r="8013">
          <cell r="E8013" t="str">
            <v>TUNICAMSRABUN GAPGA</v>
          </cell>
          <cell r="F8013">
            <v>1400</v>
          </cell>
        </row>
        <row r="8014">
          <cell r="E8014" t="str">
            <v>TUNICAMSNEW ORLEANSLA</v>
          </cell>
          <cell r="F8014">
            <v>1050</v>
          </cell>
        </row>
        <row r="8015">
          <cell r="E8015" t="str">
            <v>TUNICAMSGarden CityGA</v>
          </cell>
          <cell r="F8015">
            <v>1700</v>
          </cell>
        </row>
        <row r="8016">
          <cell r="E8016" t="str">
            <v>TUNICAMSDAWSONGA</v>
          </cell>
          <cell r="F8016">
            <v>1190</v>
          </cell>
        </row>
        <row r="8017">
          <cell r="E8017" t="str">
            <v>TUNICAMSGAINESVILLEGA</v>
          </cell>
          <cell r="F8017">
            <v>1180</v>
          </cell>
        </row>
        <row r="8018">
          <cell r="E8018" t="str">
            <v>TUNICAMSNORFOLKVA</v>
          </cell>
          <cell r="F8018">
            <v>2300</v>
          </cell>
        </row>
        <row r="8019">
          <cell r="E8019" t="str">
            <v>TUNICAMSPORTSMOUTHVA</v>
          </cell>
          <cell r="F8019">
            <v>2280</v>
          </cell>
        </row>
        <row r="8020">
          <cell r="E8020" t="str">
            <v>TUNICAMSEDENTONNC</v>
          </cell>
          <cell r="F8020">
            <v>2250</v>
          </cell>
        </row>
        <row r="8021">
          <cell r="E8021" t="str">
            <v>TUNICAMSGAFFNEYSC</v>
          </cell>
          <cell r="F8021">
            <v>1490</v>
          </cell>
        </row>
        <row r="8022">
          <cell r="E8022" t="str">
            <v>TUNICAMSECLECTICAL</v>
          </cell>
          <cell r="F8022">
            <v>930</v>
          </cell>
        </row>
        <row r="8023">
          <cell r="E8023" t="str">
            <v>TUPELOMSEDENTONNC</v>
          </cell>
          <cell r="F8023">
            <v>2030</v>
          </cell>
        </row>
        <row r="8024">
          <cell r="E8024" t="str">
            <v>TUPELOMSROCKFORDTN</v>
          </cell>
          <cell r="F8024">
            <v>950</v>
          </cell>
        </row>
        <row r="8025">
          <cell r="E8025" t="str">
            <v>TUPELOMSRAYVILLELA</v>
          </cell>
          <cell r="F8025">
            <v>800</v>
          </cell>
        </row>
        <row r="8026">
          <cell r="E8026" t="str">
            <v>TUPELOMSSHELBYNC</v>
          </cell>
          <cell r="F8026">
            <v>1260</v>
          </cell>
        </row>
        <row r="8027">
          <cell r="E8027" t="str">
            <v>TUPELOMSCHARLOTTENC</v>
          </cell>
          <cell r="F8027">
            <v>1340</v>
          </cell>
        </row>
        <row r="8028">
          <cell r="E8028" t="str">
            <v>TUPELOMSLEXINGTONNC</v>
          </cell>
          <cell r="F8028">
            <v>1470</v>
          </cell>
        </row>
        <row r="8029">
          <cell r="E8029" t="str">
            <v>TUPELOMSHICKORYNC</v>
          </cell>
          <cell r="F8029">
            <v>1370</v>
          </cell>
        </row>
        <row r="8030">
          <cell r="E8030" t="str">
            <v>TUPELOMSMINERAL SPRINGSNC</v>
          </cell>
          <cell r="F8030">
            <v>1400</v>
          </cell>
        </row>
        <row r="8031">
          <cell r="E8031" t="str">
            <v>TUPELOMSKINSTONNC</v>
          </cell>
          <cell r="F8031">
            <v>1880</v>
          </cell>
        </row>
        <row r="8032">
          <cell r="E8032" t="str">
            <v>TUPELOMSINDIAN LANDSC</v>
          </cell>
          <cell r="F8032">
            <v>1370</v>
          </cell>
        </row>
        <row r="8033">
          <cell r="E8033" t="str">
            <v>TUPELOMSTALLULAHLA</v>
          </cell>
          <cell r="F8033">
            <v>730</v>
          </cell>
        </row>
        <row r="8034">
          <cell r="E8034" t="str">
            <v>TUPELOMSMAYODANNC</v>
          </cell>
          <cell r="F8034">
            <v>1590</v>
          </cell>
        </row>
        <row r="8035">
          <cell r="E8035" t="str">
            <v>TUPELOMSMOCKSVILLENC</v>
          </cell>
          <cell r="F8035">
            <v>1470</v>
          </cell>
        </row>
        <row r="8036">
          <cell r="E8036" t="str">
            <v>TUPELOMSSTONEVILLENC</v>
          </cell>
          <cell r="F8036">
            <v>1600</v>
          </cell>
        </row>
        <row r="8037">
          <cell r="E8037" t="str">
            <v>TUPELOMSTHOMASVILLENC</v>
          </cell>
          <cell r="F8037">
            <v>1500</v>
          </cell>
        </row>
        <row r="8038">
          <cell r="E8038" t="str">
            <v>TUPELOMSSPARTANC</v>
          </cell>
          <cell r="F8038">
            <v>1450</v>
          </cell>
        </row>
        <row r="8039">
          <cell r="E8039" t="str">
            <v>TUPELOMSMOBILEAL</v>
          </cell>
          <cell r="F8039">
            <v>770</v>
          </cell>
        </row>
        <row r="8040">
          <cell r="E8040" t="str">
            <v>TUPELOMSINDIANOLAMS</v>
          </cell>
          <cell r="F8040">
            <v>600</v>
          </cell>
        </row>
        <row r="8041">
          <cell r="E8041" t="str">
            <v>TUPELOMSLOWELLNC</v>
          </cell>
          <cell r="F8041">
            <v>1300</v>
          </cell>
        </row>
        <row r="8042">
          <cell r="E8042" t="str">
            <v>TUPELOMSJACKSONVILLEFL</v>
          </cell>
          <cell r="F8042">
            <v>1430</v>
          </cell>
        </row>
        <row r="8043">
          <cell r="E8043" t="str">
            <v>TUPELOMSCLARKTONNC</v>
          </cell>
          <cell r="F8043">
            <v>1640</v>
          </cell>
        </row>
        <row r="8044">
          <cell r="E8044" t="str">
            <v>TUPELOMSBELMONTNC</v>
          </cell>
          <cell r="F8044">
            <v>1310</v>
          </cell>
        </row>
        <row r="8045">
          <cell r="E8045" t="str">
            <v>TUPELOMSERWINNC</v>
          </cell>
          <cell r="F8045">
            <v>1720</v>
          </cell>
        </row>
        <row r="8046">
          <cell r="E8046" t="str">
            <v>TUPELOMSGASTONIANC</v>
          </cell>
          <cell r="F8046">
            <v>1290</v>
          </cell>
        </row>
        <row r="8047">
          <cell r="E8047" t="str">
            <v>TUPELOMSSANFORDNC</v>
          </cell>
          <cell r="F8047">
            <v>1630</v>
          </cell>
        </row>
        <row r="8048">
          <cell r="E8048" t="str">
            <v>TUPELOMSSALISBURYNC</v>
          </cell>
          <cell r="F8048">
            <v>1430</v>
          </cell>
        </row>
        <row r="8049">
          <cell r="E8049" t="str">
            <v>TUPELOMSROCKINGHAMNC</v>
          </cell>
          <cell r="F8049">
            <v>1510</v>
          </cell>
        </row>
        <row r="8050">
          <cell r="E8050" t="str">
            <v>TUPELOMSLUMBERTONNC</v>
          </cell>
          <cell r="F8050">
            <v>1590</v>
          </cell>
        </row>
        <row r="8051">
          <cell r="E8051" t="str">
            <v>TUPELOMSMARIONAR</v>
          </cell>
          <cell r="F8051">
            <v>500</v>
          </cell>
        </row>
        <row r="8052">
          <cell r="E8052" t="str">
            <v>TUPELOMSMEMPHISTN</v>
          </cell>
          <cell r="F8052">
            <v>480</v>
          </cell>
        </row>
        <row r="8053">
          <cell r="E8053" t="str">
            <v>TUPELOMSGREENWOODMS</v>
          </cell>
          <cell r="F8053">
            <v>550</v>
          </cell>
        </row>
        <row r="8054">
          <cell r="E8054" t="str">
            <v>TUPELOMSROSSVILLETN</v>
          </cell>
          <cell r="F8054">
            <v>470</v>
          </cell>
        </row>
        <row r="8055">
          <cell r="E8055" t="str">
            <v>TUPELOMSGRIFTONNC</v>
          </cell>
          <cell r="F8055">
            <v>2010</v>
          </cell>
        </row>
        <row r="8056">
          <cell r="E8056" t="str">
            <v>TUPELOMSMCCALLAAL</v>
          </cell>
          <cell r="F8056">
            <v>560</v>
          </cell>
        </row>
        <row r="8057">
          <cell r="E8057" t="str">
            <v>TUPELOMSMONEYMS</v>
          </cell>
          <cell r="F8057">
            <v>580</v>
          </cell>
        </row>
        <row r="8058">
          <cell r="E8058" t="str">
            <v>TUPELOMSRINCONGA</v>
          </cell>
          <cell r="F8058">
            <v>1470</v>
          </cell>
        </row>
        <row r="8059">
          <cell r="E8059" t="str">
            <v>TUPELOMSDREWMS</v>
          </cell>
          <cell r="F8059">
            <v>530</v>
          </cell>
        </row>
        <row r="8060">
          <cell r="E8060" t="str">
            <v>TUPELOMSPORT WENTWORTHGA</v>
          </cell>
          <cell r="F8060">
            <v>1450</v>
          </cell>
        </row>
        <row r="8061">
          <cell r="E8061" t="str">
            <v>TUPELOMSWEST MEMPHISAR</v>
          </cell>
          <cell r="F8061">
            <v>490</v>
          </cell>
        </row>
        <row r="8062">
          <cell r="E8062" t="str">
            <v>TUPELOMSGULFPORTMS</v>
          </cell>
          <cell r="F8062">
            <v>920</v>
          </cell>
        </row>
        <row r="8063">
          <cell r="E8063" t="str">
            <v>TUPELOMSGarden CityGA</v>
          </cell>
          <cell r="F8063">
            <v>1440</v>
          </cell>
        </row>
        <row r="8064">
          <cell r="E8064" t="str">
            <v>TUPELOMSCARTERSVILLEGA</v>
          </cell>
          <cell r="F8064">
            <v>780</v>
          </cell>
        </row>
        <row r="8065">
          <cell r="E8065" t="str">
            <v>TUPELOMSNEW ORLEANSLA</v>
          </cell>
          <cell r="F8065">
            <v>910</v>
          </cell>
        </row>
        <row r="8066">
          <cell r="E8066" t="str">
            <v>TUPELOMSTUNICAMS</v>
          </cell>
          <cell r="F8066">
            <v>510</v>
          </cell>
        </row>
        <row r="8067">
          <cell r="E8067" t="str">
            <v>TUPELOMSDAWSONGA</v>
          </cell>
          <cell r="F8067">
            <v>930</v>
          </cell>
        </row>
        <row r="8068">
          <cell r="E8068" t="str">
            <v>TUPELOMSRABUN GAPGA</v>
          </cell>
          <cell r="F8068">
            <v>1110</v>
          </cell>
        </row>
        <row r="8069">
          <cell r="E8069" t="str">
            <v>TUPELOMSGAINESVILLEGA</v>
          </cell>
          <cell r="F8069">
            <v>910</v>
          </cell>
        </row>
        <row r="8070">
          <cell r="E8070" t="str">
            <v>TUPELOMSNORFOLKVA</v>
          </cell>
          <cell r="F8070">
            <v>2090</v>
          </cell>
        </row>
        <row r="8071">
          <cell r="E8071" t="str">
            <v>TUPELOMSGREENWOODSC</v>
          </cell>
          <cell r="F8071">
            <v>1130</v>
          </cell>
        </row>
        <row r="8072">
          <cell r="E8072" t="str">
            <v>TUPELOMSCENTREAL</v>
          </cell>
          <cell r="F8072">
            <v>660</v>
          </cell>
        </row>
        <row r="8073">
          <cell r="E8073" t="str">
            <v>TUPELOMSGREERSC</v>
          </cell>
          <cell r="F8073">
            <v>1150</v>
          </cell>
        </row>
        <row r="8074">
          <cell r="E8074" t="str">
            <v>TUPELOMSENOREESC</v>
          </cell>
          <cell r="F8074">
            <v>1200</v>
          </cell>
        </row>
        <row r="8075">
          <cell r="E8075" t="str">
            <v>TUPELOMSECLECTICAL</v>
          </cell>
          <cell r="F8075">
            <v>680</v>
          </cell>
        </row>
        <row r="8076">
          <cell r="E8076" t="str">
            <v>TUPELOMSPORTSMOUTHVA</v>
          </cell>
          <cell r="F8076">
            <v>2060</v>
          </cell>
        </row>
        <row r="8077">
          <cell r="E8077" t="str">
            <v>TUPELOMSGAFFNEYSC</v>
          </cell>
          <cell r="F8077">
            <v>1230</v>
          </cell>
        </row>
        <row r="8078">
          <cell r="E8078" t="str">
            <v>TUPELOMSBLYTHEVILLEAR</v>
          </cell>
          <cell r="F8078">
            <v>590</v>
          </cell>
        </row>
        <row r="8079">
          <cell r="E8079" t="str">
            <v>TURKEYTXBaytownTX</v>
          </cell>
          <cell r="F8079">
            <v>939</v>
          </cell>
        </row>
        <row r="8080">
          <cell r="E8080" t="str">
            <v>TURKEYTXHoustonTX</v>
          </cell>
          <cell r="F8080">
            <v>913</v>
          </cell>
        </row>
        <row r="8081">
          <cell r="E8081" t="str">
            <v>TURKEYTXDallasTX</v>
          </cell>
          <cell r="F8081">
            <v>544</v>
          </cell>
        </row>
        <row r="8082">
          <cell r="E8082" t="str">
            <v>UNADILLAGAROCKFORDTN</v>
          </cell>
          <cell r="F8082">
            <v>920</v>
          </cell>
        </row>
        <row r="8083">
          <cell r="E8083" t="str">
            <v>UNADILLAGALOWELLNC</v>
          </cell>
          <cell r="F8083">
            <v>920</v>
          </cell>
        </row>
        <row r="8084">
          <cell r="E8084" t="str">
            <v>UNADILLAGAROCKINGHAMNC</v>
          </cell>
          <cell r="F8084">
            <v>930</v>
          </cell>
        </row>
        <row r="8085">
          <cell r="E8085" t="str">
            <v>UNADILLAGASHELBYNC</v>
          </cell>
          <cell r="F8085">
            <v>880</v>
          </cell>
        </row>
        <row r="8086">
          <cell r="E8086" t="str">
            <v>UNADILLAGAMOBILEAL</v>
          </cell>
          <cell r="F8086">
            <v>940</v>
          </cell>
        </row>
        <row r="8087">
          <cell r="E8087" t="str">
            <v>UNADILLAGAGASTONIANC</v>
          </cell>
          <cell r="F8087">
            <v>910</v>
          </cell>
        </row>
        <row r="8088">
          <cell r="E8088" t="str">
            <v>UNADILLAGAEDENTONNC</v>
          </cell>
          <cell r="F8088">
            <v>1450</v>
          </cell>
        </row>
        <row r="8089">
          <cell r="E8089" t="str">
            <v>UNADILLAGASANFORDNC</v>
          </cell>
          <cell r="F8089">
            <v>1050</v>
          </cell>
        </row>
        <row r="8090">
          <cell r="E8090" t="str">
            <v>UNADILLAGATHOMASVILLENC</v>
          </cell>
          <cell r="F8090">
            <v>1050</v>
          </cell>
        </row>
        <row r="8091">
          <cell r="E8091" t="str">
            <v>UNADILLAGAMAYODANNC</v>
          </cell>
          <cell r="F8091">
            <v>1140</v>
          </cell>
        </row>
        <row r="8092">
          <cell r="E8092" t="str">
            <v>UNADILLAGAROSSVILLETN</v>
          </cell>
          <cell r="F8092">
            <v>1270</v>
          </cell>
        </row>
        <row r="8093">
          <cell r="E8093" t="str">
            <v>UNADILLAGAHICKORYNC</v>
          </cell>
          <cell r="F8093">
            <v>990</v>
          </cell>
        </row>
        <row r="8094">
          <cell r="E8094" t="str">
            <v>UNADILLAGAGREENWOODMS</v>
          </cell>
          <cell r="F8094">
            <v>1170</v>
          </cell>
        </row>
        <row r="8095">
          <cell r="E8095" t="str">
            <v>UNADILLAGATALLULAHLA</v>
          </cell>
          <cell r="F8095">
            <v>1260</v>
          </cell>
        </row>
        <row r="8096">
          <cell r="E8096" t="str">
            <v>UNADILLAGACENTREAL</v>
          </cell>
          <cell r="F8096">
            <v>650</v>
          </cell>
        </row>
        <row r="8097">
          <cell r="E8097" t="str">
            <v>UNADILLAGASTONEVILLENC</v>
          </cell>
          <cell r="F8097">
            <v>1150</v>
          </cell>
        </row>
        <row r="8098">
          <cell r="E8098" t="str">
            <v>UNADILLAGAMCCALLAAL</v>
          </cell>
          <cell r="F8098">
            <v>730</v>
          </cell>
        </row>
        <row r="8099">
          <cell r="E8099" t="str">
            <v>UNADILLAGAMOCKSVILLENC</v>
          </cell>
          <cell r="F8099">
            <v>1030</v>
          </cell>
        </row>
        <row r="8100">
          <cell r="E8100" t="str">
            <v>UNADILLAGANORFOLKVA</v>
          </cell>
          <cell r="F8100">
            <v>1570</v>
          </cell>
        </row>
        <row r="8101">
          <cell r="E8101" t="str">
            <v>UNADILLAGABLYTHEVILLEAR</v>
          </cell>
          <cell r="F8101">
            <v>1430</v>
          </cell>
        </row>
        <row r="8102">
          <cell r="E8102" t="str">
            <v>UNADILLAGAMONEYMS</v>
          </cell>
          <cell r="F8102">
            <v>1210</v>
          </cell>
        </row>
        <row r="8103">
          <cell r="E8103" t="str">
            <v>UNADILLAGASALISBURYNC</v>
          </cell>
          <cell r="F8103">
            <v>990</v>
          </cell>
        </row>
        <row r="8104">
          <cell r="E8104" t="str">
            <v>UNADILLAGAECLECTICAL</v>
          </cell>
          <cell r="F8104">
            <v>610</v>
          </cell>
        </row>
        <row r="8105">
          <cell r="E8105" t="str">
            <v>UNADILLAGADREWMS</v>
          </cell>
          <cell r="F8105">
            <v>1260</v>
          </cell>
        </row>
        <row r="8106">
          <cell r="E8106" t="str">
            <v>UNADILLAGAGREENWOODSC</v>
          </cell>
          <cell r="F8106">
            <v>630</v>
          </cell>
        </row>
        <row r="8107">
          <cell r="E8107" t="str">
            <v>UNADILLAGAINDIANOLAMS</v>
          </cell>
          <cell r="F8107">
            <v>1240</v>
          </cell>
        </row>
        <row r="8108">
          <cell r="E8108" t="str">
            <v>UNADILLAGAMINERAL SPRINGSNC</v>
          </cell>
          <cell r="F8108">
            <v>870</v>
          </cell>
        </row>
        <row r="8109">
          <cell r="E8109" t="str">
            <v>UNADILLAGARAYVILLELA</v>
          </cell>
          <cell r="F8109">
            <v>1330</v>
          </cell>
        </row>
        <row r="8110">
          <cell r="E8110" t="str">
            <v>UNADILLAGAMEMPHISTN</v>
          </cell>
          <cell r="F8110">
            <v>1280</v>
          </cell>
        </row>
        <row r="8111">
          <cell r="E8111" t="str">
            <v>UNADILLAGABELMONTNC</v>
          </cell>
          <cell r="F8111">
            <v>930</v>
          </cell>
        </row>
        <row r="8112">
          <cell r="E8112" t="str">
            <v>UNADILLAGANEW ORLEANSLA</v>
          </cell>
          <cell r="F8112">
            <v>1250</v>
          </cell>
        </row>
        <row r="8113">
          <cell r="E8113" t="str">
            <v>UNADILLAGAKINSTONNC</v>
          </cell>
          <cell r="F8113">
            <v>1270</v>
          </cell>
        </row>
        <row r="8114">
          <cell r="E8114" t="str">
            <v>UNADILLAGAMARIONAR</v>
          </cell>
          <cell r="F8114">
            <v>1300</v>
          </cell>
        </row>
        <row r="8115">
          <cell r="E8115" t="str">
            <v>UNADILLAGACHARLOTTENC</v>
          </cell>
          <cell r="F8115">
            <v>890</v>
          </cell>
        </row>
        <row r="8116">
          <cell r="E8116" t="str">
            <v>UNADILLAGALEXINGTONNC</v>
          </cell>
          <cell r="F8116">
            <v>1020</v>
          </cell>
        </row>
        <row r="8117">
          <cell r="E8117" t="str">
            <v>UNADILLAGATUNICAMS</v>
          </cell>
          <cell r="F8117">
            <v>1310</v>
          </cell>
        </row>
        <row r="8118">
          <cell r="E8118" t="str">
            <v>UNADILLAGAWEST MEMPHISAR</v>
          </cell>
          <cell r="F8118">
            <v>1290</v>
          </cell>
        </row>
        <row r="8119">
          <cell r="E8119" t="str">
            <v>UNADILLAGAPORTSMOUTHVA</v>
          </cell>
          <cell r="F8119">
            <v>1540</v>
          </cell>
        </row>
        <row r="8120">
          <cell r="E8120" t="str">
            <v>UNADILLAGACARTERSVILLEGA</v>
          </cell>
          <cell r="F8120">
            <v>590</v>
          </cell>
        </row>
        <row r="8121">
          <cell r="E8121" t="str">
            <v>UNADILLAGAGAINESVILLEGA</v>
          </cell>
          <cell r="F8121">
            <v>590</v>
          </cell>
        </row>
        <row r="8122">
          <cell r="E8122" t="str">
            <v>UNADILLAGAGULFPORTMS</v>
          </cell>
          <cell r="F8122">
            <v>1200</v>
          </cell>
        </row>
        <row r="8123">
          <cell r="E8123" t="str">
            <v>UNADILLAGADAWSONGA</v>
          </cell>
          <cell r="F8123">
            <v>430</v>
          </cell>
        </row>
        <row r="8124">
          <cell r="E8124" t="str">
            <v>UNADILLAGARINCONGA</v>
          </cell>
          <cell r="F8124">
            <v>700</v>
          </cell>
        </row>
        <row r="8125">
          <cell r="E8125" t="str">
            <v>UNADILLAGAGRIFTONNC</v>
          </cell>
          <cell r="F8125">
            <v>1400</v>
          </cell>
        </row>
        <row r="8126">
          <cell r="E8126" t="str">
            <v>UNADILLAGAPORT WENTWORTHGA</v>
          </cell>
          <cell r="F8126">
            <v>690</v>
          </cell>
        </row>
        <row r="8127">
          <cell r="E8127" t="str">
            <v>UNADILLAGAGarden CityGA</v>
          </cell>
          <cell r="F8127">
            <v>680</v>
          </cell>
        </row>
        <row r="8128">
          <cell r="E8128" t="str">
            <v>UNADILLAGASPARTANC</v>
          </cell>
          <cell r="F8128">
            <v>1120</v>
          </cell>
        </row>
        <row r="8129">
          <cell r="E8129" t="str">
            <v>UNADILLAGAINDIAN LANDSC</v>
          </cell>
          <cell r="F8129">
            <v>870</v>
          </cell>
        </row>
        <row r="8130">
          <cell r="E8130" t="str">
            <v>UNADILLAGALUMBERTONNC</v>
          </cell>
          <cell r="F8130">
            <v>980</v>
          </cell>
        </row>
        <row r="8131">
          <cell r="E8131" t="str">
            <v>UNADILLAGAGREERSC</v>
          </cell>
          <cell r="F8131">
            <v>770</v>
          </cell>
        </row>
        <row r="8132">
          <cell r="E8132" t="str">
            <v>UNADILLAGAERWINNC</v>
          </cell>
          <cell r="F8132">
            <v>1120</v>
          </cell>
        </row>
        <row r="8133">
          <cell r="E8133" t="str">
            <v>UNADILLAGACLARKTONNC</v>
          </cell>
          <cell r="F8133">
            <v>1040</v>
          </cell>
        </row>
        <row r="8134">
          <cell r="E8134" t="str">
            <v>UNADILLAGAENOREESC</v>
          </cell>
          <cell r="F8134">
            <v>690</v>
          </cell>
        </row>
        <row r="8135">
          <cell r="E8135" t="str">
            <v>UNADILLAGAGAFFNEYSC</v>
          </cell>
          <cell r="F8135">
            <v>840</v>
          </cell>
        </row>
        <row r="8136">
          <cell r="E8136" t="str">
            <v>UNADILLAGAJACKSONVILLEFL</v>
          </cell>
          <cell r="F8136">
            <v>670</v>
          </cell>
        </row>
        <row r="8137">
          <cell r="E8137" t="str">
            <v>UNADILLAGARABUN GAPGA</v>
          </cell>
          <cell r="F8137">
            <v>720</v>
          </cell>
        </row>
        <row r="8138">
          <cell r="E8138" t="str">
            <v>UNADILLAGAWESLACOTX</v>
          </cell>
          <cell r="F8138">
            <v>1702</v>
          </cell>
        </row>
        <row r="8139">
          <cell r="E8139" t="str">
            <v>VERNONTXDallasTX</v>
          </cell>
          <cell r="F8139">
            <v>479</v>
          </cell>
        </row>
        <row r="8140">
          <cell r="E8140" t="str">
            <v>VERNONTXBaytownTX</v>
          </cell>
          <cell r="F8140">
            <v>1095</v>
          </cell>
        </row>
        <row r="8141">
          <cell r="E8141" t="str">
            <v>VERNONTXHoustonTX</v>
          </cell>
          <cell r="F8141">
            <v>1059</v>
          </cell>
        </row>
        <row r="8142">
          <cell r="E8142" t="str">
            <v>VERNONTXHASLETTX</v>
          </cell>
          <cell r="F8142">
            <v>643</v>
          </cell>
        </row>
        <row r="8143">
          <cell r="E8143" t="str">
            <v>VERNONTXHOUSTONTX</v>
          </cell>
          <cell r="F8143">
            <v>2220</v>
          </cell>
        </row>
        <row r="8144">
          <cell r="E8144" t="str">
            <v>VERNONTXWILMERTX</v>
          </cell>
          <cell r="F8144">
            <v>821</v>
          </cell>
        </row>
        <row r="8145">
          <cell r="E8145" t="str">
            <v>VERNONTXWYLIETX</v>
          </cell>
        </row>
        <row r="8146">
          <cell r="E8146" t="str">
            <v>VERNONTXWESLACOTX</v>
          </cell>
          <cell r="F8146">
            <v>1306</v>
          </cell>
        </row>
        <row r="8147">
          <cell r="E8147" t="str">
            <v>VIENNAGAROCKFORDTN</v>
          </cell>
          <cell r="F8147">
            <v>950</v>
          </cell>
        </row>
        <row r="8148">
          <cell r="E8148" t="str">
            <v>VIENNAGAMCCALLAAL</v>
          </cell>
          <cell r="F8148">
            <v>710</v>
          </cell>
        </row>
        <row r="8149">
          <cell r="E8149" t="str">
            <v>VIENNAGALOWELLNC</v>
          </cell>
          <cell r="F8149">
            <v>950</v>
          </cell>
        </row>
        <row r="8150">
          <cell r="E8150" t="str">
            <v>VIENNAGAMINERAL SPRINGSNC</v>
          </cell>
          <cell r="F8150">
            <v>900</v>
          </cell>
        </row>
        <row r="8151">
          <cell r="E8151" t="str">
            <v>VIENNAGABELMONTNC</v>
          </cell>
          <cell r="F8151">
            <v>960</v>
          </cell>
        </row>
        <row r="8152">
          <cell r="E8152" t="str">
            <v>VIENNAGAMONEYMS</v>
          </cell>
          <cell r="F8152">
            <v>1190</v>
          </cell>
        </row>
        <row r="8153">
          <cell r="E8153" t="str">
            <v>VIENNAGAGASTONIANC</v>
          </cell>
          <cell r="F8153">
            <v>940</v>
          </cell>
        </row>
        <row r="8154">
          <cell r="E8154" t="str">
            <v>VIENNAGAKINSTONNC</v>
          </cell>
          <cell r="F8154">
            <v>1300</v>
          </cell>
        </row>
        <row r="8155">
          <cell r="E8155" t="str">
            <v>VIENNAGAEDENTONNC</v>
          </cell>
          <cell r="F8155">
            <v>1480</v>
          </cell>
        </row>
        <row r="8156">
          <cell r="E8156" t="str">
            <v>VIENNAGADREWMS</v>
          </cell>
          <cell r="F8156">
            <v>1240</v>
          </cell>
        </row>
        <row r="8157">
          <cell r="E8157" t="str">
            <v>VIENNAGACHARLOTTENC</v>
          </cell>
          <cell r="F8157">
            <v>920</v>
          </cell>
        </row>
        <row r="8158">
          <cell r="E8158" t="str">
            <v>VIENNAGALEXINGTONNC</v>
          </cell>
          <cell r="F8158">
            <v>1050</v>
          </cell>
        </row>
        <row r="8159">
          <cell r="E8159" t="str">
            <v>VIENNAGAINDIANOLAMS</v>
          </cell>
          <cell r="F8159">
            <v>1220</v>
          </cell>
        </row>
        <row r="8160">
          <cell r="E8160" t="str">
            <v>VIENNAGAPORTSMOUTHVA</v>
          </cell>
          <cell r="F8160">
            <v>1570</v>
          </cell>
        </row>
        <row r="8161">
          <cell r="E8161" t="str">
            <v>VIENNAGAROSSVILLETN</v>
          </cell>
          <cell r="F8161">
            <v>1190</v>
          </cell>
        </row>
        <row r="8162">
          <cell r="E8162" t="str">
            <v>VIENNAGARAYVILLELA</v>
          </cell>
          <cell r="F8162">
            <v>1320</v>
          </cell>
        </row>
        <row r="8163">
          <cell r="E8163" t="str">
            <v>VIENNAGASHELBYNC</v>
          </cell>
          <cell r="F8163">
            <v>910</v>
          </cell>
        </row>
        <row r="8164">
          <cell r="E8164" t="str">
            <v>VIENNAGAMAYODANNC</v>
          </cell>
          <cell r="F8164">
            <v>1170</v>
          </cell>
        </row>
        <row r="8165">
          <cell r="E8165" t="str">
            <v>VIENNAGAHICKORYNC</v>
          </cell>
          <cell r="F8165">
            <v>1020</v>
          </cell>
        </row>
        <row r="8166">
          <cell r="E8166" t="str">
            <v>VIENNAGABLYTHEVILLEAR</v>
          </cell>
          <cell r="F8166">
            <v>1350</v>
          </cell>
        </row>
        <row r="8167">
          <cell r="E8167" t="str">
            <v>VIENNAGANEW ORLEANSLA</v>
          </cell>
          <cell r="F8167">
            <v>1240</v>
          </cell>
        </row>
        <row r="8168">
          <cell r="E8168" t="str">
            <v>VIENNAGAMOBILEAL</v>
          </cell>
          <cell r="F8168">
            <v>930</v>
          </cell>
        </row>
        <row r="8169">
          <cell r="E8169" t="str">
            <v>VIENNAGASANFORDNC</v>
          </cell>
          <cell r="F8169">
            <v>1080</v>
          </cell>
        </row>
        <row r="8170">
          <cell r="E8170" t="str">
            <v>VIENNAGATHOMASVILLENC</v>
          </cell>
          <cell r="F8170">
            <v>1080</v>
          </cell>
        </row>
        <row r="8171">
          <cell r="E8171" t="str">
            <v>VIENNAGAMOCKSVILLENC</v>
          </cell>
          <cell r="F8171">
            <v>1060</v>
          </cell>
        </row>
        <row r="8172">
          <cell r="E8172" t="str">
            <v>VIENNAGACENTREAL</v>
          </cell>
          <cell r="F8172">
            <v>670</v>
          </cell>
        </row>
        <row r="8173">
          <cell r="E8173" t="str">
            <v>VIENNAGANORFOLKVA</v>
          </cell>
          <cell r="F8173">
            <v>1600</v>
          </cell>
        </row>
        <row r="8174">
          <cell r="E8174" t="str">
            <v>VIENNAGASTONEVILLENC</v>
          </cell>
          <cell r="F8174">
            <v>1180</v>
          </cell>
        </row>
        <row r="8175">
          <cell r="E8175" t="str">
            <v>VIENNAGAECLECTICAL</v>
          </cell>
          <cell r="F8175">
            <v>600</v>
          </cell>
        </row>
        <row r="8176">
          <cell r="E8176" t="str">
            <v>VIENNAGAMEMPHISTN</v>
          </cell>
          <cell r="F8176">
            <v>1200</v>
          </cell>
        </row>
        <row r="8177">
          <cell r="E8177" t="str">
            <v>VIENNAGAGREENWOODMS</v>
          </cell>
          <cell r="F8177">
            <v>1150</v>
          </cell>
        </row>
        <row r="8178">
          <cell r="E8178" t="str">
            <v>VIENNAGAMARIONAR</v>
          </cell>
          <cell r="F8178">
            <v>1220</v>
          </cell>
        </row>
        <row r="8179">
          <cell r="E8179" t="str">
            <v>VIENNAGASALISBURYNC</v>
          </cell>
          <cell r="F8179">
            <v>1010</v>
          </cell>
        </row>
        <row r="8180">
          <cell r="E8180" t="str">
            <v>VIENNAGATUNICAMS</v>
          </cell>
          <cell r="F8180">
            <v>1230</v>
          </cell>
        </row>
        <row r="8181">
          <cell r="E8181" t="str">
            <v>VIENNAGAWEST MEMPHISAR</v>
          </cell>
          <cell r="F8181">
            <v>1210</v>
          </cell>
        </row>
        <row r="8182">
          <cell r="E8182" t="str">
            <v>VIENNAGATALLULAHLA</v>
          </cell>
          <cell r="F8182">
            <v>1240</v>
          </cell>
        </row>
        <row r="8183">
          <cell r="E8183" t="str">
            <v>VIENNAGADAWSONGA</v>
          </cell>
          <cell r="F8183">
            <v>410</v>
          </cell>
        </row>
        <row r="8184">
          <cell r="E8184" t="str">
            <v>VIENNAGAGULFPORTMS</v>
          </cell>
          <cell r="F8184">
            <v>1190</v>
          </cell>
        </row>
        <row r="8185">
          <cell r="E8185" t="str">
            <v>VIENNAGAPORT WENTWORTHGA</v>
          </cell>
          <cell r="F8185">
            <v>710</v>
          </cell>
        </row>
        <row r="8186">
          <cell r="E8186" t="str">
            <v>VIENNAGARINCONGA</v>
          </cell>
          <cell r="F8186">
            <v>710</v>
          </cell>
        </row>
        <row r="8187">
          <cell r="E8187" t="str">
            <v>VIENNAGAGarden CityGA</v>
          </cell>
          <cell r="F8187">
            <v>690</v>
          </cell>
        </row>
        <row r="8188">
          <cell r="E8188" t="str">
            <v>VIENNAGAROCKINGHAMNC</v>
          </cell>
          <cell r="F8188">
            <v>960</v>
          </cell>
        </row>
        <row r="8189">
          <cell r="E8189" t="str">
            <v>VIENNAGASPARTANC</v>
          </cell>
          <cell r="F8189">
            <v>1150</v>
          </cell>
        </row>
        <row r="8190">
          <cell r="E8190" t="str">
            <v>VIENNAGAGREENWOODSC</v>
          </cell>
          <cell r="F8190">
            <v>640</v>
          </cell>
        </row>
        <row r="8191">
          <cell r="E8191" t="str">
            <v>VIENNAGAINDIAN LANDSC</v>
          </cell>
          <cell r="F8191">
            <v>900</v>
          </cell>
        </row>
        <row r="8192">
          <cell r="E8192" t="str">
            <v>VIENNAGAGRIFTONNC</v>
          </cell>
          <cell r="F8192">
            <v>1430</v>
          </cell>
        </row>
        <row r="8193">
          <cell r="E8193" t="str">
            <v>VIENNAGALUMBERTONNC</v>
          </cell>
          <cell r="F8193">
            <v>1010</v>
          </cell>
        </row>
        <row r="8194">
          <cell r="E8194" t="str">
            <v>VIENNAGAGAINESVILLEGA</v>
          </cell>
          <cell r="F8194">
            <v>610</v>
          </cell>
        </row>
        <row r="8195">
          <cell r="E8195" t="str">
            <v>VIENNAGACARTERSVILLEGA</v>
          </cell>
          <cell r="F8195">
            <v>610</v>
          </cell>
        </row>
        <row r="8196">
          <cell r="E8196" t="str">
            <v>VIENNAGACLARKTONNC</v>
          </cell>
          <cell r="F8196">
            <v>1070</v>
          </cell>
        </row>
        <row r="8197">
          <cell r="E8197" t="str">
            <v>VIENNAGAERWINNC</v>
          </cell>
          <cell r="F8197">
            <v>1150</v>
          </cell>
        </row>
        <row r="8198">
          <cell r="E8198" t="str">
            <v>VIENNAGAGREERSC</v>
          </cell>
          <cell r="F8198">
            <v>790</v>
          </cell>
        </row>
        <row r="8199">
          <cell r="E8199" t="str">
            <v>VIENNAGAENOREESC</v>
          </cell>
          <cell r="F8199">
            <v>710</v>
          </cell>
        </row>
        <row r="8200">
          <cell r="E8200" t="str">
            <v>VIENNAGAJACKSONVILLEFL</v>
          </cell>
          <cell r="F8200">
            <v>660</v>
          </cell>
        </row>
        <row r="8201">
          <cell r="E8201" t="str">
            <v>VIENNAGAGAFFNEYSC</v>
          </cell>
          <cell r="F8201">
            <v>870</v>
          </cell>
        </row>
        <row r="8202">
          <cell r="E8202" t="str">
            <v>VIENNAGARABUN GAPGA</v>
          </cell>
          <cell r="F8202">
            <v>740</v>
          </cell>
        </row>
        <row r="8203">
          <cell r="E8203" t="str">
            <v>VIENNAGAWESLACOTX</v>
          </cell>
          <cell r="F8203">
            <v>1659</v>
          </cell>
        </row>
        <row r="8204">
          <cell r="E8204" t="str">
            <v>WADLEYGAROCKFORDTN</v>
          </cell>
          <cell r="F8204">
            <v>920</v>
          </cell>
        </row>
        <row r="8205">
          <cell r="E8205" t="str">
            <v>WADLEYGASPARTANC</v>
          </cell>
          <cell r="F8205">
            <v>870</v>
          </cell>
        </row>
        <row r="8206">
          <cell r="E8206" t="str">
            <v>WADLEYGALEXINGTONNC</v>
          </cell>
          <cell r="F8206">
            <v>770</v>
          </cell>
        </row>
        <row r="8207">
          <cell r="E8207" t="str">
            <v>WADLEYGAPORTSMOUTHVA</v>
          </cell>
          <cell r="F8207">
            <v>1290</v>
          </cell>
        </row>
        <row r="8208">
          <cell r="E8208" t="str">
            <v>WADLEYGAROSSVILLETN</v>
          </cell>
          <cell r="F8208">
            <v>1370</v>
          </cell>
        </row>
        <row r="8209">
          <cell r="E8209" t="str">
            <v>WADLEYGAINDIANOLAMS</v>
          </cell>
          <cell r="F8209">
            <v>1410</v>
          </cell>
        </row>
        <row r="8210">
          <cell r="E8210" t="str">
            <v>WADLEYGAROCKINGHAMNC</v>
          </cell>
          <cell r="F8210">
            <v>690</v>
          </cell>
        </row>
        <row r="8211">
          <cell r="E8211" t="str">
            <v>WADLEYGAMAYODANNC</v>
          </cell>
          <cell r="F8211">
            <v>890</v>
          </cell>
        </row>
        <row r="8212">
          <cell r="E8212" t="str">
            <v>WADLEYGASANFORDNC</v>
          </cell>
          <cell r="F8212">
            <v>800</v>
          </cell>
        </row>
        <row r="8213">
          <cell r="E8213" t="str">
            <v>WADLEYGATHOMASVILLENC</v>
          </cell>
          <cell r="F8213">
            <v>800</v>
          </cell>
        </row>
        <row r="8214">
          <cell r="E8214" t="str">
            <v>WADLEYGAMOCKSVILLENC</v>
          </cell>
          <cell r="F8214">
            <v>780</v>
          </cell>
        </row>
        <row r="8215">
          <cell r="E8215" t="str">
            <v>WADLEYGANEW ORLEANSLA</v>
          </cell>
          <cell r="F8215">
            <v>1430</v>
          </cell>
        </row>
        <row r="8216">
          <cell r="E8216" t="str">
            <v>WADLEYGANORFOLKVA</v>
          </cell>
          <cell r="F8216">
            <v>1320</v>
          </cell>
        </row>
        <row r="8217">
          <cell r="E8217" t="str">
            <v>WADLEYGALOWELLNC</v>
          </cell>
          <cell r="F8217">
            <v>680</v>
          </cell>
        </row>
        <row r="8218">
          <cell r="E8218" t="str">
            <v>WADLEYGAINDIAN LANDSC</v>
          </cell>
          <cell r="F8218">
            <v>650</v>
          </cell>
        </row>
        <row r="8219">
          <cell r="E8219" t="str">
            <v>WADLEYGABLYTHEVILLEAR</v>
          </cell>
          <cell r="F8219">
            <v>1530</v>
          </cell>
        </row>
        <row r="8220">
          <cell r="E8220" t="str">
            <v>WADLEYGASTONEVILLENC</v>
          </cell>
          <cell r="F8220">
            <v>900</v>
          </cell>
        </row>
        <row r="8221">
          <cell r="E8221" t="str">
            <v>WADLEYGAMEMPHISTN</v>
          </cell>
          <cell r="F8221">
            <v>1390</v>
          </cell>
        </row>
        <row r="8222">
          <cell r="E8222" t="str">
            <v>WADLEYGAECLECTICAL</v>
          </cell>
          <cell r="F8222">
            <v>740</v>
          </cell>
        </row>
        <row r="8223">
          <cell r="E8223" t="str">
            <v>WADLEYGAMOBILEAL</v>
          </cell>
          <cell r="F8223">
            <v>1120</v>
          </cell>
        </row>
        <row r="8224">
          <cell r="E8224" t="str">
            <v>WADLEYGAGASTONIANC</v>
          </cell>
          <cell r="F8224">
            <v>690</v>
          </cell>
        </row>
        <row r="8225">
          <cell r="E8225" t="str">
            <v>WADLEYGAGREENWOODMS</v>
          </cell>
          <cell r="F8225">
            <v>1350</v>
          </cell>
        </row>
        <row r="8226">
          <cell r="E8226" t="str">
            <v>WADLEYGASALISBURYNC</v>
          </cell>
          <cell r="F8226">
            <v>740</v>
          </cell>
        </row>
        <row r="8227">
          <cell r="E8227" t="str">
            <v>WADLEYGALUMBERTONNC</v>
          </cell>
          <cell r="F8227">
            <v>740</v>
          </cell>
        </row>
        <row r="8228">
          <cell r="E8228" t="str">
            <v>WADLEYGATALLULAHLA</v>
          </cell>
          <cell r="F8228">
            <v>1510</v>
          </cell>
        </row>
        <row r="8229">
          <cell r="E8229" t="str">
            <v>WADLEYGAHICKORYNC</v>
          </cell>
          <cell r="F8229">
            <v>750</v>
          </cell>
        </row>
        <row r="8230">
          <cell r="E8230" t="str">
            <v>WADLEYGACHARLOTTENC</v>
          </cell>
          <cell r="F8230">
            <v>660</v>
          </cell>
        </row>
        <row r="8231">
          <cell r="E8231" t="str">
            <v>WADLEYGATUNICAMS</v>
          </cell>
          <cell r="F8231">
            <v>1410</v>
          </cell>
        </row>
        <row r="8232">
          <cell r="E8232" t="str">
            <v>WADLEYGAMCCALLAAL</v>
          </cell>
          <cell r="F8232">
            <v>900</v>
          </cell>
        </row>
        <row r="8233">
          <cell r="E8233" t="str">
            <v>WADLEYGAWEST MEMPHISAR</v>
          </cell>
          <cell r="F8233">
            <v>1390</v>
          </cell>
        </row>
        <row r="8234">
          <cell r="E8234" t="str">
            <v>WADLEYGAKINSTONNC</v>
          </cell>
          <cell r="F8234">
            <v>1020</v>
          </cell>
        </row>
        <row r="8235">
          <cell r="E8235" t="str">
            <v>WADLEYGAGAINESVILLEGA</v>
          </cell>
          <cell r="F8235">
            <v>560</v>
          </cell>
        </row>
        <row r="8236">
          <cell r="E8236" t="str">
            <v>WADLEYGAEDENTONNC</v>
          </cell>
          <cell r="F8236">
            <v>1200</v>
          </cell>
        </row>
        <row r="8237">
          <cell r="E8237" t="str">
            <v>WADLEYGACENTREAL</v>
          </cell>
          <cell r="F8237">
            <v>730</v>
          </cell>
        </row>
        <row r="8238">
          <cell r="E8238" t="str">
            <v>WADLEYGARABUN GAPGA</v>
          </cell>
          <cell r="F8238">
            <v>640</v>
          </cell>
        </row>
        <row r="8239">
          <cell r="E8239" t="str">
            <v>WADLEYGAMARIONAR</v>
          </cell>
          <cell r="F8239">
            <v>1400</v>
          </cell>
        </row>
        <row r="8240">
          <cell r="E8240" t="str">
            <v>WADLEYGABELMONTNC</v>
          </cell>
          <cell r="F8240">
            <v>670</v>
          </cell>
        </row>
        <row r="8241">
          <cell r="E8241" t="str">
            <v>WADLEYGAMONEYMS</v>
          </cell>
          <cell r="F8241">
            <v>1380</v>
          </cell>
        </row>
        <row r="8242">
          <cell r="E8242" t="str">
            <v>WADLEYGACARTERSVILLEGA</v>
          </cell>
          <cell r="F8242">
            <v>640</v>
          </cell>
        </row>
        <row r="8243">
          <cell r="E8243" t="str">
            <v>WADLEYGASHELBYNC</v>
          </cell>
          <cell r="F8243">
            <v>650</v>
          </cell>
        </row>
        <row r="8244">
          <cell r="E8244" t="str">
            <v>WADLEYGAMINERAL SPRINGSNC</v>
          </cell>
          <cell r="F8244">
            <v>650</v>
          </cell>
        </row>
        <row r="8245">
          <cell r="E8245" t="str">
            <v>WADLEYGADREWMS</v>
          </cell>
          <cell r="F8245">
            <v>1430</v>
          </cell>
        </row>
        <row r="8246">
          <cell r="E8246" t="str">
            <v>WADLEYGARAYVILLELA</v>
          </cell>
          <cell r="F8246">
            <v>1590</v>
          </cell>
        </row>
        <row r="8247">
          <cell r="E8247" t="str">
            <v>WADLEYGAGREENWOODSC</v>
          </cell>
          <cell r="F8247">
            <v>490</v>
          </cell>
        </row>
        <row r="8248">
          <cell r="E8248" t="str">
            <v>WADLEYGAENOREESC</v>
          </cell>
          <cell r="F8248">
            <v>560</v>
          </cell>
        </row>
        <row r="8249">
          <cell r="E8249" t="str">
            <v>WADLEYGAGREERSC</v>
          </cell>
          <cell r="F8249">
            <v>590</v>
          </cell>
        </row>
        <row r="8250">
          <cell r="E8250" t="str">
            <v>WADLEYGAGULFPORTMS</v>
          </cell>
          <cell r="F8250">
            <v>1380</v>
          </cell>
        </row>
        <row r="8251">
          <cell r="E8251" t="str">
            <v>WADLEYGARINCONGA</v>
          </cell>
          <cell r="F8251">
            <v>560</v>
          </cell>
        </row>
        <row r="8252">
          <cell r="E8252" t="str">
            <v>WADLEYGAPORT WENTWORTHGA</v>
          </cell>
          <cell r="F8252">
            <v>600</v>
          </cell>
        </row>
        <row r="8253">
          <cell r="E8253" t="str">
            <v>WADLEYGAGarden CityGA</v>
          </cell>
          <cell r="F8253">
            <v>590</v>
          </cell>
        </row>
        <row r="8254">
          <cell r="E8254" t="str">
            <v>WADLEYGAGAFFNEYSC</v>
          </cell>
          <cell r="F8254">
            <v>620</v>
          </cell>
        </row>
        <row r="8255">
          <cell r="E8255" t="str">
            <v>WADLEYGAERWINNC</v>
          </cell>
          <cell r="F8255">
            <v>870</v>
          </cell>
        </row>
        <row r="8256">
          <cell r="E8256" t="str">
            <v>WADLEYGAGRIFTONNC</v>
          </cell>
          <cell r="F8256">
            <v>1150</v>
          </cell>
        </row>
        <row r="8257">
          <cell r="E8257" t="str">
            <v>WADLEYGACLARKTONNC</v>
          </cell>
          <cell r="F8257">
            <v>790</v>
          </cell>
        </row>
        <row r="8258">
          <cell r="E8258" t="str">
            <v>WADLEYGADAWSONGA</v>
          </cell>
          <cell r="F8258">
            <v>590</v>
          </cell>
        </row>
        <row r="8259">
          <cell r="E8259" t="str">
            <v>WADLEYGAJACKSONVILLEFL</v>
          </cell>
          <cell r="F8259">
            <v>680</v>
          </cell>
        </row>
        <row r="8260">
          <cell r="E8260" t="str">
            <v>WADLEYGAWESLACOTX</v>
          </cell>
          <cell r="F8260">
            <v>2310</v>
          </cell>
        </row>
        <row r="8261">
          <cell r="E8261" t="str">
            <v>WALNUT HILLFLGASTONIANC</v>
          </cell>
          <cell r="F8261">
            <v>1310</v>
          </cell>
        </row>
        <row r="8262">
          <cell r="E8262" t="str">
            <v>WALNUT HILLFLCLARKTONNC</v>
          </cell>
          <cell r="F8262">
            <v>1620</v>
          </cell>
        </row>
        <row r="8263">
          <cell r="E8263" t="str">
            <v>WALNUT HILLFLSANFORDNC</v>
          </cell>
          <cell r="F8263">
            <v>1650</v>
          </cell>
        </row>
        <row r="8264">
          <cell r="E8264" t="str">
            <v>WALNUT HILLFLSHELBYNC</v>
          </cell>
          <cell r="F8264">
            <v>1280</v>
          </cell>
        </row>
        <row r="8265">
          <cell r="E8265" t="str">
            <v>WALNUT HILLFLGREENWOODMS</v>
          </cell>
          <cell r="F8265">
            <v>910</v>
          </cell>
        </row>
        <row r="8266">
          <cell r="E8266" t="str">
            <v>WALNUT HILLFLCHARLOTTENC</v>
          </cell>
          <cell r="F8266">
            <v>1360</v>
          </cell>
        </row>
        <row r="8267">
          <cell r="E8267" t="str">
            <v>WALNUT HILLFLLEXINGTONNC</v>
          </cell>
          <cell r="F8267">
            <v>1490</v>
          </cell>
        </row>
        <row r="8268">
          <cell r="E8268" t="str">
            <v>WALNUT HILLFLGAINESVILLEGA</v>
          </cell>
          <cell r="F8268">
            <v>930</v>
          </cell>
        </row>
        <row r="8269">
          <cell r="E8269" t="str">
            <v>WALNUT HILLFLHICKORYNC</v>
          </cell>
          <cell r="F8269">
            <v>1390</v>
          </cell>
        </row>
        <row r="8270">
          <cell r="E8270" t="str">
            <v>WALNUT HILLFLINDIAN LANDSC</v>
          </cell>
          <cell r="F8270">
            <v>1390</v>
          </cell>
        </row>
        <row r="8271">
          <cell r="E8271" t="str">
            <v>WALNUT HILLFLLUMBERTONNC</v>
          </cell>
          <cell r="F8271">
            <v>1570</v>
          </cell>
        </row>
        <row r="8272">
          <cell r="E8272" t="str">
            <v>WALNUT HILLFLJACKSONVILLEFL</v>
          </cell>
          <cell r="F8272">
            <v>1010</v>
          </cell>
        </row>
        <row r="8273">
          <cell r="E8273" t="str">
            <v>WALNUT HILLFLMINERAL SPRINGSNC</v>
          </cell>
          <cell r="F8273">
            <v>1420</v>
          </cell>
        </row>
        <row r="8274">
          <cell r="E8274" t="str">
            <v>WALNUT HILLFLMEMPHISTN</v>
          </cell>
          <cell r="F8274">
            <v>1170</v>
          </cell>
        </row>
        <row r="8275">
          <cell r="E8275" t="str">
            <v>WALNUT HILLFLKINSTONNC</v>
          </cell>
          <cell r="F8275">
            <v>1860</v>
          </cell>
        </row>
        <row r="8276">
          <cell r="E8276" t="str">
            <v>WALNUT HILLFLSPARTANC</v>
          </cell>
          <cell r="F8276">
            <v>1580</v>
          </cell>
        </row>
        <row r="8277">
          <cell r="E8277" t="str">
            <v>WALNUT HILLFLTALLULAHLA</v>
          </cell>
          <cell r="F8277">
            <v>840</v>
          </cell>
        </row>
        <row r="8278">
          <cell r="E8278" t="str">
            <v>WALNUT HILLFLDAWSONGA</v>
          </cell>
          <cell r="F8278">
            <v>690</v>
          </cell>
        </row>
        <row r="8279">
          <cell r="E8279" t="str">
            <v>WALNUT HILLFLTUNICAMS</v>
          </cell>
          <cell r="F8279">
            <v>1200</v>
          </cell>
        </row>
        <row r="8280">
          <cell r="E8280" t="str">
            <v>WALNUT HILLFLGREENWOODSC</v>
          </cell>
          <cell r="F8280">
            <v>1130</v>
          </cell>
        </row>
        <row r="8281">
          <cell r="E8281" t="str">
            <v>WALNUT HILLFLWEST MEMPHISAR</v>
          </cell>
          <cell r="F8281">
            <v>1180</v>
          </cell>
        </row>
        <row r="8282">
          <cell r="E8282" t="str">
            <v>WALNUT HILLFLTHOMASVILLENC</v>
          </cell>
          <cell r="F8282">
            <v>1520</v>
          </cell>
        </row>
        <row r="8283">
          <cell r="E8283" t="str">
            <v>WALNUT HILLFLNORFOLKVA</v>
          </cell>
          <cell r="F8283">
            <v>2110</v>
          </cell>
        </row>
        <row r="8284">
          <cell r="E8284" t="str">
            <v>WALNUT HILLFLMONEYMS</v>
          </cell>
          <cell r="F8284">
            <v>990</v>
          </cell>
        </row>
        <row r="8285">
          <cell r="E8285" t="str">
            <v>WALNUT HILLFLMARIONAR</v>
          </cell>
          <cell r="F8285">
            <v>1190</v>
          </cell>
        </row>
        <row r="8286">
          <cell r="E8286" t="str">
            <v>WALNUT HILLFLENOREESC</v>
          </cell>
          <cell r="F8286">
            <v>1220</v>
          </cell>
        </row>
        <row r="8287">
          <cell r="E8287" t="str">
            <v>WALNUT HILLFLEDENTONNC</v>
          </cell>
          <cell r="F8287">
            <v>2040</v>
          </cell>
        </row>
        <row r="8288">
          <cell r="E8288" t="str">
            <v>WALNUT HILLFLMAYODANNC</v>
          </cell>
          <cell r="F8288">
            <v>1610</v>
          </cell>
        </row>
        <row r="8289">
          <cell r="E8289" t="str">
            <v>WALNUT HILLFLCENTREAL</v>
          </cell>
          <cell r="F8289">
            <v>820</v>
          </cell>
        </row>
        <row r="8290">
          <cell r="E8290" t="str">
            <v>WALNUT HILLFLCARTERSVILLEGA</v>
          </cell>
          <cell r="F8290">
            <v>900</v>
          </cell>
        </row>
        <row r="8291">
          <cell r="E8291" t="str">
            <v>WALNUT HILLFLMOCKSVILLENC</v>
          </cell>
          <cell r="F8291">
            <v>1480</v>
          </cell>
        </row>
        <row r="8292">
          <cell r="E8292" t="str">
            <v>WALNUT HILLFLSTONEVILLENC</v>
          </cell>
          <cell r="F8292">
            <v>1610</v>
          </cell>
        </row>
        <row r="8293">
          <cell r="E8293" t="str">
            <v>WALNUT HILLFLGREERSC</v>
          </cell>
          <cell r="F8293">
            <v>1160</v>
          </cell>
        </row>
        <row r="8294">
          <cell r="E8294" t="str">
            <v>WALNUT HILLFLGAFFNEYSC</v>
          </cell>
          <cell r="F8294">
            <v>1240</v>
          </cell>
        </row>
        <row r="8295">
          <cell r="E8295" t="str">
            <v>WALNUT HILLFLERWINNC</v>
          </cell>
          <cell r="F8295">
            <v>1700</v>
          </cell>
        </row>
        <row r="8296">
          <cell r="E8296" t="str">
            <v>WALNUT HILLFLLOWELLNC</v>
          </cell>
          <cell r="F8296">
            <v>1320</v>
          </cell>
        </row>
        <row r="8297">
          <cell r="E8297" t="str">
            <v>WALNUT HILLFLSALISBURYNC</v>
          </cell>
          <cell r="F8297">
            <v>1450</v>
          </cell>
        </row>
        <row r="8298">
          <cell r="E8298" t="str">
            <v>WALNUT HILLFLMCCALLAAL</v>
          </cell>
          <cell r="F8298">
            <v>670</v>
          </cell>
        </row>
        <row r="8299">
          <cell r="E8299" t="str">
            <v>WALNUT HILLFLROCKINGHAMNC</v>
          </cell>
          <cell r="F8299">
            <v>1530</v>
          </cell>
        </row>
        <row r="8300">
          <cell r="E8300" t="str">
            <v>WALNUT HILLFLNEW ORLEANSLA</v>
          </cell>
          <cell r="F8300">
            <v>650</v>
          </cell>
        </row>
        <row r="8301">
          <cell r="E8301" t="str">
            <v>WALNUT HILLFLROSSVILLETN</v>
          </cell>
          <cell r="F8301">
            <v>1150</v>
          </cell>
        </row>
        <row r="8302">
          <cell r="E8302" t="str">
            <v>WALNUT HILLFLBELMONTNC</v>
          </cell>
          <cell r="F8302">
            <v>1330</v>
          </cell>
        </row>
        <row r="8303">
          <cell r="E8303" t="str">
            <v>WALNUT HILLFLRAYVILLELA</v>
          </cell>
          <cell r="F8303">
            <v>910</v>
          </cell>
        </row>
        <row r="8304">
          <cell r="E8304" t="str">
            <v>WALNUT HILLFLBLYTHEVILLEAR</v>
          </cell>
          <cell r="F8304">
            <v>1310</v>
          </cell>
        </row>
        <row r="8305">
          <cell r="E8305" t="str">
            <v>WALNUT HILLFLPORTSMOUTHVA</v>
          </cell>
          <cell r="F8305">
            <v>2080</v>
          </cell>
        </row>
        <row r="8306">
          <cell r="E8306" t="str">
            <v>WALNUT HILLFLGRIFTONNC</v>
          </cell>
          <cell r="F8306">
            <v>1990</v>
          </cell>
        </row>
        <row r="8307">
          <cell r="E8307" t="str">
            <v>WALNUT HILLFLECLECTICAL</v>
          </cell>
          <cell r="F8307">
            <v>570</v>
          </cell>
        </row>
        <row r="8308">
          <cell r="E8308" t="str">
            <v>WALNUT HILLFLGarden CityGA</v>
          </cell>
          <cell r="F8308">
            <v>1280</v>
          </cell>
        </row>
        <row r="8309">
          <cell r="E8309" t="str">
            <v>WALNUT HILLFLRABUN GAPGA</v>
          </cell>
          <cell r="F8309">
            <v>1130</v>
          </cell>
        </row>
        <row r="8310">
          <cell r="E8310" t="str">
            <v>WALNUT HILLFLRINCONGA</v>
          </cell>
          <cell r="F8310">
            <v>1310</v>
          </cell>
        </row>
        <row r="8311">
          <cell r="E8311" t="str">
            <v>WALNUT HILLFLMOBILEAL</v>
          </cell>
          <cell r="F8311">
            <v>430</v>
          </cell>
        </row>
        <row r="8312">
          <cell r="E8312" t="str">
            <v>WALNUT HILLFLPORT WENTWORTHGA</v>
          </cell>
          <cell r="F8312">
            <v>1300</v>
          </cell>
        </row>
        <row r="8313">
          <cell r="E8313" t="str">
            <v>WALNUT HILLFLGULFPORTMS</v>
          </cell>
          <cell r="F8313">
            <v>650</v>
          </cell>
        </row>
        <row r="8314">
          <cell r="E8314" t="str">
            <v>WALNUT HILLFLINDIANOLAMS</v>
          </cell>
          <cell r="F8314">
            <v>910</v>
          </cell>
        </row>
        <row r="8315">
          <cell r="E8315" t="str">
            <v>WALNUT HILLFLDREWMS</v>
          </cell>
          <cell r="F8315">
            <v>970</v>
          </cell>
        </row>
        <row r="8316">
          <cell r="E8316" t="str">
            <v>WALNUT HILLFLROCKFORDTN</v>
          </cell>
          <cell r="F8316">
            <v>1220</v>
          </cell>
        </row>
        <row r="8317">
          <cell r="E8317" t="str">
            <v>WAYNESBOROGALEXINGTONNC</v>
          </cell>
          <cell r="F8317">
            <v>710</v>
          </cell>
        </row>
        <row r="8318">
          <cell r="E8318" t="str">
            <v>WAYNESBOROGABLYTHEVILLEAR</v>
          </cell>
          <cell r="F8318">
            <v>1560</v>
          </cell>
        </row>
        <row r="8319">
          <cell r="E8319" t="str">
            <v>WAYNESBOROGAKINSTONNC</v>
          </cell>
          <cell r="F8319">
            <v>960</v>
          </cell>
        </row>
        <row r="8320">
          <cell r="E8320" t="str">
            <v>WAYNESBOROGAMEMPHISTN</v>
          </cell>
          <cell r="F8320">
            <v>1420</v>
          </cell>
        </row>
        <row r="8321">
          <cell r="E8321" t="str">
            <v>WAYNESBOROGAEDENTONNC</v>
          </cell>
          <cell r="F8321">
            <v>1140</v>
          </cell>
        </row>
        <row r="8322">
          <cell r="E8322" t="str">
            <v>WAYNESBOROGASPARTANC</v>
          </cell>
          <cell r="F8322">
            <v>810</v>
          </cell>
        </row>
        <row r="8323">
          <cell r="E8323" t="str">
            <v>WAYNESBOROGATALLULAHLA</v>
          </cell>
          <cell r="F8323">
            <v>1550</v>
          </cell>
        </row>
        <row r="8324">
          <cell r="E8324" t="str">
            <v>WAYNESBOROGAPORTSMOUTHVA</v>
          </cell>
          <cell r="F8324">
            <v>1230</v>
          </cell>
        </row>
        <row r="8325">
          <cell r="E8325" t="str">
            <v>WAYNESBOROGABELMONTNC</v>
          </cell>
          <cell r="F8325">
            <v>630</v>
          </cell>
        </row>
        <row r="8326">
          <cell r="E8326" t="str">
            <v>WAYNESBOROGAGREENWOODMS</v>
          </cell>
          <cell r="F8326">
            <v>1380</v>
          </cell>
        </row>
        <row r="8327">
          <cell r="E8327" t="str">
            <v>WAYNESBOROGAMINERAL SPRINGSNC</v>
          </cell>
          <cell r="F8327">
            <v>610</v>
          </cell>
        </row>
        <row r="8328">
          <cell r="E8328" t="str">
            <v>WAYNESBOROGATUNICAMS</v>
          </cell>
          <cell r="F8328">
            <v>1450</v>
          </cell>
        </row>
        <row r="8329">
          <cell r="E8329" t="str">
            <v>WAYNESBOROGAMAYODANNC</v>
          </cell>
          <cell r="F8329">
            <v>830</v>
          </cell>
        </row>
        <row r="8330">
          <cell r="E8330" t="str">
            <v>WAYNESBOROGAROCKINGHAMNC</v>
          </cell>
          <cell r="F8330">
            <v>650</v>
          </cell>
        </row>
        <row r="8331">
          <cell r="E8331" t="str">
            <v>WAYNESBOROGAROCKFORDTN</v>
          </cell>
          <cell r="F8331">
            <v>880</v>
          </cell>
        </row>
        <row r="8332">
          <cell r="E8332" t="str">
            <v>WAYNESBOROGACENTREAL</v>
          </cell>
          <cell r="F8332">
            <v>770</v>
          </cell>
        </row>
        <row r="8333">
          <cell r="E8333" t="str">
            <v>WAYNESBOROGANEW ORLEANSLA</v>
          </cell>
          <cell r="F8333">
            <v>1570</v>
          </cell>
        </row>
        <row r="8334">
          <cell r="E8334" t="str">
            <v>WAYNESBOROGASANFORDNC</v>
          </cell>
          <cell r="F8334">
            <v>740</v>
          </cell>
        </row>
        <row r="8335">
          <cell r="E8335" t="str">
            <v>WAYNESBOROGATHOMASVILLENC</v>
          </cell>
          <cell r="F8335">
            <v>740</v>
          </cell>
        </row>
        <row r="8336">
          <cell r="E8336" t="str">
            <v>WAYNESBOROGAMARIONAR</v>
          </cell>
          <cell r="F8336">
            <v>1440</v>
          </cell>
        </row>
        <row r="8337">
          <cell r="E8337" t="str">
            <v>WAYNESBOROGAMONEYMS</v>
          </cell>
          <cell r="F8337">
            <v>1420</v>
          </cell>
        </row>
        <row r="8338">
          <cell r="E8338" t="str">
            <v>WAYNESBOROGAMOCKSVILLENC</v>
          </cell>
          <cell r="F8338">
            <v>720</v>
          </cell>
        </row>
        <row r="8339">
          <cell r="E8339" t="str">
            <v>WAYNESBOROGANORFOLKVA</v>
          </cell>
          <cell r="F8339">
            <v>1250</v>
          </cell>
        </row>
        <row r="8340">
          <cell r="E8340" t="str">
            <v>WAYNESBOROGADREWMS</v>
          </cell>
          <cell r="F8340">
            <v>1460</v>
          </cell>
        </row>
        <row r="8341">
          <cell r="E8341" t="str">
            <v>WAYNESBOROGAMCCALLAAL</v>
          </cell>
          <cell r="F8341">
            <v>930</v>
          </cell>
        </row>
        <row r="8342">
          <cell r="E8342" t="str">
            <v>WAYNESBOROGASALISBURYNC</v>
          </cell>
          <cell r="F8342">
            <v>680</v>
          </cell>
        </row>
        <row r="8343">
          <cell r="E8343" t="str">
            <v>WAYNESBOROGAWEST MEMPHISAR</v>
          </cell>
          <cell r="F8343">
            <v>1420</v>
          </cell>
        </row>
        <row r="8344">
          <cell r="E8344" t="str">
            <v>WAYNESBOROGARAYVILLELA</v>
          </cell>
          <cell r="F8344">
            <v>1620</v>
          </cell>
        </row>
        <row r="8345">
          <cell r="E8345" t="str">
            <v>WAYNESBOROGACLARKTONNC</v>
          </cell>
          <cell r="F8345">
            <v>720</v>
          </cell>
        </row>
        <row r="8346">
          <cell r="E8346" t="str">
            <v>WAYNESBOROGALOWELLNC</v>
          </cell>
          <cell r="F8346">
            <v>630</v>
          </cell>
        </row>
        <row r="8347">
          <cell r="E8347" t="str">
            <v>WAYNESBOROGAGAINESVILLEGA</v>
          </cell>
          <cell r="F8347">
            <v>570</v>
          </cell>
        </row>
        <row r="8348">
          <cell r="E8348" t="str">
            <v>WAYNESBOROGAMOBILEAL</v>
          </cell>
          <cell r="F8348">
            <v>1250</v>
          </cell>
        </row>
        <row r="8349">
          <cell r="E8349" t="str">
            <v>WAYNESBOROGASTONEVILLENC</v>
          </cell>
          <cell r="F8349">
            <v>830</v>
          </cell>
        </row>
        <row r="8350">
          <cell r="E8350" t="str">
            <v>WAYNESBOROGAROSSVILLETN</v>
          </cell>
          <cell r="F8350">
            <v>1400</v>
          </cell>
        </row>
        <row r="8351">
          <cell r="E8351" t="str">
            <v>WAYNESBOROGAINDIANOLAMS</v>
          </cell>
          <cell r="F8351">
            <v>1440</v>
          </cell>
        </row>
        <row r="8352">
          <cell r="E8352" t="str">
            <v>WAYNESBOROGAGASTONIANC</v>
          </cell>
          <cell r="F8352">
            <v>640</v>
          </cell>
        </row>
        <row r="8353">
          <cell r="E8353" t="str">
            <v>WAYNESBOROGAENOREESC</v>
          </cell>
          <cell r="F8353">
            <v>530</v>
          </cell>
        </row>
        <row r="8354">
          <cell r="E8354" t="str">
            <v>WAYNESBOROGACHARLOTTENC</v>
          </cell>
          <cell r="F8354">
            <v>620</v>
          </cell>
        </row>
        <row r="8355">
          <cell r="E8355" t="str">
            <v>WAYNESBOROGASHELBYNC</v>
          </cell>
          <cell r="F8355">
            <v>610</v>
          </cell>
        </row>
        <row r="8356">
          <cell r="E8356" t="str">
            <v>WAYNESBOROGAGRIFTONNC</v>
          </cell>
          <cell r="F8356">
            <v>1090</v>
          </cell>
        </row>
        <row r="8357">
          <cell r="E8357" t="str">
            <v>WAYNESBOROGAGULFPORTMS</v>
          </cell>
          <cell r="F8357">
            <v>1520</v>
          </cell>
        </row>
        <row r="8358">
          <cell r="E8358" t="str">
            <v>WAYNESBOROGAGREENWOODSC</v>
          </cell>
          <cell r="F8358">
            <v>460</v>
          </cell>
        </row>
        <row r="8359">
          <cell r="E8359" t="str">
            <v>WAYNESBOROGAPORT WENTWORTHGA</v>
          </cell>
          <cell r="F8359">
            <v>570</v>
          </cell>
        </row>
        <row r="8360">
          <cell r="E8360" t="str">
            <v>WAYNESBOROGARINCONGA</v>
          </cell>
          <cell r="F8360">
            <v>550</v>
          </cell>
        </row>
        <row r="8361">
          <cell r="E8361" t="str">
            <v>WAYNESBOROGAGarden CityGA</v>
          </cell>
          <cell r="F8361">
            <v>570</v>
          </cell>
        </row>
        <row r="8362">
          <cell r="E8362" t="str">
            <v>WAYNESBOROGAGREERSC</v>
          </cell>
          <cell r="F8362">
            <v>560</v>
          </cell>
        </row>
        <row r="8363">
          <cell r="E8363" t="str">
            <v>WAYNESBOROGAHICKORYNC</v>
          </cell>
          <cell r="F8363">
            <v>700</v>
          </cell>
        </row>
        <row r="8364">
          <cell r="E8364" t="str">
            <v>WAYNESBOROGAERWINNC</v>
          </cell>
          <cell r="F8364">
            <v>800</v>
          </cell>
        </row>
        <row r="8365">
          <cell r="E8365" t="str">
            <v>WAYNESBOROGAINDIAN LANDSC</v>
          </cell>
          <cell r="F8365">
            <v>600</v>
          </cell>
        </row>
        <row r="8366">
          <cell r="E8366" t="str">
            <v>WAYNESBOROGARABUN GAPGA</v>
          </cell>
          <cell r="F8366">
            <v>650</v>
          </cell>
        </row>
        <row r="8367">
          <cell r="E8367" t="str">
            <v>WAYNESBOROGALUMBERTONNC</v>
          </cell>
          <cell r="F8367">
            <v>680</v>
          </cell>
        </row>
        <row r="8368">
          <cell r="E8368" t="str">
            <v>WAYNESBOROGAGAFFNEYSC</v>
          </cell>
          <cell r="F8368">
            <v>600</v>
          </cell>
        </row>
        <row r="8369">
          <cell r="E8369" t="str">
            <v>WAYNESBOROGAECLECTICAL</v>
          </cell>
          <cell r="F8369">
            <v>870</v>
          </cell>
        </row>
        <row r="8370">
          <cell r="E8370" t="str">
            <v>WAYNESBOROGADAWSONGA</v>
          </cell>
          <cell r="F8370">
            <v>630</v>
          </cell>
        </row>
        <row r="8371">
          <cell r="E8371" t="str">
            <v>WAYNESBOROGAJACKSONVILLEFL</v>
          </cell>
          <cell r="F8371">
            <v>670</v>
          </cell>
        </row>
        <row r="8372">
          <cell r="E8372" t="str">
            <v>WAYNESBOROGACARTERSVILLEGA</v>
          </cell>
          <cell r="F8372">
            <v>660</v>
          </cell>
        </row>
        <row r="8373">
          <cell r="E8373" t="str">
            <v>WAYNESBOROGAWESLACOTX</v>
          </cell>
          <cell r="F8373">
            <v>2066</v>
          </cell>
        </row>
        <row r="8374">
          <cell r="E8374" t="str">
            <v>WeslacoTXHoustonTX</v>
          </cell>
          <cell r="F8374">
            <v>1157</v>
          </cell>
        </row>
        <row r="8375">
          <cell r="E8375" t="str">
            <v>WeslacoTXBaytownTX</v>
          </cell>
          <cell r="F8375">
            <v>1209</v>
          </cell>
        </row>
        <row r="8376">
          <cell r="E8376" t="str">
            <v>WeslacoTXDallasTX</v>
          </cell>
          <cell r="F8376">
            <v>899</v>
          </cell>
        </row>
        <row r="8377">
          <cell r="E8377" t="str">
            <v>WESLACOTXHOUSTONTX</v>
          </cell>
          <cell r="F8377">
            <v>1526</v>
          </cell>
        </row>
        <row r="8378">
          <cell r="E8378" t="str">
            <v>WESLACOTXWESLACOTX</v>
          </cell>
          <cell r="F8378">
            <v>345</v>
          </cell>
        </row>
        <row r="8379">
          <cell r="E8379" t="str">
            <v>WEST MEMPHISARROCKFORDTN</v>
          </cell>
          <cell r="F8379">
            <v>1060</v>
          </cell>
        </row>
        <row r="8380">
          <cell r="E8380" t="str">
            <v>WEST MEMPHISARKINSTONNC</v>
          </cell>
          <cell r="F8380">
            <v>2070</v>
          </cell>
        </row>
        <row r="8381">
          <cell r="E8381" t="str">
            <v>WEST MEMPHISARERWINNC</v>
          </cell>
          <cell r="F8381">
            <v>1910</v>
          </cell>
        </row>
        <row r="8382">
          <cell r="E8382" t="str">
            <v>WEST MEMPHISARCLARKTONNC</v>
          </cell>
          <cell r="F8382">
            <v>1900</v>
          </cell>
        </row>
        <row r="8383">
          <cell r="E8383" t="str">
            <v>WEST MEMPHISARTHOMASVILLENC</v>
          </cell>
          <cell r="F8383">
            <v>1660</v>
          </cell>
        </row>
        <row r="8384">
          <cell r="E8384" t="str">
            <v>WEST MEMPHISARMOCKSVILLENC</v>
          </cell>
          <cell r="F8384">
            <v>1590</v>
          </cell>
        </row>
        <row r="8385">
          <cell r="E8385" t="str">
            <v>WEST MEMPHISARLUMBERTONNC</v>
          </cell>
          <cell r="F8385">
            <v>1840</v>
          </cell>
        </row>
        <row r="8386">
          <cell r="E8386" t="str">
            <v>WEST MEMPHISARBELMONTNC</v>
          </cell>
          <cell r="F8386">
            <v>1550</v>
          </cell>
        </row>
        <row r="8387">
          <cell r="E8387" t="str">
            <v>WEST MEMPHISARNORFOLKVA</v>
          </cell>
          <cell r="F8387">
            <v>2240</v>
          </cell>
        </row>
        <row r="8388">
          <cell r="E8388" t="str">
            <v>WEST MEMPHISARROCKINGHAMNC</v>
          </cell>
          <cell r="F8388">
            <v>1750</v>
          </cell>
        </row>
        <row r="8389">
          <cell r="E8389" t="str">
            <v>WEST MEMPHISARLOWELLNC</v>
          </cell>
          <cell r="F8389">
            <v>1540</v>
          </cell>
        </row>
        <row r="8390">
          <cell r="E8390" t="str">
            <v>WEST MEMPHISARLEXINGTONNC</v>
          </cell>
          <cell r="F8390">
            <v>1630</v>
          </cell>
        </row>
        <row r="8391">
          <cell r="E8391" t="str">
            <v>WEST MEMPHISARSALISBURYNC</v>
          </cell>
          <cell r="F8391">
            <v>1610</v>
          </cell>
        </row>
        <row r="8392">
          <cell r="E8392" t="str">
            <v>WEST MEMPHISARGASTONIANC</v>
          </cell>
          <cell r="F8392">
            <v>1530</v>
          </cell>
        </row>
        <row r="8393">
          <cell r="E8393" t="str">
            <v>WEST MEMPHISARSHELBYNC</v>
          </cell>
          <cell r="F8393">
            <v>1480</v>
          </cell>
        </row>
        <row r="8394">
          <cell r="E8394" t="str">
            <v>WEST MEMPHISARCHARLOTTENC</v>
          </cell>
          <cell r="F8394">
            <v>1580</v>
          </cell>
        </row>
        <row r="8395">
          <cell r="E8395" t="str">
            <v>WEST MEMPHISARJACKSONVILLEFL</v>
          </cell>
          <cell r="F8395">
            <v>1690</v>
          </cell>
        </row>
        <row r="8396">
          <cell r="E8396" t="str">
            <v>WEST MEMPHISARINDIAN LANDSC</v>
          </cell>
          <cell r="F8396">
            <v>1610</v>
          </cell>
        </row>
        <row r="8397">
          <cell r="E8397" t="str">
            <v>WEST MEMPHISARMAYODANNC</v>
          </cell>
          <cell r="F8397">
            <v>1720</v>
          </cell>
        </row>
        <row r="8398">
          <cell r="E8398" t="str">
            <v>WEST MEMPHISARSANFORDNC</v>
          </cell>
          <cell r="F8398">
            <v>1830</v>
          </cell>
        </row>
        <row r="8399">
          <cell r="E8399" t="str">
            <v>WEST MEMPHISARMINERAL SPRINGSNC</v>
          </cell>
          <cell r="F8399">
            <v>1640</v>
          </cell>
        </row>
        <row r="8400">
          <cell r="E8400" t="str">
            <v>WEST MEMPHISARSPARTANC</v>
          </cell>
          <cell r="F8400">
            <v>1560</v>
          </cell>
        </row>
        <row r="8401">
          <cell r="E8401" t="str">
            <v>WEST MEMPHISARSTONEVILLENC</v>
          </cell>
          <cell r="F8401">
            <v>1730</v>
          </cell>
        </row>
        <row r="8402">
          <cell r="E8402" t="str">
            <v>WEST MEMPHISARHICKORYNC</v>
          </cell>
          <cell r="F8402">
            <v>1490</v>
          </cell>
        </row>
        <row r="8403">
          <cell r="E8403" t="str">
            <v>WEST MEMPHISARMCCALLAAL</v>
          </cell>
          <cell r="F8403">
            <v>730</v>
          </cell>
        </row>
        <row r="8404">
          <cell r="E8404" t="str">
            <v>WEST MEMPHISARTALLULAHLA</v>
          </cell>
          <cell r="F8404">
            <v>770</v>
          </cell>
        </row>
        <row r="8405">
          <cell r="E8405" t="str">
            <v>WEST MEMPHISARGULFPORTMS</v>
          </cell>
          <cell r="F8405">
            <v>1080</v>
          </cell>
        </row>
        <row r="8406">
          <cell r="E8406" t="str">
            <v>WEST MEMPHISARRABUN GAPGA</v>
          </cell>
          <cell r="F8406">
            <v>1380</v>
          </cell>
        </row>
        <row r="8407">
          <cell r="E8407" t="str">
            <v>WEST MEMPHISARGREENWOODMS</v>
          </cell>
          <cell r="F8407">
            <v>550</v>
          </cell>
        </row>
        <row r="8408">
          <cell r="E8408" t="str">
            <v>WEST MEMPHISARDREWMS</v>
          </cell>
          <cell r="F8408">
            <v>490</v>
          </cell>
        </row>
        <row r="8409">
          <cell r="E8409" t="str">
            <v>WEST MEMPHISARMONEYMS</v>
          </cell>
          <cell r="F8409">
            <v>520</v>
          </cell>
        </row>
        <row r="8410">
          <cell r="E8410" t="str">
            <v>WEST MEMPHISARINDIANOLAMS</v>
          </cell>
          <cell r="F8410">
            <v>540</v>
          </cell>
        </row>
        <row r="8411">
          <cell r="E8411" t="str">
            <v>WEST MEMPHISARBLYTHEVILLEAR</v>
          </cell>
          <cell r="F8411">
            <v>410</v>
          </cell>
        </row>
        <row r="8412">
          <cell r="E8412" t="str">
            <v>WEST MEMPHISARMEMPHISTN</v>
          </cell>
          <cell r="F8412">
            <v>340</v>
          </cell>
        </row>
        <row r="8413">
          <cell r="E8413" t="str">
            <v>WEST MEMPHISARMARIONAR</v>
          </cell>
          <cell r="F8413">
            <v>330</v>
          </cell>
        </row>
        <row r="8414">
          <cell r="E8414" t="str">
            <v>WEST MEMPHISARGRIFTONNC</v>
          </cell>
          <cell r="F8414">
            <v>2200</v>
          </cell>
        </row>
        <row r="8415">
          <cell r="E8415" t="str">
            <v>WEST MEMPHISARCENTREAL</v>
          </cell>
          <cell r="F8415">
            <v>890</v>
          </cell>
        </row>
        <row r="8416">
          <cell r="E8416" t="str">
            <v>WEST MEMPHISARRINCONGA</v>
          </cell>
          <cell r="F8416">
            <v>1720</v>
          </cell>
        </row>
        <row r="8417">
          <cell r="E8417" t="str">
            <v>WEST MEMPHISARCARTERSVILLEGA</v>
          </cell>
          <cell r="F8417">
            <v>1020</v>
          </cell>
        </row>
        <row r="8418">
          <cell r="E8418" t="str">
            <v>WEST MEMPHISARTUNICAMS</v>
          </cell>
          <cell r="F8418">
            <v>390</v>
          </cell>
        </row>
        <row r="8419">
          <cell r="E8419" t="str">
            <v>WEST MEMPHISARMOBILEAL</v>
          </cell>
          <cell r="F8419">
            <v>1050</v>
          </cell>
        </row>
        <row r="8420">
          <cell r="E8420" t="str">
            <v>WEST MEMPHISARPORT WENTWORTHGA</v>
          </cell>
          <cell r="F8420">
            <v>1710</v>
          </cell>
        </row>
        <row r="8421">
          <cell r="E8421" t="str">
            <v>WEST MEMPHISARRAYVILLELA</v>
          </cell>
          <cell r="F8421">
            <v>710</v>
          </cell>
        </row>
        <row r="8422">
          <cell r="E8422" t="str">
            <v>WEST MEMPHISARNEW ORLEANSLA</v>
          </cell>
          <cell r="F8422">
            <v>1050</v>
          </cell>
        </row>
        <row r="8423">
          <cell r="E8423" t="str">
            <v>WEST MEMPHISARGarden CityGA</v>
          </cell>
          <cell r="F8423">
            <v>1690</v>
          </cell>
        </row>
        <row r="8424">
          <cell r="E8424" t="str">
            <v>WEST MEMPHISARDAWSONGA</v>
          </cell>
          <cell r="F8424">
            <v>1180</v>
          </cell>
        </row>
        <row r="8425">
          <cell r="E8425" t="str">
            <v>WEST MEMPHISARGAINESVILLEGA</v>
          </cell>
          <cell r="F8425">
            <v>1160</v>
          </cell>
        </row>
        <row r="8426">
          <cell r="E8426" t="str">
            <v>WEST MEMPHISARGREENWOODSC</v>
          </cell>
          <cell r="F8426">
            <v>1380</v>
          </cell>
        </row>
        <row r="8427">
          <cell r="E8427" t="str">
            <v>WEST MEMPHISARENOREESC</v>
          </cell>
          <cell r="F8427">
            <v>1450</v>
          </cell>
        </row>
        <row r="8428">
          <cell r="E8428" t="str">
            <v>WEST MEMPHISARPORTSMOUTHVA</v>
          </cell>
          <cell r="F8428">
            <v>2230</v>
          </cell>
        </row>
        <row r="8429">
          <cell r="E8429" t="str">
            <v>WEST MEMPHISAREDENTONNC</v>
          </cell>
          <cell r="F8429">
            <v>2190</v>
          </cell>
        </row>
        <row r="8430">
          <cell r="E8430" t="str">
            <v>WEST MEMPHISARGREERSC</v>
          </cell>
          <cell r="F8430">
            <v>1400</v>
          </cell>
        </row>
        <row r="8431">
          <cell r="E8431" t="str">
            <v>WEST MEMPHISARROSSVILLETN</v>
          </cell>
          <cell r="F8431">
            <v>390</v>
          </cell>
        </row>
        <row r="8432">
          <cell r="E8432" t="str">
            <v>WEST MEMPHISARGAFFNEYSC</v>
          </cell>
          <cell r="F8432">
            <v>1470</v>
          </cell>
        </row>
        <row r="8433">
          <cell r="E8433" t="str">
            <v>WEST MEMPHISARECLECTICAL</v>
          </cell>
          <cell r="F8433">
            <v>910</v>
          </cell>
        </row>
        <row r="8434">
          <cell r="E8434" t="str">
            <v>WilmerTXBaytownTX</v>
          </cell>
          <cell r="F8434">
            <v>634</v>
          </cell>
        </row>
        <row r="8435">
          <cell r="E8435" t="str">
            <v>WilmerTXHoustonTX</v>
          </cell>
          <cell r="F8435">
            <v>594</v>
          </cell>
        </row>
        <row r="8436">
          <cell r="E8436" t="str">
            <v>WilmerTXDallasTX</v>
          </cell>
          <cell r="F8436">
            <v>315</v>
          </cell>
        </row>
        <row r="8437">
          <cell r="E8437" t="str">
            <v>WILSONNCROCKFORDTN</v>
          </cell>
          <cell r="F8437">
            <v>1100</v>
          </cell>
        </row>
        <row r="8438">
          <cell r="E8438" t="str">
            <v>WILSONNCGAFFNEYSC</v>
          </cell>
          <cell r="F8438">
            <v>740</v>
          </cell>
        </row>
        <row r="8439">
          <cell r="E8439" t="str">
            <v>WILSONNCCARTERSVILLEGA</v>
          </cell>
          <cell r="F8439">
            <v>1250</v>
          </cell>
        </row>
        <row r="8440">
          <cell r="E8440" t="str">
            <v>WILSONNCDAWSONGA</v>
          </cell>
          <cell r="F8440">
            <v>1390</v>
          </cell>
        </row>
        <row r="8441">
          <cell r="E8441" t="str">
            <v>WILSONNCMARIONAR</v>
          </cell>
          <cell r="F8441">
            <v>1960</v>
          </cell>
        </row>
        <row r="8442">
          <cell r="E8442" t="str">
            <v>WILSONNCGREENWOODSC</v>
          </cell>
          <cell r="F8442">
            <v>880</v>
          </cell>
        </row>
        <row r="8443">
          <cell r="E8443" t="str">
            <v>WILSONNCECLECTICAL</v>
          </cell>
          <cell r="F8443">
            <v>1500</v>
          </cell>
        </row>
        <row r="8444">
          <cell r="E8444" t="str">
            <v>WILSONNCNEW ORLEANSLA</v>
          </cell>
          <cell r="F8444">
            <v>2190</v>
          </cell>
        </row>
        <row r="8445">
          <cell r="E8445" t="str">
            <v>WILSONNCTUNICAMS</v>
          </cell>
          <cell r="F8445">
            <v>2020</v>
          </cell>
        </row>
        <row r="8446">
          <cell r="E8446" t="str">
            <v>WILSONNCENOREESC</v>
          </cell>
          <cell r="F8446">
            <v>850</v>
          </cell>
        </row>
        <row r="8447">
          <cell r="E8447" t="str">
            <v>WILSONNCGAINESVILLEGA</v>
          </cell>
          <cell r="F8447">
            <v>1090</v>
          </cell>
        </row>
        <row r="8448">
          <cell r="E8448" t="str">
            <v>WILSONNCMOBILEAL</v>
          </cell>
          <cell r="F8448">
            <v>1880</v>
          </cell>
        </row>
        <row r="8449">
          <cell r="E8449" t="str">
            <v>WILSONNCMEMPHISTN</v>
          </cell>
          <cell r="F8449">
            <v>1970</v>
          </cell>
        </row>
        <row r="8450">
          <cell r="E8450" t="str">
            <v>WILSONNCMINERAL SPRINGSNC</v>
          </cell>
          <cell r="F8450">
            <v>640</v>
          </cell>
        </row>
        <row r="8451">
          <cell r="E8451" t="str">
            <v>WILSONNCGREENWOODMS</v>
          </cell>
          <cell r="F8451">
            <v>2000</v>
          </cell>
        </row>
        <row r="8452">
          <cell r="E8452" t="str">
            <v>WILSONNCGREERSC</v>
          </cell>
          <cell r="F8452">
            <v>820</v>
          </cell>
        </row>
        <row r="8453">
          <cell r="E8453" t="str">
            <v>WILSONNCSTONEVILLENC</v>
          </cell>
          <cell r="F8453">
            <v>560</v>
          </cell>
        </row>
        <row r="8454">
          <cell r="E8454" t="str">
            <v>WILSONNCLEXINGTONNC</v>
          </cell>
          <cell r="F8454">
            <v>560</v>
          </cell>
        </row>
        <row r="8455">
          <cell r="E8455" t="str">
            <v>WILSONNCCENTREAL</v>
          </cell>
          <cell r="F8455">
            <v>1360</v>
          </cell>
        </row>
        <row r="8456">
          <cell r="E8456" t="str">
            <v>WILSONNCTALLULAHLA</v>
          </cell>
          <cell r="F8456">
            <v>2160</v>
          </cell>
        </row>
        <row r="8457">
          <cell r="E8457" t="str">
            <v>WILSONNCMONEYMS</v>
          </cell>
          <cell r="F8457">
            <v>2030</v>
          </cell>
        </row>
        <row r="8458">
          <cell r="E8458" t="str">
            <v>WILSONNCSALISBURYNC</v>
          </cell>
          <cell r="F8458">
            <v>590</v>
          </cell>
        </row>
        <row r="8459">
          <cell r="E8459" t="str">
            <v>WILSONNCROSSVILLETN</v>
          </cell>
          <cell r="F8459">
            <v>1940</v>
          </cell>
        </row>
        <row r="8460">
          <cell r="E8460" t="str">
            <v>WILSONNCJACKSONVILLEFL</v>
          </cell>
          <cell r="F8460">
            <v>1200</v>
          </cell>
        </row>
        <row r="8461">
          <cell r="E8461" t="str">
            <v>WILSONNCMCCALLAAL</v>
          </cell>
          <cell r="F8461">
            <v>1550</v>
          </cell>
        </row>
        <row r="8462">
          <cell r="E8462" t="str">
            <v>WILSONNCBLYTHEVILLEAR</v>
          </cell>
          <cell r="F8462">
            <v>1960</v>
          </cell>
        </row>
        <row r="8463">
          <cell r="E8463" t="str">
            <v>WILSONNCINDIAN LANDSC</v>
          </cell>
          <cell r="F8463">
            <v>660</v>
          </cell>
        </row>
        <row r="8464">
          <cell r="E8464" t="str">
            <v>WILSONNCDREWMS</v>
          </cell>
          <cell r="F8464">
            <v>2080</v>
          </cell>
        </row>
        <row r="8465">
          <cell r="E8465" t="str">
            <v>WILSONNCINDIANOLAMS</v>
          </cell>
          <cell r="F8465">
            <v>2060</v>
          </cell>
        </row>
        <row r="8466">
          <cell r="E8466" t="str">
            <v>WILSONNCWEST MEMPHISAR</v>
          </cell>
          <cell r="F8466">
            <v>1950</v>
          </cell>
        </row>
        <row r="8467">
          <cell r="E8467" t="str">
            <v>WILSONNCRAYVILLELA</v>
          </cell>
          <cell r="F8467">
            <v>2240</v>
          </cell>
        </row>
        <row r="8468">
          <cell r="E8468" t="str">
            <v>WILSONNCGarden CityGA</v>
          </cell>
          <cell r="F8468">
            <v>1010</v>
          </cell>
        </row>
        <row r="8469">
          <cell r="E8469" t="str">
            <v>WILSONNCLUMBERTONNC</v>
          </cell>
          <cell r="F8469">
            <v>490</v>
          </cell>
        </row>
        <row r="8470">
          <cell r="E8470" t="str">
            <v>WILSONNCSANFORDNC</v>
          </cell>
          <cell r="F8470">
            <v>460</v>
          </cell>
        </row>
        <row r="8471">
          <cell r="E8471" t="str">
            <v>WILSONNCMAYODANNC</v>
          </cell>
          <cell r="F8471">
            <v>560</v>
          </cell>
        </row>
        <row r="8472">
          <cell r="E8472" t="str">
            <v>WILSONNCCLARKTONNC</v>
          </cell>
          <cell r="F8472">
            <v>490</v>
          </cell>
        </row>
        <row r="8473">
          <cell r="E8473" t="str">
            <v>WILSONNCROCKINGHAMNC</v>
          </cell>
          <cell r="F8473">
            <v>550</v>
          </cell>
        </row>
        <row r="8474">
          <cell r="E8474" t="str">
            <v>WILSONNCRABUN GAPGA</v>
          </cell>
          <cell r="F8474">
            <v>1070</v>
          </cell>
        </row>
        <row r="8475">
          <cell r="E8475" t="str">
            <v>WILSONNCPORT WENTWORTHGA</v>
          </cell>
          <cell r="F8475">
            <v>1000</v>
          </cell>
        </row>
        <row r="8476">
          <cell r="E8476" t="str">
            <v>WILSONNCEDENTONNC</v>
          </cell>
          <cell r="F8476">
            <v>460</v>
          </cell>
        </row>
        <row r="8477">
          <cell r="E8477" t="str">
            <v>WILSONNCGULFPORTMS</v>
          </cell>
          <cell r="F8477">
            <v>2140</v>
          </cell>
        </row>
        <row r="8478">
          <cell r="E8478" t="str">
            <v>WILSONNCRINCONGA</v>
          </cell>
          <cell r="F8478">
            <v>1010</v>
          </cell>
        </row>
        <row r="8479">
          <cell r="E8479" t="str">
            <v>WILSONNCKINSTONNC</v>
          </cell>
          <cell r="F8479">
            <v>380</v>
          </cell>
        </row>
        <row r="8480">
          <cell r="E8480" t="str">
            <v>WILSONNCERWINNC</v>
          </cell>
          <cell r="F8480">
            <v>410</v>
          </cell>
        </row>
        <row r="8481">
          <cell r="E8481" t="str">
            <v>WILSONNCGRIFTONNC</v>
          </cell>
          <cell r="F8481">
            <v>500</v>
          </cell>
        </row>
        <row r="8482">
          <cell r="E8482" t="str">
            <v>WILSONNCNORFOLKVA</v>
          </cell>
          <cell r="F8482">
            <v>570</v>
          </cell>
        </row>
        <row r="8483">
          <cell r="E8483" t="str">
            <v>WILSONNCCHARLOTTENC</v>
          </cell>
          <cell r="F8483">
            <v>660</v>
          </cell>
        </row>
        <row r="8484">
          <cell r="E8484" t="str">
            <v>WILSONNCPORTSMOUTHVA</v>
          </cell>
          <cell r="F8484">
            <v>550</v>
          </cell>
        </row>
        <row r="8485">
          <cell r="E8485" t="str">
            <v>WILSONNCBELMONTNC</v>
          </cell>
          <cell r="F8485">
            <v>670</v>
          </cell>
        </row>
        <row r="8486">
          <cell r="E8486" t="str">
            <v>WILSONNCTHOMASVILLENC</v>
          </cell>
          <cell r="F8486">
            <v>550</v>
          </cell>
        </row>
        <row r="8487">
          <cell r="E8487" t="str">
            <v>WILSONNCLOWELLNC</v>
          </cell>
          <cell r="F8487">
            <v>680</v>
          </cell>
        </row>
        <row r="8488">
          <cell r="E8488" t="str">
            <v>WILSONNCGASTONIANC</v>
          </cell>
          <cell r="F8488">
            <v>690</v>
          </cell>
        </row>
        <row r="8489">
          <cell r="E8489" t="str">
            <v>WILSONNCSHELBYNC</v>
          </cell>
          <cell r="F8489">
            <v>720</v>
          </cell>
        </row>
        <row r="8490">
          <cell r="E8490" t="str">
            <v>WILSONNCMOCKSVILLENC</v>
          </cell>
          <cell r="F8490">
            <v>590</v>
          </cell>
        </row>
        <row r="8491">
          <cell r="E8491" t="str">
            <v>WILSONNCSPARTANC</v>
          </cell>
          <cell r="F8491">
            <v>670</v>
          </cell>
        </row>
        <row r="8492">
          <cell r="E8492" t="str">
            <v>WILSONNCHICKORYNC</v>
          </cell>
          <cell r="F8492">
            <v>670</v>
          </cell>
        </row>
        <row r="8493">
          <cell r="E8493" t="str">
            <v>WINNSBOROLAROCKFORDTN</v>
          </cell>
          <cell r="F8493">
            <v>1520</v>
          </cell>
        </row>
        <row r="8494">
          <cell r="E8494" t="str">
            <v>WINNSBOROLAPORTSMOUTHVA</v>
          </cell>
          <cell r="F8494">
            <v>2540</v>
          </cell>
        </row>
        <row r="8495">
          <cell r="E8495" t="str">
            <v>WINNSBOROLASANFORDNC</v>
          </cell>
          <cell r="F8495">
            <v>2110</v>
          </cell>
        </row>
        <row r="8496">
          <cell r="E8496" t="str">
            <v>WINNSBOROLACLARKTONNC</v>
          </cell>
          <cell r="F8496">
            <v>2120</v>
          </cell>
        </row>
        <row r="8497">
          <cell r="E8497" t="str">
            <v>WINNSBOROLALUMBERTONNC</v>
          </cell>
          <cell r="F8497">
            <v>2070</v>
          </cell>
        </row>
        <row r="8498">
          <cell r="E8498" t="str">
            <v>WINNSBOROLAROCKINGHAMNC</v>
          </cell>
          <cell r="F8498">
            <v>1990</v>
          </cell>
        </row>
        <row r="8499">
          <cell r="E8499" t="str">
            <v>WINNSBOROLASALISBURYNC</v>
          </cell>
          <cell r="F8499">
            <v>1910</v>
          </cell>
        </row>
        <row r="8500">
          <cell r="E8500" t="str">
            <v>WINNSBOROLANORFOLKVA</v>
          </cell>
          <cell r="F8500">
            <v>2570</v>
          </cell>
        </row>
        <row r="8501">
          <cell r="E8501" t="str">
            <v>WINNSBOROLAKINSTONNC</v>
          </cell>
          <cell r="F8501">
            <v>2360</v>
          </cell>
        </row>
        <row r="8502">
          <cell r="E8502" t="str">
            <v>WINNSBOROLACHARLOTTENC</v>
          </cell>
          <cell r="F8502">
            <v>1820</v>
          </cell>
        </row>
        <row r="8503">
          <cell r="E8503" t="str">
            <v>WINNSBOROLASHELBYNC</v>
          </cell>
          <cell r="F8503">
            <v>1740</v>
          </cell>
        </row>
        <row r="8504">
          <cell r="E8504" t="str">
            <v>WINNSBOROLAHICKORYNC</v>
          </cell>
          <cell r="F8504">
            <v>1850</v>
          </cell>
        </row>
        <row r="8505">
          <cell r="E8505" t="str">
            <v>WINNSBOROLAEDENTONNC</v>
          </cell>
          <cell r="F8505">
            <v>2510</v>
          </cell>
        </row>
        <row r="8506">
          <cell r="E8506" t="str">
            <v>WINNSBOROLAMINERAL SPRINGSNC</v>
          </cell>
          <cell r="F8506">
            <v>1880</v>
          </cell>
        </row>
        <row r="8507">
          <cell r="E8507" t="str">
            <v>WINNSBOROLASPARTANC</v>
          </cell>
          <cell r="F8507">
            <v>2020</v>
          </cell>
        </row>
        <row r="8508">
          <cell r="E8508" t="str">
            <v>WINNSBOROLALEXINGTONNC</v>
          </cell>
          <cell r="F8508">
            <v>1940</v>
          </cell>
        </row>
        <row r="8509">
          <cell r="E8509" t="str">
            <v>WINNSBOROLAINDIAN LANDSC</v>
          </cell>
          <cell r="F8509">
            <v>1840</v>
          </cell>
        </row>
        <row r="8510">
          <cell r="E8510" t="str">
            <v>WINNSBOROLAMAYODANNC</v>
          </cell>
          <cell r="F8510">
            <v>2060</v>
          </cell>
        </row>
        <row r="8511">
          <cell r="E8511" t="str">
            <v>WINNSBOROLAGAINESVILLEGA</v>
          </cell>
          <cell r="F8511">
            <v>1380</v>
          </cell>
        </row>
        <row r="8512">
          <cell r="E8512" t="str">
            <v>WINNSBOROLAGREENWOODSC</v>
          </cell>
          <cell r="F8512">
            <v>1600</v>
          </cell>
        </row>
        <row r="8513">
          <cell r="E8513" t="str">
            <v>WINNSBOROLASTONEVILLENC</v>
          </cell>
          <cell r="F8513">
            <v>2070</v>
          </cell>
        </row>
        <row r="8514">
          <cell r="E8514" t="str">
            <v>WINNSBOROLATHOMASVILLENC</v>
          </cell>
          <cell r="F8514">
            <v>1970</v>
          </cell>
        </row>
        <row r="8515">
          <cell r="E8515" t="str">
            <v>WINNSBOROLAERWINNC</v>
          </cell>
          <cell r="F8515">
            <v>2200</v>
          </cell>
        </row>
        <row r="8516">
          <cell r="E8516" t="str">
            <v>WINNSBOROLAMOCKSVILLENC</v>
          </cell>
          <cell r="F8516">
            <v>1940</v>
          </cell>
        </row>
        <row r="8517">
          <cell r="E8517" t="str">
            <v>WINNSBOROLAENOREESC</v>
          </cell>
          <cell r="F8517">
            <v>1670</v>
          </cell>
        </row>
        <row r="8518">
          <cell r="E8518" t="str">
            <v>WINNSBOROLALOWELLNC</v>
          </cell>
          <cell r="F8518">
            <v>1780</v>
          </cell>
        </row>
        <row r="8519">
          <cell r="E8519" t="str">
            <v>WINNSBOROLAGREERSC</v>
          </cell>
          <cell r="F8519">
            <v>1620</v>
          </cell>
        </row>
        <row r="8520">
          <cell r="E8520" t="str">
            <v>WINNSBOROLABELMONTNC</v>
          </cell>
          <cell r="F8520">
            <v>1790</v>
          </cell>
        </row>
        <row r="8521">
          <cell r="E8521" t="str">
            <v>WINNSBOROLAGASTONIANC</v>
          </cell>
          <cell r="F8521">
            <v>1770</v>
          </cell>
        </row>
        <row r="8522">
          <cell r="E8522" t="str">
            <v>WINNSBOROLADAWSONGA</v>
          </cell>
          <cell r="F8522">
            <v>1260</v>
          </cell>
        </row>
        <row r="8523">
          <cell r="E8523" t="str">
            <v>WINNSBOROLAGAFFNEYSC</v>
          </cell>
          <cell r="F8523">
            <v>1700</v>
          </cell>
        </row>
        <row r="8524">
          <cell r="E8524" t="str">
            <v>WINNSBOROLAGRIFTONNC</v>
          </cell>
          <cell r="F8524">
            <v>2490</v>
          </cell>
        </row>
        <row r="8525">
          <cell r="E8525" t="str">
            <v>WINNSBOROLAGarden CityGA</v>
          </cell>
          <cell r="F8525">
            <v>1910</v>
          </cell>
        </row>
        <row r="8526">
          <cell r="E8526" t="str">
            <v>WINNSBOROLAROSSVILLETN</v>
          </cell>
          <cell r="F8526">
            <v>780</v>
          </cell>
        </row>
        <row r="8527">
          <cell r="E8527" t="str">
            <v>WINNSBOROLAMCCALLAAL</v>
          </cell>
          <cell r="F8527">
            <v>860</v>
          </cell>
        </row>
        <row r="8528">
          <cell r="E8528" t="str">
            <v>WINNSBOROLATUNICAMS</v>
          </cell>
          <cell r="F8528">
            <v>650</v>
          </cell>
        </row>
        <row r="8529">
          <cell r="E8529" t="str">
            <v>WINNSBOROLAECLECTICAL</v>
          </cell>
          <cell r="F8529">
            <v>1010</v>
          </cell>
        </row>
        <row r="8530">
          <cell r="E8530" t="str">
            <v>WINNSBOROLACENTREAL</v>
          </cell>
          <cell r="F8530">
            <v>1110</v>
          </cell>
        </row>
        <row r="8531">
          <cell r="E8531" t="str">
            <v>WINNSBOROLARINCONGA</v>
          </cell>
          <cell r="F8531">
            <v>1940</v>
          </cell>
        </row>
        <row r="8532">
          <cell r="E8532" t="str">
            <v>WINNSBOROLAPORT WENTWORTHGA</v>
          </cell>
          <cell r="F8532">
            <v>1930</v>
          </cell>
        </row>
        <row r="8533">
          <cell r="E8533" t="str">
            <v>WINNSBOROLAMONEYMS</v>
          </cell>
          <cell r="F8533">
            <v>580</v>
          </cell>
        </row>
        <row r="8534">
          <cell r="E8534" t="str">
            <v>WINNSBOROLARABUN GAPGA</v>
          </cell>
          <cell r="F8534">
            <v>1620</v>
          </cell>
        </row>
        <row r="8535">
          <cell r="E8535" t="str">
            <v>WINNSBOROLAGULFPORTMS</v>
          </cell>
          <cell r="F8535">
            <v>840</v>
          </cell>
        </row>
        <row r="8536">
          <cell r="E8536" t="str">
            <v>WINNSBOROLADREWMS</v>
          </cell>
          <cell r="F8536">
            <v>560</v>
          </cell>
        </row>
        <row r="8537">
          <cell r="E8537" t="str">
            <v>WINNSBOROLAINDIANOLAMS</v>
          </cell>
          <cell r="F8537">
            <v>520</v>
          </cell>
        </row>
        <row r="8538">
          <cell r="E8538" t="str">
            <v>WINNSBOROLARAYVILLELA</v>
          </cell>
          <cell r="F8538">
            <v>350</v>
          </cell>
        </row>
        <row r="8539">
          <cell r="E8539" t="str">
            <v>WINNSBOROLAMEMPHISTN</v>
          </cell>
          <cell r="F8539">
            <v>710</v>
          </cell>
        </row>
        <row r="8540">
          <cell r="E8540" t="str">
            <v>WINNSBOROLAMARIONAR</v>
          </cell>
          <cell r="F8540">
            <v>740</v>
          </cell>
        </row>
        <row r="8541">
          <cell r="E8541" t="str">
            <v>WINNSBOROLAWEST MEMPHISAR</v>
          </cell>
          <cell r="F8541">
            <v>730</v>
          </cell>
        </row>
        <row r="8542">
          <cell r="E8542" t="str">
            <v>WINNSBOROLACARTERSVILLEGA</v>
          </cell>
          <cell r="F8542">
            <v>1250</v>
          </cell>
        </row>
        <row r="8543">
          <cell r="E8543" t="str">
            <v>WINNSBOROLAGREENWOODMS</v>
          </cell>
          <cell r="F8543">
            <v>560</v>
          </cell>
        </row>
        <row r="8544">
          <cell r="E8544" t="str">
            <v>WINNSBOROLABLYTHEVILLEAR</v>
          </cell>
          <cell r="F8544">
            <v>860</v>
          </cell>
        </row>
        <row r="8545">
          <cell r="E8545" t="str">
            <v>WINNSBOROLAMOBILEAL</v>
          </cell>
          <cell r="F8545">
            <v>810</v>
          </cell>
        </row>
        <row r="8546">
          <cell r="E8546" t="str">
            <v>WINNSBOROLATALLULAHLA</v>
          </cell>
          <cell r="F8546">
            <v>390</v>
          </cell>
        </row>
        <row r="8547">
          <cell r="E8547" t="str">
            <v>WINNSBOROLAJACKSONVILLEFL</v>
          </cell>
          <cell r="F8547">
            <v>1730</v>
          </cell>
        </row>
        <row r="8548">
          <cell r="E8548" t="str">
            <v>WINNSBOROLANEW ORLEANSLA</v>
          </cell>
          <cell r="F8548">
            <v>660</v>
          </cell>
        </row>
        <row r="8549">
          <cell r="E8549" t="str">
            <v>WINNSBOROLABaytownTX</v>
          </cell>
          <cell r="F8549">
            <v>966</v>
          </cell>
        </row>
        <row r="8550">
          <cell r="E8550" t="str">
            <v>WINNSBOROLAHoustonTX</v>
          </cell>
          <cell r="F8550">
            <v>1045</v>
          </cell>
        </row>
        <row r="8551">
          <cell r="E8551" t="str">
            <v>WINNSBOROLAWESLACOTX</v>
          </cell>
          <cell r="F8551">
            <v>1319</v>
          </cell>
        </row>
        <row r="8552">
          <cell r="E8552" t="str">
            <v>YAZOO CITYMSWESLACOTX</v>
          </cell>
          <cell r="F8552">
            <v>1622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tures&amp;Freight"/>
      <sheetName val="MasterPriceTables"/>
      <sheetName val="Weights"/>
      <sheetName val="Core Data - Recap"/>
      <sheetName val="China - Recap"/>
      <sheetName val="Turkey - Recap"/>
      <sheetName val="India - Recap "/>
      <sheetName val="Pakistan - Recap "/>
      <sheetName val="Bangladesh - Recap "/>
      <sheetName val="Indonesia - Recap "/>
      <sheetName val="Thailand - Recap "/>
      <sheetName val="Vietnam - Recap "/>
      <sheetName val="Taiwan - Recap "/>
      <sheetName val="Japan - Recap "/>
      <sheetName val="Peru - Recap "/>
      <sheetName val="Guatemala - Recap"/>
      <sheetName val="Korea - Recap"/>
      <sheetName val="USPND - Recap"/>
      <sheetName val="AUSPND - RECAP"/>
      <sheetName val="BRzPND - Recap"/>
      <sheetName val="Core Data - General"/>
      <sheetName val="China - General"/>
      <sheetName val="Turkey - General"/>
      <sheetName val="India - General"/>
      <sheetName val="Pakistan - General"/>
      <sheetName val="Bangladesh - General"/>
      <sheetName val="Indonesia - General"/>
      <sheetName val="Thailand - General"/>
      <sheetName val="Vietnam - General"/>
      <sheetName val="Taiwan - General"/>
      <sheetName val="Japan - General"/>
      <sheetName val="Peru - General"/>
      <sheetName val="Guatemala - General"/>
      <sheetName val="Korea - General"/>
      <sheetName val="Export Pricing (2)"/>
      <sheetName val="OFFERS"/>
      <sheetName val="Sheet1"/>
      <sheetName val="DISTRO LIST"/>
      <sheetName val="Core Data - General VAISU"/>
    </sheetNames>
    <sheetDataSet>
      <sheetData sheetId="0">
        <row r="3">
          <cell r="B3" t="str">
            <v>K6</v>
          </cell>
          <cell r="C3">
            <v>70.19</v>
          </cell>
        </row>
        <row r="4">
          <cell r="B4" t="str">
            <v>N6</v>
          </cell>
          <cell r="C4">
            <v>72.42</v>
          </cell>
        </row>
        <row r="5">
          <cell r="B5" t="str">
            <v>Z6</v>
          </cell>
          <cell r="C5">
            <v>74.61</v>
          </cell>
        </row>
        <row r="6">
          <cell r="B6" t="str">
            <v>H7</v>
          </cell>
          <cell r="C6">
            <v>75.55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EE, Vaisu (AMS Cotton)" id="{39C943C3-6AD4-4ED7-AE96-876B332DFEB7}" userId="S::vaisu.lee@edfman.net::076b1678-2400-4b85-ae59-9950eeef11b9" providerId="AD"/>
  <person displayName="SQUILLACI, Jonathan (USA Cotton)" id="{E119A7A0-92CE-475D-92C2-4C3A727B1DFB}" userId="S::jonathan.squillaci@edfman.net::67f09722-6146-4ec7-b23c-b41c2e0df902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2" dT="2025-10-13T21:01:56.47" personId="{E119A7A0-92CE-475D-92C2-4C3A727B1DFB}" id="{AD1B716E-3CFB-4412-AC2C-9D0383A4E1DD}">
    <text>Need To add Docs Costs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52" dT="2025-10-13T21:01:56.47" personId="{E119A7A0-92CE-475D-92C2-4C3A727B1DFB}" id="{CE81BDF8-1D3D-4C40-9E53-A59DAB406577}">
    <text>Need To add Docs Costs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5" dT="2025-10-13T21:01:56.47" personId="{E119A7A0-92CE-475D-92C2-4C3A727B1DFB}" id="{117203B1-0F6E-4AAB-9262-3515030C79B1}">
    <text>Need To add Docs Costs</text>
  </threadedComment>
  <threadedComment ref="A50" dT="2025-10-13T21:01:56.47" personId="{E119A7A0-92CE-475D-92C2-4C3A727B1DFB}" id="{006934F2-5FBD-4736-8EA9-998421F077BB}">
    <text>Need To add Docs Costs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7" dT="2026-02-19T12:43:40.54" personId="{39C943C3-6AD4-4ED7-AE96-876B332DFEB7}" id="{5ADCE895-D8A0-4740-9004-334346CDD16B}">
    <text>Need quotes from bank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30" dT="2026-02-19T12:44:43.40" personId="{39C943C3-6AD4-4ED7-AE96-876B332DFEB7}" id="{56287997-A11F-4ED5-9AFB-8C2925117AD6}">
    <text>Only 1 entry for JP, fix formula as now it is giving error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8217-ECFB-4AAC-A914-95A59BAECD9E}">
  <sheetPr>
    <tabColor rgb="FF00FF00"/>
  </sheetPr>
  <dimension ref="B2:AR39"/>
  <sheetViews>
    <sheetView showGridLines="0" zoomScaleNormal="100" workbookViewId="0">
      <selection activeCell="AV6" sqref="AV6"/>
    </sheetView>
  </sheetViews>
  <sheetFormatPr defaultRowHeight="14.5" outlineLevelCol="1"/>
  <cols>
    <col min="1" max="1" width="5.54296875" customWidth="1"/>
    <col min="2" max="2" width="23.7265625" customWidth="1"/>
    <col min="3" max="12" width="9.1796875" hidden="1" customWidth="1" outlineLevel="1"/>
    <col min="13" max="13" width="16.1796875" customWidth="1" collapsed="1"/>
    <col min="14" max="15" width="9.1796875" hidden="1" customWidth="1" outlineLevel="1"/>
    <col min="16" max="16" width="9.1796875" style="425" hidden="1" customWidth="1" outlineLevel="1"/>
    <col min="17" max="17" width="9.1796875" hidden="1" customWidth="1" outlineLevel="1"/>
    <col min="18" max="18" width="15.81640625" customWidth="1" collapsed="1"/>
    <col min="19" max="19" width="9.1796875" hidden="1" customWidth="1" outlineLevel="1"/>
    <col min="20" max="20" width="19.1796875" hidden="1" customWidth="1" outlineLevel="1"/>
    <col min="21" max="22" width="9.1796875" hidden="1" customWidth="1" outlineLevel="1"/>
    <col min="23" max="23" width="14" customWidth="1" collapsed="1"/>
    <col min="24" max="26" width="9.1796875" hidden="1" customWidth="1" outlineLevel="1"/>
    <col min="27" max="27" width="18.1796875" customWidth="1" collapsed="1"/>
    <col min="28" max="32" width="9.1796875" hidden="1" customWidth="1" outlineLevel="1"/>
    <col min="33" max="33" width="19.26953125" customWidth="1" collapsed="1"/>
    <col min="34" max="38" width="9.1796875" hidden="1" customWidth="1" outlineLevel="1"/>
    <col min="39" max="39" width="9.1796875" customWidth="1" collapsed="1"/>
    <col min="43" max="43" width="10.1796875" bestFit="1" customWidth="1"/>
  </cols>
  <sheetData>
    <row r="2" spans="2:44" ht="15" thickBot="1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81"/>
      <c r="N2" s="181"/>
      <c r="O2" s="181"/>
      <c r="P2" s="418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0"/>
    </row>
    <row r="3" spans="2:44" ht="15" thickBot="1">
      <c r="B3" s="10"/>
      <c r="C3" s="620" t="s">
        <v>0</v>
      </c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623" t="s">
        <v>1</v>
      </c>
      <c r="O3" s="624"/>
      <c r="P3" s="624"/>
      <c r="Q3" s="624"/>
      <c r="R3" s="625"/>
      <c r="S3" s="626" t="s">
        <v>2</v>
      </c>
      <c r="T3" s="627"/>
      <c r="U3" s="627"/>
      <c r="V3" s="627"/>
      <c r="W3" s="627"/>
      <c r="X3" s="628" t="s">
        <v>3</v>
      </c>
      <c r="Y3" s="629"/>
      <c r="Z3" s="629"/>
      <c r="AA3" s="630"/>
      <c r="AB3" s="631" t="s">
        <v>4</v>
      </c>
      <c r="AC3" s="631"/>
      <c r="AD3" s="631"/>
      <c r="AE3" s="631"/>
      <c r="AF3" s="631"/>
      <c r="AG3" s="632"/>
      <c r="AH3" s="614" t="s">
        <v>5</v>
      </c>
      <c r="AI3" s="615"/>
      <c r="AJ3" s="615"/>
      <c r="AK3" s="615"/>
      <c r="AL3" s="615"/>
      <c r="AM3" s="615"/>
      <c r="AN3" s="617" t="s">
        <v>2059</v>
      </c>
      <c r="AO3" s="645"/>
      <c r="AP3" s="646"/>
      <c r="AQ3" s="633" t="s">
        <v>2065</v>
      </c>
      <c r="AR3" s="634"/>
    </row>
    <row r="4" spans="2:44" ht="15" thickBot="1">
      <c r="B4" s="357" t="s">
        <v>11</v>
      </c>
      <c r="C4" s="358" t="s">
        <v>14</v>
      </c>
      <c r="D4" s="358" t="s">
        <v>15</v>
      </c>
      <c r="E4" s="358" t="s">
        <v>16</v>
      </c>
      <c r="F4" s="358" t="s">
        <v>17</v>
      </c>
      <c r="G4" s="358" t="s">
        <v>18</v>
      </c>
      <c r="H4" s="358" t="s">
        <v>19</v>
      </c>
      <c r="I4" s="358" t="s">
        <v>20</v>
      </c>
      <c r="J4" s="358" t="s">
        <v>28</v>
      </c>
      <c r="K4" s="358" t="s">
        <v>1650</v>
      </c>
      <c r="L4" s="414" t="s">
        <v>2102</v>
      </c>
      <c r="M4" s="359" t="s">
        <v>22</v>
      </c>
      <c r="N4" s="329" t="s">
        <v>23</v>
      </c>
      <c r="O4" s="329" t="s">
        <v>2096</v>
      </c>
      <c r="P4" s="427" t="s">
        <v>25</v>
      </c>
      <c r="Q4" s="329"/>
      <c r="R4" s="312" t="s">
        <v>2060</v>
      </c>
      <c r="S4" s="330" t="s">
        <v>27</v>
      </c>
      <c r="T4" s="330" t="s">
        <v>20</v>
      </c>
      <c r="U4" s="330" t="s">
        <v>28</v>
      </c>
      <c r="V4" s="330"/>
      <c r="W4" s="331" t="s">
        <v>29</v>
      </c>
      <c r="X4" s="332" t="s">
        <v>30</v>
      </c>
      <c r="Y4" s="332" t="s">
        <v>31</v>
      </c>
      <c r="Z4" s="332"/>
      <c r="AA4" s="333" t="s">
        <v>32</v>
      </c>
      <c r="AB4" s="360" t="s">
        <v>33</v>
      </c>
      <c r="AC4" s="334" t="s">
        <v>34</v>
      </c>
      <c r="AD4" s="334" t="s">
        <v>35</v>
      </c>
      <c r="AE4" s="334" t="s">
        <v>36</v>
      </c>
      <c r="AF4" s="334"/>
      <c r="AG4" s="335" t="s">
        <v>37</v>
      </c>
      <c r="AH4" s="361" t="s">
        <v>2061</v>
      </c>
      <c r="AI4" s="336" t="s">
        <v>2183</v>
      </c>
      <c r="AJ4" s="336" t="s">
        <v>39</v>
      </c>
      <c r="AK4" s="336"/>
      <c r="AL4" s="336"/>
      <c r="AM4" s="337" t="s">
        <v>40</v>
      </c>
      <c r="AN4" s="338" t="s">
        <v>1688</v>
      </c>
      <c r="AO4" s="353" t="s">
        <v>2063</v>
      </c>
      <c r="AP4" s="311" t="s">
        <v>2064</v>
      </c>
      <c r="AQ4" s="412" t="s">
        <v>826</v>
      </c>
      <c r="AR4" s="413" t="s">
        <v>827</v>
      </c>
    </row>
    <row r="5" spans="2:44">
      <c r="B5" s="313" t="s">
        <v>2066</v>
      </c>
      <c r="C5" s="314"/>
      <c r="D5" s="315" cm="1">
        <f t="array" ref="D5">AVERAGE(_xlfn._xlws.FILTER(PTS!I:I, (PTS!$E:$E="WTX") * ISNUMBER(PTS!I:I)))</f>
        <v>93.277192982456143</v>
      </c>
      <c r="E5" s="315" cm="1">
        <f t="array" ref="E5">AVERAGE(_xlfn._xlws.FILTER(PTS!J:J, (PTS!$E:$E="WTX") * ISNUMBER(PTS!J:J)))</f>
        <v>124.68421052631579</v>
      </c>
      <c r="F5" s="315" cm="1">
        <f t="array" ref="F5">AVERAGE(_xlfn._xlws.FILTER(PTS!K:K, (PTS!$E:$E="WTX") * ISNUMBER(PTS!K:K)))</f>
        <v>203.04912280701754</v>
      </c>
      <c r="G5" s="315" cm="1">
        <f t="array" ref="G5">AVERAGE(_xlfn._xlws.FILTER(PTS!L:L, (PTS!$E:$E="WTX") * ISNUMBER(PTS!L:L)))</f>
        <v>0</v>
      </c>
      <c r="H5" s="315" cm="1">
        <f t="array" ref="H5">AVERAGE(_xlfn._xlws.FILTER(PTS!M:M, (PTS!$E:$E="WTX") * ISNUMBER(PTS!M:M)))</f>
        <v>4.5263157894736841</v>
      </c>
      <c r="I5" s="315" cm="1">
        <f t="array" ref="I5">AVERAGE(_xlfn._xlws.FILTER(PTS!N:N, (PTS!$E:$E="WTX") * ISNUMBER(PTS!N:N)))</f>
        <v>54.473684210526315</v>
      </c>
      <c r="J5" s="315" cm="1">
        <f t="array" ref="J5">AVERAGE(_xlfn._xlws.FILTER(PTS!O:O, (PTS!$E:$E="WTX") * ISNUMBER(PTS!O:O)))</f>
        <v>37.916666666666693</v>
      </c>
      <c r="K5" s="315" cm="1">
        <f t="array" ref="K5">AVERAGE(_xlfn._xlws.FILTER(PTS!P:P, (PTS!$E:$E="WTX") * ISNUMBER(PTS!P:P)))</f>
        <v>0</v>
      </c>
      <c r="L5" s="315" cm="1">
        <f t="array" ref="L5">AVERAGE(_xlfn._xlws.FILTER(PTS!Q:Q, (PTS!$E:$E="WTX") * ISNUMBER(PTS!Q:Q)))</f>
        <v>518.74259259259293</v>
      </c>
      <c r="M5" s="315" cm="1">
        <f t="array" ref="M5">AVERAGE(_xlfn._xlws.FILTER(PTS!R:R, (PTS!$E:$E="WTX") * ISNUMBER(PTS!R:R)))</f>
        <v>307.52023809523791</v>
      </c>
      <c r="N5" s="315" cm="1">
        <f t="array" ref="N5">AVERAGE(_xlfn._xlws.FILTER(PTS!S:S, (PTS!$E:$E="WTX") * ISNUMBER(PTS!S:S)))</f>
        <v>4.9122807017543861</v>
      </c>
      <c r="O5" s="315" cm="1">
        <f t="array" ref="O5">AVERAGE(_xlfn._xlws.FILTER(PTS!T:T, (PTS!$E:$E="WTX") * ISNUMBER(PTS!T:T)))</f>
        <v>1.1403508771929824</v>
      </c>
      <c r="P5" s="315" cm="1">
        <f t="array" ref="P5">AVERAGE(_xlfn._xlws.FILTER(PTS!U:U, (PTS!$E:$E="WTX") * ISNUMBER(PTS!U:U)))</f>
        <v>186.05614973262027</v>
      </c>
      <c r="Q5" s="315"/>
      <c r="R5" s="315" cm="1">
        <f t="array" ref="R5">AVERAGE(_xlfn._xlws.FILTER(PTS!W:W, (PTS!$E:$E="WTX") * ISNUMBER(PTS!W:W)))</f>
        <v>192.33065953654184</v>
      </c>
      <c r="S5" s="315" cm="1">
        <f t="array" ref="S5">AVERAGE(_xlfn._xlws.FILTER(PTS!X:X, (PTS!$E:$E="WTX") * ISNUMBER(PTS!X:X)))</f>
        <v>54</v>
      </c>
      <c r="T5" s="315" cm="1">
        <f t="array" ref="T5">AVERAGE(_xlfn._xlws.FILTER(PTS!Y:Y, (PTS!$E:$E="WTX") * ISNUMBER(PTS!Y:Y)))</f>
        <v>50.400000000000048</v>
      </c>
      <c r="U5" s="315" cm="1">
        <f t="array" ref="U5">AVERAGE(_xlfn._xlws.FILTER(PTS!Z:Z, (PTS!$E:$E="WTX") * ISNUMBER(PTS!Z:Z)))</f>
        <v>26.25</v>
      </c>
      <c r="V5" s="315"/>
      <c r="W5" s="315" cm="1">
        <f t="array" ref="W5">AVERAGE(_xlfn._xlws.FILTER(PTS!AB:AB, (PTS!$E:$E="WTX") * ISNUMBER(PTS!AB:AB)))</f>
        <v>130.64999999999989</v>
      </c>
      <c r="X5" s="315" cm="1">
        <f t="array" ref="X5">AVERAGE(_xlfn._xlws.FILTER(PTS!AC:AC, (PTS!$E:$E="WTX") * ISNUMBER(PTS!AC:AC)))</f>
        <v>162.5</v>
      </c>
      <c r="Y5" s="315" cm="1">
        <f t="array" ref="Y5">AVERAGE(_xlfn._xlws.FILTER(PTS!AD:AD, (PTS!$E:$E="WTX") * ISNUMBER(PTS!AD:AD)))</f>
        <v>268.18181818181807</v>
      </c>
      <c r="Z5" s="315"/>
      <c r="AA5" s="315" cm="1">
        <f t="array" ref="AA5">AVERAGE(_xlfn._xlws.FILTER(PTS!AF:AF, (PTS!$E:$E="WTX") * ISNUMBER(PTS!AF:AF)))</f>
        <v>430.68181818181853</v>
      </c>
      <c r="AB5" s="315" cm="1">
        <f t="array" ref="AB5">AVERAGE(_xlfn._xlws.FILTER(PTS!AG:AG, (PTS!$E:$E="WTX") * ISNUMBER(PTS!AG:AG)))</f>
        <v>28.814300000000003</v>
      </c>
      <c r="AC5" s="315" cm="1">
        <f t="array" ref="AC5">AVERAGE(_xlfn._xlws.FILTER(PTS!AH:AH, (PTS!$E:$E="WTX") * ISNUMBER(PTS!AH:AH)))</f>
        <v>6.9731404958677681</v>
      </c>
      <c r="AD5" s="315" cm="1">
        <f t="array" ref="AD5">AVERAGE(_xlfn._xlws.FILTER(PTS!AI:AI, (PTS!$E:$E="WTX") * ISNUMBER(PTS!AI:AI)))</f>
        <v>12.587317427197686</v>
      </c>
      <c r="AE5" s="315" cm="1">
        <f t="array" ref="AE5">AVERAGE(_xlfn._xlws.FILTER(PTS!AJ:AJ, (PTS!$E:$E="WTX") * ISNUMBER(PTS!AJ:AJ)))</f>
        <v>6.7352000000000052</v>
      </c>
      <c r="AF5" s="315"/>
      <c r="AG5" s="315" cm="1">
        <f t="array" ref="AG5">AVERAGE(_xlfn._xlws.FILTER(PTS!AL:AL, (PTS!$E:$E="WTX") * ISNUMBER(PTS!AL:AL)))</f>
        <v>55.109957923065402</v>
      </c>
      <c r="AH5" s="315" cm="1">
        <f t="array" ref="AH5">AVERAGE(_xlfn._xlws.FILTER(PTS!AM:AM, (PTS!$E:$E="WTX") * ISNUMBER(PTS!AM:AM)))</f>
        <v>79.999999999999986</v>
      </c>
      <c r="AI5" s="315" cm="1">
        <f t="array" ref="AI5">AVERAGE(_xlfn._xlws.FILTER(PTS!AN:AN, (PTS!$E:$E="WTX") * ISNUMBER(PTS!AN:AN)))</f>
        <v>26.178082191780806</v>
      </c>
      <c r="AJ5" s="315" cm="1">
        <f t="array" ref="AJ5">AVERAGE(_xlfn._xlws.FILTER(PTS!AO:AO, (PTS!$E:$E="WTX") * ISNUMBER(PTS!AO:AO)))</f>
        <v>0</v>
      </c>
      <c r="AK5" s="315"/>
      <c r="AL5" s="315"/>
      <c r="AM5" s="315" cm="1">
        <f t="array" ref="AM5">AVERAGE(_xlfn._xlws.FILTER(PTS!AR:AR, (PTS!$E:$E="WTX") * ISNUMBER(PTS!AR:AR)))</f>
        <v>106.1780821917809</v>
      </c>
      <c r="AN5" s="315"/>
      <c r="AO5" s="315"/>
      <c r="AP5" s="315"/>
      <c r="AQ5" s="430">
        <f>M5+R5+W5+AA5+AG5+AM5</f>
        <v>1222.4707559284445</v>
      </c>
      <c r="AR5" s="428">
        <f>L5+R5+W5+AA5+AG5+AM5</f>
        <v>1433.6931104257994</v>
      </c>
    </row>
    <row r="6" spans="2:44">
      <c r="B6" s="318" t="s">
        <v>2067</v>
      </c>
      <c r="C6" s="175"/>
      <c r="D6" s="362" cm="1">
        <f t="array" ref="D6">AVERAGE(_xlfn._xlws.FILTER(PTS!I:I, (PTS!$E:$E="WTXH") * ISNUMBER(PTS!I:I)))</f>
        <v>93.845283018867931</v>
      </c>
      <c r="E6" s="362" cm="1">
        <f t="array" ref="E6">AVERAGE(_xlfn._xlws.FILTER(PTS!J:J, (PTS!$E:$E="WTXH") * ISNUMBER(PTS!J:J)))</f>
        <v>120.41509433962264</v>
      </c>
      <c r="F6" s="362" cm="1">
        <f t="array" ref="F6">AVERAGE(_xlfn._xlws.FILTER(PTS!K:K, (PTS!$E:$E="WTXH") * ISNUMBER(PTS!K:K)))</f>
        <v>206.95849056603771</v>
      </c>
      <c r="G6" s="362" cm="1">
        <f t="array" ref="G6">AVERAGE(_xlfn._xlws.FILTER(PTS!L:L, (PTS!$E:$E="WTXH") * ISNUMBER(PTS!L:L)))</f>
        <v>0</v>
      </c>
      <c r="H6" s="362" cm="1">
        <f t="array" ref="H6">AVERAGE(_xlfn._xlws.FILTER(PTS!M:M, (PTS!$E:$E="WTXH") * ISNUMBER(PTS!M:M)))</f>
        <v>4.867924528301887</v>
      </c>
      <c r="I6" s="362" cm="1">
        <f t="array" ref="I6">AVERAGE(_xlfn._xlws.FILTER(PTS!N:N, (PTS!$E:$E="WTXH") * ISNUMBER(PTS!N:N)))</f>
        <v>53.622641509433961</v>
      </c>
      <c r="J6" s="362" cm="1">
        <f t="array" ref="J6">AVERAGE(_xlfn._xlws.FILTER(PTS!O:O, (PTS!$E:$E="WTXH") * ISNUMBER(PTS!O:O)))</f>
        <v>37.916666666666693</v>
      </c>
      <c r="K6" s="362" cm="1">
        <f t="array" ref="K6">AVERAGE(_xlfn._xlws.FILTER(PTS!P:P, (PTS!$E:$E="WTXH") * ISNUMBER(PTS!P:P)))</f>
        <v>0</v>
      </c>
      <c r="L6" s="362" cm="1">
        <f t="array" ref="L6">AVERAGE(_xlfn._xlws.FILTER(PTS!Q:Q, (PTS!$E:$E="WTXH") * ISNUMBER(PTS!Q:Q)))</f>
        <v>517.62610062893123</v>
      </c>
      <c r="M6" s="362" cm="1">
        <f t="array" ref="M6">AVERAGE(_xlfn._xlws.FILTER(PTS!R:R, (PTS!$E:$E="WTXH") * ISNUMBER(PTS!R:R)))</f>
        <v>308.68205128205102</v>
      </c>
      <c r="N6" s="362" cm="1">
        <f t="array" ref="N6">AVERAGE(_xlfn._xlws.FILTER(PTS!S:S, (PTS!$E:$E="WTXH") * ISNUMBER(PTS!S:S)))</f>
        <v>4.5283018867924527</v>
      </c>
      <c r="O6" s="362" cm="1">
        <f t="array" ref="O6">AVERAGE(_xlfn._xlws.FILTER(PTS!T:T, (PTS!$E:$E="WTXH") * ISNUMBER(PTS!T:T)))</f>
        <v>1.1320754716981132</v>
      </c>
      <c r="P6" s="362" cm="1">
        <f t="array" ref="P6">AVERAGE(_xlfn._xlws.FILTER(PTS!U:U, (PTS!$E:$E="WTXH") * ISNUMBER(PTS!U:U)))</f>
        <v>288.7232620320857</v>
      </c>
      <c r="Q6" s="362"/>
      <c r="R6" s="362" cm="1">
        <f t="array" ref="R6">AVERAGE(_xlfn._xlws.FILTER(PTS!W:W, (PTS!$E:$E="WTXH") * ISNUMBER(PTS!W:W)))</f>
        <v>294.60561497326216</v>
      </c>
      <c r="S6" s="362" cm="1">
        <f t="array" ref="S6">AVERAGE(_xlfn._xlws.FILTER(PTS!X:X, (PTS!$E:$E="WTXH") * ISNUMBER(PTS!X:X)))</f>
        <v>54</v>
      </c>
      <c r="T6" s="362" cm="1">
        <f t="array" ref="T6">AVERAGE(_xlfn._xlws.FILTER(PTS!Y:Y, (PTS!$E:$E="WTXH") * ISNUMBER(PTS!Y:Y)))</f>
        <v>50.400000000000048</v>
      </c>
      <c r="U6" s="362" cm="1">
        <f t="array" ref="U6">AVERAGE(_xlfn._xlws.FILTER(PTS!Z:Z, (PTS!$E:$E="WTXH") * ISNUMBER(PTS!Z:Z)))</f>
        <v>26.25</v>
      </c>
      <c r="V6" s="362"/>
      <c r="W6" s="362" cm="1">
        <f t="array" ref="W6">AVERAGE(_xlfn._xlws.FILTER(PTS!AB:AB, (PTS!$E:$E="WTXH") * ISNUMBER(PTS!AB:AB)))</f>
        <v>130.64999999999989</v>
      </c>
      <c r="X6" s="362" cm="1">
        <f t="array" ref="X6">AVERAGE(_xlfn._xlws.FILTER(PTS!AC:AC, (PTS!$E:$E="STEX") * ISNUMBER(PTS!AC:AC)))</f>
        <v>133.97335423197495</v>
      </c>
      <c r="Y6" s="362" cm="1">
        <f t="array" ref="Y6">AVERAGE(_xlfn._xlws.FILTER(PTS!AD:AD, (PTS!$E:$E="WTXH") * ISNUMBER(PTS!AD:AD)))</f>
        <v>197.95454545454541</v>
      </c>
      <c r="Z6" s="362"/>
      <c r="AA6" s="362" cm="1">
        <f t="array" ref="AA6">AVERAGE(_xlfn._xlws.FILTER(PTS!AF:AF, (PTS!$E:$E="WTXH") * ISNUMBER(PTS!AF:AF)))</f>
        <v>330.90909090909059</v>
      </c>
      <c r="AB6" s="362" cm="1">
        <f t="array" ref="AB6">AVERAGE(_xlfn._xlws.FILTER(PTS!AG:AG, (PTS!$E:$E="WTXH") * ISNUMBER(PTS!AG:AG)))</f>
        <v>28.814300000000003</v>
      </c>
      <c r="AC6" s="362" cm="1">
        <f t="array" ref="AC6">AVERAGE(_xlfn._xlws.FILTER(PTS!AH:AH, (PTS!$E:$E="WTXH") * ISNUMBER(PTS!AH:AH)))</f>
        <v>6.9731404958677681</v>
      </c>
      <c r="AD6" s="362" cm="1">
        <f t="array" ref="AD6">AVERAGE(_xlfn._xlws.FILTER(PTS!AI:AI, (PTS!$E:$E="WTXH") * ISNUMBER(PTS!AI:AI)))</f>
        <v>12.587317427197684</v>
      </c>
      <c r="AE6" s="362" cm="1">
        <f t="array" ref="AE6">AVERAGE(_xlfn._xlws.FILTER(PTS!AJ:AJ, (PTS!$E:$E="WTXH") * ISNUMBER(PTS!AJ:AJ)))</f>
        <v>6.7352000000000043</v>
      </c>
      <c r="AF6" s="362"/>
      <c r="AG6" s="362" cm="1">
        <f t="array" ref="AG6">AVERAGE(_xlfn._xlws.FILTER(PTS!AL:AL, (PTS!$E:$E="WTXH") * ISNUMBER(PTS!AL:AL)))</f>
        <v>55.109957923065402</v>
      </c>
      <c r="AH6" s="362" cm="1">
        <f t="array" ref="AH6">AVERAGE(_xlfn._xlws.FILTER(PTS!AM:AM, (PTS!$E:$E="WTXH") * ISNUMBER(PTS!AM:AM)))</f>
        <v>79.999999999999986</v>
      </c>
      <c r="AI6" s="362" cm="1">
        <f t="array" ref="AI6">AVERAGE(_xlfn._xlws.FILTER(PTS!AN:AN, (PTS!$E:$E="WTXH") * ISNUMBER(PTS!AN:AN)))</f>
        <v>26.178082191780813</v>
      </c>
      <c r="AJ6" s="362" cm="1">
        <f t="array" ref="AJ6">AVERAGE(_xlfn._xlws.FILTER(PTS!AO:AO, (PTS!$E:$E="WTXH") * ISNUMBER(PTS!AO:AO)))</f>
        <v>0</v>
      </c>
      <c r="AK6" s="362"/>
      <c r="AL6" s="362"/>
      <c r="AM6" s="362" cm="1">
        <f t="array" ref="AM6">AVERAGE(_xlfn._xlws.FILTER(PTS!AR:AR, (PTS!$E:$E="WTXH") * ISNUMBER(PTS!AR:AR)))</f>
        <v>106.17808219178089</v>
      </c>
      <c r="AN6" s="362"/>
      <c r="AO6" s="362"/>
      <c r="AP6" s="362"/>
      <c r="AQ6" s="431">
        <f t="shared" ref="AQ6:AQ13" si="0">M6+R6+W6+AA6+AG6+AM6</f>
        <v>1226.1347972792501</v>
      </c>
      <c r="AR6" s="429">
        <f t="shared" ref="AR6:AR13" si="1">L6+R6+W6+AA6+AG6+AM6</f>
        <v>1435.0788466261301</v>
      </c>
    </row>
    <row r="7" spans="2:44">
      <c r="B7" s="318" t="s">
        <v>2068</v>
      </c>
      <c r="C7" s="175"/>
      <c r="D7" s="362" cm="1">
        <f t="array" ref="D7">AVERAGE(_xlfn._xlws.FILTER(PTS!I:I, (PTS!$E:$E="STEX") * ISNUMBER(PTS!I:I)))</f>
        <v>94.034482758620683</v>
      </c>
      <c r="E7" s="362" cm="1">
        <f t="array" ref="E7">AVERAGE(_xlfn._xlws.FILTER(PTS!J:J, (PTS!$E:$E="STEX") * ISNUMBER(PTS!J:J)))</f>
        <v>203.10344827586206</v>
      </c>
      <c r="F7" s="362" cm="1">
        <f t="array" ref="F7">AVERAGE(_xlfn._xlws.FILTER(PTS!K:K, (PTS!$E:$E="STEX") * ISNUMBER(PTS!K:K)))</f>
        <v>136.9655172413793</v>
      </c>
      <c r="G7" s="362" cm="1">
        <f t="array" ref="G7">AVERAGE(_xlfn._xlws.FILTER(PTS!L:L, (PTS!$E:$E="STEX") * ISNUMBER(PTS!L:L)))</f>
        <v>2.0689655172413794</v>
      </c>
      <c r="H7" s="362" cm="1">
        <f t="array" ref="H7">AVERAGE(_xlfn._xlws.FILTER(PTS!M:M, (PTS!$E:$E="STEX") * ISNUMBER(PTS!M:M)))</f>
        <v>7.1034482758620694</v>
      </c>
      <c r="I7" s="362" cm="1">
        <f t="array" ref="I7">AVERAGE(_xlfn._xlws.FILTER(PTS!N:N, (PTS!$E:$E="STEX") * ISNUMBER(PTS!N:N)))</f>
        <v>76.58620689655173</v>
      </c>
      <c r="J7" s="362" cm="1">
        <f t="array" ref="J7">AVERAGE(_xlfn._xlws.FILTER(PTS!O:O, (PTS!$E:$E="STEX") * ISNUMBER(PTS!O:O)))</f>
        <v>37.916666666666657</v>
      </c>
      <c r="K7" s="362" cm="1">
        <f t="array" ref="K7">AVERAGE(_xlfn._xlws.FILTER(PTS!P:P, (PTS!$E:$E="STEX") * ISNUMBER(PTS!P:P)))</f>
        <v>0</v>
      </c>
      <c r="L7" s="362" cm="1">
        <f t="array" ref="L7">AVERAGE(_xlfn._xlws.FILTER(PTS!Q:Q, (PTS!$E:$E="STEX") * ISNUMBER(PTS!Q:Q)))</f>
        <v>557.77873563218373</v>
      </c>
      <c r="M7" s="362" cm="1">
        <f t="array" ref="M7">AVERAGE(_xlfn._xlws.FILTER(PTS!R:R, (PTS!$E:$E="STEX") * ISNUMBER(PTS!R:R)))</f>
        <v>452.33045977011483</v>
      </c>
      <c r="N7" s="362" cm="1">
        <f t="array" ref="N7">AVERAGE(_xlfn._xlws.FILTER(PTS!S:S, (PTS!$E:$E="STEX") * ISNUMBER(PTS!S:S)))</f>
        <v>4.8275862068965516</v>
      </c>
      <c r="O7" s="362" cm="1">
        <f t="array" ref="O7">AVERAGE(_xlfn._xlws.FILTER(PTS!T:T, (PTS!$E:$E="STEX") * ISNUMBER(PTS!T:T)))</f>
        <v>0</v>
      </c>
      <c r="P7" s="362" cm="1">
        <f t="array" ref="P7">AVERAGE(_xlfn._xlws.FILTER(PTS!U:U, (PTS!$E:$E="STEX") * ISNUMBER(PTS!U:U)))</f>
        <v>200.75757575757575</v>
      </c>
      <c r="Q7" s="362"/>
      <c r="R7" s="362" cm="1">
        <f t="array" ref="R7">AVERAGE(_xlfn._xlws.FILTER(PTS!W:W, (PTS!$E:$E="STEX") * ISNUMBER(PTS!W:W)))</f>
        <v>205.94276094276094</v>
      </c>
      <c r="S7" s="362" cm="1">
        <f t="array" ref="S7">AVERAGE(_xlfn._xlws.FILTER(PTS!X:X, (PTS!$E:$E="STEX") * ISNUMBER(PTS!X:X)))</f>
        <v>54</v>
      </c>
      <c r="T7" s="362" cm="1">
        <f t="array" ref="T7">AVERAGE(_xlfn._xlws.FILTER(PTS!Y:Y, (PTS!$E:$E="STEX") * ISNUMBER(PTS!Y:Y)))</f>
        <v>50.400000000000013</v>
      </c>
      <c r="U7" s="362" cm="1">
        <f t="array" ref="U7">AVERAGE(_xlfn._xlws.FILTER(PTS!Z:Z, (PTS!$E:$E="STEX") * ISNUMBER(PTS!Z:Z)))</f>
        <v>26.25</v>
      </c>
      <c r="V7" s="362"/>
      <c r="W7" s="362" cm="1">
        <f t="array" ref="W7">AVERAGE(_xlfn._xlws.FILTER(PTS!AB:AB, (PTS!$E:$E="STEX") * ISNUMBER(PTS!AB:AB)))</f>
        <v>130.65000000000006</v>
      </c>
      <c r="X7" s="362" cm="1">
        <f t="array" ref="X7">AVERAGE(_xlfn._xlws.FILTER(PTS!AC:AC, (PTS!$E:$E="STEX") * ISNUMBER(PTS!AC:AC)))</f>
        <v>133.97335423197495</v>
      </c>
      <c r="Y7" s="362" cm="1">
        <f t="array" ref="Y7">AVERAGE(_xlfn._xlws.FILTER(PTS!AD:AD, (PTS!$E:$E="STEX") * ISNUMBER(PTS!AD:AD)))</f>
        <v>200.37617554858926</v>
      </c>
      <c r="Z7" s="362"/>
      <c r="AA7" s="362" cm="1">
        <f t="array" ref="AA7">AVERAGE(_xlfn._xlws.FILTER(PTS!AF:AF, (PTS!$E:$E="STEX") * ISNUMBER(PTS!AF:AF)))</f>
        <v>334.34952978056413</v>
      </c>
      <c r="AB7" s="362" cm="1">
        <f t="array" ref="AB7">AVERAGE(_xlfn._xlws.FILTER(PTS!AG:AG, (PTS!$E:$E="STEX") * ISNUMBER(PTS!AG:AG)))</f>
        <v>28.814300000000003</v>
      </c>
      <c r="AC7" s="362" cm="1">
        <f t="array" ref="AC7">AVERAGE(_xlfn._xlws.FILTER(PTS!AH:AH, (PTS!$E:$E="STEX") * ISNUMBER(PTS!AH:AH)))</f>
        <v>6.9731404958677681</v>
      </c>
      <c r="AD7" s="362" cm="1">
        <f t="array" ref="AD7">AVERAGE(_xlfn._xlws.FILTER(PTS!AI:AI, (PTS!$E:$E="STEX") * ISNUMBER(PTS!AI:AI)))</f>
        <v>12.587317427197677</v>
      </c>
      <c r="AE7" s="362" cm="1">
        <f t="array" ref="AE7">AVERAGE(_xlfn._xlws.FILTER(PTS!AJ:AJ, (PTS!$E:$E="STEX") * ISNUMBER(PTS!AJ:AJ)))</f>
        <v>6.7351999999999999</v>
      </c>
      <c r="AF7" s="362"/>
      <c r="AG7" s="362" cm="1">
        <f t="array" ref="AG7">AVERAGE(_xlfn._xlws.FILTER(PTS!AL:AL, (PTS!$E:$E="STEX") * ISNUMBER(PTS!AL:AL)))</f>
        <v>55.109957923065409</v>
      </c>
      <c r="AH7" s="362" cm="1">
        <f t="array" ref="AH7">AVERAGE(_xlfn._xlws.FILTER(PTS!AM:AM, (PTS!$E:$E="STEX") * ISNUMBER(PTS!AM:AM)))</f>
        <v>79.999999999999986</v>
      </c>
      <c r="AI7" s="362" cm="1">
        <f t="array" ref="AI7">AVERAGE(_xlfn._xlws.FILTER(PTS!AN:AN, (PTS!$E:$E="STEX") * ISNUMBER(PTS!AN:AN)))</f>
        <v>26.178082191780838</v>
      </c>
      <c r="AJ7" s="362" cm="1">
        <f t="array" ref="AJ7">AVERAGE(_xlfn._xlws.FILTER(PTS!AO:AO, (PTS!$E:$E="STEX") * ISNUMBER(PTS!AO:AO)))</f>
        <v>0</v>
      </c>
      <c r="AK7" s="362"/>
      <c r="AL7" s="362"/>
      <c r="AM7" s="362" cm="1">
        <f t="array" ref="AM7">AVERAGE(_xlfn._xlws.FILTER(PTS!AR:AR, (PTS!$E:$E="STEX") * ISNUMBER(PTS!AR:AR)))</f>
        <v>106.17808219178083</v>
      </c>
      <c r="AN7" s="362"/>
      <c r="AO7" s="362"/>
      <c r="AP7" s="362"/>
      <c r="AQ7" s="431">
        <f t="shared" si="0"/>
        <v>1284.5607906082862</v>
      </c>
      <c r="AR7" s="429">
        <f t="shared" si="1"/>
        <v>1390.009066470355</v>
      </c>
    </row>
    <row r="8" spans="2:44">
      <c r="B8" s="318" t="s">
        <v>1628</v>
      </c>
      <c r="C8" s="175"/>
      <c r="D8" s="362" cm="1">
        <f t="array" ref="D8">AVERAGE(_xlfn._xlws.FILTER(PTS!I:I, (PTS!$E:$E="Memphis Rule 5") * ISNUMBER(PTS!I:I)))</f>
        <v>45.986666666666665</v>
      </c>
      <c r="E8" s="362" cm="1">
        <f t="array" ref="E8">AVERAGE(_xlfn._xlws.FILTER(PTS!J:J, (PTS!$E:$E="Memphis Rule 5") * ISNUMBER(PTS!J:J)))</f>
        <v>224.21333333333334</v>
      </c>
      <c r="F8" s="362" cm="1">
        <f t="array" ref="F8">AVERAGE(_xlfn._xlws.FILTER(PTS!K:K, (PTS!$E:$E="Memphis Rule 5") * ISNUMBER(PTS!K:K)))</f>
        <v>77.626666666666665</v>
      </c>
      <c r="G8" s="362" cm="1">
        <f t="array" ref="G8">AVERAGE(_xlfn._xlws.FILTER(PTS!L:L, (PTS!$E:$E="Memphis Rule 5") * ISNUMBER(PTS!L:L)))</f>
        <v>36.6</v>
      </c>
      <c r="H8" s="362" cm="1">
        <f t="array" ref="H8">AVERAGE(_xlfn._xlws.FILTER(PTS!M:M, (PTS!$E:$E="Memphis Rule 5") * ISNUMBER(PTS!M:M)))</f>
        <v>3.8933333333333335</v>
      </c>
      <c r="I8" s="362" cm="1">
        <f t="array" ref="I8">AVERAGE(_xlfn._xlws.FILTER(PTS!N:N, (PTS!$E:$E="Memphis Rule 5") * ISNUMBER(PTS!N:N)))</f>
        <v>68.733333333333334</v>
      </c>
      <c r="J8" s="362" cm="1">
        <f t="array" ref="J8">AVERAGE(_xlfn._xlws.FILTER(PTS!O:O, (PTS!$E:$E="Memphis Rule 5") * ISNUMBER(PTS!O:O)))</f>
        <v>37.91666666666665</v>
      </c>
      <c r="K8" s="362" cm="1">
        <f t="array" ref="K8">AVERAGE(_xlfn._xlws.FILTER(PTS!P:P, (PTS!$E:$E="Memphis Rule 5") * ISNUMBER(PTS!P:P)))</f>
        <v>0</v>
      </c>
      <c r="L8" s="362" cm="1">
        <f t="array" ref="L8">AVERAGE(_xlfn._xlws.FILTER(PTS!Q:Q, (PTS!$E:$E="Memphis Rule 5") * ISNUMBER(PTS!Q:Q)))</f>
        <v>494.97000000000008</v>
      </c>
      <c r="M8" s="362" cm="1">
        <f t="array" ref="M8">AVERAGE(_xlfn._xlws.FILTER(PTS!R:R, (PTS!$E:$E="Memphis Rule 5") * ISNUMBER(PTS!R:R)))</f>
        <v>106.65000000000011</v>
      </c>
      <c r="N8" s="362" cm="1">
        <f t="array" ref="N8">AVERAGE(_xlfn._xlws.FILTER(PTS!S:S, (PTS!$E:$E="Memphis Rule 5") * ISNUMBER(PTS!S:S)))</f>
        <v>0.26666666666666666</v>
      </c>
      <c r="O8" s="362" cm="1">
        <f t="array" ref="O8">AVERAGE(_xlfn._xlws.FILTER(PTS!T:T, (PTS!$E:$E="Memphis Rule 5") * ISNUMBER(PTS!T:T)))</f>
        <v>0.73333333333333328</v>
      </c>
      <c r="P8" s="362" cm="1">
        <f t="array" ref="P8">AVERAGE(_xlfn._xlws.FILTER(PTS!U:U, (PTS!$E:$E="Memphis Rule 5") * ISNUMBER(PTS!U:U)))</f>
        <v>211.56872727272739</v>
      </c>
      <c r="Q8" s="362"/>
      <c r="R8" s="362" cm="1">
        <f t="array" ref="R8">AVERAGE(_xlfn._xlws.FILTER(PTS!W:W, (PTS!$E:$E="Memphis Rule 5") * ISNUMBER(PTS!W:W)))</f>
        <v>212.56872727272739</v>
      </c>
      <c r="S8" s="362" cm="1">
        <f t="array" ref="S8">AVERAGE(_xlfn._xlws.FILTER(PTS!X:X, (PTS!$E:$E="Memphis Rule 5") * ISNUMBER(PTS!X:X)))</f>
        <v>50.48</v>
      </c>
      <c r="T8" s="362" cm="1">
        <f t="array" ref="T8">AVERAGE(_xlfn._xlws.FILTER(PTS!Y:Y, (PTS!$E:$E="Memphis Rule 5") * ISNUMBER(PTS!Y:Y)))</f>
        <v>35.615999999999964</v>
      </c>
      <c r="U8" s="362" cm="1">
        <f t="array" ref="U8">AVERAGE(_xlfn._xlws.FILTER(PTS!Z:Z, (PTS!$E:$E="Memphis Rule 5") * ISNUMBER(PTS!Z:Z)))</f>
        <v>26.25</v>
      </c>
      <c r="V8" s="362"/>
      <c r="W8" s="362" cm="1">
        <f t="array" ref="W8">AVERAGE(_xlfn._xlws.FILTER(PTS!AB:AB, (PTS!$E:$E="Memphis Rule 5") * ISNUMBER(PTS!AB:AB)))</f>
        <v>112.3460000000001</v>
      </c>
      <c r="X8" s="362" cm="1">
        <f t="array" ref="X8">AVERAGE(_xlfn._xlws.FILTER(PTS!AC:AC, (PTS!$E:$E="Memphis Rule 5") * ISNUMBER(PTS!AC:AC)))</f>
        <v>144.45454545454547</v>
      </c>
      <c r="Y8" s="362" cm="1">
        <f t="array" ref="Y8">AVERAGE(_xlfn._xlws.FILTER(PTS!AD:AD, (PTS!$G:$G="Memphis") * ISNUMBER(PTS!AD:AD)))</f>
        <v>182.72727272727258</v>
      </c>
      <c r="Z8" s="362"/>
      <c r="AA8" s="362" cm="1">
        <f t="array" ref="AA8">AVERAGE(_xlfn._xlws.FILTER(PTS!AF:AF, (PTS!$G:$G="Memphis") * ISNUMBER(PTS!AF:AF)))</f>
        <v>328.75</v>
      </c>
      <c r="AB8" s="362" cm="1">
        <f t="array" ref="AB8">AVERAGE(_xlfn._xlws.FILTER(PTS!AG:AG, (PTS!$E:$E="Memphis Rule 5") * ISNUMBER(PTS!AG:AG)))</f>
        <v>28.814300000000003</v>
      </c>
      <c r="AC8" s="362" cm="1">
        <f t="array" ref="AC8">AVERAGE(_xlfn._xlws.FILTER(PTS!AH:AH, (PTS!$E:$E="Memphis Rule 5") * ISNUMBER(PTS!AH:AH)))</f>
        <v>6.9731404958677699</v>
      </c>
      <c r="AD8" s="362" cm="1">
        <f t="array" ref="AD8">AVERAGE(_xlfn._xlws.FILTER(PTS!AI:AI, (PTS!$E:$E="Memphis Rule 5") * ISNUMBER(PTS!AI:AI)))</f>
        <v>12.587317427197693</v>
      </c>
      <c r="AE8" s="362" cm="1">
        <f t="array" ref="AE8">AVERAGE(_xlfn._xlws.FILTER(PTS!AJ:AJ, (PTS!$E:$E="Memphis Rule 5") * ISNUMBER(PTS!AJ:AJ)))</f>
        <v>6.7352000000000087</v>
      </c>
      <c r="AF8" s="362"/>
      <c r="AG8" s="362" cm="1">
        <f t="array" ref="AG8">AVERAGE(_xlfn._xlws.FILTER(PTS!AL:AL, (PTS!$E:$E="Memphis Rule 5") * ISNUMBER(PTS!AL:AL)))</f>
        <v>55.109957923065402</v>
      </c>
      <c r="AH8" s="362" cm="1">
        <f t="array" ref="AH8">AVERAGE(_xlfn._xlws.FILTER(PTS!AM:AM, (PTS!$E:$E="Memphis Rule 5") * ISNUMBER(PTS!AM:AM)))</f>
        <v>79.999999999999986</v>
      </c>
      <c r="AI8" s="362" cm="1">
        <f t="array" ref="AI8">AVERAGE(_xlfn._xlws.FILTER(PTS!AN:AN, (PTS!$E:$E="Memphis Rule 5") * ISNUMBER(PTS!AN:AN)))</f>
        <v>26.178082191780788</v>
      </c>
      <c r="AJ8" s="362" cm="1">
        <f t="array" ref="AJ8">AVERAGE(_xlfn._xlws.FILTER(PTS!AO:AO, (PTS!$E:$E="Memphis Rule 5") * ISNUMBER(PTS!AO:AO)))</f>
        <v>0</v>
      </c>
      <c r="AK8" s="362"/>
      <c r="AL8" s="362"/>
      <c r="AM8" s="362" cm="1">
        <f t="array" ref="AM8">AVERAGE(_xlfn._xlws.FILTER(PTS!AR:AR, (PTS!$E:$E="Memphis Rule 5") * ISNUMBER(PTS!AR:AR)))</f>
        <v>106.17808219178092</v>
      </c>
      <c r="AN8" s="362"/>
      <c r="AO8" s="362"/>
      <c r="AP8" s="362"/>
      <c r="AQ8" s="431">
        <f t="shared" si="0"/>
        <v>921.60276738757398</v>
      </c>
      <c r="AR8" s="429">
        <f t="shared" si="1"/>
        <v>1309.9227673875739</v>
      </c>
    </row>
    <row r="9" spans="2:44">
      <c r="B9" s="318" t="s">
        <v>2069</v>
      </c>
      <c r="C9" s="175"/>
      <c r="D9" s="362" cm="1">
        <f t="array" ref="D9">AVERAGE(_xlfn._xlws.FILTER(PTS!I:I, (PTS!$E:$E="Memphis Rule 5") * ISNUMBER(PTS!I:I)))</f>
        <v>45.986666666666665</v>
      </c>
      <c r="E9" s="362" cm="1">
        <f t="array" ref="E9">AVERAGE(_xlfn._xlws.FILTER(PTS!J:J, (PTS!$E:$E="GA 30 Day") * ISNUMBER(PTS!J:J)))</f>
        <v>88.478260869565219</v>
      </c>
      <c r="F9" s="362" cm="1">
        <f t="array" ref="F9">AVERAGE(_xlfn._xlws.FILTER(PTS!K:K, (PTS!$E:$E="GA 30 Day") * ISNUMBER(PTS!K:K)))</f>
        <v>18.840579710144926</v>
      </c>
      <c r="G9" s="362" cm="1">
        <f t="array" ref="G9">AVERAGE(_xlfn._xlws.FILTER(PTS!L:L, (PTS!$E:$E="GA 30 Day") * ISNUMBER(PTS!L:L)))</f>
        <v>1.7681159420289856</v>
      </c>
      <c r="H9" s="362" cm="1">
        <f t="array" ref="H9">AVERAGE(_xlfn._xlws.FILTER(PTS!M:M, (PTS!$E:$E="GA 30 Day") * ISNUMBER(PTS!M:M)))</f>
        <v>12.782608695652174</v>
      </c>
      <c r="I9" s="362" cm="1">
        <f t="array" ref="I9">AVERAGE(_xlfn._xlws.FILTER(PTS!N:N, (PTS!$E:$E="GA 30 Day") * ISNUMBER(PTS!N:N)))</f>
        <v>57.318840579710148</v>
      </c>
      <c r="J9" s="362" cm="1">
        <f t="array" ref="J9">AVERAGE(_xlfn._xlws.FILTER(PTS!O:O, (PTS!$E:$E="GA 30 Day") * ISNUMBER(PTS!O:O)))</f>
        <v>37.916666666666657</v>
      </c>
      <c r="K9" s="362" cm="1">
        <f t="array" ref="K9">AVERAGE(_xlfn._xlws.FILTER(PTS!P:P, (PTS!$E:$E="GA 30 Day") * ISNUMBER(PTS!P:P)))</f>
        <v>0</v>
      </c>
      <c r="L9" s="362" cm="1">
        <f t="array" ref="L9">AVERAGE(_xlfn._xlws.FILTER(PTS!Q:Q, (PTS!$E:$E="GA 30 Day") * ISNUMBER(PTS!Q:Q)))</f>
        <v>276.61231884057969</v>
      </c>
      <c r="M9" s="362" cm="1">
        <f t="array" ref="M9">AVERAGE(_xlfn._xlws.FILTER(PTS!R:R, (PTS!$E:$E="GA 30 Day") * ISNUMBER(PTS!R:R)))</f>
        <v>41.307971014492743</v>
      </c>
      <c r="N9" s="362" cm="1">
        <f t="array" ref="N9">AVERAGE(_xlfn._xlws.FILTER(PTS!S:S, (PTS!$E:$E="GA 30 Day") * ISNUMBER(PTS!S:S)))</f>
        <v>0</v>
      </c>
      <c r="O9" s="362" cm="1">
        <f t="array" ref="O9">AVERAGE(_xlfn._xlws.FILTER(PTS!T:T, (PTS!$E:$E="GA 30 Day") * ISNUMBER(PTS!T:T)))</f>
        <v>0.82345191040843202</v>
      </c>
      <c r="P9" s="362" cm="1">
        <f t="array" ref="P9">AVERAGE(_xlfn._xlws.FILTER(PTS!U:U, (PTS!$E:$E="GA 30 Day") * ISNUMBER(PTS!U:U)))</f>
        <v>203.95335060160437</v>
      </c>
      <c r="Q9" s="362"/>
      <c r="R9" s="362" cm="1">
        <f t="array" ref="R9">AVERAGE(_xlfn._xlws.FILTER(PTS!W:W, (PTS!$E:$E="GA 30 Day") * ISNUMBER(PTS!W:W)))</f>
        <v>204.78891209893055</v>
      </c>
      <c r="S9" s="362" cm="1">
        <f t="array" ref="S9">AVERAGE(_xlfn._xlws.FILTER(PTS!X:X, (PTS!$E:$E="GA 30 Day") * ISNUMBER(PTS!X:X)))</f>
        <v>52</v>
      </c>
      <c r="T9" s="362" cm="1">
        <f t="array" ref="T9">AVERAGE(_xlfn._xlws.FILTER(PTS!Y:Y, (PTS!$E:$E="GA 30 Day") * ISNUMBER(PTS!Y:Y)))</f>
        <v>50.400000000000055</v>
      </c>
      <c r="U9" s="362" cm="1">
        <f t="array" ref="U9">AVERAGE(_xlfn._xlws.FILTER(PTS!Z:Z, (PTS!$E:$E="GA 30 Day") * ISNUMBER(PTS!Z:Z)))</f>
        <v>26.25</v>
      </c>
      <c r="V9" s="362"/>
      <c r="W9" s="362" cm="1">
        <f t="array" ref="W9">AVERAGE(_xlfn._xlws.FILTER(PTS!AB:AB, (PTS!$E:$E="GA 30 Day") * ISNUMBER(PTS!AB:AB)))</f>
        <v>128.64999999999984</v>
      </c>
      <c r="X9" s="362" cm="1">
        <f t="array" ref="X9">AVERAGE(_xlfn._xlws.FILTER(PTS!AC:AC, (PTS!$E:$E="GA 30 Day") * ISNUMBER(PTS!AC:AC)))</f>
        <v>110.22727272727279</v>
      </c>
      <c r="Y9" s="362" cm="1">
        <f t="array" ref="Y9">AVERAGE(_xlfn._xlws.FILTER(PTS!AD:AD, (PTS!$E:$E="GA 30 Day") * ISNUMBER(PTS!AD:AD)))</f>
        <v>107.0454545454547</v>
      </c>
      <c r="Z9" s="362"/>
      <c r="AA9" s="362" cm="1">
        <f t="array" ref="AA9">AVERAGE(_xlfn._xlws.FILTER(PTS!AF:AF, (PTS!$E:$E="GA 30 Day") * ISNUMBER(PTS!AF:AF)))</f>
        <v>217.27272727272754</v>
      </c>
      <c r="AB9" s="362" cm="1">
        <f t="array" ref="AB9">AVERAGE(_xlfn._xlws.FILTER(PTS!AG:AG, (PTS!$E:$E="GA 30 Day") * ISNUMBER(PTS!AG:AG)))</f>
        <v>28.814300000000003</v>
      </c>
      <c r="AC9" s="362" cm="1">
        <f t="array" ref="AC9">AVERAGE(_xlfn._xlws.FILTER(PTS!AH:AH, (PTS!$E:$E="GA 30 Day") * ISNUMBER(PTS!AH:AH)))</f>
        <v>6.9731404958677681</v>
      </c>
      <c r="AD9" s="362" cm="1">
        <f t="array" ref="AD9">AVERAGE(_xlfn._xlws.FILTER(PTS!AI:AI, (PTS!$E:$E="GA 30 Day") * ISNUMBER(PTS!AI:AI)))</f>
        <v>12.587317427197691</v>
      </c>
      <c r="AE9" s="362" cm="1">
        <f t="array" ref="AE9">AVERAGE(_xlfn._xlws.FILTER(PTS!AJ:AJ, (PTS!$E:$E="GA 30 Day") * ISNUMBER(PTS!AJ:AJ)))</f>
        <v>6.7352000000000078</v>
      </c>
      <c r="AF9" s="362"/>
      <c r="AG9" s="362" cm="1">
        <f t="array" ref="AG9">AVERAGE(_xlfn._xlws.FILTER(PTS!AL:AL, (PTS!$E:$E="GA 30 Day") * ISNUMBER(PTS!AL:AL)))</f>
        <v>55.109957923065402</v>
      </c>
      <c r="AH9" s="362" cm="1">
        <f t="array" ref="AH9">AVERAGE(_xlfn._xlws.FILTER(PTS!AM:AM, (PTS!$E:$E="GA 30 Day") * ISNUMBER(PTS!AM:AM)))</f>
        <v>79.999999999999986</v>
      </c>
      <c r="AI9" s="362" cm="1">
        <f t="array" ref="AI9">AVERAGE(_xlfn._xlws.FILTER(PTS!AN:AN, (PTS!$E:$E="GA 30 Day") * ISNUMBER(PTS!AN:AN)))</f>
        <v>26.178082191780796</v>
      </c>
      <c r="AJ9" s="362" cm="1">
        <f t="array" ref="AJ9">AVERAGE(_xlfn._xlws.FILTER(PTS!AO:AO, (PTS!$E:$E="GA 30 Day") * ISNUMBER(PTS!AO:AO)))</f>
        <v>0</v>
      </c>
      <c r="AK9" s="362"/>
      <c r="AL9" s="362"/>
      <c r="AM9" s="362" cm="1">
        <f t="array" ref="AM9">AVERAGE(_xlfn._xlws.FILTER(PTS!AR:AR, (PTS!$E:$E="GA 30 Day") * ISNUMBER(PTS!AR:AR)))</f>
        <v>106.1780821917809</v>
      </c>
      <c r="AN9" s="362"/>
      <c r="AO9" s="362"/>
      <c r="AP9" s="362"/>
      <c r="AQ9" s="431">
        <f>M9+R9+W9+AA9+AG9+AM9</f>
        <v>753.30765050099694</v>
      </c>
      <c r="AR9" s="429">
        <f t="shared" si="1"/>
        <v>988.61199832708394</v>
      </c>
    </row>
    <row r="10" spans="2:44">
      <c r="B10" s="318" t="s">
        <v>1622</v>
      </c>
      <c r="C10" s="175"/>
      <c r="D10" s="362" cm="1">
        <f t="array" ref="D10">AVERAGE(_xlfn._xlws.FILTER(PTS!I:I, (PTS!$E:$E="Eastern Rule 5") * ISNUMBER(PTS!I:I)))</f>
        <v>66.135802469135797</v>
      </c>
      <c r="E10" s="362" cm="1">
        <f t="array" ref="E10">AVERAGE(_xlfn._xlws.FILTER(PTS!J:J, (PTS!$E:$E="Eastern Rule 5") * ISNUMBER(PTS!J:J)))</f>
        <v>92.407407407407405</v>
      </c>
      <c r="F10" s="362" cm="1">
        <f t="array" ref="F10">AVERAGE(_xlfn._xlws.FILTER(PTS!K:K, (PTS!$E:$E="Eastern Rule 5") * ISNUMBER(PTS!K:K)))</f>
        <v>20.617283950617285</v>
      </c>
      <c r="G10" s="362" cm="1">
        <f t="array" ref="G10">AVERAGE(_xlfn._xlws.FILTER(PTS!L:L, (PTS!$E:$E="Eastern Rule 5") * ISNUMBER(PTS!L:L)))</f>
        <v>2.5308641975308643</v>
      </c>
      <c r="H10" s="362" cm="1">
        <f t="array" ref="H10">AVERAGE(_xlfn._xlws.FILTER(PTS!M:M, (PTS!$E:$E="Eastern Rule 5") * ISNUMBER(PTS!M:M)))</f>
        <v>9.6172839506172831</v>
      </c>
      <c r="I10" s="362" cm="1">
        <f t="array" ref="I10">AVERAGE(_xlfn._xlws.FILTER(PTS!N:N, (PTS!$E:$E="Eastern Rule 5") * ISNUMBER(PTS!N:N)))</f>
        <v>48.120987654320984</v>
      </c>
      <c r="J10" s="362" cm="1">
        <f t="array" ref="J10">AVERAGE(_xlfn._xlws.FILTER(PTS!O:O, (PTS!$E:$E="Eastern Rule 5") * ISNUMBER(PTS!O:O)))</f>
        <v>37.916666666666636</v>
      </c>
      <c r="K10" s="362" cm="1">
        <f t="array" ref="K10">AVERAGE(_xlfn._xlws.FILTER(PTS!P:P, (PTS!$E:$E="Eastern Rule 5") * ISNUMBER(PTS!P:P)))</f>
        <v>0</v>
      </c>
      <c r="L10" s="362" cm="1">
        <f t="array" ref="L10">AVERAGE(_xlfn._xlws.FILTER(PTS!Q:Q, (PTS!$E:$E="Eastern Rule 5") * ISNUMBER(PTS!Q:Q)))</f>
        <v>277.34629629629637</v>
      </c>
      <c r="M10" s="362" cm="1">
        <f t="array" ref="M10">AVERAGE(_xlfn._xlws.FILTER(PTS!R:R, (PTS!$E:$E="Eastern Rule 5") * ISNUMBER(PTS!R:R)))</f>
        <v>86.037654320987741</v>
      </c>
      <c r="N10" s="362" cm="1">
        <f t="array" ref="N10">AVERAGE(_xlfn._xlws.FILTER(PTS!S:S, (PTS!$E:$E="Eastern Rule 5") * ISNUMBER(PTS!S:S)))</f>
        <v>0</v>
      </c>
      <c r="O10" s="362" cm="1">
        <f t="array" ref="O10">AVERAGE(_xlfn._xlws.FILTER(PTS!T:T, (PTS!$E:$E="Eastern Rule 5") * ISNUMBER(PTS!T:T)))</f>
        <v>0</v>
      </c>
      <c r="P10" s="362" cm="1">
        <f t="array" ref="P10">AVERAGE(_xlfn._xlws.FILTER(PTS!U:U, (PTS!$E:$E="Eastern Rule 5") * ISNUMBER(PTS!U:U)))</f>
        <v>271.21305379746838</v>
      </c>
      <c r="Q10" s="362"/>
      <c r="R10" s="362" cm="1">
        <f t="array" ref="R10">AVERAGE(_xlfn._xlws.FILTER(PTS!W:W, (PTS!$G:$G="Savannah") * ISNUMBER(PTS!W:W)))</f>
        <v>241.12585840418566</v>
      </c>
      <c r="S10" s="362" cm="1">
        <f t="array" ref="S10">AVERAGE(_xlfn._xlws.FILTER(PTS!X:X, (PTS!$E:$E="Eastern Rule 5") * ISNUMBER(PTS!X:X)))</f>
        <v>51.802469135802468</v>
      </c>
      <c r="T10" s="362" cm="1">
        <f t="array" ref="T10">AVERAGE(_xlfn._xlws.FILTER(PTS!Y:Y, (PTS!$G:$G="Savannah") * ISNUMBER(PTS!Y:Y)))</f>
        <v>50.399999999999878</v>
      </c>
      <c r="U10" s="362" cm="1">
        <f t="array" ref="U10">AVERAGE(_xlfn._xlws.FILTER(PTS!Z:Z, (PTS!$E:$E="Eastern Rule 5") * ISNUMBER(PTS!Z:Z)))</f>
        <v>26.25</v>
      </c>
      <c r="V10" s="362"/>
      <c r="W10" s="362" cm="1">
        <f t="array" ref="W10">AVERAGE(_xlfn._xlws.FILTER(PTS!AB:AB, (PTS!$E:$E="Eastern Rule 5") * ISNUMBER(PTS!AB:AB)))</f>
        <v>126.79320987654306</v>
      </c>
      <c r="X10" s="362" cm="1">
        <f t="array" ref="X10">AVERAGE(_xlfn._xlws.FILTER(PTS!AC:AC, (PTS!$E:$E="Eastern Rule 5") * ISNUMBER(PTS!AC:AC)))</f>
        <v>113.76262626262623</v>
      </c>
      <c r="Y10" s="362" cm="1">
        <f t="array" ref="Y10">AVERAGE(_xlfn._xlws.FILTER(PTS!AD:AD, (PTS!$E:$E="Eastern Rule 5") * ISNUMBER(PTS!AD:AD)))</f>
        <v>114.52020202020212</v>
      </c>
      <c r="Z10" s="362"/>
      <c r="AA10" s="362" cm="1">
        <f t="array" ref="AA10">AVERAGE(_xlfn._xlws.FILTER(PTS!AF:AF, (PTS!$E:$E="Eastern Rule 5") * ISNUMBER(PTS!AF:AF)))</f>
        <v>228.2828282828286</v>
      </c>
      <c r="AB10" s="362" cm="1">
        <f t="array" ref="AB10">AVERAGE(_xlfn._xlws.FILTER(PTS!AG:AG, (PTS!$E:$E="Eastern Rule 5") * ISNUMBER(PTS!AG:AG)))</f>
        <v>28.814300000000003</v>
      </c>
      <c r="AC10" s="362" cm="1">
        <f t="array" ref="AC10">AVERAGE(_xlfn._xlws.FILTER(PTS!AH:AH, (PTS!$E:$E="Eastern Rule 5") * ISNUMBER(PTS!AH:AH)))</f>
        <v>6.9731404958677734</v>
      </c>
      <c r="AD10" s="362" cm="1">
        <f t="array" ref="AD10">AVERAGE(_xlfn._xlws.FILTER(PTS!AI:AI, (PTS!$E:$E="Eastern Rule 5") * ISNUMBER(PTS!AI:AI)))</f>
        <v>12.587317427197695</v>
      </c>
      <c r="AE10" s="362" cm="1">
        <f t="array" ref="AE10">AVERAGE(_xlfn._xlws.FILTER(PTS!AJ:AJ, (PTS!$E:$E="Eastern Rule 5") * ISNUMBER(PTS!AJ:AJ)))</f>
        <v>6.735200000000007</v>
      </c>
      <c r="AF10" s="362"/>
      <c r="AG10" s="362" cm="1">
        <f t="array" ref="AG10">AVERAGE(_xlfn._xlws.FILTER(PTS!AL:AL, (PTS!$E:$E="Eastern Rule 5") * ISNUMBER(PTS!AL:AL)))</f>
        <v>55.109957923065437</v>
      </c>
      <c r="AH10" s="362" cm="1">
        <f t="array" ref="AH10">AVERAGE(_xlfn._xlws.FILTER(PTS!AM:AM, (PTS!$E:$E="Eastern Rule 5") * ISNUMBER(PTS!AM:AM)))</f>
        <v>79.999999999999986</v>
      </c>
      <c r="AI10" s="362" cm="1">
        <f t="array" ref="AI10">AVERAGE(_xlfn._xlws.FILTER(PTS!AN:AN, (PTS!$E:$E="Eastern Rule 5") * ISNUMBER(PTS!AN:AN)))</f>
        <v>26.178082191780792</v>
      </c>
      <c r="AJ10" s="362" cm="1">
        <f t="array" ref="AJ10">AVERAGE(_xlfn._xlws.FILTER(PTS!AO:AO, (PTS!$E:$E="Eastern Rule 5") * ISNUMBER(PTS!AO:AO)))</f>
        <v>0</v>
      </c>
      <c r="AK10" s="362"/>
      <c r="AL10" s="362"/>
      <c r="AM10" s="362" cm="1">
        <f t="array" ref="AM10">AVERAGE(_xlfn._xlws.FILTER(PTS!AR:AR, (PTS!$E:$E="Eastern Rule 5") * ISNUMBER(PTS!AR:AR)))</f>
        <v>106.17808219178087</v>
      </c>
      <c r="AN10" s="362"/>
      <c r="AO10" s="362"/>
      <c r="AP10" s="362"/>
      <c r="AQ10" s="431">
        <f>M10+R10+W10+AA10+AG10+AM10</f>
        <v>843.52759099939135</v>
      </c>
      <c r="AR10" s="429">
        <f t="shared" si="1"/>
        <v>1034.8362329747001</v>
      </c>
    </row>
    <row r="11" spans="2:44">
      <c r="B11" s="318" t="s">
        <v>2070</v>
      </c>
      <c r="C11" s="175"/>
      <c r="D11" s="362" cm="1">
        <f t="array" ref="D11">AVERAGE(_xlfn._xlws.FILTER(PTS!I:I, (PTS!$E:$E="WTX") * ISNUMBER(PTS!I:I)))</f>
        <v>93.277192982456143</v>
      </c>
      <c r="E11" s="362" cm="1">
        <f t="array" ref="E11">AVERAGE(_xlfn._xlws.FILTER(PTS!J:J, (PTS!$E:$E="WTX") * ISNUMBER(PTS!J:J)))</f>
        <v>124.68421052631579</v>
      </c>
      <c r="F11" s="362" cm="1">
        <f t="array" ref="F11">AVERAGE(_xlfn._xlws.FILTER(PTS!K:K, (PTS!$E:$E="WTX") * ISNUMBER(PTS!K:K)))</f>
        <v>203.04912280701754</v>
      </c>
      <c r="G11" s="362" cm="1">
        <f t="array" ref="G11">AVERAGE(_xlfn._xlws.FILTER(PTS!L:L, (PTS!$E:$E="WTX") * ISNUMBER(PTS!L:L)))</f>
        <v>0</v>
      </c>
      <c r="H11" s="362" cm="1">
        <f t="array" ref="H11">AVERAGE(_xlfn._xlws.FILTER(PTS!M:M, (PTS!$E:$E="WTX") * ISNUMBER(PTS!M:M)))</f>
        <v>4.5263157894736841</v>
      </c>
      <c r="I11" s="362" cm="1">
        <f t="array" ref="I11">AVERAGE(_xlfn._xlws.FILTER(PTS!N:N, (PTS!$E:$E="WTX") * ISNUMBER(PTS!N:N)))</f>
        <v>54.473684210526315</v>
      </c>
      <c r="J11" s="362" cm="1">
        <f t="array" ref="J11">AVERAGE(_xlfn._xlws.FILTER(PTS!O:O, (PTS!$E:$E="WTX") * ISNUMBER(PTS!O:O)))</f>
        <v>37.916666666666693</v>
      </c>
      <c r="K11" s="362" cm="1">
        <f t="array" ref="K11">AVERAGE(_xlfn._xlws.FILTER(PTS!P:P, (PTS!$E:$E="WTX") * ISNUMBER(PTS!P:P)))</f>
        <v>0</v>
      </c>
      <c r="L11" s="362" cm="1">
        <f t="array" ref="L11">AVERAGE(_xlfn._xlws.FILTER(PTS!Q:Q, (PTS!$E:$E="WTX") * ISNUMBER(PTS!Q:Q)))</f>
        <v>518.74259259259293</v>
      </c>
      <c r="M11" s="362" cm="1">
        <f t="array" ref="M11">AVERAGE(_xlfn._xlws.FILTER(PTS!R:R, (PTS!$E:$E="WTX") * ISNUMBER(PTS!R:R)))</f>
        <v>307.52023809523791</v>
      </c>
      <c r="N11" s="362" cm="1">
        <f t="array" ref="N11">AVERAGE(_xlfn._xlws.FILTER(PTS!S:S, (PTS!$E:$E="WTX") * ISNUMBER(PTS!S:S)))</f>
        <v>4.9122807017543861</v>
      </c>
      <c r="O11" s="362" cm="1">
        <f t="array" ref="O11">AVERAGE(_xlfn._xlws.FILTER(PTS!T:T, (PTS!$E:$E="WTX") * ISNUMBER(PTS!T:T)))</f>
        <v>1.1403508771929824</v>
      </c>
      <c r="P11" s="362" cm="1">
        <f t="array" ref="P11">AVERAGE(_xlfn._xlws.FILTER(PTS!U:U, (PTS!$E:$E="WTX") * ISNUMBER(PTS!U:U)))</f>
        <v>186.05614973262027</v>
      </c>
      <c r="Q11" s="362"/>
      <c r="R11" s="362" cm="1">
        <f t="array" ref="R11">AVERAGE(_xlfn._xlws.FILTER(PTS!W:W, (PTS!$E:$E="WTX") * ISNUMBER(PTS!W:W)))</f>
        <v>192.33065953654184</v>
      </c>
      <c r="S11" s="362" cm="1">
        <f t="array" ref="S11">AVERAGE(_xlfn._xlws.FILTER(PTS!X:X, (PTS!$E:$E="WTX") * ISNUMBER(PTS!X:X)))</f>
        <v>54</v>
      </c>
      <c r="T11" s="362" cm="1">
        <f t="array" ref="T11">AVERAGE(_xlfn._xlws.FILTER(PTS!Y:Y, (PTS!$E:$E="WTX") * ISNUMBER(PTS!Y:Y)))</f>
        <v>50.400000000000048</v>
      </c>
      <c r="U11" s="362" cm="1">
        <f t="array" ref="U11">AVERAGE(_xlfn._xlws.FILTER(PTS!Z:Z, (PTS!$E:$E="WTX") * ISNUMBER(PTS!Z:Z)))</f>
        <v>26.25</v>
      </c>
      <c r="V11" s="362"/>
      <c r="W11" s="362" cm="1">
        <f t="array" ref="W11">AVERAGE(_xlfn._xlws.FILTER(PTS!AB:AB, (PTS!$E:$E="WTX") * ISNUMBER(PTS!AB:AB)))</f>
        <v>130.64999999999989</v>
      </c>
      <c r="X11" s="362" cm="1">
        <f t="array" ref="X11">AVERAGE(_xlfn._xlws.FILTER(PTS!AC:AC, (PTS!$E:$E="WTX") * ISNUMBER(PTS!AC:AC)))</f>
        <v>162.5</v>
      </c>
      <c r="Y11" s="362" cm="1">
        <f t="array" ref="Y11">AVERAGE(_xlfn._xlws.FILTER(PTS!AD:AD, (PTS!$E:$E="WTX") * ISNUMBER(PTS!AD:AD)))</f>
        <v>268.18181818181807</v>
      </c>
      <c r="Z11" s="362"/>
      <c r="AA11" s="362" cm="1">
        <f t="array" ref="AA11">AVERAGE(_xlfn._xlws.FILTER(PTS!AF:AF, (PTS!$E:$E="WTX") * ISNUMBER(PTS!AF:AF)))</f>
        <v>430.68181818181853</v>
      </c>
      <c r="AB11" s="362" cm="1">
        <f t="array" ref="AB11">AVERAGE(_xlfn._xlws.FILTER(PTS!AG:AG, (PTS!$E:$E="WTX") * ISNUMBER(PTS!AG:AG)))</f>
        <v>28.814300000000003</v>
      </c>
      <c r="AC11" s="362" cm="1">
        <f t="array" ref="AC11">AVERAGE(_xlfn._xlws.FILTER(PTS!AH:AH, (PTS!$E:$E="WTX") * ISNUMBER(PTS!AH:AH)))</f>
        <v>6.9731404958677681</v>
      </c>
      <c r="AD11" s="362" cm="1">
        <f t="array" ref="AD11">AVERAGE(_xlfn._xlws.FILTER(PTS!AI:AI, (PTS!$E:$E="WTX") * ISNUMBER(PTS!AI:AI)))</f>
        <v>12.587317427197686</v>
      </c>
      <c r="AE11" s="362" cm="1">
        <f t="array" ref="AE11">AVERAGE(_xlfn._xlws.FILTER(PTS!AJ:AJ, (PTS!$E:$E="WTX") * ISNUMBER(PTS!AJ:AJ)))</f>
        <v>6.7352000000000052</v>
      </c>
      <c r="AF11" s="362"/>
      <c r="AG11" s="362" cm="1">
        <f t="array" ref="AG11">AVERAGE(_xlfn._xlws.FILTER(PTS!AL:AL, (PTS!$E:$E="WTX") * ISNUMBER(PTS!AL:AL)))</f>
        <v>55.109957923065402</v>
      </c>
      <c r="AH11" s="362" cm="1">
        <f t="array" ref="AH11">AVERAGE(_xlfn._xlws.FILTER(PTS!AM:AM, (PTS!$E:$E="WTX") * ISNUMBER(PTS!AM:AM)))</f>
        <v>79.999999999999986</v>
      </c>
      <c r="AI11" s="362" cm="1">
        <f t="array" ref="AI11">AVERAGE(_xlfn._xlws.FILTER(PTS!AN:AN, (PTS!$E:$E="WTX") * ISNUMBER(PTS!AN:AN)))</f>
        <v>26.178082191780806</v>
      </c>
      <c r="AJ11" s="362" cm="1">
        <f t="array" ref="AJ11">AVERAGE(_xlfn._xlws.FILTER(PTS!AO:AO, (PTS!$E:$E="WTX") * ISNUMBER(PTS!AO:AO)))</f>
        <v>0</v>
      </c>
      <c r="AK11" s="362"/>
      <c r="AL11" s="362"/>
      <c r="AM11" s="362" cm="1">
        <f t="array" ref="AM11">AVERAGE(_xlfn._xlws.FILTER(PTS!AR:AR, (PTS!$E:$E="WTX") * ISNUMBER(PTS!AR:AR)))</f>
        <v>106.1780821917809</v>
      </c>
      <c r="AN11" s="362"/>
      <c r="AO11" s="362"/>
      <c r="AP11" s="362"/>
      <c r="AQ11" s="431">
        <f t="shared" si="0"/>
        <v>1222.4707559284445</v>
      </c>
      <c r="AR11" s="429">
        <f t="shared" si="1"/>
        <v>1433.6931104257994</v>
      </c>
    </row>
    <row r="12" spans="2:44">
      <c r="B12" s="318" t="s">
        <v>2071</v>
      </c>
      <c r="C12" s="175"/>
      <c r="D12" s="362" cm="1">
        <f t="array" ref="D12">AVERAGE(_xlfn._xlws.FILTER(PTS!I:I, (PTS!$E:$E="STEX") * ISNUMBER(PTS!I:I)))</f>
        <v>94.034482758620683</v>
      </c>
      <c r="E12" s="362" cm="1">
        <f t="array" ref="E12">AVERAGE(_xlfn._xlws.FILTER(PTS!J:J, (PTS!$E:$E="STEX") * ISNUMBER(PTS!J:J)))</f>
        <v>203.10344827586206</v>
      </c>
      <c r="F12" s="362" cm="1">
        <f t="array" ref="F12">AVERAGE(_xlfn._xlws.FILTER(PTS!K:K, (PTS!$E:$E="STEX") * ISNUMBER(PTS!K:K)))</f>
        <v>136.9655172413793</v>
      </c>
      <c r="G12" s="362" cm="1">
        <f t="array" ref="G12">AVERAGE(_xlfn._xlws.FILTER(PTS!L:L, (PTS!$E:$E="STEX") * ISNUMBER(PTS!L:L)))</f>
        <v>2.0689655172413794</v>
      </c>
      <c r="H12" s="362" cm="1">
        <f t="array" ref="H12">AVERAGE(_xlfn._xlws.FILTER(PTS!M:M, (PTS!$E:$E="STEX") * ISNUMBER(PTS!M:M)))</f>
        <v>7.1034482758620694</v>
      </c>
      <c r="I12" s="362" cm="1">
        <f t="array" ref="I12">AVERAGE(_xlfn._xlws.FILTER(PTS!N:N, (PTS!$E:$E="STEX") * ISNUMBER(PTS!N:N)))</f>
        <v>76.58620689655173</v>
      </c>
      <c r="J12" s="362" cm="1">
        <f t="array" ref="J12">AVERAGE(_xlfn._xlws.FILTER(PTS!O:O, (PTS!$E:$E="STEX") * ISNUMBER(PTS!O:O)))</f>
        <v>37.916666666666657</v>
      </c>
      <c r="K12" s="362" cm="1">
        <f t="array" ref="K12">AVERAGE(_xlfn._xlws.FILTER(PTS!P:P, (PTS!$E:$E="STEX") * ISNUMBER(PTS!P:P)))</f>
        <v>0</v>
      </c>
      <c r="L12" s="362" cm="1">
        <f t="array" ref="L12">AVERAGE(_xlfn._xlws.FILTER(PTS!Q:Q, (PTS!$E:$E="STEX") * ISNUMBER(PTS!Q:Q)))</f>
        <v>557.77873563218373</v>
      </c>
      <c r="M12" s="362" cm="1">
        <f t="array" ref="M12">AVERAGE(_xlfn._xlws.FILTER(PTS!R:R, (PTS!$E:$E="STEX") * ISNUMBER(PTS!R:R)))</f>
        <v>452.33045977011483</v>
      </c>
      <c r="N12" s="362" cm="1">
        <f t="array" ref="N12">AVERAGE(_xlfn._xlws.FILTER(PTS!S:S, (PTS!$E:$E="STEX") * ISNUMBER(PTS!S:S)))</f>
        <v>4.8275862068965516</v>
      </c>
      <c r="O12" s="362" cm="1">
        <f t="array" ref="O12">AVERAGE(_xlfn._xlws.FILTER(PTS!T:T, (PTS!$E:$E="STEX") * ISNUMBER(PTS!T:T)))</f>
        <v>0</v>
      </c>
      <c r="P12" s="362" cm="1">
        <f t="array" ref="P12">AVERAGE(_xlfn._xlws.FILTER(PTS!U:U, (PTS!$E:$E="STEX") * ISNUMBER(PTS!U:U)))</f>
        <v>200.75757575757575</v>
      </c>
      <c r="Q12" s="362"/>
      <c r="R12" s="362" cm="1">
        <f t="array" ref="R12">AVERAGE(_xlfn._xlws.FILTER(PTS!W:W, (PTS!$E:$E="STEX") * ISNUMBER(PTS!W:W)))</f>
        <v>205.94276094276094</v>
      </c>
      <c r="S12" s="362" cm="1">
        <f t="array" ref="S12">AVERAGE(_xlfn._xlws.FILTER(PTS!X:X, (PTS!$E:$E="STEX") * ISNUMBER(PTS!X:X)))</f>
        <v>54</v>
      </c>
      <c r="T12" s="362" cm="1">
        <f t="array" ref="T12">AVERAGE(_xlfn._xlws.FILTER(PTS!Y:Y, (PTS!$E:$E="STEX") * ISNUMBER(PTS!Y:Y)))</f>
        <v>50.400000000000013</v>
      </c>
      <c r="U12" s="362" cm="1">
        <f t="array" ref="U12">AVERAGE(_xlfn._xlws.FILTER(PTS!Z:Z, (PTS!$E:$E="STEX") * ISNUMBER(PTS!Z:Z)))</f>
        <v>26.25</v>
      </c>
      <c r="V12" s="362"/>
      <c r="W12" s="362" cm="1">
        <f t="array" ref="W12">AVERAGE(_xlfn._xlws.FILTER(PTS!AB:AB, (PTS!$E:$E="STEX") * ISNUMBER(PTS!AB:AB)))</f>
        <v>130.65000000000006</v>
      </c>
      <c r="X12" s="362" cm="1">
        <f t="array" ref="X12">AVERAGE(_xlfn._xlws.FILTER(PTS!AC:AC, (PTS!$E:$E="STEX") * ISNUMBER(PTS!AC:AC)))</f>
        <v>133.97335423197495</v>
      </c>
      <c r="Y12" s="362" cm="1">
        <f t="array" ref="Y12">AVERAGE(_xlfn._xlws.FILTER(PTS!AD:AD, (PTS!$E:$E="STEX") * ISNUMBER(PTS!AD:AD)))</f>
        <v>200.37617554858926</v>
      </c>
      <c r="Z12" s="362"/>
      <c r="AA12" s="362" cm="1">
        <f t="array" ref="AA12">AVERAGE(_xlfn._xlws.FILTER(PTS!AF:AF, (PTS!$E:$E="STEX") * ISNUMBER(PTS!AF:AF)))</f>
        <v>334.34952978056413</v>
      </c>
      <c r="AB12" s="362" cm="1">
        <f t="array" ref="AB12">AVERAGE(_xlfn._xlws.FILTER(PTS!AG:AG, (PTS!$E:$E="STEX") * ISNUMBER(PTS!AG:AG)))</f>
        <v>28.814300000000003</v>
      </c>
      <c r="AC12" s="362" cm="1">
        <f t="array" ref="AC12">AVERAGE(_xlfn._xlws.FILTER(PTS!AH:AH, (PTS!$E:$E="STEX") * ISNUMBER(PTS!AH:AH)))</f>
        <v>6.9731404958677681</v>
      </c>
      <c r="AD12" s="362" cm="1">
        <f t="array" ref="AD12">AVERAGE(_xlfn._xlws.FILTER(PTS!AI:AI, (PTS!$E:$E="STEX") * ISNUMBER(PTS!AI:AI)))</f>
        <v>12.587317427197677</v>
      </c>
      <c r="AE12" s="362" cm="1">
        <f t="array" ref="AE12">AVERAGE(_xlfn._xlws.FILTER(PTS!AJ:AJ, (PTS!$E:$E="STEX") * ISNUMBER(PTS!AJ:AJ)))</f>
        <v>6.7351999999999999</v>
      </c>
      <c r="AF12" s="362"/>
      <c r="AG12" s="362" cm="1">
        <f t="array" ref="AG12">AVERAGE(_xlfn._xlws.FILTER(PTS!AL:AL, (PTS!$E:$E="STEX") * ISNUMBER(PTS!AL:AL)))</f>
        <v>55.109957923065409</v>
      </c>
      <c r="AH12" s="362" cm="1">
        <f t="array" ref="AH12">AVERAGE(_xlfn._xlws.FILTER(PTS!AM:AM, (PTS!$E:$E="STEX") * ISNUMBER(PTS!AM:AM)))</f>
        <v>79.999999999999986</v>
      </c>
      <c r="AI12" s="362" cm="1">
        <f t="array" ref="AI12">AVERAGE(_xlfn._xlws.FILTER(PTS!AN:AN, (PTS!$E:$E="STEX") * ISNUMBER(PTS!AN:AN)))</f>
        <v>26.178082191780838</v>
      </c>
      <c r="AJ12" s="362" cm="1">
        <f t="array" ref="AJ12">AVERAGE(_xlfn._xlws.FILTER(PTS!AO:AO, (PTS!$E:$E="STEX") * ISNUMBER(PTS!AO:AO)))</f>
        <v>0</v>
      </c>
      <c r="AK12" s="362"/>
      <c r="AL12" s="362"/>
      <c r="AM12" s="362" cm="1">
        <f t="array" ref="AM12">AVERAGE(_xlfn._xlws.FILTER(PTS!AR:AR, (PTS!$E:$E="STEX") * ISNUMBER(PTS!AR:AR)))</f>
        <v>106.17808219178083</v>
      </c>
      <c r="AN12" s="362"/>
      <c r="AO12" s="362"/>
      <c r="AP12" s="362"/>
      <c r="AQ12" s="431">
        <f t="shared" si="0"/>
        <v>1284.5607906082862</v>
      </c>
      <c r="AR12" s="429">
        <f t="shared" si="1"/>
        <v>1390.009066470355</v>
      </c>
    </row>
    <row r="13" spans="2:44">
      <c r="B13" s="318" t="s">
        <v>2072</v>
      </c>
      <c r="C13" s="175"/>
      <c r="D13" s="362" cm="1">
        <f t="array" ref="D13">AVERAGE(_xlfn._xlws.FILTER(PTS!I:I, (PTS!$E:$E="STEX") * ISNUMBER(PTS!I:I)))</f>
        <v>94.034482758620683</v>
      </c>
      <c r="E13" s="362" cm="1">
        <f t="array" ref="E13">AVERAGE(_xlfn._xlws.FILTER(PTS!J:J, (PTS!$E:$E="Memphis Rule 5") * ISNUMBER(PTS!J:J)))</f>
        <v>224.21333333333334</v>
      </c>
      <c r="F13" s="362" cm="1">
        <f t="array" ref="F13">AVERAGE(_xlfn._xlws.FILTER(PTS!K:K, (PTS!$E:$E="Memphis Rule 5") * ISNUMBER(PTS!K:K)))</f>
        <v>77.626666666666665</v>
      </c>
      <c r="G13" s="362" cm="1">
        <f t="array" ref="G13">AVERAGE(_xlfn._xlws.FILTER(PTS!L:L, (PTS!$E:$E="Memphis Rule 5") * ISNUMBER(PTS!L:L)))</f>
        <v>36.6</v>
      </c>
      <c r="H13" s="362" cm="1">
        <f t="array" ref="H13">AVERAGE(_xlfn._xlws.FILTER(PTS!M:M, (PTS!$E:$E="Memphis Rule 5") * ISNUMBER(PTS!M:M)))</f>
        <v>3.8933333333333335</v>
      </c>
      <c r="I13" s="362" cm="1">
        <f t="array" ref="I13">AVERAGE(_xlfn._xlws.FILTER(PTS!N:N, (PTS!$E:$E="Memphis Rule 5") * ISNUMBER(PTS!N:N)))</f>
        <v>68.733333333333334</v>
      </c>
      <c r="J13" s="362" cm="1">
        <f t="array" ref="J13">AVERAGE(_xlfn._xlws.FILTER(PTS!O:O, (PTS!$E:$E="Memphis Rule 5") * ISNUMBER(PTS!O:O)))</f>
        <v>37.91666666666665</v>
      </c>
      <c r="K13" s="362" cm="1">
        <f t="array" ref="K13">AVERAGE(_xlfn._xlws.FILTER(PTS!P:P, (PTS!$E:$E="Memphis Rule 5") * ISNUMBER(PTS!P:P)))</f>
        <v>0</v>
      </c>
      <c r="L13" s="362" cm="1">
        <f t="array" ref="L13">AVERAGE(_xlfn._xlws.FILTER(PTS!Q:Q, (PTS!$E:$E="Memphis Rule 5") * ISNUMBER(PTS!Q:Q)))</f>
        <v>494.97000000000008</v>
      </c>
      <c r="M13" s="362" cm="1">
        <f t="array" ref="M13">AVERAGE(_xlfn._xlws.FILTER(PTS!R:R, (PTS!$E:$E="Memphis Rule 5") * ISNUMBER(PTS!R:R)))</f>
        <v>106.65000000000011</v>
      </c>
      <c r="N13" s="362" cm="1">
        <f t="array" ref="N13">AVERAGE(_xlfn._xlws.FILTER(PTS!S:S, (PTS!$E:$E="Memphis Rule 5") * ISNUMBER(PTS!S:S)))</f>
        <v>0.26666666666666666</v>
      </c>
      <c r="O13" s="362" cm="1">
        <f t="array" ref="O13">AVERAGE(_xlfn._xlws.FILTER(PTS!T:T, (PTS!$E:$E="Memphis Rule 5") * ISNUMBER(PTS!T:T)))</f>
        <v>0.73333333333333328</v>
      </c>
      <c r="P13" s="362" cm="1">
        <f t="array" ref="P13">AVERAGE(_xlfn._xlws.FILTER(PTS!U:U, (PTS!$E:$E="Memphis Rule 5") * ISNUMBER(PTS!U:U)))</f>
        <v>211.56872727272739</v>
      </c>
      <c r="Q13" s="362"/>
      <c r="R13" s="362" cm="1">
        <f t="array" ref="R13">AVERAGE(_xlfn._xlws.FILTER(PTS!W:W, (PTS!$E:$E="Memphis Rule 5") * ISNUMBER(PTS!W:W)))</f>
        <v>212.56872727272739</v>
      </c>
      <c r="S13" s="362" cm="1">
        <f t="array" ref="S13">AVERAGE(_xlfn._xlws.FILTER(PTS!X:X, (PTS!$E:$E="Memphis Rule 5") * ISNUMBER(PTS!X:X)))</f>
        <v>50.48</v>
      </c>
      <c r="T13" s="362" cm="1">
        <f t="array" ref="T13">AVERAGE(_xlfn._xlws.FILTER(PTS!Y:Y, (PTS!$E:$E="Memphis Rule 5") * ISNUMBER(PTS!Y:Y)))</f>
        <v>35.615999999999964</v>
      </c>
      <c r="U13" s="362" cm="1">
        <f t="array" ref="U13">AVERAGE(_xlfn._xlws.FILTER(PTS!Z:Z, (PTS!$E:$E="Memphis Rule 5") * ISNUMBER(PTS!Z:Z)))</f>
        <v>26.25</v>
      </c>
      <c r="V13" s="362"/>
      <c r="W13" s="362" cm="1">
        <f t="array" ref="W13">AVERAGE(_xlfn._xlws.FILTER(PTS!AB:AB, (PTS!$E:$E="Memphis Rule 5") * ISNUMBER(PTS!AB:AB)))</f>
        <v>112.3460000000001</v>
      </c>
      <c r="X13" s="362" cm="1">
        <f t="array" ref="X13">AVERAGE(_xlfn._xlws.FILTER(PTS!AC:AC, (PTS!$E:$E="Memphis Rule 5") * ISNUMBER(PTS!AC:AC)))</f>
        <v>144.45454545454547</v>
      </c>
      <c r="Y13" s="362" cm="1">
        <f t="array" ref="Y13">AVERAGE(_xlfn._xlws.FILTER(PTS!AD:AD, (PTS!$E:$E="Memphis Rule 5") * ISNUMBER(PTS!AD:AD)))</f>
        <v>184.55454545454538</v>
      </c>
      <c r="Z13" s="362"/>
      <c r="AA13" s="362" cm="1">
        <f t="array" ref="AA13">AVERAGE(_xlfn._xlws.FILTER(PTS!AF:AF, (PTS!$E:$E="Memphis Rule 5") * ISNUMBER(PTS!AF:AF)))</f>
        <v>329.00909090909096</v>
      </c>
      <c r="AB13" s="362" cm="1">
        <f t="array" ref="AB13">AVERAGE(_xlfn._xlws.FILTER(PTS!AG:AG, (PTS!$E:$E="Memphis Rule 5") * ISNUMBER(PTS!AG:AG)))</f>
        <v>28.814300000000003</v>
      </c>
      <c r="AC13" s="362" cm="1">
        <f t="array" ref="AC13">AVERAGE(_xlfn._xlws.FILTER(PTS!AH:AH, (PTS!$E:$E="Memphis Rule 5") * ISNUMBER(PTS!AH:AH)))</f>
        <v>6.9731404958677699</v>
      </c>
      <c r="AD13" s="362" cm="1">
        <f t="array" ref="AD13">AVERAGE(_xlfn._xlws.FILTER(PTS!AI:AI, (PTS!$E:$E="Memphis Rule 5") * ISNUMBER(PTS!AI:AI)))</f>
        <v>12.587317427197693</v>
      </c>
      <c r="AE13" s="362" cm="1">
        <f t="array" ref="AE13">AVERAGE(_xlfn._xlws.FILTER(PTS!AJ:AJ, (PTS!$E:$E="Memphis Rule 5") * ISNUMBER(PTS!AJ:AJ)))</f>
        <v>6.7352000000000087</v>
      </c>
      <c r="AF13" s="362"/>
      <c r="AG13" s="362" cm="1">
        <f t="array" ref="AG13">AVERAGE(_xlfn._xlws.FILTER(PTS!AL:AL, (PTS!$E:$E="Memphis Rule 5") * ISNUMBER(PTS!AL:AL)))</f>
        <v>55.109957923065402</v>
      </c>
      <c r="AH13" s="362" cm="1">
        <f t="array" ref="AH13">AVERAGE(_xlfn._xlws.FILTER(PTS!AM:AM, (PTS!$E:$E="Memphis Rule 5") * ISNUMBER(PTS!AM:AM)))</f>
        <v>79.999999999999986</v>
      </c>
      <c r="AI13" s="362" cm="1">
        <f t="array" ref="AI13">AVERAGE(_xlfn._xlws.FILTER(PTS!AN:AN, (PTS!$E:$E="Memphis Rule 5") * ISNUMBER(PTS!AN:AN)))</f>
        <v>26.178082191780788</v>
      </c>
      <c r="AJ13" s="362" cm="1">
        <f t="array" ref="AJ13">AVERAGE(_xlfn._xlws.FILTER(PTS!AO:AO, (PTS!$E:$E="Memphis Rule 5") * ISNUMBER(PTS!AO:AO)))</f>
        <v>0</v>
      </c>
      <c r="AK13" s="362"/>
      <c r="AL13" s="362"/>
      <c r="AM13" s="362" cm="1">
        <f t="array" ref="AM13">AVERAGE(_xlfn._xlws.FILTER(PTS!AR:AR, (PTS!$E:$E="Memphis Rule 5") * ISNUMBER(PTS!AR:AR)))</f>
        <v>106.17808219178092</v>
      </c>
      <c r="AN13" s="362"/>
      <c r="AO13" s="362"/>
      <c r="AP13" s="362"/>
      <c r="AQ13" s="431">
        <f t="shared" si="0"/>
        <v>921.86185829666488</v>
      </c>
      <c r="AR13" s="429">
        <f t="shared" si="1"/>
        <v>1310.1818582966648</v>
      </c>
    </row>
    <row r="14" spans="2:44">
      <c r="B14" s="318" t="s">
        <v>241</v>
      </c>
      <c r="C14" s="175"/>
      <c r="D14" s="319"/>
      <c r="E14" s="319"/>
      <c r="F14" s="319"/>
      <c r="G14" s="319"/>
      <c r="H14" s="319"/>
      <c r="I14" s="319"/>
      <c r="J14" s="319"/>
      <c r="K14" s="319"/>
      <c r="L14" s="319"/>
      <c r="M14" s="324"/>
      <c r="N14" s="324"/>
      <c r="O14" s="324"/>
      <c r="P14" s="419"/>
      <c r="Q14" s="324"/>
      <c r="R14" s="324"/>
      <c r="S14" s="324"/>
      <c r="T14" s="324"/>
      <c r="U14" s="324"/>
      <c r="V14" s="324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324"/>
      <c r="AH14" s="324"/>
      <c r="AI14" s="324"/>
      <c r="AJ14" s="324"/>
      <c r="AK14" s="324"/>
      <c r="AL14" s="324"/>
      <c r="AM14" s="324"/>
      <c r="AN14" s="324"/>
      <c r="AO14" s="317"/>
      <c r="AP14" s="317"/>
      <c r="AQ14" s="432"/>
      <c r="AR14" s="179"/>
    </row>
    <row r="15" spans="2:44">
      <c r="B15" s="318" t="s">
        <v>439</v>
      </c>
      <c r="C15" s="175"/>
      <c r="D15" s="319"/>
      <c r="E15" s="319"/>
      <c r="F15" s="319"/>
      <c r="G15" s="319"/>
      <c r="H15" s="319"/>
      <c r="I15" s="319"/>
      <c r="J15" s="319"/>
      <c r="K15" s="319"/>
      <c r="L15" s="319"/>
      <c r="M15" s="324"/>
      <c r="N15" s="324"/>
      <c r="O15" s="324"/>
      <c r="P15" s="419"/>
      <c r="Q15" s="324"/>
      <c r="R15" s="324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324"/>
      <c r="AH15" s="324"/>
      <c r="AI15" s="324"/>
      <c r="AJ15" s="324"/>
      <c r="AK15" s="324"/>
      <c r="AL15" s="324"/>
      <c r="AM15" s="324"/>
      <c r="AN15" s="324"/>
      <c r="AO15" s="317"/>
      <c r="AP15" s="317"/>
      <c r="AQ15" s="433"/>
      <c r="AR15" s="179"/>
    </row>
    <row r="16" spans="2:44">
      <c r="B16" s="318" t="s">
        <v>1753</v>
      </c>
      <c r="C16" s="175"/>
      <c r="D16" s="319"/>
      <c r="E16" s="319"/>
      <c r="F16" s="319"/>
      <c r="G16" s="319"/>
      <c r="H16" s="319"/>
      <c r="I16" s="319"/>
      <c r="J16" s="319"/>
      <c r="K16" s="319"/>
      <c r="L16" s="319"/>
      <c r="M16" s="362">
        <f>EXPORT!O8</f>
        <v>0</v>
      </c>
      <c r="N16" s="362"/>
      <c r="O16" s="362"/>
      <c r="P16" s="362"/>
      <c r="Q16" s="362"/>
      <c r="R16" s="362">
        <f>EXPORT!Z8</f>
        <v>0</v>
      </c>
      <c r="S16" s="362"/>
      <c r="T16" s="362"/>
      <c r="U16" s="362"/>
      <c r="V16" s="362"/>
      <c r="W16" s="362">
        <f>EXPORT!AK8</f>
        <v>0</v>
      </c>
      <c r="X16" s="362"/>
      <c r="Y16" s="362"/>
      <c r="Z16" s="362"/>
      <c r="AA16" s="362">
        <f>EXPORT!AV8</f>
        <v>70.942574616710516</v>
      </c>
      <c r="AB16" s="362"/>
      <c r="AC16" s="362"/>
      <c r="AD16" s="362"/>
      <c r="AE16" s="362"/>
      <c r="AF16" s="362"/>
      <c r="AG16" s="362">
        <f>EXPORT!BG8</f>
        <v>77.575199999999995</v>
      </c>
      <c r="AH16" s="362"/>
      <c r="AI16" s="362"/>
      <c r="AJ16" s="362"/>
      <c r="AK16" s="362"/>
      <c r="AL16" s="362"/>
      <c r="AM16" s="362">
        <f>EXPORT!BR8</f>
        <v>199.79452054794518</v>
      </c>
      <c r="AN16" s="324"/>
      <c r="AO16" s="317"/>
      <c r="AP16" s="317"/>
      <c r="AQ16" s="431">
        <f t="shared" ref="AQ16" si="2">M16+R16+W16+AA16+AG16+AM16</f>
        <v>348.31229516465567</v>
      </c>
      <c r="AR16" s="179"/>
    </row>
    <row r="17" spans="2:44" ht="15" thickBot="1">
      <c r="B17" s="320" t="s">
        <v>1724</v>
      </c>
      <c r="C17" s="321"/>
      <c r="D17" s="322"/>
      <c r="E17" s="322"/>
      <c r="F17" s="322"/>
      <c r="G17" s="322"/>
      <c r="H17" s="322"/>
      <c r="I17" s="322"/>
      <c r="J17" s="322"/>
      <c r="K17" s="322"/>
      <c r="L17" s="322"/>
      <c r="M17" s="365"/>
      <c r="N17" s="365"/>
      <c r="O17" s="365"/>
      <c r="P17" s="420"/>
      <c r="Q17" s="365"/>
      <c r="R17" s="365"/>
      <c r="S17" s="365"/>
      <c r="T17" s="365"/>
      <c r="U17" s="365"/>
      <c r="V17" s="365"/>
      <c r="W17" s="365"/>
      <c r="X17" s="366"/>
      <c r="Y17" s="366"/>
      <c r="Z17" s="366"/>
      <c r="AA17" s="366"/>
      <c r="AB17" s="366"/>
      <c r="AC17" s="366"/>
      <c r="AD17" s="366"/>
      <c r="AE17" s="366"/>
      <c r="AF17" s="366"/>
      <c r="AG17" s="366"/>
      <c r="AH17" s="366"/>
      <c r="AI17" s="366"/>
      <c r="AJ17" s="366"/>
      <c r="AK17" s="366"/>
      <c r="AL17" s="366"/>
      <c r="AM17" s="366"/>
      <c r="AN17" s="366"/>
      <c r="AO17" s="366"/>
      <c r="AP17" s="366"/>
      <c r="AQ17" s="434"/>
      <c r="AR17" s="411"/>
    </row>
    <row r="18" spans="2:44" ht="15" thickBot="1">
      <c r="B18" s="301"/>
      <c r="C18" s="175"/>
      <c r="D18" s="319"/>
      <c r="E18" s="319"/>
      <c r="F18" s="319"/>
      <c r="G18" s="319"/>
      <c r="H18" s="319"/>
      <c r="I18" s="319"/>
      <c r="J18" s="319"/>
      <c r="K18" s="319"/>
      <c r="L18" s="319"/>
      <c r="M18" s="181"/>
      <c r="N18" s="181"/>
      <c r="O18" s="181"/>
      <c r="P18" s="418"/>
      <c r="Q18" s="181"/>
      <c r="R18" s="181"/>
      <c r="S18" s="181"/>
      <c r="T18" s="181"/>
      <c r="U18" s="181"/>
      <c r="V18" s="181"/>
      <c r="W18" s="181"/>
      <c r="X18" s="325"/>
      <c r="Y18" s="325"/>
      <c r="Z18" s="325"/>
      <c r="AA18" s="325"/>
      <c r="AB18" s="325"/>
      <c r="AC18" s="325"/>
      <c r="AD18" s="325"/>
      <c r="AE18" s="325"/>
      <c r="AF18" s="325"/>
      <c r="AG18" s="325"/>
      <c r="AH18" s="325"/>
      <c r="AI18" s="325"/>
      <c r="AJ18" s="325"/>
      <c r="AK18" s="325"/>
      <c r="AL18" s="325"/>
      <c r="AM18" s="325"/>
      <c r="AN18" s="325"/>
      <c r="AO18" s="325"/>
      <c r="AP18" s="325"/>
      <c r="AQ18" s="325"/>
    </row>
    <row r="19" spans="2:44" ht="15" thickBot="1">
      <c r="B19" s="10"/>
      <c r="C19" s="620" t="s">
        <v>0</v>
      </c>
      <c r="D19" s="621"/>
      <c r="E19" s="621"/>
      <c r="F19" s="621"/>
      <c r="G19" s="621"/>
      <c r="H19" s="621"/>
      <c r="I19" s="621"/>
      <c r="J19" s="621"/>
      <c r="K19" s="621"/>
      <c r="L19" s="621"/>
      <c r="M19" s="622"/>
      <c r="N19" s="624" t="s">
        <v>1</v>
      </c>
      <c r="O19" s="624"/>
      <c r="P19" s="624"/>
      <c r="Q19" s="624"/>
      <c r="R19" s="625"/>
      <c r="S19" s="626" t="s">
        <v>2</v>
      </c>
      <c r="T19" s="627"/>
      <c r="U19" s="627"/>
      <c r="V19" s="627"/>
      <c r="W19" s="627"/>
      <c r="X19" s="628" t="s">
        <v>3</v>
      </c>
      <c r="Y19" s="629"/>
      <c r="Z19" s="629"/>
      <c r="AA19" s="630"/>
      <c r="AB19" s="631" t="s">
        <v>4</v>
      </c>
      <c r="AC19" s="631"/>
      <c r="AD19" s="631"/>
      <c r="AE19" s="631"/>
      <c r="AF19" s="631"/>
      <c r="AG19" s="632"/>
      <c r="AH19" s="614" t="s">
        <v>5</v>
      </c>
      <c r="AI19" s="615"/>
      <c r="AJ19" s="615"/>
      <c r="AK19" s="615"/>
      <c r="AL19" s="615"/>
      <c r="AM19" s="616"/>
      <c r="AN19" s="617" t="s">
        <v>2059</v>
      </c>
      <c r="AO19" s="618"/>
      <c r="AP19" s="619"/>
      <c r="AQ19" s="633" t="s">
        <v>2065</v>
      </c>
      <c r="AR19" s="634"/>
    </row>
    <row r="20" spans="2:44" ht="15" thickBot="1">
      <c r="B20" s="10"/>
      <c r="C20" s="327" t="s">
        <v>14</v>
      </c>
      <c r="D20" s="327" t="s">
        <v>15</v>
      </c>
      <c r="E20" s="327" t="s">
        <v>16</v>
      </c>
      <c r="F20" s="327" t="s">
        <v>17</v>
      </c>
      <c r="G20" s="327" t="s">
        <v>18</v>
      </c>
      <c r="H20" s="327" t="s">
        <v>19</v>
      </c>
      <c r="I20" s="327" t="s">
        <v>20</v>
      </c>
      <c r="J20" s="327" t="s">
        <v>28</v>
      </c>
      <c r="K20" s="327" t="s">
        <v>1650</v>
      </c>
      <c r="L20" s="414" t="s">
        <v>2102</v>
      </c>
      <c r="M20" s="328" t="s">
        <v>22</v>
      </c>
      <c r="N20" s="329" t="s">
        <v>23</v>
      </c>
      <c r="O20" s="329" t="s">
        <v>24</v>
      </c>
      <c r="P20" s="421" t="s">
        <v>25</v>
      </c>
      <c r="Q20" s="329"/>
      <c r="R20" s="312" t="s">
        <v>2060</v>
      </c>
      <c r="S20" s="330" t="s">
        <v>27</v>
      </c>
      <c r="T20" s="330" t="s">
        <v>20</v>
      </c>
      <c r="U20" s="330" t="s">
        <v>28</v>
      </c>
      <c r="V20" s="330"/>
      <c r="W20" s="331" t="s">
        <v>29</v>
      </c>
      <c r="X20" s="332" t="s">
        <v>30</v>
      </c>
      <c r="Y20" s="332" t="s">
        <v>31</v>
      </c>
      <c r="Z20" s="332"/>
      <c r="AA20" s="333" t="s">
        <v>32</v>
      </c>
      <c r="AB20" s="334" t="s">
        <v>33</v>
      </c>
      <c r="AC20" s="334" t="s">
        <v>34</v>
      </c>
      <c r="AD20" s="334" t="s">
        <v>35</v>
      </c>
      <c r="AE20" s="334" t="s">
        <v>36</v>
      </c>
      <c r="AF20" s="334"/>
      <c r="AG20" s="335" t="s">
        <v>37</v>
      </c>
      <c r="AH20" s="336" t="s">
        <v>2061</v>
      </c>
      <c r="AI20" s="336" t="s">
        <v>2183</v>
      </c>
      <c r="AJ20" s="336" t="s">
        <v>39</v>
      </c>
      <c r="AK20" s="336" t="s">
        <v>28</v>
      </c>
      <c r="AL20" s="336"/>
      <c r="AM20" s="337" t="s">
        <v>40</v>
      </c>
      <c r="AN20" s="338" t="s">
        <v>1688</v>
      </c>
      <c r="AO20" s="353" t="s">
        <v>2063</v>
      </c>
      <c r="AP20" s="311" t="s">
        <v>2064</v>
      </c>
      <c r="AQ20" s="412" t="s">
        <v>826</v>
      </c>
      <c r="AR20" s="413" t="s">
        <v>827</v>
      </c>
    </row>
    <row r="21" spans="2:44">
      <c r="B21" s="339" t="s">
        <v>2073</v>
      </c>
      <c r="C21" s="340"/>
      <c r="D21" s="340"/>
      <c r="E21" s="340"/>
      <c r="F21" s="315">
        <f>$F$5</f>
        <v>203.04912280701754</v>
      </c>
      <c r="G21" s="340"/>
      <c r="H21" s="340"/>
      <c r="I21" s="315">
        <f>I5</f>
        <v>54.473684210526315</v>
      </c>
      <c r="J21" s="315">
        <f>J5</f>
        <v>37.916666666666693</v>
      </c>
      <c r="K21" s="340"/>
      <c r="L21" s="340"/>
      <c r="M21" s="426">
        <f>M5</f>
        <v>307.52023809523791</v>
      </c>
      <c r="N21" s="442">
        <f>N5</f>
        <v>4.9122807017543861</v>
      </c>
      <c r="O21" s="442">
        <f>O5</f>
        <v>1.1403508771929824</v>
      </c>
      <c r="P21" s="447">
        <f>P5</f>
        <v>186.05614973262027</v>
      </c>
      <c r="Q21" s="341"/>
      <c r="R21" s="341">
        <f>R5</f>
        <v>192.33065953654184</v>
      </c>
      <c r="S21" s="341">
        <f>S5</f>
        <v>54</v>
      </c>
      <c r="T21" s="341"/>
      <c r="U21" s="341"/>
      <c r="V21" s="341"/>
      <c r="W21" s="341">
        <f>S21+T21+U21+V21</f>
        <v>54</v>
      </c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439">
        <f>COSTS!$X$17</f>
        <v>85</v>
      </c>
      <c r="AO21" s="439">
        <f>COSTS!$X$18</f>
        <v>40</v>
      </c>
      <c r="AP21" s="316">
        <f>AN21+AO21</f>
        <v>125</v>
      </c>
      <c r="AQ21" s="435">
        <f>M21+R21+W21+AP21</f>
        <v>678.85089763177973</v>
      </c>
      <c r="AR21" s="410"/>
    </row>
    <row r="22" spans="2:44">
      <c r="B22" s="343" t="s">
        <v>2074</v>
      </c>
      <c r="C22" s="319"/>
      <c r="D22" s="319"/>
      <c r="E22" s="319"/>
      <c r="F22" s="362">
        <f>$F$5</f>
        <v>203.04912280701754</v>
      </c>
      <c r="G22" s="319"/>
      <c r="H22" s="319"/>
      <c r="I22" s="362">
        <f>I6</f>
        <v>53.622641509433961</v>
      </c>
      <c r="J22" s="362">
        <f>J5</f>
        <v>37.916666666666693</v>
      </c>
      <c r="K22" s="319"/>
      <c r="L22" s="319"/>
      <c r="M22" s="443">
        <f>M5</f>
        <v>307.52023809523791</v>
      </c>
      <c r="N22" s="444">
        <f>N5</f>
        <v>4.9122807017543861</v>
      </c>
      <c r="O22" s="444">
        <f>O5</f>
        <v>1.1403508771929824</v>
      </c>
      <c r="P22" s="448">
        <f>P5</f>
        <v>186.05614973262027</v>
      </c>
      <c r="Q22" s="342"/>
      <c r="R22" s="342">
        <f>R5</f>
        <v>192.33065953654184</v>
      </c>
      <c r="S22" s="342">
        <f>COSTS!X19</f>
        <v>127</v>
      </c>
      <c r="T22" s="342"/>
      <c r="U22" s="342"/>
      <c r="V22" s="342"/>
      <c r="W22" s="342">
        <f t="shared" ref="W22:W30" si="3">S22+T22+U22+V22</f>
        <v>127</v>
      </c>
      <c r="X22" s="342"/>
      <c r="Y22" s="342"/>
      <c r="Z22" s="342"/>
      <c r="AA22" s="342"/>
      <c r="AB22" s="342"/>
      <c r="AC22" s="342"/>
      <c r="AD22" s="342"/>
      <c r="AE22" s="342"/>
      <c r="AF22" s="342"/>
      <c r="AG22" s="342"/>
      <c r="AH22" s="342"/>
      <c r="AI22" s="342"/>
      <c r="AJ22" s="342"/>
      <c r="AK22" s="342"/>
      <c r="AL22" s="342"/>
      <c r="AM22" s="342"/>
      <c r="AN22" s="440">
        <f>COSTS!$X$17</f>
        <v>85</v>
      </c>
      <c r="AO22" s="440">
        <f>COSTS!$X$18</f>
        <v>40</v>
      </c>
      <c r="AP22" s="317">
        <f t="shared" ref="AP22:AP30" si="4">AN22+AO22</f>
        <v>125</v>
      </c>
      <c r="AQ22" s="436">
        <f t="shared" ref="AQ22:AQ30" si="5">M22+R22+W22+AP22</f>
        <v>751.85089763177973</v>
      </c>
      <c r="AR22" s="179"/>
    </row>
    <row r="23" spans="2:44">
      <c r="B23" s="343" t="s">
        <v>2075</v>
      </c>
      <c r="C23" s="319"/>
      <c r="D23" s="319"/>
      <c r="E23" s="319"/>
      <c r="F23" s="362">
        <f>$F$5</f>
        <v>203.04912280701754</v>
      </c>
      <c r="G23" s="319"/>
      <c r="H23" s="319"/>
      <c r="I23" s="362">
        <f>$I$5</f>
        <v>54.473684210526315</v>
      </c>
      <c r="J23" s="362">
        <f>J5</f>
        <v>37.916666666666693</v>
      </c>
      <c r="K23" s="319"/>
      <c r="L23" s="319"/>
      <c r="M23" s="443">
        <f>M5</f>
        <v>307.52023809523791</v>
      </c>
      <c r="N23" s="444">
        <f>N5</f>
        <v>4.9122807017543861</v>
      </c>
      <c r="O23" s="444">
        <f>O5</f>
        <v>1.1403508771929824</v>
      </c>
      <c r="P23" s="448">
        <f>P6</f>
        <v>288.7232620320857</v>
      </c>
      <c r="Q23" s="342"/>
      <c r="R23" s="342">
        <f>R6</f>
        <v>294.60561497326216</v>
      </c>
      <c r="S23" s="342">
        <f>S7</f>
        <v>54</v>
      </c>
      <c r="T23" s="342"/>
      <c r="U23" s="342"/>
      <c r="V23" s="342"/>
      <c r="W23" s="342">
        <f t="shared" si="3"/>
        <v>54</v>
      </c>
      <c r="X23" s="342"/>
      <c r="Y23" s="342"/>
      <c r="Z23" s="342"/>
      <c r="AA23" s="342"/>
      <c r="AB23" s="342"/>
      <c r="AC23" s="342"/>
      <c r="AD23" s="342"/>
      <c r="AE23" s="342"/>
      <c r="AF23" s="342"/>
      <c r="AG23" s="342"/>
      <c r="AH23" s="342"/>
      <c r="AI23" s="342"/>
      <c r="AJ23" s="342"/>
      <c r="AK23" s="342"/>
      <c r="AL23" s="342"/>
      <c r="AM23" s="342"/>
      <c r="AN23" s="440">
        <f>COSTS!$X$17</f>
        <v>85</v>
      </c>
      <c r="AO23" s="440">
        <f>COSTS!$X$18</f>
        <v>40</v>
      </c>
      <c r="AP23" s="317">
        <f t="shared" si="4"/>
        <v>125</v>
      </c>
      <c r="AQ23" s="436">
        <f t="shared" si="5"/>
        <v>781.12585306850008</v>
      </c>
      <c r="AR23" s="179"/>
    </row>
    <row r="24" spans="2:44">
      <c r="B24" s="343" t="s">
        <v>2076</v>
      </c>
      <c r="C24" s="319"/>
      <c r="D24" s="319"/>
      <c r="E24" s="319"/>
      <c r="F24" s="362">
        <f>$F$5</f>
        <v>203.04912280701754</v>
      </c>
      <c r="G24" s="319"/>
      <c r="H24" s="319"/>
      <c r="I24" s="362">
        <f>$I$5</f>
        <v>54.473684210526315</v>
      </c>
      <c r="J24" s="362">
        <f>J5</f>
        <v>37.916666666666693</v>
      </c>
      <c r="K24" s="319"/>
      <c r="L24" s="319"/>
      <c r="M24" s="443">
        <f>M5</f>
        <v>307.52023809523791</v>
      </c>
      <c r="N24" s="444">
        <f>N5</f>
        <v>4.9122807017543861</v>
      </c>
      <c r="O24" s="444">
        <f>O5</f>
        <v>1.1403508771929824</v>
      </c>
      <c r="P24" s="448">
        <f>P6</f>
        <v>288.7232620320857</v>
      </c>
      <c r="Q24" s="342"/>
      <c r="R24" s="342">
        <f>R6</f>
        <v>294.60561497326216</v>
      </c>
      <c r="S24" s="342">
        <f>COSTS!X19</f>
        <v>127</v>
      </c>
      <c r="T24" s="342"/>
      <c r="U24" s="342"/>
      <c r="V24" s="342"/>
      <c r="W24" s="342">
        <f t="shared" si="3"/>
        <v>127</v>
      </c>
      <c r="X24" s="342"/>
      <c r="Y24" s="342"/>
      <c r="Z24" s="342"/>
      <c r="AA24" s="342"/>
      <c r="AB24" s="342"/>
      <c r="AC24" s="342"/>
      <c r="AD24" s="342"/>
      <c r="AE24" s="342"/>
      <c r="AF24" s="342"/>
      <c r="AG24" s="342"/>
      <c r="AH24" s="342"/>
      <c r="AI24" s="342"/>
      <c r="AJ24" s="342"/>
      <c r="AK24" s="342"/>
      <c r="AL24" s="342"/>
      <c r="AM24" s="342"/>
      <c r="AN24" s="440">
        <f>COSTS!$X$17</f>
        <v>85</v>
      </c>
      <c r="AO24" s="440">
        <f>COSTS!$X$18</f>
        <v>40</v>
      </c>
      <c r="AP24" s="317">
        <f t="shared" si="4"/>
        <v>125</v>
      </c>
      <c r="AQ24" s="436">
        <f t="shared" si="5"/>
        <v>854.12585306850008</v>
      </c>
      <c r="AR24" s="179"/>
    </row>
    <row r="25" spans="2:44">
      <c r="B25" s="343" t="s">
        <v>2077</v>
      </c>
      <c r="C25" s="319"/>
      <c r="D25" s="319"/>
      <c r="E25" s="362">
        <f>E7</f>
        <v>203.10344827586206</v>
      </c>
      <c r="F25" s="362">
        <f>F7</f>
        <v>136.9655172413793</v>
      </c>
      <c r="G25" s="362">
        <f>G12</f>
        <v>2.0689655172413794</v>
      </c>
      <c r="H25" s="319"/>
      <c r="I25" s="362">
        <f>I7</f>
        <v>76.58620689655173</v>
      </c>
      <c r="J25" s="362">
        <f>J7</f>
        <v>37.916666666666657</v>
      </c>
      <c r="K25" s="319"/>
      <c r="L25" s="319"/>
      <c r="M25" s="443">
        <f>M7</f>
        <v>452.33045977011483</v>
      </c>
      <c r="N25" s="444">
        <f>N7</f>
        <v>4.8275862068965516</v>
      </c>
      <c r="O25" s="444">
        <f>O7</f>
        <v>0</v>
      </c>
      <c r="P25" s="448">
        <f>P7</f>
        <v>200.75757575757575</v>
      </c>
      <c r="Q25" s="342"/>
      <c r="R25" s="342">
        <f>R7</f>
        <v>205.94276094276094</v>
      </c>
      <c r="S25" s="342">
        <f>S7</f>
        <v>54</v>
      </c>
      <c r="T25" s="342"/>
      <c r="U25" s="342"/>
      <c r="V25" s="342"/>
      <c r="W25" s="342">
        <f t="shared" si="3"/>
        <v>54</v>
      </c>
      <c r="X25" s="342"/>
      <c r="Y25" s="342"/>
      <c r="Z25" s="342"/>
      <c r="AA25" s="342"/>
      <c r="AB25" s="342"/>
      <c r="AC25" s="342"/>
      <c r="AD25" s="342"/>
      <c r="AE25" s="342"/>
      <c r="AF25" s="342"/>
      <c r="AG25" s="342"/>
      <c r="AH25" s="342"/>
      <c r="AI25" s="342"/>
      <c r="AJ25" s="342"/>
      <c r="AK25" s="342"/>
      <c r="AL25" s="342"/>
      <c r="AM25" s="342"/>
      <c r="AN25" s="440">
        <f>COSTS!$X$17</f>
        <v>85</v>
      </c>
      <c r="AO25" s="440">
        <f>COSTS!$X$18</f>
        <v>40</v>
      </c>
      <c r="AP25" s="317">
        <f t="shared" si="4"/>
        <v>125</v>
      </c>
      <c r="AQ25" s="436">
        <f t="shared" si="5"/>
        <v>837.27322071287574</v>
      </c>
      <c r="AR25" s="179"/>
    </row>
    <row r="26" spans="2:44">
      <c r="B26" s="343" t="s">
        <v>2078</v>
      </c>
      <c r="C26" s="319"/>
      <c r="D26" s="319"/>
      <c r="E26" s="362">
        <f>E7</f>
        <v>203.10344827586206</v>
      </c>
      <c r="F26" s="362">
        <f>F7</f>
        <v>136.9655172413793</v>
      </c>
      <c r="G26" s="362">
        <f>G12</f>
        <v>2.0689655172413794</v>
      </c>
      <c r="H26" s="319"/>
      <c r="I26" s="362">
        <f>I7</f>
        <v>76.58620689655173</v>
      </c>
      <c r="J26" s="362">
        <f>J7</f>
        <v>37.916666666666657</v>
      </c>
      <c r="K26" s="319"/>
      <c r="L26" s="319"/>
      <c r="M26" s="443">
        <f t="shared" ref="M26:P27" si="6">M7</f>
        <v>452.33045977011483</v>
      </c>
      <c r="N26" s="444">
        <f t="shared" si="6"/>
        <v>4.8275862068965516</v>
      </c>
      <c r="O26" s="444">
        <f t="shared" si="6"/>
        <v>0</v>
      </c>
      <c r="P26" s="448">
        <f t="shared" si="6"/>
        <v>200.75757575757575</v>
      </c>
      <c r="Q26" s="342"/>
      <c r="R26" s="342">
        <f>R7</f>
        <v>205.94276094276094</v>
      </c>
      <c r="S26" s="342">
        <f>COSTS!X19</f>
        <v>127</v>
      </c>
      <c r="T26" s="342"/>
      <c r="U26" s="342"/>
      <c r="V26" s="342"/>
      <c r="W26" s="342">
        <f t="shared" si="3"/>
        <v>127</v>
      </c>
      <c r="X26" s="342"/>
      <c r="Y26" s="342"/>
      <c r="Z26" s="342"/>
      <c r="AA26" s="342"/>
      <c r="AB26" s="342"/>
      <c r="AC26" s="342"/>
      <c r="AD26" s="342"/>
      <c r="AE26" s="342"/>
      <c r="AF26" s="342"/>
      <c r="AG26" s="342"/>
      <c r="AH26" s="342"/>
      <c r="AI26" s="342"/>
      <c r="AJ26" s="342"/>
      <c r="AK26" s="342"/>
      <c r="AL26" s="342"/>
      <c r="AM26" s="342"/>
      <c r="AN26" s="440">
        <f>COSTS!$X$17</f>
        <v>85</v>
      </c>
      <c r="AO26" s="440">
        <f>COSTS!$X$18</f>
        <v>40</v>
      </c>
      <c r="AP26" s="317">
        <f t="shared" si="4"/>
        <v>125</v>
      </c>
      <c r="AQ26" s="436">
        <f t="shared" si="5"/>
        <v>910.27322071287574</v>
      </c>
      <c r="AR26" s="179"/>
    </row>
    <row r="27" spans="2:44">
      <c r="B27" s="343" t="s">
        <v>2079</v>
      </c>
      <c r="C27" s="319"/>
      <c r="D27" s="319"/>
      <c r="E27" s="319"/>
      <c r="F27" s="319"/>
      <c r="G27" s="319"/>
      <c r="H27" s="319"/>
      <c r="I27" s="362">
        <f>I8</f>
        <v>68.733333333333334</v>
      </c>
      <c r="J27" s="362">
        <f>J8</f>
        <v>37.91666666666665</v>
      </c>
      <c r="K27" s="319"/>
      <c r="L27" s="319"/>
      <c r="M27" s="443">
        <f t="shared" si="6"/>
        <v>106.65000000000011</v>
      </c>
      <c r="N27" s="444">
        <f t="shared" si="6"/>
        <v>0.26666666666666666</v>
      </c>
      <c r="O27" s="444">
        <f t="shared" si="6"/>
        <v>0.73333333333333328</v>
      </c>
      <c r="P27" s="448">
        <f t="shared" si="6"/>
        <v>211.56872727272739</v>
      </c>
      <c r="Q27" s="342"/>
      <c r="R27" s="342">
        <f>R13</f>
        <v>212.56872727272739</v>
      </c>
      <c r="S27" s="342">
        <f>S8</f>
        <v>50.48</v>
      </c>
      <c r="T27" s="342"/>
      <c r="U27" s="342"/>
      <c r="V27" s="342"/>
      <c r="W27" s="342">
        <f t="shared" si="3"/>
        <v>50.48</v>
      </c>
      <c r="X27" s="342"/>
      <c r="Y27" s="342"/>
      <c r="Z27" s="342"/>
      <c r="AA27" s="342"/>
      <c r="AB27" s="342"/>
      <c r="AC27" s="342"/>
      <c r="AD27" s="342"/>
      <c r="AE27" s="342"/>
      <c r="AF27" s="342"/>
      <c r="AG27" s="342"/>
      <c r="AH27" s="342"/>
      <c r="AI27" s="342"/>
      <c r="AJ27" s="342"/>
      <c r="AK27" s="342"/>
      <c r="AL27" s="342"/>
      <c r="AM27" s="342"/>
      <c r="AN27" s="440">
        <f>COSTS!$X$17</f>
        <v>85</v>
      </c>
      <c r="AO27" s="440">
        <f>COSTS!$X$18</f>
        <v>40</v>
      </c>
      <c r="AP27" s="317">
        <f t="shared" si="4"/>
        <v>125</v>
      </c>
      <c r="AQ27" s="436">
        <f t="shared" si="5"/>
        <v>494.69872727272752</v>
      </c>
      <c r="AR27" s="179"/>
    </row>
    <row r="28" spans="2:44">
      <c r="B28" s="343" t="s">
        <v>2080</v>
      </c>
      <c r="C28" s="319"/>
      <c r="D28" s="319"/>
      <c r="E28" s="319"/>
      <c r="F28" s="319"/>
      <c r="G28" s="319"/>
      <c r="H28" s="319"/>
      <c r="I28" s="362">
        <f>I8</f>
        <v>68.733333333333334</v>
      </c>
      <c r="J28" s="362">
        <f>J8</f>
        <v>37.91666666666665</v>
      </c>
      <c r="K28" s="319"/>
      <c r="L28" s="319"/>
      <c r="M28" s="443">
        <f t="shared" ref="M28:P29" si="7">M8</f>
        <v>106.65000000000011</v>
      </c>
      <c r="N28" s="444">
        <f t="shared" si="7"/>
        <v>0.26666666666666666</v>
      </c>
      <c r="O28" s="444">
        <f t="shared" si="7"/>
        <v>0.73333333333333328</v>
      </c>
      <c r="P28" s="448">
        <f t="shared" si="7"/>
        <v>211.56872727272739</v>
      </c>
      <c r="Q28" s="342"/>
      <c r="R28" s="342">
        <f>R13</f>
        <v>212.56872727272739</v>
      </c>
      <c r="S28" s="342">
        <f>COSTS!X19</f>
        <v>127</v>
      </c>
      <c r="T28" s="342"/>
      <c r="U28" s="342"/>
      <c r="V28" s="342"/>
      <c r="W28" s="342">
        <f t="shared" si="3"/>
        <v>127</v>
      </c>
      <c r="X28" s="342"/>
      <c r="Y28" s="342"/>
      <c r="Z28" s="342"/>
      <c r="AA28" s="342"/>
      <c r="AB28" s="342"/>
      <c r="AC28" s="342"/>
      <c r="AD28" s="342"/>
      <c r="AE28" s="342"/>
      <c r="AF28" s="342"/>
      <c r="AG28" s="342"/>
      <c r="AH28" s="342"/>
      <c r="AI28" s="342"/>
      <c r="AJ28" s="342"/>
      <c r="AK28" s="342"/>
      <c r="AL28" s="342"/>
      <c r="AM28" s="342"/>
      <c r="AN28" s="440">
        <f>COSTS!$X$17</f>
        <v>85</v>
      </c>
      <c r="AO28" s="440">
        <f>COSTS!$X$18</f>
        <v>40</v>
      </c>
      <c r="AP28" s="317">
        <f t="shared" si="4"/>
        <v>125</v>
      </c>
      <c r="AQ28" s="436">
        <f t="shared" si="5"/>
        <v>571.21872727272751</v>
      </c>
      <c r="AR28" s="179"/>
    </row>
    <row r="29" spans="2:44">
      <c r="B29" s="343" t="s">
        <v>682</v>
      </c>
      <c r="C29" s="319"/>
      <c r="D29" s="319"/>
      <c r="E29" s="319"/>
      <c r="F29" s="319"/>
      <c r="G29" s="319"/>
      <c r="H29" s="319"/>
      <c r="I29" s="362">
        <f>I9</f>
        <v>57.318840579710148</v>
      </c>
      <c r="J29" s="362">
        <f>J9</f>
        <v>37.916666666666657</v>
      </c>
      <c r="K29" s="319"/>
      <c r="L29" s="319"/>
      <c r="M29" s="443">
        <f t="shared" si="7"/>
        <v>41.307971014492743</v>
      </c>
      <c r="N29" s="444">
        <f t="shared" si="7"/>
        <v>0</v>
      </c>
      <c r="O29" s="444">
        <f t="shared" si="7"/>
        <v>0.82345191040843202</v>
      </c>
      <c r="P29" s="448">
        <f t="shared" si="7"/>
        <v>203.95335060160437</v>
      </c>
      <c r="Q29" s="342"/>
      <c r="R29" s="342">
        <f>R9</f>
        <v>204.78891209893055</v>
      </c>
      <c r="S29" s="342">
        <f>S9</f>
        <v>52</v>
      </c>
      <c r="T29" s="342"/>
      <c r="U29" s="342"/>
      <c r="V29" s="342"/>
      <c r="W29" s="342">
        <f t="shared" si="3"/>
        <v>52</v>
      </c>
      <c r="X29" s="342"/>
      <c r="Y29" s="342"/>
      <c r="Z29" s="342"/>
      <c r="AA29" s="342"/>
      <c r="AB29" s="342"/>
      <c r="AC29" s="342"/>
      <c r="AD29" s="342"/>
      <c r="AE29" s="342"/>
      <c r="AF29" s="342"/>
      <c r="AG29" s="342"/>
      <c r="AH29" s="342"/>
      <c r="AI29" s="342"/>
      <c r="AJ29" s="342"/>
      <c r="AK29" s="342"/>
      <c r="AL29" s="342"/>
      <c r="AM29" s="342"/>
      <c r="AN29" s="440">
        <f>COSTS!$X$17</f>
        <v>85</v>
      </c>
      <c r="AO29" s="440">
        <f>COSTS!$X$18</f>
        <v>40</v>
      </c>
      <c r="AP29" s="317">
        <f t="shared" si="4"/>
        <v>125</v>
      </c>
      <c r="AQ29" s="436">
        <f t="shared" si="5"/>
        <v>423.0968831134233</v>
      </c>
      <c r="AR29" s="179"/>
    </row>
    <row r="30" spans="2:44" ht="15" thickBot="1">
      <c r="B30" s="344" t="s">
        <v>682</v>
      </c>
      <c r="C30" s="322"/>
      <c r="D30" s="322"/>
      <c r="E30" s="322"/>
      <c r="F30" s="322"/>
      <c r="G30" s="322"/>
      <c r="H30" s="322"/>
      <c r="I30" s="438">
        <f>I9</f>
        <v>57.318840579710148</v>
      </c>
      <c r="J30" s="438">
        <f>J9</f>
        <v>37.916666666666657</v>
      </c>
      <c r="K30" s="322"/>
      <c r="L30" s="322"/>
      <c r="M30" s="445">
        <f>M9</f>
        <v>41.307971014492743</v>
      </c>
      <c r="N30" s="446">
        <f>N9</f>
        <v>0</v>
      </c>
      <c r="O30" s="446">
        <f>O9</f>
        <v>0.82345191040843202</v>
      </c>
      <c r="P30" s="449">
        <f>P9</f>
        <v>203.95335060160437</v>
      </c>
      <c r="Q30" s="345"/>
      <c r="R30" s="345">
        <f>R9</f>
        <v>204.78891209893055</v>
      </c>
      <c r="S30" s="345">
        <f>COSTS!X19</f>
        <v>127</v>
      </c>
      <c r="T30" s="345"/>
      <c r="U30" s="345"/>
      <c r="V30" s="345"/>
      <c r="W30" s="345">
        <f t="shared" si="3"/>
        <v>127</v>
      </c>
      <c r="X30" s="345"/>
      <c r="Y30" s="345"/>
      <c r="Z30" s="345"/>
      <c r="AA30" s="345"/>
      <c r="AB30" s="345"/>
      <c r="AC30" s="345"/>
      <c r="AD30" s="345"/>
      <c r="AE30" s="345"/>
      <c r="AF30" s="345"/>
      <c r="AG30" s="345"/>
      <c r="AH30" s="345"/>
      <c r="AI30" s="345"/>
      <c r="AJ30" s="345"/>
      <c r="AK30" s="345"/>
      <c r="AL30" s="345"/>
      <c r="AM30" s="345"/>
      <c r="AN30" s="441">
        <f>COSTS!$X$17</f>
        <v>85</v>
      </c>
      <c r="AO30" s="441">
        <f>COSTS!$X$18</f>
        <v>40</v>
      </c>
      <c r="AP30" s="323">
        <f t="shared" si="4"/>
        <v>125</v>
      </c>
      <c r="AQ30" s="437">
        <f t="shared" si="5"/>
        <v>498.0968831134233</v>
      </c>
      <c r="AR30" s="411"/>
    </row>
    <row r="31" spans="2:44">
      <c r="B31" s="10"/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181"/>
      <c r="N31" s="181"/>
      <c r="O31" s="181"/>
      <c r="P31" s="418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</row>
    <row r="32" spans="2:44">
      <c r="B32" s="10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181"/>
      <c r="N32" s="181"/>
      <c r="O32" s="181"/>
      <c r="P32" s="418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</row>
    <row r="33" spans="2:44" ht="15" thickBot="1">
      <c r="B33" s="10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181"/>
      <c r="N33" s="181"/>
      <c r="O33" s="181"/>
      <c r="P33" s="418"/>
      <c r="Q33" s="181"/>
      <c r="R33" s="181"/>
      <c r="S33" s="181"/>
      <c r="T33" s="199" t="s">
        <v>2081</v>
      </c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</row>
    <row r="34" spans="2:44" ht="15" thickBot="1">
      <c r="B34" s="10"/>
      <c r="C34" s="620" t="s">
        <v>0</v>
      </c>
      <c r="D34" s="621"/>
      <c r="E34" s="621"/>
      <c r="F34" s="621"/>
      <c r="G34" s="621"/>
      <c r="H34" s="621"/>
      <c r="I34" s="621"/>
      <c r="J34" s="621"/>
      <c r="K34" s="621"/>
      <c r="L34" s="621"/>
      <c r="M34" s="622"/>
      <c r="N34" s="635" t="s">
        <v>1</v>
      </c>
      <c r="O34" s="635"/>
      <c r="P34" s="635"/>
      <c r="Q34" s="635"/>
      <c r="R34" s="636"/>
      <c r="S34" s="637" t="s">
        <v>2082</v>
      </c>
      <c r="T34" s="638"/>
      <c r="U34" s="638"/>
      <c r="V34" s="638"/>
      <c r="W34" s="639"/>
      <c r="X34" s="640" t="s">
        <v>3</v>
      </c>
      <c r="Y34" s="641"/>
      <c r="Z34" s="641"/>
      <c r="AA34" s="642"/>
      <c r="AB34" s="643" t="s">
        <v>4</v>
      </c>
      <c r="AC34" s="644"/>
      <c r="AD34" s="644"/>
      <c r="AE34" s="644"/>
      <c r="AF34" s="644"/>
      <c r="AG34" s="644"/>
      <c r="AH34" s="614" t="s">
        <v>5</v>
      </c>
      <c r="AI34" s="615"/>
      <c r="AJ34" s="615"/>
      <c r="AK34" s="615"/>
      <c r="AL34" s="615"/>
      <c r="AM34" s="616"/>
      <c r="AN34" s="617" t="s">
        <v>2059</v>
      </c>
      <c r="AO34" s="618"/>
      <c r="AP34" s="619"/>
      <c r="AQ34" s="633" t="s">
        <v>2065</v>
      </c>
      <c r="AR34" s="634"/>
    </row>
    <row r="35" spans="2:44" ht="15" thickBot="1">
      <c r="B35" s="10"/>
      <c r="C35" s="346" t="s">
        <v>14</v>
      </c>
      <c r="D35" s="327" t="s">
        <v>15</v>
      </c>
      <c r="E35" s="327" t="s">
        <v>16</v>
      </c>
      <c r="F35" s="327" t="s">
        <v>17</v>
      </c>
      <c r="G35" s="327" t="s">
        <v>18</v>
      </c>
      <c r="H35" s="327" t="s">
        <v>19</v>
      </c>
      <c r="I35" s="327" t="s">
        <v>20</v>
      </c>
      <c r="J35" s="327" t="s">
        <v>28</v>
      </c>
      <c r="K35" s="327" t="s">
        <v>1650</v>
      </c>
      <c r="L35" s="414" t="s">
        <v>2102</v>
      </c>
      <c r="M35" s="328" t="s">
        <v>22</v>
      </c>
      <c r="N35" s="347" t="s">
        <v>23</v>
      </c>
      <c r="O35" s="329" t="s">
        <v>24</v>
      </c>
      <c r="P35" s="421" t="s">
        <v>25</v>
      </c>
      <c r="Q35" s="329"/>
      <c r="R35" s="312" t="s">
        <v>2060</v>
      </c>
      <c r="S35" s="330" t="s">
        <v>20</v>
      </c>
      <c r="T35" s="330" t="s">
        <v>28</v>
      </c>
      <c r="U35" s="330" t="s">
        <v>28</v>
      </c>
      <c r="V35" s="330"/>
      <c r="W35" s="331" t="s">
        <v>2083</v>
      </c>
      <c r="X35" s="348" t="s">
        <v>30</v>
      </c>
      <c r="Y35" s="348" t="s">
        <v>31</v>
      </c>
      <c r="Z35" s="348"/>
      <c r="AA35" s="349" t="s">
        <v>32</v>
      </c>
      <c r="AB35" s="334" t="s">
        <v>33</v>
      </c>
      <c r="AC35" s="334" t="s">
        <v>34</v>
      </c>
      <c r="AD35" s="334" t="s">
        <v>35</v>
      </c>
      <c r="AE35" s="334" t="s">
        <v>36</v>
      </c>
      <c r="AF35" s="334"/>
      <c r="AG35" s="335" t="s">
        <v>37</v>
      </c>
      <c r="AH35" s="350" t="s">
        <v>2061</v>
      </c>
      <c r="AI35" s="336" t="s">
        <v>2183</v>
      </c>
      <c r="AJ35" s="336" t="s">
        <v>39</v>
      </c>
      <c r="AK35" s="336"/>
      <c r="AL35" s="350"/>
      <c r="AM35" s="351" t="s">
        <v>40</v>
      </c>
      <c r="AN35" s="352" t="s">
        <v>1688</v>
      </c>
      <c r="AO35" s="353" t="s">
        <v>2063</v>
      </c>
      <c r="AP35" s="354" t="s">
        <v>2064</v>
      </c>
      <c r="AQ35" s="412" t="s">
        <v>826</v>
      </c>
      <c r="AR35" s="413" t="s">
        <v>827</v>
      </c>
    </row>
    <row r="36" spans="2:44">
      <c r="B36" s="339" t="s">
        <v>2084</v>
      </c>
      <c r="C36" s="355"/>
      <c r="D36" s="355"/>
      <c r="E36" s="355"/>
      <c r="F36" s="355"/>
      <c r="G36" s="355"/>
      <c r="H36" s="355"/>
      <c r="I36" s="355"/>
      <c r="J36" s="355"/>
      <c r="K36" s="355"/>
      <c r="L36" s="355"/>
      <c r="M36" s="316"/>
      <c r="N36" s="316"/>
      <c r="O36" s="316"/>
      <c r="P36" s="422"/>
      <c r="Q36" s="316"/>
      <c r="R36" s="316"/>
      <c r="S36" s="316">
        <f>'Cert Tariffs'!H3</f>
        <v>90.3125</v>
      </c>
      <c r="T36" s="316">
        <f>'Cert Tariffs'!I3</f>
        <v>40.625</v>
      </c>
      <c r="U36" s="316"/>
      <c r="V36" s="316"/>
      <c r="W36" s="316">
        <f>S36+T36+U36+V36</f>
        <v>130.9375</v>
      </c>
      <c r="X36" s="316">
        <f>X8</f>
        <v>144.45454545454547</v>
      </c>
      <c r="Y36" s="316">
        <f>Y8</f>
        <v>182.72727272727258</v>
      </c>
      <c r="Z36" s="316"/>
      <c r="AA36" s="316">
        <f>X36+Y36+Z36</f>
        <v>327.18181818181802</v>
      </c>
      <c r="AB36" s="316">
        <f>AB8</f>
        <v>28.814300000000003</v>
      </c>
      <c r="AC36" s="316">
        <f>AC8</f>
        <v>6.9731404958677699</v>
      </c>
      <c r="AD36" s="316">
        <f>AD8</f>
        <v>12.587317427197693</v>
      </c>
      <c r="AE36" s="316">
        <f>AE8</f>
        <v>6.7352000000000087</v>
      </c>
      <c r="AF36" s="316"/>
      <c r="AG36" s="316">
        <f>AB36+AC36+AD36+AE36+AF36</f>
        <v>55.109957923065465</v>
      </c>
      <c r="AH36" s="316">
        <f>AH8</f>
        <v>79.999999999999986</v>
      </c>
      <c r="AI36" s="316">
        <f>AI8</f>
        <v>26.178082191780788</v>
      </c>
      <c r="AJ36" s="316">
        <f t="shared" ref="AJ36:AK36" si="8">AJ8</f>
        <v>0</v>
      </c>
      <c r="AK36" s="316">
        <f t="shared" si="8"/>
        <v>0</v>
      </c>
      <c r="AL36" s="316"/>
      <c r="AM36" s="316">
        <f>AH36+AI36+AJ36+AK36+AL36</f>
        <v>106.17808219178077</v>
      </c>
      <c r="AN36" s="316"/>
      <c r="AO36" s="316"/>
      <c r="AP36" s="363"/>
      <c r="AQ36" s="416">
        <f>W36+AA36+AG36+AM36</f>
        <v>619.40735829666426</v>
      </c>
      <c r="AR36" s="410"/>
    </row>
    <row r="37" spans="2:44">
      <c r="B37" s="343" t="s">
        <v>2085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317"/>
      <c r="N37" s="317"/>
      <c r="O37" s="317"/>
      <c r="P37" s="423"/>
      <c r="Q37" s="317"/>
      <c r="R37" s="317"/>
      <c r="S37" s="317">
        <f>'Cert Tariffs'!M3</f>
        <v>97</v>
      </c>
      <c r="T37" s="317">
        <f>'Cert Tariffs'!N3</f>
        <v>40.625</v>
      </c>
      <c r="U37" s="317"/>
      <c r="V37" s="317"/>
      <c r="W37" s="317">
        <f t="shared" ref="W37:W39" si="9">S37+T37+U37+V37</f>
        <v>137.625</v>
      </c>
      <c r="X37" s="317">
        <f>X7</f>
        <v>133.97335423197495</v>
      </c>
      <c r="Y37" s="317">
        <f>Y6</f>
        <v>197.95454545454541</v>
      </c>
      <c r="Z37" s="317"/>
      <c r="AA37" s="317">
        <f t="shared" ref="AA37:AA39" si="10">X37+Y37+Z37</f>
        <v>331.92789968652039</v>
      </c>
      <c r="AB37" s="317">
        <f>AB7</f>
        <v>28.814300000000003</v>
      </c>
      <c r="AC37" s="317">
        <f>AC7</f>
        <v>6.9731404958677681</v>
      </c>
      <c r="AD37" s="317">
        <f>AD7</f>
        <v>12.587317427197677</v>
      </c>
      <c r="AE37" s="317">
        <f>AE7</f>
        <v>6.7351999999999999</v>
      </c>
      <c r="AF37" s="317"/>
      <c r="AG37" s="317">
        <f t="shared" ref="AG37:AG39" si="11">AB37+AC37+AD37+AE37+AF37</f>
        <v>55.109957923065444</v>
      </c>
      <c r="AH37" s="317">
        <f>AH7</f>
        <v>79.999999999999986</v>
      </c>
      <c r="AI37" s="317">
        <f>AI7</f>
        <v>26.178082191780838</v>
      </c>
      <c r="AJ37" s="317">
        <f t="shared" ref="AJ37:AK37" si="12">AJ7</f>
        <v>0</v>
      </c>
      <c r="AK37" s="317">
        <f t="shared" si="12"/>
        <v>0</v>
      </c>
      <c r="AL37" s="317"/>
      <c r="AM37" s="317">
        <f t="shared" ref="AM37:AM39" si="13">AH37+AI37+AJ37+AK37+AL37</f>
        <v>106.17808219178082</v>
      </c>
      <c r="AN37" s="317"/>
      <c r="AO37" s="317"/>
      <c r="AP37" s="364"/>
      <c r="AQ37" s="415">
        <f>W37+AA37+AG37+AM37</f>
        <v>630.84093980136663</v>
      </c>
      <c r="AR37" s="179"/>
    </row>
    <row r="38" spans="2:44">
      <c r="B38" s="343" t="s">
        <v>2086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317"/>
      <c r="N38" s="317"/>
      <c r="O38" s="317"/>
      <c r="P38" s="423"/>
      <c r="Q38" s="317"/>
      <c r="R38" s="317"/>
      <c r="S38" s="317">
        <f>'Cert Tariffs'!R3</f>
        <v>100.6</v>
      </c>
      <c r="T38" s="317">
        <f>'Cert Tariffs'!S3</f>
        <v>40.625</v>
      </c>
      <c r="U38" s="317"/>
      <c r="V38" s="317"/>
      <c r="W38" s="317">
        <f t="shared" si="9"/>
        <v>141.22499999999999</v>
      </c>
      <c r="X38" s="317">
        <f>X5</f>
        <v>162.5</v>
      </c>
      <c r="Y38" s="317">
        <f>Y5</f>
        <v>268.18181818181807</v>
      </c>
      <c r="Z38" s="317"/>
      <c r="AA38" s="317">
        <f t="shared" si="10"/>
        <v>430.68181818181807</v>
      </c>
      <c r="AB38" s="317">
        <f>AB5</f>
        <v>28.814300000000003</v>
      </c>
      <c r="AC38" s="317">
        <f>AC5</f>
        <v>6.9731404958677681</v>
      </c>
      <c r="AD38" s="317">
        <f>AD5</f>
        <v>12.587317427197686</v>
      </c>
      <c r="AE38" s="317">
        <f>AE5</f>
        <v>6.7352000000000052</v>
      </c>
      <c r="AF38" s="317"/>
      <c r="AG38" s="317">
        <f t="shared" si="11"/>
        <v>55.109957923065465</v>
      </c>
      <c r="AH38" s="317">
        <f>AH5</f>
        <v>79.999999999999986</v>
      </c>
      <c r="AI38" s="317">
        <f>AI5</f>
        <v>26.178082191780806</v>
      </c>
      <c r="AJ38" s="317">
        <f t="shared" ref="AJ38:AK38" si="14">AJ5</f>
        <v>0</v>
      </c>
      <c r="AK38" s="317">
        <f t="shared" si="14"/>
        <v>0</v>
      </c>
      <c r="AL38" s="317"/>
      <c r="AM38" s="317">
        <f t="shared" si="13"/>
        <v>106.17808219178079</v>
      </c>
      <c r="AN38" s="317"/>
      <c r="AO38" s="317"/>
      <c r="AP38" s="364"/>
      <c r="AQ38" s="415">
        <f>W38+AA38+AG38+AM38</f>
        <v>733.19485829666428</v>
      </c>
      <c r="AR38" s="179"/>
    </row>
    <row r="39" spans="2:44" ht="15" thickBot="1">
      <c r="B39" s="344" t="s">
        <v>2087</v>
      </c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23"/>
      <c r="N39" s="323"/>
      <c r="O39" s="323"/>
      <c r="P39" s="424"/>
      <c r="Q39" s="323"/>
      <c r="R39" s="323"/>
      <c r="S39" s="323">
        <f>'Cert Tariffs'!W3</f>
        <v>110</v>
      </c>
      <c r="T39" s="323">
        <f>'Cert Tariffs'!X3</f>
        <v>40.625</v>
      </c>
      <c r="U39" s="323"/>
      <c r="V39" s="323"/>
      <c r="W39" s="323">
        <f t="shared" si="9"/>
        <v>150.625</v>
      </c>
      <c r="X39" s="323">
        <f>X9</f>
        <v>110.22727272727279</v>
      </c>
      <c r="Y39" s="323">
        <f>Y9</f>
        <v>107.0454545454547</v>
      </c>
      <c r="Z39" s="323"/>
      <c r="AA39" s="323">
        <f t="shared" si="10"/>
        <v>217.27272727272748</v>
      </c>
      <c r="AB39" s="323">
        <f>AB9</f>
        <v>28.814300000000003</v>
      </c>
      <c r="AC39" s="323">
        <f>AC9</f>
        <v>6.9731404958677681</v>
      </c>
      <c r="AD39" s="323">
        <f>AD9</f>
        <v>12.587317427197691</v>
      </c>
      <c r="AE39" s="323">
        <f>AE9</f>
        <v>6.7352000000000078</v>
      </c>
      <c r="AF39" s="323"/>
      <c r="AG39" s="323">
        <f t="shared" si="11"/>
        <v>55.109957923065465</v>
      </c>
      <c r="AH39" s="323">
        <f>AH9</f>
        <v>79.999999999999986</v>
      </c>
      <c r="AI39" s="323">
        <f>AI9</f>
        <v>26.178082191780796</v>
      </c>
      <c r="AJ39" s="323">
        <f t="shared" ref="AJ39:AK39" si="15">AJ9</f>
        <v>0</v>
      </c>
      <c r="AK39" s="323">
        <f t="shared" si="15"/>
        <v>0</v>
      </c>
      <c r="AL39" s="323"/>
      <c r="AM39" s="323">
        <f t="shared" si="13"/>
        <v>106.17808219178079</v>
      </c>
      <c r="AN39" s="323"/>
      <c r="AO39" s="323"/>
      <c r="AP39" s="455"/>
      <c r="AQ39" s="417">
        <f>W39+AA39+AG39+AM39</f>
        <v>529.18576738757372</v>
      </c>
      <c r="AR39" s="411"/>
    </row>
  </sheetData>
  <mergeCells count="24">
    <mergeCell ref="AN34:AP34"/>
    <mergeCell ref="AQ3:AR3"/>
    <mergeCell ref="AQ19:AR19"/>
    <mergeCell ref="AQ34:AR34"/>
    <mergeCell ref="C34:M34"/>
    <mergeCell ref="N34:R34"/>
    <mergeCell ref="S34:W34"/>
    <mergeCell ref="X34:AA34"/>
    <mergeCell ref="AB34:AG34"/>
    <mergeCell ref="AH34:AM34"/>
    <mergeCell ref="AN3:AP3"/>
    <mergeCell ref="C19:M19"/>
    <mergeCell ref="N19:R19"/>
    <mergeCell ref="S19:W19"/>
    <mergeCell ref="X19:AA19"/>
    <mergeCell ref="AB19:AG19"/>
    <mergeCell ref="AH19:AM19"/>
    <mergeCell ref="AN19:AP19"/>
    <mergeCell ref="C3:M3"/>
    <mergeCell ref="N3:R3"/>
    <mergeCell ref="S3:W3"/>
    <mergeCell ref="X3:AA3"/>
    <mergeCell ref="AB3:AG3"/>
    <mergeCell ref="AH3:AM3"/>
  </mergeCells>
  <pageMargins left="0.7" right="0.7" top="0.75" bottom="0.75" header="0.3" footer="0.3"/>
  <ignoredErrors>
    <ignoredError sqref="M24:O24 J24:J25 M25:O25 AH38 AI38:AK3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9B10-D93A-4322-AE74-D67CB2229EEF}">
  <sheetPr>
    <tabColor rgb="FFCCFF66"/>
  </sheetPr>
  <dimension ref="A1:CO63"/>
  <sheetViews>
    <sheetView showGridLines="0" zoomScale="90" zoomScaleNormal="90" workbookViewId="0">
      <pane xSplit="5" ySplit="7" topLeftCell="BJ25" activePane="bottomRight" state="frozen"/>
      <selection pane="topRight" activeCell="F1" sqref="F1"/>
      <selection pane="bottomLeft" activeCell="A8" sqref="A8"/>
      <selection pane="bottomRight" activeCell="CN38" sqref="CN38"/>
    </sheetView>
  </sheetViews>
  <sheetFormatPr defaultColWidth="9.1796875" defaultRowHeight="12" outlineLevelCol="1"/>
  <cols>
    <col min="1" max="1" width="9.1796875" style="1"/>
    <col min="2" max="2" width="4.81640625" style="1" bestFit="1" customWidth="1"/>
    <col min="3" max="3" width="3" style="1" bestFit="1" customWidth="1"/>
    <col min="4" max="4" width="3.54296875" style="1" bestFit="1" customWidth="1"/>
    <col min="5" max="5" width="9.1796875" style="1"/>
    <col min="6" max="6" width="7.81640625" style="1" hidden="1" customWidth="1" outlineLevel="1"/>
    <col min="7" max="7" width="7.26953125" style="1" hidden="1" customWidth="1" outlineLevel="1"/>
    <col min="8" max="8" width="10.54296875" style="1" hidden="1" customWidth="1" outlineLevel="1"/>
    <col min="9" max="9" width="5.1796875" style="1" hidden="1" customWidth="1" outlineLevel="1"/>
    <col min="10" max="10" width="6.7265625" style="1" hidden="1" customWidth="1" outlineLevel="1"/>
    <col min="11" max="11" width="6.453125" style="1" hidden="1" customWidth="1" outlineLevel="1"/>
    <col min="12" max="12" width="6.54296875" style="1" hidden="1" customWidth="1" outlineLevel="1"/>
    <col min="13" max="13" width="10.7265625" style="1" hidden="1" customWidth="1" outlineLevel="1"/>
    <col min="14" max="14" width="5.7265625" style="1" hidden="1" customWidth="1" outlineLevel="1"/>
    <col min="15" max="16" width="5.81640625" style="1" hidden="1" customWidth="1" outlineLevel="1"/>
    <col min="17" max="38" width="9.1796875" style="1" hidden="1" customWidth="1" outlineLevel="1"/>
    <col min="39" max="39" width="11.1796875" style="1" hidden="1" customWidth="1" outlineLevel="1"/>
    <col min="40" max="41" width="7" style="1" hidden="1" customWidth="1" outlineLevel="1"/>
    <col min="42" max="42" width="10.1796875" style="1" hidden="1" customWidth="1" outlineLevel="1"/>
    <col min="43" max="43" width="11.54296875" style="1" hidden="1" customWidth="1" outlineLevel="1"/>
    <col min="44" max="47" width="9.1796875" style="1" hidden="1" customWidth="1" outlineLevel="1"/>
    <col min="48" max="48" width="5.7265625" style="1" hidden="1" customWidth="1" outlineLevel="1"/>
    <col min="49" max="49" width="5.81640625" style="1" hidden="1" customWidth="1" outlineLevel="1"/>
    <col min="50" max="71" width="9.1796875" style="1" hidden="1" customWidth="1" outlineLevel="1"/>
    <col min="72" max="72" width="9.1796875" style="1" collapsed="1"/>
    <col min="73" max="80" width="9.1796875" style="1"/>
    <col min="81" max="81" width="5.26953125" style="1" bestFit="1" customWidth="1"/>
    <col min="82" max="82" width="5.54296875" style="1" bestFit="1" customWidth="1"/>
    <col min="83" max="83" width="4.453125" style="1" bestFit="1" customWidth="1"/>
    <col min="84" max="84" width="5.453125" style="1" bestFit="1" customWidth="1"/>
    <col min="85" max="89" width="9.1796875" style="1"/>
    <col min="90" max="90" width="8.26953125" style="1" bestFit="1" customWidth="1"/>
    <col min="91" max="91" width="7.81640625" style="1" bestFit="1" customWidth="1"/>
    <col min="92" max="93" width="4.453125" style="1" bestFit="1" customWidth="1"/>
    <col min="94" max="16384" width="9.1796875" style="1"/>
  </cols>
  <sheetData>
    <row r="1" spans="1:93">
      <c r="F1" s="87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O1" s="199"/>
      <c r="AP1" s="199"/>
      <c r="AQ1" s="199"/>
      <c r="AR1" s="199"/>
      <c r="AS1" s="199"/>
      <c r="AT1" s="199"/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</row>
    <row r="2" spans="1:93" ht="12.5" thickBot="1">
      <c r="F2" s="647" t="s">
        <v>2126</v>
      </c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7" t="s">
        <v>2135</v>
      </c>
      <c r="R2" s="648"/>
      <c r="S2" s="648"/>
      <c r="T2" s="648"/>
      <c r="U2" s="648"/>
      <c r="V2" s="648"/>
      <c r="W2" s="648"/>
      <c r="X2" s="648"/>
      <c r="Y2" s="648"/>
      <c r="Z2" s="648"/>
      <c r="AA2" s="648"/>
      <c r="AB2" s="647" t="s">
        <v>2126</v>
      </c>
      <c r="AC2" s="648"/>
      <c r="AD2" s="648"/>
      <c r="AE2" s="648"/>
      <c r="AF2" s="648"/>
      <c r="AG2" s="648"/>
      <c r="AH2" s="648"/>
      <c r="AI2" s="648"/>
      <c r="AJ2" s="648"/>
      <c r="AK2" s="648"/>
      <c r="AL2" s="648"/>
      <c r="AM2" s="647" t="s">
        <v>2184</v>
      </c>
      <c r="AN2" s="648"/>
      <c r="AO2" s="648"/>
      <c r="AP2" s="648"/>
      <c r="AQ2" s="648"/>
      <c r="AR2" s="648"/>
      <c r="AS2" s="648"/>
      <c r="AT2" s="648"/>
      <c r="AU2" s="648"/>
      <c r="AV2" s="648"/>
      <c r="AW2" s="648"/>
      <c r="AX2" s="647" t="s">
        <v>2137</v>
      </c>
      <c r="AY2" s="648"/>
      <c r="AZ2" s="648"/>
      <c r="BA2" s="648"/>
      <c r="BB2" s="648"/>
      <c r="BC2" s="648"/>
      <c r="BD2" s="648"/>
      <c r="BE2" s="648"/>
      <c r="BF2" s="648"/>
      <c r="BG2" s="648"/>
      <c r="BH2" s="648"/>
      <c r="BI2" s="647" t="s">
        <v>2138</v>
      </c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47" t="s">
        <v>2189</v>
      </c>
      <c r="BU2" s="648"/>
      <c r="BV2" s="648"/>
      <c r="BW2" s="648"/>
      <c r="BX2" s="648"/>
      <c r="BY2" s="648"/>
      <c r="BZ2" s="648"/>
      <c r="CA2" s="648"/>
      <c r="CB2" s="648"/>
      <c r="CC2" s="648"/>
      <c r="CD2" s="648"/>
      <c r="CE2" s="647" t="s">
        <v>2190</v>
      </c>
      <c r="CF2" s="648"/>
      <c r="CG2" s="648"/>
      <c r="CH2" s="648"/>
      <c r="CI2" s="648"/>
      <c r="CJ2" s="648"/>
      <c r="CK2" s="648"/>
      <c r="CL2" s="648"/>
      <c r="CM2" s="648"/>
      <c r="CN2" s="648"/>
      <c r="CO2" s="648"/>
    </row>
    <row r="3" spans="1:93" ht="14.25" customHeight="1" thickBot="1">
      <c r="F3" s="649" t="s">
        <v>2127</v>
      </c>
      <c r="G3" s="650"/>
      <c r="H3" s="650"/>
      <c r="I3" s="650"/>
      <c r="J3" s="650"/>
      <c r="K3" s="650"/>
      <c r="L3" s="650"/>
      <c r="M3" s="650"/>
      <c r="N3" s="650"/>
      <c r="O3" s="650"/>
      <c r="P3" s="651"/>
      <c r="Q3" s="652" t="s">
        <v>1</v>
      </c>
      <c r="R3" s="653"/>
      <c r="S3" s="653"/>
      <c r="T3" s="653"/>
      <c r="U3" s="653"/>
      <c r="V3" s="653"/>
      <c r="W3" s="653"/>
      <c r="X3" s="653"/>
      <c r="Y3" s="653"/>
      <c r="Z3" s="653"/>
      <c r="AA3" s="654"/>
      <c r="AB3" s="655" t="s">
        <v>2</v>
      </c>
      <c r="AC3" s="656"/>
      <c r="AD3" s="656"/>
      <c r="AE3" s="656"/>
      <c r="AF3" s="656"/>
      <c r="AG3" s="656"/>
      <c r="AH3" s="656"/>
      <c r="AI3" s="656"/>
      <c r="AJ3" s="656"/>
      <c r="AK3" s="656"/>
      <c r="AL3" s="657"/>
      <c r="AM3" s="658" t="s">
        <v>3</v>
      </c>
      <c r="AN3" s="659"/>
      <c r="AO3" s="659"/>
      <c r="AP3" s="659"/>
      <c r="AQ3" s="659"/>
      <c r="AR3" s="659"/>
      <c r="AS3" s="659"/>
      <c r="AT3" s="659"/>
      <c r="AU3" s="659"/>
      <c r="AV3" s="659"/>
      <c r="AW3" s="660"/>
      <c r="AX3" s="661" t="s">
        <v>2128</v>
      </c>
      <c r="AY3" s="662"/>
      <c r="AZ3" s="662"/>
      <c r="BA3" s="662"/>
      <c r="BB3" s="662"/>
      <c r="BC3" s="662"/>
      <c r="BD3" s="662"/>
      <c r="BE3" s="662"/>
      <c r="BF3" s="662"/>
      <c r="BG3" s="662"/>
      <c r="BH3" s="662"/>
      <c r="BI3" s="663" t="s">
        <v>2104</v>
      </c>
      <c r="BJ3" s="664"/>
      <c r="BK3" s="664"/>
      <c r="BL3" s="664"/>
      <c r="BM3" s="664"/>
      <c r="BN3" s="664"/>
      <c r="BO3" s="664"/>
      <c r="BP3" s="664"/>
      <c r="BQ3" s="664"/>
      <c r="BR3" s="664"/>
      <c r="BS3" s="665"/>
      <c r="BT3" s="666" t="s">
        <v>2129</v>
      </c>
      <c r="BU3" s="667"/>
      <c r="BV3" s="667"/>
      <c r="BW3" s="667"/>
      <c r="BX3" s="667"/>
      <c r="BY3" s="667"/>
      <c r="BZ3" s="667"/>
      <c r="CA3" s="667"/>
      <c r="CB3" s="667"/>
      <c r="CC3" s="667"/>
      <c r="CD3" s="668"/>
      <c r="CE3" s="669" t="s">
        <v>2130</v>
      </c>
      <c r="CF3" s="670"/>
      <c r="CG3" s="670"/>
      <c r="CH3" s="670"/>
      <c r="CI3" s="670"/>
      <c r="CJ3" s="670"/>
      <c r="CK3" s="670"/>
      <c r="CL3" s="670"/>
      <c r="CM3" s="670"/>
      <c r="CN3" s="670"/>
      <c r="CO3" s="671"/>
    </row>
    <row r="4" spans="1:93" ht="14.25" customHeight="1" thickBot="1">
      <c r="F4" s="378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28</v>
      </c>
      <c r="M4" s="506" t="s">
        <v>21</v>
      </c>
      <c r="N4" s="406"/>
      <c r="O4" s="406"/>
      <c r="P4" s="406"/>
      <c r="Q4" s="493" t="s">
        <v>23</v>
      </c>
      <c r="R4" s="379" t="s">
        <v>2096</v>
      </c>
      <c r="S4" s="379" t="s">
        <v>25</v>
      </c>
      <c r="T4" s="494"/>
      <c r="U4" s="406"/>
      <c r="V4" s="406"/>
      <c r="W4" s="406"/>
      <c r="X4" s="406"/>
      <c r="Y4" s="406"/>
      <c r="Z4" s="406"/>
      <c r="AA4" s="406"/>
      <c r="AB4" s="4" t="s">
        <v>27</v>
      </c>
      <c r="AC4" s="5" t="s">
        <v>20</v>
      </c>
      <c r="AD4" s="5" t="s">
        <v>28</v>
      </c>
      <c r="AE4" s="495"/>
      <c r="AF4" s="406"/>
      <c r="AG4" s="406"/>
      <c r="AH4" s="406"/>
      <c r="AI4" s="406"/>
      <c r="AJ4" s="406"/>
      <c r="AK4" s="406"/>
      <c r="AL4" s="406"/>
      <c r="AM4" s="496" t="s">
        <v>30</v>
      </c>
      <c r="AN4" s="382" t="s">
        <v>31</v>
      </c>
      <c r="AO4" s="497"/>
      <c r="AP4" s="406"/>
      <c r="AQ4" s="406"/>
      <c r="AS4" s="406"/>
      <c r="AT4" s="406"/>
      <c r="AU4" s="406"/>
      <c r="AV4" s="406"/>
      <c r="AW4" s="406"/>
      <c r="AX4" s="383" t="s">
        <v>33</v>
      </c>
      <c r="AY4" s="384" t="s">
        <v>34</v>
      </c>
      <c r="AZ4" s="384" t="s">
        <v>35</v>
      </c>
      <c r="BA4" s="384" t="s">
        <v>36</v>
      </c>
      <c r="BB4" s="498"/>
      <c r="BC4" s="406"/>
      <c r="BD4" s="406"/>
      <c r="BE4" s="406"/>
      <c r="BF4" s="406"/>
      <c r="BG4" s="406"/>
      <c r="BH4" s="406"/>
      <c r="BI4" s="499" t="s">
        <v>38</v>
      </c>
      <c r="BJ4" s="500" t="s">
        <v>2062</v>
      </c>
      <c r="BK4" s="500" t="s">
        <v>39</v>
      </c>
      <c r="BL4" s="500" t="s">
        <v>28</v>
      </c>
      <c r="BM4" s="501"/>
      <c r="BN4" s="406"/>
      <c r="BO4" s="406"/>
      <c r="BP4" s="406"/>
      <c r="BQ4" s="406"/>
      <c r="BR4" s="406"/>
      <c r="BS4" s="406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M4" s="199"/>
      <c r="CN4" s="199"/>
      <c r="CO4" s="199"/>
    </row>
    <row r="5" spans="1:93" ht="14.25" customHeight="1" thickBot="1">
      <c r="F5" s="406"/>
      <c r="G5" s="406"/>
      <c r="H5" s="406"/>
      <c r="I5" s="406"/>
      <c r="J5" s="406"/>
      <c r="K5" s="406"/>
      <c r="L5" s="406"/>
      <c r="M5" s="406"/>
      <c r="N5" s="406"/>
      <c r="O5" s="406"/>
      <c r="P5" s="406"/>
      <c r="Q5" s="406"/>
      <c r="R5" s="406"/>
      <c r="S5" s="406"/>
      <c r="T5" s="406"/>
      <c r="U5" s="406"/>
      <c r="V5" s="406"/>
      <c r="W5" s="406"/>
      <c r="X5" s="406"/>
      <c r="Y5" s="406"/>
      <c r="Z5" s="406"/>
      <c r="AA5" s="406"/>
      <c r="AB5" s="406"/>
      <c r="AC5" s="406"/>
      <c r="AD5" s="406"/>
      <c r="AE5" s="406"/>
      <c r="AF5" s="406"/>
      <c r="AG5" s="406"/>
      <c r="AH5" s="406"/>
      <c r="AI5" s="406"/>
      <c r="AJ5" s="406"/>
      <c r="AK5" s="406"/>
      <c r="AL5" s="406"/>
      <c r="AM5" s="405" t="s">
        <v>241</v>
      </c>
      <c r="AN5" s="405" t="s">
        <v>439</v>
      </c>
      <c r="AO5" s="405" t="s">
        <v>439</v>
      </c>
      <c r="AP5" s="405" t="s">
        <v>537</v>
      </c>
      <c r="AQ5" s="405" t="s">
        <v>682</v>
      </c>
      <c r="AR5" s="406"/>
      <c r="AS5" s="406"/>
      <c r="AT5" s="406"/>
      <c r="AU5" s="406"/>
      <c r="AV5" s="406"/>
      <c r="AW5" s="406"/>
      <c r="AX5" s="406"/>
      <c r="AY5" s="406"/>
      <c r="AZ5" s="406"/>
      <c r="BA5" s="406"/>
      <c r="BB5" s="406"/>
      <c r="BC5" s="406"/>
      <c r="BD5" s="406"/>
      <c r="BE5" s="406"/>
      <c r="BF5" s="406"/>
      <c r="BG5" s="406"/>
      <c r="BH5" s="406"/>
      <c r="BI5" s="406"/>
      <c r="BJ5" s="406"/>
      <c r="BK5" s="406"/>
      <c r="BL5" s="406"/>
      <c r="BM5" s="406"/>
      <c r="BN5" s="406"/>
      <c r="BO5" s="406"/>
      <c r="BP5" s="406"/>
      <c r="BQ5" s="406"/>
      <c r="BR5" s="406"/>
      <c r="BS5" s="406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  <c r="CK5" s="199"/>
      <c r="CL5" s="199"/>
      <c r="CM5" s="199"/>
      <c r="CN5" s="199"/>
      <c r="CO5" s="199"/>
    </row>
    <row r="6" spans="1:93" ht="12.5" thickBot="1">
      <c r="B6" s="134"/>
      <c r="C6" s="304" t="s">
        <v>2052</v>
      </c>
      <c r="D6" s="371" t="s">
        <v>2053</v>
      </c>
      <c r="F6" s="199" t="s">
        <v>2066</v>
      </c>
      <c r="G6" s="199" t="s">
        <v>2067</v>
      </c>
      <c r="H6" s="199" t="s">
        <v>2091</v>
      </c>
      <c r="I6" s="199" t="s">
        <v>2090</v>
      </c>
      <c r="J6" s="199" t="s">
        <v>2092</v>
      </c>
      <c r="K6" s="199" t="s">
        <v>2131</v>
      </c>
      <c r="L6" s="199" t="s">
        <v>2132</v>
      </c>
      <c r="M6" s="199" t="s">
        <v>2133</v>
      </c>
      <c r="N6" s="199" t="s">
        <v>2134</v>
      </c>
      <c r="O6" s="484" t="s">
        <v>1753</v>
      </c>
      <c r="P6" s="485" t="s">
        <v>1724</v>
      </c>
      <c r="Q6" s="199" t="s">
        <v>2066</v>
      </c>
      <c r="R6" s="199" t="s">
        <v>2067</v>
      </c>
      <c r="S6" s="199" t="s">
        <v>2091</v>
      </c>
      <c r="T6" s="199" t="s">
        <v>2090</v>
      </c>
      <c r="U6" s="199" t="s">
        <v>2092</v>
      </c>
      <c r="V6" s="199" t="s">
        <v>2131</v>
      </c>
      <c r="W6" s="199" t="s">
        <v>2132</v>
      </c>
      <c r="X6" s="199" t="s">
        <v>2133</v>
      </c>
      <c r="Y6" s="199" t="s">
        <v>2134</v>
      </c>
      <c r="Z6" s="484" t="s">
        <v>1753</v>
      </c>
      <c r="AA6" s="485" t="s">
        <v>1724</v>
      </c>
      <c r="AB6" s="199" t="s">
        <v>2066</v>
      </c>
      <c r="AC6" s="199" t="s">
        <v>2067</v>
      </c>
      <c r="AD6" s="199" t="s">
        <v>2091</v>
      </c>
      <c r="AE6" s="199" t="s">
        <v>2090</v>
      </c>
      <c r="AF6" s="199" t="s">
        <v>2092</v>
      </c>
      <c r="AG6" s="199" t="s">
        <v>2131</v>
      </c>
      <c r="AH6" s="199" t="s">
        <v>2132</v>
      </c>
      <c r="AI6" s="199" t="s">
        <v>2133</v>
      </c>
      <c r="AJ6" s="199" t="s">
        <v>2134</v>
      </c>
      <c r="AK6" s="484" t="s">
        <v>1753</v>
      </c>
      <c r="AL6" s="485" t="s">
        <v>1724</v>
      </c>
      <c r="AM6" s="199" t="s">
        <v>2066</v>
      </c>
      <c r="AN6" s="199" t="s">
        <v>2067</v>
      </c>
      <c r="AO6" s="199" t="s">
        <v>2091</v>
      </c>
      <c r="AP6" s="199" t="s">
        <v>2090</v>
      </c>
      <c r="AQ6" s="199" t="s">
        <v>2092</v>
      </c>
      <c r="AR6" s="199" t="s">
        <v>2131</v>
      </c>
      <c r="AS6" s="199" t="s">
        <v>2132</v>
      </c>
      <c r="AT6" s="199" t="s">
        <v>2133</v>
      </c>
      <c r="AU6" s="199" t="s">
        <v>2134</v>
      </c>
      <c r="AV6" s="484" t="s">
        <v>1753</v>
      </c>
      <c r="AW6" s="485" t="s">
        <v>1724</v>
      </c>
      <c r="AX6" s="199" t="s">
        <v>2066</v>
      </c>
      <c r="AY6" s="199" t="s">
        <v>2067</v>
      </c>
      <c r="AZ6" s="199" t="s">
        <v>2091</v>
      </c>
      <c r="BA6" s="199" t="s">
        <v>2090</v>
      </c>
      <c r="BB6" s="199" t="s">
        <v>2092</v>
      </c>
      <c r="BC6" s="199" t="s">
        <v>2131</v>
      </c>
      <c r="BD6" s="199" t="s">
        <v>2132</v>
      </c>
      <c r="BE6" s="199" t="s">
        <v>2133</v>
      </c>
      <c r="BF6" s="199" t="s">
        <v>2134</v>
      </c>
      <c r="BG6" s="484" t="s">
        <v>1753</v>
      </c>
      <c r="BH6" s="485" t="s">
        <v>1724</v>
      </c>
      <c r="BI6" s="199" t="s">
        <v>2066</v>
      </c>
      <c r="BJ6" s="199" t="s">
        <v>2067</v>
      </c>
      <c r="BK6" s="199" t="s">
        <v>2091</v>
      </c>
      <c r="BL6" s="199" t="s">
        <v>2090</v>
      </c>
      <c r="BM6" s="199" t="s">
        <v>2092</v>
      </c>
      <c r="BN6" s="199" t="s">
        <v>2131</v>
      </c>
      <c r="BO6" s="199" t="s">
        <v>2132</v>
      </c>
      <c r="BP6" s="199" t="s">
        <v>2133</v>
      </c>
      <c r="BQ6" s="199" t="s">
        <v>2134</v>
      </c>
      <c r="BR6" s="484" t="s">
        <v>1753</v>
      </c>
      <c r="BS6" s="485" t="s">
        <v>1724</v>
      </c>
      <c r="BT6" s="199" t="s">
        <v>2066</v>
      </c>
      <c r="BU6" s="199" t="s">
        <v>2067</v>
      </c>
      <c r="BV6" s="199" t="s">
        <v>2091</v>
      </c>
      <c r="BW6" s="199" t="s">
        <v>2090</v>
      </c>
      <c r="BX6" s="199" t="s">
        <v>2092</v>
      </c>
      <c r="BY6" s="199" t="s">
        <v>2131</v>
      </c>
      <c r="BZ6" s="199" t="s">
        <v>2132</v>
      </c>
      <c r="CA6" s="199" t="s">
        <v>2133</v>
      </c>
      <c r="CB6" s="199" t="s">
        <v>2134</v>
      </c>
      <c r="CC6" s="484" t="s">
        <v>1753</v>
      </c>
      <c r="CD6" s="485" t="s">
        <v>1724</v>
      </c>
      <c r="CE6" s="199" t="s">
        <v>2066</v>
      </c>
      <c r="CF6" s="199" t="s">
        <v>2067</v>
      </c>
      <c r="CG6" s="199" t="s">
        <v>2091</v>
      </c>
      <c r="CH6" s="199" t="s">
        <v>2090</v>
      </c>
      <c r="CI6" s="199" t="s">
        <v>2092</v>
      </c>
      <c r="CJ6" s="199" t="s">
        <v>2131</v>
      </c>
      <c r="CK6" s="199" t="s">
        <v>2132</v>
      </c>
      <c r="CL6" s="199" t="s">
        <v>2133</v>
      </c>
      <c r="CM6" s="199" t="s">
        <v>2134</v>
      </c>
      <c r="CN6" s="484" t="s">
        <v>1753</v>
      </c>
      <c r="CO6" s="485" t="s">
        <v>1724</v>
      </c>
    </row>
    <row r="7" spans="1:93" ht="12.5" thickBot="1">
      <c r="A7" s="489" t="s">
        <v>1912</v>
      </c>
      <c r="B7" s="490"/>
      <c r="C7" s="491"/>
      <c r="D7" s="491"/>
      <c r="E7" s="492" t="s">
        <v>1635</v>
      </c>
      <c r="F7" s="503">
        <f>CIF!M5</f>
        <v>307.52023809523791</v>
      </c>
      <c r="G7" s="503">
        <f>CIF!M6</f>
        <v>308.68205128205102</v>
      </c>
      <c r="H7" s="503">
        <f>CIF!M7</f>
        <v>452.33045977011483</v>
      </c>
      <c r="I7" s="503">
        <f>CIF!M8</f>
        <v>106.65000000000011</v>
      </c>
      <c r="J7" s="503">
        <f>AVERAGE(CIF!M9,CIF!M10)</f>
        <v>63.672812667740246</v>
      </c>
      <c r="K7" s="503">
        <f>AVERAGE(CIF!M5,CIF!M7,CIF!M8,CIF!M9,CIF!M10)</f>
        <v>198.76926464016665</v>
      </c>
      <c r="L7" s="503">
        <f>AVERAGE(CIF!M8:M10)</f>
        <v>77.998541778493532</v>
      </c>
      <c r="M7" s="504"/>
      <c r="N7" s="504"/>
      <c r="O7" s="505"/>
      <c r="P7" s="505"/>
      <c r="Q7" s="502">
        <f>CIF!R5</f>
        <v>192.33065953654184</v>
      </c>
      <c r="R7" s="486">
        <f>CIF!R6</f>
        <v>294.60561497326216</v>
      </c>
      <c r="S7" s="486">
        <f>CIF!R7</f>
        <v>205.94276094276094</v>
      </c>
      <c r="T7" s="486">
        <f>CIF!R8</f>
        <v>212.56872727272739</v>
      </c>
      <c r="U7" s="486">
        <f>AVERAGE(CIF!R9,CIF!R10)</f>
        <v>222.95738525155809</v>
      </c>
      <c r="V7" s="486">
        <f>AVERAGE(CIF!R5,CIF!R7,CIF!R8,CIF!R9,CIF!R10)</f>
        <v>211.35138365102929</v>
      </c>
      <c r="W7" s="486">
        <f>AVERAGE(CIF!R9,CIF!R10,CIF!R8)</f>
        <v>219.49449925861452</v>
      </c>
      <c r="X7" s="487"/>
      <c r="Y7" s="487"/>
      <c r="Z7" s="487"/>
      <c r="AA7" s="488"/>
      <c r="AB7" s="486">
        <f>CIF!W5</f>
        <v>130.64999999999989</v>
      </c>
      <c r="AC7" s="486">
        <f>CIF!W6</f>
        <v>130.64999999999989</v>
      </c>
      <c r="AD7" s="486">
        <f>CIF!W7</f>
        <v>130.65000000000006</v>
      </c>
      <c r="AE7" s="486">
        <f>CIF!W8</f>
        <v>112.3460000000001</v>
      </c>
      <c r="AF7" s="486">
        <f>AVERAGE(CIF!W9:W10)</f>
        <v>127.72160493827144</v>
      </c>
      <c r="AG7" s="486">
        <f>AVERAGE(CIF!W5,CIF!W7,CIF!W8,CIF!W9,CIF!W10)</f>
        <v>125.8178419753086</v>
      </c>
      <c r="AH7" s="486">
        <f>AVERAGE(CIF!W8,CIF!W9,CIF!W10)</f>
        <v>122.59640329218099</v>
      </c>
      <c r="AI7" s="507">
        <f>CIF!W15</f>
        <v>0</v>
      </c>
      <c r="AJ7" s="507">
        <f>CIF!W14</f>
        <v>0</v>
      </c>
      <c r="AK7" s="487"/>
      <c r="AL7" s="487"/>
      <c r="AM7" s="502">
        <f>CIF!$X$5+VLOOKUP($AM$5&amp;$E7,OCEAN!$E:$J,5,FALSE)</f>
        <v>430.68181818181819</v>
      </c>
      <c r="AN7" s="486">
        <f>CIF!$X$6+VLOOKUP($AN$5&amp;$E7,OCEAN!$E:$J,5,FALSE)</f>
        <v>331.92789968652039</v>
      </c>
      <c r="AO7" s="486">
        <f>CIF!$X$7+VLOOKUP($AO$5&amp;$E7,OCEAN!$E:$J,5,FALSE)</f>
        <v>331.92789968652039</v>
      </c>
      <c r="AP7" s="486">
        <f>CIF!$X$8+VLOOKUP($AP$5&amp;$E7,OCEAN!$E:$J,5,FALSE)</f>
        <v>327.18181818181824</v>
      </c>
      <c r="AQ7" s="486">
        <f>CIF!$X$9+VLOOKUP($AQ$5&amp;$E7,OCEAN!$E:$J,5,FALSE)</f>
        <v>217.27272727272734</v>
      </c>
      <c r="AR7" s="486">
        <f>AVERAGE(AM7,AO7,AP7,AQ7)</f>
        <v>326.766065830721</v>
      </c>
      <c r="AS7" s="486">
        <f>AVERAGE(AP7,AQ7)</f>
        <v>272.2272727272728</v>
      </c>
      <c r="AT7" s="487"/>
      <c r="AU7" s="487"/>
      <c r="AV7" s="487"/>
      <c r="AW7" s="488"/>
      <c r="AX7" s="502">
        <f>CIF!AG5</f>
        <v>55.109957923065402</v>
      </c>
      <c r="AY7" s="486">
        <f>CIF!AG6</f>
        <v>55.109957923065402</v>
      </c>
      <c r="AZ7" s="486">
        <f>CIF!AG7</f>
        <v>55.109957923065409</v>
      </c>
      <c r="BA7" s="486">
        <f>CIF!AG8</f>
        <v>55.109957923065402</v>
      </c>
      <c r="BB7" s="486">
        <f>CIF!AG9</f>
        <v>55.109957923065402</v>
      </c>
      <c r="BC7" s="486">
        <f>AVERAGE(CIF!AG5,CIF!AG7,CIF!AG8,CIF!AG9,CIF!AG10)</f>
        <v>55.109957923065409</v>
      </c>
      <c r="BD7" s="486">
        <f>AVERAGE(CIF!AG8:AG10)</f>
        <v>55.109957923065416</v>
      </c>
      <c r="BE7" s="487"/>
      <c r="BF7" s="487"/>
      <c r="BG7" s="487"/>
      <c r="BH7" s="488"/>
      <c r="BI7" s="502">
        <f>CIF!$AM5</f>
        <v>106.1780821917809</v>
      </c>
      <c r="BJ7" s="486">
        <f>CIF!$AM6</f>
        <v>106.17808219178089</v>
      </c>
      <c r="BK7" s="486">
        <f>CIF!$AM7</f>
        <v>106.17808219178083</v>
      </c>
      <c r="BL7" s="486">
        <f>CIF!$AM8</f>
        <v>106.17808219178092</v>
      </c>
      <c r="BM7" s="486">
        <f>CIF!$AM9</f>
        <v>106.1780821917809</v>
      </c>
      <c r="BN7" s="486">
        <f>AVERAGE(CIF!AM5,CIF!AM7,CIF!AM8,CIF!AM9,CIF!AM10)</f>
        <v>106.17808219178089</v>
      </c>
      <c r="BO7" s="486">
        <f>AVERAGE(CIF!AM8:AM10)</f>
        <v>106.17808219178089</v>
      </c>
      <c r="BP7" s="486">
        <f>CIF!AM15</f>
        <v>0</v>
      </c>
      <c r="BQ7" s="486">
        <f>CIF!AM14</f>
        <v>0</v>
      </c>
      <c r="BR7" s="487"/>
      <c r="BS7" s="488"/>
      <c r="BT7" s="502">
        <f>CIF!AQ5</f>
        <v>1222.4707559284445</v>
      </c>
      <c r="BU7" s="486">
        <f>CIF!$AQ6</f>
        <v>1226.1347972792501</v>
      </c>
      <c r="BV7" s="486">
        <f>CIF!$AQ7</f>
        <v>1284.5607906082862</v>
      </c>
      <c r="BW7" s="486">
        <f>CIF!$AQ8</f>
        <v>921.60276738757398</v>
      </c>
      <c r="BX7" s="486">
        <f>J7+U7+AF7+AQ7+BB7+BM7</f>
        <v>792.91257024514334</v>
      </c>
      <c r="BY7" s="486">
        <f t="shared" ref="BV7:BY8" si="0">K7+V7+AG7+AR7+BC7+BN7</f>
        <v>1023.9925962120718</v>
      </c>
      <c r="BZ7" s="486">
        <f>L7+W7+AH7+AS7+BD7+BO7</f>
        <v>853.6047571714081</v>
      </c>
      <c r="CA7" s="487"/>
      <c r="CB7" s="487"/>
      <c r="CC7" s="486">
        <v>348</v>
      </c>
      <c r="CD7" s="611">
        <v>284</v>
      </c>
      <c r="CE7" s="556">
        <f>BT7-CIF!AQ5</f>
        <v>0</v>
      </c>
      <c r="CF7" s="503">
        <f>BU7-CIF!AQ6</f>
        <v>0</v>
      </c>
      <c r="CG7" s="503">
        <f>BV7-CIF!AQ7</f>
        <v>0</v>
      </c>
      <c r="CH7" s="503">
        <f>BW7-CIF!AQ8</f>
        <v>0</v>
      </c>
      <c r="CI7" s="503">
        <v>0</v>
      </c>
      <c r="CJ7" s="503">
        <v>0</v>
      </c>
      <c r="CK7" s="503">
        <v>0</v>
      </c>
      <c r="CL7" s="503">
        <v>0</v>
      </c>
      <c r="CM7" s="503">
        <v>0</v>
      </c>
      <c r="CN7" s="505"/>
      <c r="CO7" s="557"/>
    </row>
    <row r="8" spans="1:93" ht="12.5" thickBot="1">
      <c r="A8" s="457" t="s">
        <v>1637</v>
      </c>
      <c r="B8" s="457" t="s">
        <v>1638</v>
      </c>
      <c r="C8" s="458">
        <v>38</v>
      </c>
      <c r="D8" s="459">
        <v>18</v>
      </c>
      <c r="E8" s="83" t="s">
        <v>1729</v>
      </c>
      <c r="F8" s="398">
        <f>$F$7</f>
        <v>307.52023809523791</v>
      </c>
      <c r="G8" s="401">
        <f>$G$7</f>
        <v>308.68205128205102</v>
      </c>
      <c r="H8" s="401">
        <f>$H$7</f>
        <v>452.33045977011483</v>
      </c>
      <c r="I8" s="401">
        <f>$I$7</f>
        <v>106.65000000000011</v>
      </c>
      <c r="J8" s="401">
        <f>$J$7</f>
        <v>63.672812667740246</v>
      </c>
      <c r="K8" s="401">
        <f>$K$7</f>
        <v>198.76926464016665</v>
      </c>
      <c r="L8" s="401">
        <f>$L$7</f>
        <v>77.998541778493532</v>
      </c>
      <c r="M8" s="71"/>
      <c r="N8" s="71"/>
      <c r="O8" s="71"/>
      <c r="P8" s="59"/>
      <c r="Q8" s="398">
        <f>$Q$7</f>
        <v>192.33065953654184</v>
      </c>
      <c r="R8" s="401">
        <f>$R$7</f>
        <v>294.60561497326216</v>
      </c>
      <c r="S8" s="401">
        <f>$S$7</f>
        <v>205.94276094276094</v>
      </c>
      <c r="T8" s="401">
        <f>$T$7</f>
        <v>212.56872727272739</v>
      </c>
      <c r="U8" s="401">
        <f>$U$7</f>
        <v>222.95738525155809</v>
      </c>
      <c r="V8" s="401">
        <f>$V$7</f>
        <v>211.35138365102929</v>
      </c>
      <c r="W8" s="401">
        <f>$W$7</f>
        <v>219.49449925861452</v>
      </c>
      <c r="X8" s="71"/>
      <c r="Y8" s="71"/>
      <c r="Z8" s="71"/>
      <c r="AA8" s="59"/>
      <c r="AB8" s="398">
        <f>$AB$7</f>
        <v>130.64999999999989</v>
      </c>
      <c r="AC8" s="401">
        <f>$AC$7</f>
        <v>130.64999999999989</v>
      </c>
      <c r="AD8" s="401">
        <f>$AD$7</f>
        <v>130.65000000000006</v>
      </c>
      <c r="AE8" s="401">
        <f>$AE$7</f>
        <v>112.3460000000001</v>
      </c>
      <c r="AF8" s="401">
        <f>$AF$7</f>
        <v>127.72160493827144</v>
      </c>
      <c r="AG8" s="401">
        <f>$AG$7</f>
        <v>125.8178419753086</v>
      </c>
      <c r="AH8" s="401">
        <f>$AH$7</f>
        <v>122.59640329218099</v>
      </c>
      <c r="AI8" s="118">
        <f>$AI$7</f>
        <v>0</v>
      </c>
      <c r="AJ8" s="118">
        <f>$AJ$7</f>
        <v>0</v>
      </c>
      <c r="AK8" s="71"/>
      <c r="AL8" s="71"/>
      <c r="AM8" s="398">
        <f>CIF!$X$5+VLOOKUP($AM$5&amp;$E8,OCEAN!$E:$J,5,FALSE)</f>
        <v>430.68181818181819</v>
      </c>
      <c r="AN8" s="401">
        <f>CIF!$X$6+VLOOKUP($AN$5&amp;$E8,OCEAN!$E:$J,5,FALSE)</f>
        <v>331.92789968652039</v>
      </c>
      <c r="AO8" s="401">
        <f>CIF!$X$7+VLOOKUP($AO$5&amp;$E8,OCEAN!$E:$J,5,FALSE)</f>
        <v>331.92789968652039</v>
      </c>
      <c r="AP8" s="401">
        <f>CIF!$X$8+VLOOKUP($AP$5&amp;$E8,OCEAN!$E:$J,5,FALSE)</f>
        <v>327.18181818181824</v>
      </c>
      <c r="AQ8" s="401">
        <f>CIF!$X$9+VLOOKUP($AQ$5&amp;$E8,OCEAN!$E:$J,5,FALSE)</f>
        <v>217.27272727272734</v>
      </c>
      <c r="AR8" s="401">
        <f>AVERAGE(IF(ISNUMBER(AM8),AM8,""),IF(ISNUMBER(AO8),AO8,""),IF(ISNUMBER(AP8),AP8,""),IF(ISNUMBER(AQ8),AQ8,""))</f>
        <v>326.766065830721</v>
      </c>
      <c r="AS8" s="401">
        <f>AVERAGE(IF(ISNUMBER(AP8),AP8,""),IF(ISNUMBER(AQ8),AQ8,""))</f>
        <v>272.2272727272728</v>
      </c>
      <c r="AT8" s="71"/>
      <c r="AU8" s="71"/>
      <c r="AV8" s="401">
        <f>CIF!$X$16+VLOOKUP($AV$6&amp;$E8,OCEAN!$E:$J,5,FALSE)</f>
        <v>70.942574616710516</v>
      </c>
      <c r="AW8" s="539">
        <f>CIF!$X$17+VLOOKUP($AW$6&amp;$E8,OCEAN!$E:$J,5,FALSE)</f>
        <v>35.924884332758779</v>
      </c>
      <c r="AX8" s="401">
        <f>$AX$7</f>
        <v>55.109957923065402</v>
      </c>
      <c r="AY8" s="401">
        <f>$AY$7</f>
        <v>55.109957923065402</v>
      </c>
      <c r="AZ8" s="401">
        <f>$AY$8</f>
        <v>55.109957923065402</v>
      </c>
      <c r="BA8" s="401">
        <f>$BA$7</f>
        <v>55.109957923065402</v>
      </c>
      <c r="BB8" s="401">
        <f>$BB$7</f>
        <v>55.109957923065402</v>
      </c>
      <c r="BC8" s="401">
        <f t="shared" ref="BC8:BF8" si="1">$BB$7</f>
        <v>55.109957923065402</v>
      </c>
      <c r="BD8" s="401">
        <f t="shared" si="1"/>
        <v>55.109957923065402</v>
      </c>
      <c r="BE8" s="401">
        <f t="shared" si="1"/>
        <v>55.109957923065402</v>
      </c>
      <c r="BF8" s="401">
        <f t="shared" si="1"/>
        <v>55.109957923065402</v>
      </c>
      <c r="BG8" s="401">
        <f>COSTS!I5+COSTS!J5+COSTS!K5</f>
        <v>77.575199999999995</v>
      </c>
      <c r="BH8" s="539">
        <f>COSTS!O5+COSTS!P5+COSTS!Q5</f>
        <v>48.088799999999999</v>
      </c>
      <c r="BI8" s="68">
        <f>COSTS!F5+COSTS!G5+COSTS!H5</f>
        <v>106.17808219178082</v>
      </c>
      <c r="BJ8" s="68">
        <f>COSTS!F5+COSTS!G5+COSTS!H5</f>
        <v>106.17808219178082</v>
      </c>
      <c r="BK8" s="68">
        <f>COSTS!F5+COSTS!G5+COSTS!H5</f>
        <v>106.17808219178082</v>
      </c>
      <c r="BL8" s="68">
        <f>COSTS!F5+COSTS!G5+COSTS!H5</f>
        <v>106.17808219178082</v>
      </c>
      <c r="BM8" s="68">
        <f>COSTS!F5+COSTS!G5+COSTS!H5</f>
        <v>106.17808219178082</v>
      </c>
      <c r="BN8" s="401">
        <f>COSTS!F5+COSTS!G5+COSTS!H5</f>
        <v>106.17808219178082</v>
      </c>
      <c r="BO8" s="401">
        <f>COSTS!F5+COSTS!G5+COSTS!H5</f>
        <v>106.17808219178082</v>
      </c>
      <c r="BP8" s="401">
        <f>COSTS!F5+COSTS!G5+COSTS!H5</f>
        <v>106.17808219178082</v>
      </c>
      <c r="BQ8" s="401">
        <f>COSTS!F5+COSTS!G5+COSTS!H5</f>
        <v>106.17808219178082</v>
      </c>
      <c r="BR8" s="401">
        <f>COSTS!L5+COSTS!M5+COSTS!N5</f>
        <v>199.79452054794518</v>
      </c>
      <c r="BS8" s="401">
        <f>COSTS!R5+COSTS!S5+COSTS!T5</f>
        <v>199</v>
      </c>
      <c r="BT8" s="398">
        <f>F8+Q8+AB8+AM8+AX8+BI8</f>
        <v>1222.4707559284439</v>
      </c>
      <c r="BU8" s="401">
        <f>G8+R8+AC8+AN8+AY8+BJ8</f>
        <v>1227.1536060566796</v>
      </c>
      <c r="BV8" s="401">
        <f t="shared" si="0"/>
        <v>1282.1391605142423</v>
      </c>
      <c r="BW8" s="401">
        <f t="shared" si="0"/>
        <v>920.03458556939211</v>
      </c>
      <c r="BX8" s="401">
        <f>J8+U8+AF8+AQ8+BB8+BM8</f>
        <v>792.91257024514334</v>
      </c>
      <c r="BY8" s="401">
        <f t="shared" si="0"/>
        <v>1023.9925962120718</v>
      </c>
      <c r="BZ8" s="401">
        <f>L8+W8+AH8+AS8+BD8+BO8</f>
        <v>853.6047571714081</v>
      </c>
      <c r="CA8" s="401">
        <f>M8+X8+AI8+AT8+BE8+BP8</f>
        <v>161.28804011484621</v>
      </c>
      <c r="CB8" s="401">
        <f t="shared" ref="CB8:CB10" si="2">N8+Y8+AJ8+AU8+BF8+BQ8</f>
        <v>161.28804011484621</v>
      </c>
      <c r="CC8" s="401">
        <f>O8+Z8+AK8+AV8+BG8+BR8</f>
        <v>348.31229516465567</v>
      </c>
      <c r="CD8" s="401">
        <f t="shared" ref="CD8:CD10" si="3">P8+AA8+AL8+AW8+BH8+BS8</f>
        <v>283.01368433275877</v>
      </c>
      <c r="CE8" s="398">
        <f>BT8-$BT$7</f>
        <v>0</v>
      </c>
      <c r="CF8" s="401">
        <f>BU8-$BU$7</f>
        <v>1.0188087774295127</v>
      </c>
      <c r="CG8" s="401">
        <f>BV8-$BV$7</f>
        <v>-2.4216300940438487</v>
      </c>
      <c r="CH8" s="569">
        <f>BW8-$BW$7</f>
        <v>-1.5681818181818699</v>
      </c>
      <c r="CI8" s="401">
        <f>BX8-$BX$7</f>
        <v>0</v>
      </c>
      <c r="CJ8" s="401">
        <f>BY8-$BY$7</f>
        <v>0</v>
      </c>
      <c r="CK8" s="401">
        <f>BZ8-$BZ$7</f>
        <v>0</v>
      </c>
      <c r="CL8" s="71"/>
      <c r="CM8" s="71"/>
      <c r="CN8" s="401">
        <f>CC8-$CC$7</f>
        <v>0.31229516465566576</v>
      </c>
      <c r="CO8" s="539">
        <f>CD8-$CD$7</f>
        <v>-0.98631566724122877</v>
      </c>
    </row>
    <row r="9" spans="1:93">
      <c r="A9" s="67"/>
      <c r="B9" s="131"/>
      <c r="C9" s="87"/>
      <c r="D9" s="87"/>
      <c r="E9" s="83" t="s">
        <v>1733</v>
      </c>
      <c r="F9" s="399">
        <f t="shared" ref="F9:F52" si="4">$F$7</f>
        <v>307.52023809523791</v>
      </c>
      <c r="G9" s="68">
        <f t="shared" ref="G9:G52" si="5">$G$7</f>
        <v>308.68205128205102</v>
      </c>
      <c r="H9" s="68">
        <f t="shared" ref="H9:H52" si="6">$H$7</f>
        <v>452.33045977011483</v>
      </c>
      <c r="I9" s="68">
        <f t="shared" ref="I9:I52" si="7">$I$7</f>
        <v>106.65000000000011</v>
      </c>
      <c r="J9" s="68">
        <f t="shared" ref="J9:J52" si="8">$J$7</f>
        <v>63.672812667740246</v>
      </c>
      <c r="K9" s="68">
        <f t="shared" ref="K9:K52" si="9">$K$7</f>
        <v>198.76926464016665</v>
      </c>
      <c r="L9" s="68">
        <f t="shared" ref="L9:L52" si="10">$L$7</f>
        <v>77.998541778493532</v>
      </c>
      <c r="M9" s="68"/>
      <c r="P9" s="66"/>
      <c r="Q9" s="399">
        <f t="shared" ref="Q9:Q52" si="11">$Q$7</f>
        <v>192.33065953654184</v>
      </c>
      <c r="R9" s="68">
        <f t="shared" ref="R9:R52" si="12">$R$7</f>
        <v>294.60561497326216</v>
      </c>
      <c r="S9" s="68">
        <f t="shared" ref="S9:S52" si="13">$S$7</f>
        <v>205.94276094276094</v>
      </c>
      <c r="T9" s="68">
        <f t="shared" ref="T9:T52" si="14">$T$7</f>
        <v>212.56872727272739</v>
      </c>
      <c r="U9" s="68">
        <f t="shared" ref="U9:U52" si="15">$U$7</f>
        <v>222.95738525155809</v>
      </c>
      <c r="V9" s="68">
        <f t="shared" ref="V9:V52" si="16">$V$7</f>
        <v>211.35138365102929</v>
      </c>
      <c r="W9" s="68">
        <f t="shared" ref="W9:W52" si="17">$W$7</f>
        <v>219.49449925861452</v>
      </c>
      <c r="AA9" s="66"/>
      <c r="AB9" s="399">
        <f t="shared" ref="AB9:AB52" si="18">$AB$7</f>
        <v>130.64999999999989</v>
      </c>
      <c r="AC9" s="68">
        <f t="shared" ref="AC9:AC52" si="19">$AC$7</f>
        <v>130.64999999999989</v>
      </c>
      <c r="AD9" s="68">
        <f t="shared" ref="AD9:AD52" si="20">$AD$7</f>
        <v>130.65000000000006</v>
      </c>
      <c r="AE9" s="68">
        <f t="shared" ref="AE9:AE52" si="21">$AE$7</f>
        <v>112.3460000000001</v>
      </c>
      <c r="AF9" s="68">
        <f t="shared" ref="AF9:AF52" si="22">$AF$7</f>
        <v>127.72160493827144</v>
      </c>
      <c r="AG9" s="68">
        <f t="shared" ref="AG9:AG52" si="23">$AG$7</f>
        <v>125.8178419753086</v>
      </c>
      <c r="AH9" s="68">
        <f t="shared" ref="AH9:AH52" si="24">$AH$7</f>
        <v>122.59640329218099</v>
      </c>
      <c r="AI9" s="87">
        <f t="shared" ref="AI9:AI52" si="25">$AI$7</f>
        <v>0</v>
      </c>
      <c r="AJ9" s="87">
        <f t="shared" ref="AJ9:AJ52" si="26">$AJ$7</f>
        <v>0</v>
      </c>
      <c r="AM9" s="399">
        <f>CIF!$X$5+VLOOKUP($AM$5&amp;$E9,OCEAN!$E:$J,5,FALSE)</f>
        <v>378.40909090909088</v>
      </c>
      <c r="AN9" s="68">
        <f>CIF!$X$6+VLOOKUP($AN$5&amp;$E9,OCEAN!$E:$J,5,FALSE)</f>
        <v>304.42789968652039</v>
      </c>
      <c r="AO9" s="68">
        <f>CIF!$X$7+VLOOKUP($AO$5&amp;$E9,OCEAN!$E:$J,5,FALSE)</f>
        <v>304.42789968652039</v>
      </c>
      <c r="AP9" s="68">
        <f>CIF!$X$8+VLOOKUP($AP$5&amp;$E9,OCEAN!$E:$J,5,FALSE)</f>
        <v>292.18181818181824</v>
      </c>
      <c r="AQ9" s="68">
        <f>CIF!$X$9+VLOOKUP($AQ$5&amp;$E9,OCEAN!$E:$J,5,FALSE)</f>
        <v>258.18181818181824</v>
      </c>
      <c r="AR9" s="68">
        <f t="shared" ref="AR9:AR52" si="27">AVERAGE(IF(ISNUMBER(AM9),AM9,""),IF(ISNUMBER(AO9),AO9,""),IF(ISNUMBER(AP9),AP9,""),IF(ISNUMBER(AQ9),AQ9,""))</f>
        <v>308.30015673981194</v>
      </c>
      <c r="AS9" s="68">
        <f t="shared" ref="AS9:AS50" si="28">AVERAGE(IF(ISNUMBER(AP9),AP9,""),IF(ISNUMBER(AQ9),AQ9,""))</f>
        <v>275.18181818181824</v>
      </c>
      <c r="AV9" s="68">
        <f>CIF!$X$16+VLOOKUP($AV$6&amp;$E9,OCEAN!$E:$J,5,FALSE)</f>
        <v>153.31579424838972</v>
      </c>
      <c r="AW9" s="540">
        <f>CIF!$X$17+VLOOKUP($AW$6&amp;$E9,OCEAN!$E:$J,5,FALSE)</f>
        <v>63.866461036015608</v>
      </c>
      <c r="AX9" s="68">
        <f t="shared" ref="AX9:AX10" si="29">$AX$7</f>
        <v>55.109957923065402</v>
      </c>
      <c r="AY9" s="68">
        <f t="shared" ref="AY9:AY10" si="30">$AY$7</f>
        <v>55.109957923065402</v>
      </c>
      <c r="AZ9" s="68">
        <f t="shared" ref="AZ9:AZ10" si="31">$AY$8</f>
        <v>55.109957923065402</v>
      </c>
      <c r="BA9" s="68">
        <f t="shared" ref="BA9:BA10" si="32">$BA$7</f>
        <v>55.109957923065402</v>
      </c>
      <c r="BB9" s="68">
        <f t="shared" ref="BB9:BF10" si="33">$BB$7</f>
        <v>55.109957923065402</v>
      </c>
      <c r="BC9" s="68">
        <f t="shared" si="33"/>
        <v>55.109957923065402</v>
      </c>
      <c r="BD9" s="68">
        <f t="shared" si="33"/>
        <v>55.109957923065402</v>
      </c>
      <c r="BE9" s="68">
        <f t="shared" si="33"/>
        <v>55.109957923065402</v>
      </c>
      <c r="BF9" s="68">
        <f t="shared" si="33"/>
        <v>55.109957923065402</v>
      </c>
      <c r="BG9" s="68">
        <f>COSTS!I5+COSTS!J5+COSTS!K5</f>
        <v>77.575199999999995</v>
      </c>
      <c r="BH9" s="540">
        <f>COSTS!O5+COSTS!P5+COSTS!Q5</f>
        <v>48.088799999999999</v>
      </c>
      <c r="BI9" s="68">
        <f>COSTS!F5+COSTS!G5+COSTS!H5</f>
        <v>106.17808219178082</v>
      </c>
      <c r="BJ9" s="68">
        <f>COSTS!F5+COSTS!G5+COSTS!H5</f>
        <v>106.17808219178082</v>
      </c>
      <c r="BK9" s="68">
        <f>COSTS!F5+COSTS!G5+COSTS!H5</f>
        <v>106.17808219178082</v>
      </c>
      <c r="BL9" s="68">
        <f>COSTS!F5+COSTS!G5+COSTS!H5</f>
        <v>106.17808219178082</v>
      </c>
      <c r="BM9" s="68">
        <f>COSTS!F5+COSTS!G5+COSTS!H5</f>
        <v>106.17808219178082</v>
      </c>
      <c r="BN9" s="68">
        <f>COSTS!F5+COSTS!G5+COSTS!H5</f>
        <v>106.17808219178082</v>
      </c>
      <c r="BO9" s="68">
        <f>COSTS!F5+COSTS!G5+COSTS!H5</f>
        <v>106.17808219178082</v>
      </c>
      <c r="BP9" s="68">
        <f>COSTS!F5+COSTS!G5+COSTS!H5</f>
        <v>106.17808219178082</v>
      </c>
      <c r="BQ9" s="68">
        <f>COSTS!F5+COSTS!G5+COSTS!H5</f>
        <v>106.17808219178082</v>
      </c>
      <c r="BR9" s="68">
        <f>COSTS!L5+COSTS!M5+COSTS!N5</f>
        <v>199.79452054794518</v>
      </c>
      <c r="BS9" s="68">
        <f>COSTS!R5+COSTS!S5+COSTS!T5</f>
        <v>199</v>
      </c>
      <c r="BT9" s="399">
        <f t="shared" ref="BT9:BT10" si="34">F9+Q9+AB9+AM9+AX9+BI9</f>
        <v>1170.1980286557166</v>
      </c>
      <c r="BU9" s="68">
        <f t="shared" ref="BU9:BU10" si="35">G9+R9+AC9+AN9+AY9+BJ9</f>
        <v>1199.6536060566796</v>
      </c>
      <c r="BV9" s="68">
        <f t="shared" ref="BV9:BV10" si="36">H9+S9+AD9+AO9+AZ9+BK9</f>
        <v>1254.6391605142423</v>
      </c>
      <c r="BW9" s="68">
        <f t="shared" ref="BW9:BW10" si="37">I9+T9+AE9+AP9+BA9+BL9</f>
        <v>885.03458556939211</v>
      </c>
      <c r="BX9" s="68">
        <f t="shared" ref="BX9:BX10" si="38">J9+U9+AF9+AQ9+BB9+BM9</f>
        <v>833.82166115423422</v>
      </c>
      <c r="BY9" s="68">
        <f t="shared" ref="BY9:BY10" si="39">K9+V9+AG9+AR9+BC9+BN9</f>
        <v>1005.5266871211628</v>
      </c>
      <c r="BZ9" s="68">
        <f t="shared" ref="BZ9:BZ10" si="40">L9+W9+AH9+AS9+BD9+BO9</f>
        <v>856.55930262595359</v>
      </c>
      <c r="CA9" s="68">
        <f t="shared" ref="CA9:CA10" si="41">M9+X9+AI9+AT9+BE9+BP9</f>
        <v>161.28804011484621</v>
      </c>
      <c r="CB9" s="68">
        <f t="shared" si="2"/>
        <v>161.28804011484621</v>
      </c>
      <c r="CC9" s="68">
        <f t="shared" ref="CC9:CC40" si="42">O9+Z9+AK9+AV9+BG9+BR9</f>
        <v>430.68551479633493</v>
      </c>
      <c r="CD9" s="68">
        <f t="shared" si="3"/>
        <v>310.9552610360156</v>
      </c>
      <c r="CE9" s="399">
        <f t="shared" ref="CE9:CE50" si="43">BT9-$BT$7</f>
        <v>-52.272727272727934</v>
      </c>
      <c r="CF9" s="68">
        <f t="shared" ref="CF9:CF50" si="44">BU9-$BU$7</f>
        <v>-26.481191222570487</v>
      </c>
      <c r="CG9" s="68">
        <f t="shared" ref="CG9:CG50" si="45">BV9-$BV$7</f>
        <v>-29.921630094043849</v>
      </c>
      <c r="CH9" s="68">
        <f t="shared" ref="CH9:CH50" si="46">BW9-$BW$7</f>
        <v>-36.56818181818187</v>
      </c>
      <c r="CI9" s="68">
        <f t="shared" ref="CI9:CI50" si="47">BX9-$BX$7</f>
        <v>40.909090909090878</v>
      </c>
      <c r="CJ9" s="68">
        <f t="shared" ref="CJ9:CJ50" si="48">BY9-$BY$7</f>
        <v>-18.465909090909008</v>
      </c>
      <c r="CK9" s="68">
        <f t="shared" ref="CK9:CK50" si="49">BZ9-$BZ$7</f>
        <v>2.9545454545454959</v>
      </c>
      <c r="CN9" s="68">
        <f t="shared" ref="CN9:CN40" si="50">CC9-$CC$7</f>
        <v>82.685514796334928</v>
      </c>
      <c r="CO9" s="540">
        <f>CD9-$CD$7</f>
        <v>26.9552610360156</v>
      </c>
    </row>
    <row r="10" spans="1:93" ht="12.5" thickBot="1">
      <c r="A10" s="80"/>
      <c r="B10" s="460"/>
      <c r="C10" s="91"/>
      <c r="D10" s="91"/>
      <c r="E10" s="461" t="s">
        <v>1768</v>
      </c>
      <c r="F10" s="399">
        <f t="shared" si="4"/>
        <v>307.52023809523791</v>
      </c>
      <c r="G10" s="68">
        <f t="shared" si="5"/>
        <v>308.68205128205102</v>
      </c>
      <c r="H10" s="68">
        <f t="shared" si="6"/>
        <v>452.33045977011483</v>
      </c>
      <c r="I10" s="68">
        <f t="shared" si="7"/>
        <v>106.65000000000011</v>
      </c>
      <c r="J10" s="68">
        <f t="shared" si="8"/>
        <v>63.672812667740246</v>
      </c>
      <c r="K10" s="68">
        <f t="shared" si="9"/>
        <v>198.76926464016665</v>
      </c>
      <c r="L10" s="68">
        <f t="shared" si="10"/>
        <v>77.998541778493532</v>
      </c>
      <c r="P10" s="66"/>
      <c r="Q10" s="399">
        <f t="shared" si="11"/>
        <v>192.33065953654184</v>
      </c>
      <c r="R10" s="68">
        <f t="shared" si="12"/>
        <v>294.60561497326216</v>
      </c>
      <c r="S10" s="68">
        <f t="shared" si="13"/>
        <v>205.94276094276094</v>
      </c>
      <c r="T10" s="68">
        <f t="shared" si="14"/>
        <v>212.56872727272739</v>
      </c>
      <c r="U10" s="68">
        <f t="shared" si="15"/>
        <v>222.95738525155809</v>
      </c>
      <c r="V10" s="68">
        <f t="shared" si="16"/>
        <v>211.35138365102929</v>
      </c>
      <c r="W10" s="68">
        <f t="shared" si="17"/>
        <v>219.49449925861452</v>
      </c>
      <c r="AA10" s="66"/>
      <c r="AB10" s="399">
        <f t="shared" si="18"/>
        <v>130.64999999999989</v>
      </c>
      <c r="AC10" s="68">
        <f t="shared" si="19"/>
        <v>130.64999999999989</v>
      </c>
      <c r="AD10" s="68">
        <f t="shared" si="20"/>
        <v>130.65000000000006</v>
      </c>
      <c r="AE10" s="68">
        <f t="shared" si="21"/>
        <v>112.3460000000001</v>
      </c>
      <c r="AF10" s="68">
        <f t="shared" si="22"/>
        <v>127.72160493827144</v>
      </c>
      <c r="AG10" s="68">
        <f t="shared" si="23"/>
        <v>125.8178419753086</v>
      </c>
      <c r="AH10" s="68">
        <f t="shared" si="24"/>
        <v>122.59640329218099</v>
      </c>
      <c r="AI10" s="87">
        <f t="shared" si="25"/>
        <v>0</v>
      </c>
      <c r="AJ10" s="87">
        <f t="shared" si="26"/>
        <v>0</v>
      </c>
      <c r="AM10" s="399">
        <f>CIF!$X$5+VLOOKUP($AM$5&amp;$E10,OCEAN!$E:$J,5,FALSE)</f>
        <v>560.22727272727275</v>
      </c>
      <c r="AN10" s="68">
        <f>CIF!$X$6+VLOOKUP($AN$5&amp;$E10,OCEAN!$E:$J,5,FALSE)</f>
        <v>338.7460815047022</v>
      </c>
      <c r="AO10" s="68">
        <f>CIF!$X$7+VLOOKUP($AO$5&amp;$E10,OCEAN!$E:$J,5,FALSE)</f>
        <v>338.7460815047022</v>
      </c>
      <c r="AP10" s="68">
        <f>CIF!$X$8+VLOOKUP($AP$5&amp;$E10,OCEAN!$E:$J,5,FALSE)</f>
        <v>401.27272727272725</v>
      </c>
      <c r="AQ10" s="68">
        <f>CIF!$X$9+VLOOKUP($AQ$5&amp;$E10,OCEAN!$E:$J,5,FALSE)</f>
        <v>271.81818181818187</v>
      </c>
      <c r="AR10" s="68">
        <f t="shared" si="27"/>
        <v>393.016065830721</v>
      </c>
      <c r="AS10" s="68">
        <f>AVERAGE(IF(ISNUMBER(AP10),AP10,""),IF(ISNUMBER(AQ10),AQ10,""))</f>
        <v>336.54545454545456</v>
      </c>
      <c r="AV10" s="68">
        <f>CIF!$X$16+VLOOKUP($AV$6&amp;$E10,OCEAN!$E:$J,5,FALSE)</f>
        <v>143.51809852127371</v>
      </c>
      <c r="AW10" s="540" t="e">
        <f>CIF!$X$17+VLOOKUP($AW$6&amp;$E10,OCEAN!$E:$J,5,FALSE)</f>
        <v>#N/A</v>
      </c>
      <c r="AX10" s="68">
        <f t="shared" si="29"/>
        <v>55.109957923065402</v>
      </c>
      <c r="AY10" s="68">
        <f t="shared" si="30"/>
        <v>55.109957923065402</v>
      </c>
      <c r="AZ10" s="68">
        <f t="shared" si="31"/>
        <v>55.109957923065402</v>
      </c>
      <c r="BA10" s="68">
        <f t="shared" si="32"/>
        <v>55.109957923065402</v>
      </c>
      <c r="BB10" s="68">
        <f t="shared" si="33"/>
        <v>55.109957923065402</v>
      </c>
      <c r="BC10" s="68">
        <f t="shared" si="33"/>
        <v>55.109957923065402</v>
      </c>
      <c r="BD10" s="68">
        <f t="shared" si="33"/>
        <v>55.109957923065402</v>
      </c>
      <c r="BE10" s="68">
        <f t="shared" si="33"/>
        <v>55.109957923065402</v>
      </c>
      <c r="BF10" s="68">
        <f t="shared" si="33"/>
        <v>55.109957923065402</v>
      </c>
      <c r="BG10" s="68">
        <f>COSTS!I5+COSTS!J5+COSTS!K5</f>
        <v>77.575199999999995</v>
      </c>
      <c r="BH10" s="540">
        <f>COSTS!O5+COSTS!P5+COSTS!Q5</f>
        <v>48.088799999999999</v>
      </c>
      <c r="BI10" s="68">
        <f>COSTS!F5+COSTS!G5+COSTS!H5</f>
        <v>106.17808219178082</v>
      </c>
      <c r="BJ10" s="68">
        <f>COSTS!F5+COSTS!G5+COSTS!H5</f>
        <v>106.17808219178082</v>
      </c>
      <c r="BK10" s="68">
        <f>COSTS!F5+COSTS!G5+COSTS!H5</f>
        <v>106.17808219178082</v>
      </c>
      <c r="BL10" s="68">
        <f>COSTS!F5+COSTS!G5+COSTS!H5</f>
        <v>106.17808219178082</v>
      </c>
      <c r="BM10" s="68">
        <f>COSTS!F5+COSTS!G5+COSTS!H5</f>
        <v>106.17808219178082</v>
      </c>
      <c r="BN10" s="68">
        <f>COSTS!F5+COSTS!G5+COSTS!H5</f>
        <v>106.17808219178082</v>
      </c>
      <c r="BO10" s="68">
        <f>COSTS!F5+COSTS!G5+COSTS!H5</f>
        <v>106.17808219178082</v>
      </c>
      <c r="BP10" s="68">
        <f>COSTS!F5+COSTS!G5+COSTS!H5</f>
        <v>106.17808219178082</v>
      </c>
      <c r="BQ10" s="68">
        <f>COSTS!F5+COSTS!G5+COSTS!H5</f>
        <v>106.17808219178082</v>
      </c>
      <c r="BR10" s="68">
        <f>COSTS!L5+COSTS!M5+COSTS!N5</f>
        <v>199.79452054794518</v>
      </c>
      <c r="BS10" s="68">
        <f>COSTS!R5+COSTS!S5+COSTS!T5</f>
        <v>199</v>
      </c>
      <c r="BT10" s="399">
        <f t="shared" si="34"/>
        <v>1352.0162104738986</v>
      </c>
      <c r="BU10" s="68">
        <f t="shared" si="35"/>
        <v>1233.9717878748613</v>
      </c>
      <c r="BV10" s="68">
        <f t="shared" si="36"/>
        <v>1288.9573423324241</v>
      </c>
      <c r="BW10" s="68">
        <f t="shared" si="37"/>
        <v>994.12549466030111</v>
      </c>
      <c r="BX10" s="68">
        <f t="shared" si="38"/>
        <v>847.45802479059785</v>
      </c>
      <c r="BY10" s="68">
        <f t="shared" si="39"/>
        <v>1090.2425962120717</v>
      </c>
      <c r="BZ10" s="68">
        <f t="shared" si="40"/>
        <v>917.92293898958985</v>
      </c>
      <c r="CA10" s="68">
        <f t="shared" si="41"/>
        <v>161.28804011484621</v>
      </c>
      <c r="CB10" s="68">
        <f t="shared" si="2"/>
        <v>161.28804011484621</v>
      </c>
      <c r="CC10" s="68">
        <f t="shared" si="42"/>
        <v>420.88781906921889</v>
      </c>
      <c r="CD10" s="68" t="e">
        <f t="shared" si="3"/>
        <v>#N/A</v>
      </c>
      <c r="CE10" s="399">
        <f t="shared" si="43"/>
        <v>129.54545454545405</v>
      </c>
      <c r="CF10" s="68">
        <f t="shared" si="44"/>
        <v>7.8369905956112689</v>
      </c>
      <c r="CG10" s="68">
        <f t="shared" si="45"/>
        <v>4.3965517241379075</v>
      </c>
      <c r="CH10" s="68">
        <f t="shared" si="46"/>
        <v>72.522727272727138</v>
      </c>
      <c r="CI10" s="68">
        <f t="shared" si="47"/>
        <v>54.545454545454504</v>
      </c>
      <c r="CJ10" s="68">
        <f t="shared" si="48"/>
        <v>66.249999999999886</v>
      </c>
      <c r="CK10" s="68">
        <f t="shared" si="49"/>
        <v>64.318181818181756</v>
      </c>
      <c r="CN10" s="68">
        <f t="shared" si="50"/>
        <v>72.887819069218892</v>
      </c>
      <c r="CO10" s="540" t="e">
        <f t="shared" ref="CO10:CO40" si="51">CD10-$CD$7</f>
        <v>#N/A</v>
      </c>
    </row>
    <row r="11" spans="1:93" ht="12.5" thickBot="1">
      <c r="A11" s="72" t="s">
        <v>1640</v>
      </c>
      <c r="B11" s="389" t="s">
        <v>1641</v>
      </c>
      <c r="C11" s="462">
        <v>50</v>
      </c>
      <c r="D11" s="463">
        <v>14</v>
      </c>
      <c r="E11" s="83" t="s">
        <v>1801</v>
      </c>
      <c r="F11" s="399">
        <f t="shared" si="4"/>
        <v>307.52023809523791</v>
      </c>
      <c r="G11" s="68">
        <f t="shared" si="5"/>
        <v>308.68205128205102</v>
      </c>
      <c r="H11" s="68">
        <f t="shared" si="6"/>
        <v>452.33045977011483</v>
      </c>
      <c r="I11" s="68">
        <f t="shared" si="7"/>
        <v>106.65000000000011</v>
      </c>
      <c r="J11" s="68">
        <f t="shared" si="8"/>
        <v>63.672812667740246</v>
      </c>
      <c r="K11" s="68">
        <f t="shared" si="9"/>
        <v>198.76926464016665</v>
      </c>
      <c r="L11" s="68">
        <f t="shared" si="10"/>
        <v>77.998541778493532</v>
      </c>
      <c r="P11" s="66"/>
      <c r="Q11" s="399">
        <f t="shared" si="11"/>
        <v>192.33065953654184</v>
      </c>
      <c r="R11" s="68">
        <f t="shared" si="12"/>
        <v>294.60561497326216</v>
      </c>
      <c r="S11" s="68">
        <f t="shared" si="13"/>
        <v>205.94276094276094</v>
      </c>
      <c r="T11" s="68">
        <f t="shared" si="14"/>
        <v>212.56872727272739</v>
      </c>
      <c r="U11" s="68">
        <f t="shared" si="15"/>
        <v>222.95738525155809</v>
      </c>
      <c r="V11" s="68">
        <f t="shared" si="16"/>
        <v>211.35138365102929</v>
      </c>
      <c r="W11" s="68">
        <f t="shared" si="17"/>
        <v>219.49449925861452</v>
      </c>
      <c r="AA11" s="66"/>
      <c r="AB11" s="399">
        <f t="shared" si="18"/>
        <v>130.64999999999989</v>
      </c>
      <c r="AC11" s="68">
        <f t="shared" si="19"/>
        <v>130.64999999999989</v>
      </c>
      <c r="AD11" s="68">
        <f t="shared" si="20"/>
        <v>130.65000000000006</v>
      </c>
      <c r="AE11" s="68">
        <f t="shared" si="21"/>
        <v>112.3460000000001</v>
      </c>
      <c r="AF11" s="68">
        <f t="shared" si="22"/>
        <v>127.72160493827144</v>
      </c>
      <c r="AG11" s="68">
        <f t="shared" si="23"/>
        <v>125.8178419753086</v>
      </c>
      <c r="AH11" s="68">
        <f t="shared" si="24"/>
        <v>122.59640329218099</v>
      </c>
      <c r="AI11" s="87">
        <f t="shared" si="25"/>
        <v>0</v>
      </c>
      <c r="AJ11" s="87">
        <f t="shared" si="26"/>
        <v>0</v>
      </c>
      <c r="AM11" s="399">
        <f>CIF!$X$5+VLOOKUP($AM$5&amp;$E11,OCEAN!$E:$J,5,FALSE)</f>
        <v>449.31818181818181</v>
      </c>
      <c r="AN11" s="68">
        <f>CIF!$X$6+VLOOKUP($AN$5&amp;$E11,OCEAN!$E:$J,5,FALSE)</f>
        <v>358.97335423197495</v>
      </c>
      <c r="AO11" s="68">
        <f>CIF!$X$7+VLOOKUP($AO$5&amp;$E11,OCEAN!$E:$J,5,FALSE)</f>
        <v>358.97335423197495</v>
      </c>
      <c r="AP11" s="68">
        <f>CIF!$X$8+VLOOKUP($AP$5&amp;$E11,OCEAN!$E:$J,5,FALSE)</f>
        <v>408.54545454545462</v>
      </c>
      <c r="AQ11" s="68">
        <f>CIF!$X$9+VLOOKUP($AQ$5&amp;$E11,OCEAN!$E:$J,5,FALSE)</f>
        <v>256.81818181818187</v>
      </c>
      <c r="AR11" s="68">
        <f t="shared" si="27"/>
        <v>368.41379310344837</v>
      </c>
      <c r="AS11" s="68">
        <f>AVERAGE(IF(ISNUMBER(AP11),AP11,""),IF(ISNUMBER(AQ11),AQ11,""))</f>
        <v>332.68181818181824</v>
      </c>
      <c r="AV11" s="68">
        <f>CIF!$X$16+VLOOKUP($AV$6&amp;$E11,OCEAN!$E:$J,5,FALSE)</f>
        <v>72.575523904563184</v>
      </c>
      <c r="AW11" s="540">
        <f>CIF!$X$17+VLOOKUP($AW$6&amp;$E11,OCEAN!$E:$J,5,FALSE)</f>
        <v>90.900843690465393</v>
      </c>
      <c r="AX11" s="68">
        <f>COSTS!C6+COSTS!D6+COSTS!E6</f>
        <v>67.416590788956427</v>
      </c>
      <c r="AY11" s="68">
        <f>COSTS!C6+COSTS!D6+COSTS!E6</f>
        <v>67.416590788956427</v>
      </c>
      <c r="AZ11" s="68">
        <f>COSTS!C6+COSTS!D6+COSTS!E6</f>
        <v>67.416590788956427</v>
      </c>
      <c r="BA11" s="68">
        <f>COSTS!C6+COSTS!D6+COSTS!E6</f>
        <v>67.416590788956427</v>
      </c>
      <c r="BB11" s="68">
        <f>COSTS!C6+COSTS!D6+COSTS!E6</f>
        <v>67.416590788956427</v>
      </c>
      <c r="BC11" s="68">
        <f>COSTS!D6+COSTS!E6+COSTS!F6</f>
        <v>98.301924122289762</v>
      </c>
      <c r="BD11" s="68">
        <f>COSTS!E6+COSTS!F6+COSTS!G6</f>
        <v>117.74480631407057</v>
      </c>
      <c r="BE11" s="68">
        <f>COSTS!F6+COSTS!G6+COSTS!H6</f>
        <v>106.17808219178082</v>
      </c>
      <c r="BF11" s="68">
        <f>COSTS!G6+COSTS!H6+COSTS!I6</f>
        <v>80.178082191780817</v>
      </c>
      <c r="BG11" s="68">
        <f>COSTS!I6+COSTS!J6+COSTS!K6</f>
        <v>81</v>
      </c>
      <c r="BH11" s="540">
        <f>COSTS!O6+COSTS!P6+COSTS!Q6</f>
        <v>64.088799999999992</v>
      </c>
      <c r="BI11" s="68">
        <f>COSTS!F6+COSTS!G6+COSTS!H6</f>
        <v>106.17808219178082</v>
      </c>
      <c r="BJ11" s="68">
        <f>COSTS!F6+COSTS!G6+COSTS!H6</f>
        <v>106.17808219178082</v>
      </c>
      <c r="BK11" s="68">
        <f>COSTS!F6+COSTS!G6+COSTS!H6</f>
        <v>106.17808219178082</v>
      </c>
      <c r="BL11" s="68">
        <f>COSTS!F6+COSTS!G6+COSTS!H6</f>
        <v>106.17808219178082</v>
      </c>
      <c r="BM11" s="68">
        <f>COSTS!F6+COSTS!G6+COSTS!H6</f>
        <v>106.17808219178082</v>
      </c>
      <c r="BN11" s="68">
        <f>COSTS!F6+COSTS!G6+COSTS!H6</f>
        <v>106.17808219178082</v>
      </c>
      <c r="BO11" s="68">
        <f>COSTS!F6+COSTS!G6+COSTS!H6</f>
        <v>106.17808219178082</v>
      </c>
      <c r="BP11" s="68">
        <f>COSTS!F6+COSTS!G6+COSTS!H6</f>
        <v>106.17808219178082</v>
      </c>
      <c r="BQ11" s="68">
        <f>COSTS!F6+COSTS!G6+COSTS!H6</f>
        <v>106.17808219178082</v>
      </c>
      <c r="BR11" s="68">
        <f>COSTS!L6+COSTS!M6+COSTS!N6</f>
        <v>174.79452054794518</v>
      </c>
      <c r="BS11" s="68">
        <f>COSTS!R6+COSTS!S6+COSTS!T6</f>
        <v>174</v>
      </c>
      <c r="BT11" s="399">
        <f t="shared" ref="BT11:BT52" si="52">F11+Q11+AB11+AM11+AX11+BI11</f>
        <v>1253.4137524306987</v>
      </c>
      <c r="BU11" s="68">
        <f t="shared" ref="BU11:BU52" si="53">G11+R11+AC11+AN11+AY11+BJ11</f>
        <v>1266.5056934680251</v>
      </c>
      <c r="BV11" s="68">
        <f t="shared" ref="BV11:BV52" si="54">H11+S11+AD11+AO11+AZ11+BK11</f>
        <v>1321.4912479255879</v>
      </c>
      <c r="BW11" s="68">
        <f t="shared" ref="BW11:BW52" si="55">I11+T11+AE11+AP11+BA11+BL11</f>
        <v>1013.7048547989195</v>
      </c>
      <c r="BX11" s="68">
        <f t="shared" ref="BX11:BX52" si="56">J11+U11+AF11+AQ11+BB11+BM11</f>
        <v>844.76465765648891</v>
      </c>
      <c r="BY11" s="68">
        <f t="shared" ref="BY11:BY52" si="57">K11+V11+AG11+AR11+BC11+BN11</f>
        <v>1108.8322896840234</v>
      </c>
      <c r="BZ11" s="68">
        <f t="shared" ref="BZ11:BZ52" si="58">L11+W11+AH11+AS11+BD11+BO11</f>
        <v>976.69415101695881</v>
      </c>
      <c r="CA11" s="68">
        <f t="shared" ref="CA11:CA52" si="59">M11+X11+AI11+AT11+BE11+BP11</f>
        <v>212.35616438356163</v>
      </c>
      <c r="CB11" s="68">
        <f t="shared" ref="CB11:CB52" si="60">N11+Y11+AJ11+AU11+BF11+BQ11</f>
        <v>186.35616438356163</v>
      </c>
      <c r="CC11" s="68">
        <f t="shared" si="42"/>
        <v>328.37004445250835</v>
      </c>
      <c r="CD11" s="68">
        <f>P11+AA11+AL11+AW11+BH11+BS11</f>
        <v>328.98964369046541</v>
      </c>
      <c r="CE11" s="399">
        <f t="shared" si="43"/>
        <v>30.942996502254118</v>
      </c>
      <c r="CF11" s="68">
        <f t="shared" si="44"/>
        <v>40.370896188775077</v>
      </c>
      <c r="CG11" s="68">
        <f t="shared" si="45"/>
        <v>36.930457317301716</v>
      </c>
      <c r="CH11" s="68">
        <f t="shared" si="46"/>
        <v>92.102087411345565</v>
      </c>
      <c r="CI11" s="68">
        <f t="shared" si="47"/>
        <v>51.852087411345565</v>
      </c>
      <c r="CJ11" s="68">
        <f t="shared" si="48"/>
        <v>84.839693471951591</v>
      </c>
      <c r="CK11" s="68">
        <f t="shared" si="49"/>
        <v>123.08939384555072</v>
      </c>
      <c r="CN11" s="68">
        <f t="shared" si="50"/>
        <v>-19.629955547491647</v>
      </c>
      <c r="CO11" s="540">
        <f>CD11-$CD$7</f>
        <v>44.989643690465414</v>
      </c>
    </row>
    <row r="12" spans="1:93">
      <c r="A12" s="464"/>
      <c r="B12" s="131"/>
      <c r="C12" s="87"/>
      <c r="D12" s="87"/>
      <c r="E12" s="83" t="s">
        <v>1803</v>
      </c>
      <c r="F12" s="399">
        <f t="shared" si="4"/>
        <v>307.52023809523791</v>
      </c>
      <c r="G12" s="68">
        <f t="shared" si="5"/>
        <v>308.68205128205102</v>
      </c>
      <c r="H12" s="68">
        <f t="shared" si="6"/>
        <v>452.33045977011483</v>
      </c>
      <c r="I12" s="68">
        <f t="shared" si="7"/>
        <v>106.65000000000011</v>
      </c>
      <c r="J12" s="68">
        <f t="shared" si="8"/>
        <v>63.672812667740246</v>
      </c>
      <c r="K12" s="68">
        <f t="shared" si="9"/>
        <v>198.76926464016665</v>
      </c>
      <c r="L12" s="68">
        <f t="shared" si="10"/>
        <v>77.998541778493532</v>
      </c>
      <c r="P12" s="66"/>
      <c r="Q12" s="399">
        <f t="shared" si="11"/>
        <v>192.33065953654184</v>
      </c>
      <c r="R12" s="68">
        <f t="shared" si="12"/>
        <v>294.60561497326216</v>
      </c>
      <c r="S12" s="68">
        <f t="shared" si="13"/>
        <v>205.94276094276094</v>
      </c>
      <c r="T12" s="68">
        <f t="shared" si="14"/>
        <v>212.56872727272739</v>
      </c>
      <c r="U12" s="68">
        <f t="shared" si="15"/>
        <v>222.95738525155809</v>
      </c>
      <c r="V12" s="68">
        <f t="shared" si="16"/>
        <v>211.35138365102929</v>
      </c>
      <c r="W12" s="68">
        <f t="shared" si="17"/>
        <v>219.49449925861452</v>
      </c>
      <c r="AA12" s="66"/>
      <c r="AB12" s="399">
        <f t="shared" si="18"/>
        <v>130.64999999999989</v>
      </c>
      <c r="AC12" s="68">
        <f t="shared" si="19"/>
        <v>130.64999999999989</v>
      </c>
      <c r="AD12" s="68">
        <f t="shared" si="20"/>
        <v>130.65000000000006</v>
      </c>
      <c r="AE12" s="68">
        <f t="shared" si="21"/>
        <v>112.3460000000001</v>
      </c>
      <c r="AF12" s="68">
        <f t="shared" si="22"/>
        <v>127.72160493827144</v>
      </c>
      <c r="AG12" s="68">
        <f t="shared" si="23"/>
        <v>125.8178419753086</v>
      </c>
      <c r="AH12" s="68">
        <f t="shared" si="24"/>
        <v>122.59640329218099</v>
      </c>
      <c r="AI12" s="87">
        <f t="shared" si="25"/>
        <v>0</v>
      </c>
      <c r="AJ12" s="87">
        <f t="shared" si="26"/>
        <v>0</v>
      </c>
      <c r="AM12" s="399">
        <f>CIF!$X$5+VLOOKUP($AM$5&amp;$E12,OCEAN!$E:$J,5,FALSE)</f>
        <v>562.0454545454545</v>
      </c>
      <c r="AN12" s="68">
        <f>CIF!$X$6+VLOOKUP($AN$5&amp;$E12,OCEAN!$E:$J,5,FALSE)</f>
        <v>435.79153605015676</v>
      </c>
      <c r="AO12" s="68">
        <f>CIF!$X$7+VLOOKUP($AO$5&amp;$E12,OCEAN!$E:$J,5,FALSE)</f>
        <v>435.79153605015676</v>
      </c>
      <c r="AP12" s="68">
        <f>CIF!$X$8+VLOOKUP($AP$5&amp;$E12,OCEAN!$E:$J,5,FALSE)</f>
        <v>489.90909090909099</v>
      </c>
      <c r="AQ12" s="68">
        <f>CIF!$X$9+VLOOKUP($AQ$5&amp;$E12,OCEAN!$E:$J,5,FALSE)</f>
        <v>314.77272727272731</v>
      </c>
      <c r="AR12" s="68">
        <f t="shared" si="27"/>
        <v>450.62970219435738</v>
      </c>
      <c r="AS12" s="68">
        <f t="shared" si="28"/>
        <v>402.34090909090912</v>
      </c>
      <c r="AV12" s="68">
        <f>CIF!$X$16+VLOOKUP($AV$6&amp;$E12,OCEAN!$E:$J,5,FALSE)</f>
        <v>36.287761952281592</v>
      </c>
      <c r="AW12" s="540">
        <f>CIF!$X$17+VLOOKUP($AW$6&amp;$E12,OCEAN!$E:$J,5,FALSE)</f>
        <v>99.791345368774387</v>
      </c>
      <c r="AX12" s="68">
        <f>COSTS!C6+COSTS!D6+COSTS!E6</f>
        <v>67.416590788956427</v>
      </c>
      <c r="AY12" s="68">
        <f>COSTS!C6+COSTS!D6+COSTS!E6</f>
        <v>67.416590788956427</v>
      </c>
      <c r="AZ12" s="68">
        <f>COSTS!C6+COSTS!D6+COSTS!E6</f>
        <v>67.416590788956427</v>
      </c>
      <c r="BA12" s="68">
        <f>COSTS!C6+COSTS!D6+COSTS!E6</f>
        <v>67.416590788956427</v>
      </c>
      <c r="BB12" s="68">
        <f>COSTS!C6+COSTS!D6+COSTS!E6</f>
        <v>67.416590788956427</v>
      </c>
      <c r="BC12" s="68">
        <f>COSTS!D6+COSTS!E6+COSTS!F6</f>
        <v>98.301924122289762</v>
      </c>
      <c r="BD12" s="68">
        <f>COSTS!E6+COSTS!F6+COSTS!G6</f>
        <v>117.74480631407057</v>
      </c>
      <c r="BE12" s="68">
        <f>COSTS!F6+COSTS!G6+COSTS!H6</f>
        <v>106.17808219178082</v>
      </c>
      <c r="BF12" s="68">
        <f>COSTS!G6+COSTS!H6+COSTS!I6</f>
        <v>80.178082191780817</v>
      </c>
      <c r="BG12" s="68">
        <f>COSTS!I6+COSTS!J6+COSTS!K6</f>
        <v>81</v>
      </c>
      <c r="BH12" s="540">
        <f>COSTS!O6+COSTS!P6+COSTS!Q6</f>
        <v>64.088799999999992</v>
      </c>
      <c r="BI12" s="68">
        <f>COSTS!F6+COSTS!G6+COSTS!H6</f>
        <v>106.17808219178082</v>
      </c>
      <c r="BJ12" s="68">
        <f>COSTS!F6+COSTS!G6+COSTS!H6</f>
        <v>106.17808219178082</v>
      </c>
      <c r="BK12" s="68">
        <f>COSTS!F6+COSTS!G6+COSTS!H6</f>
        <v>106.17808219178082</v>
      </c>
      <c r="BL12" s="68">
        <f>COSTS!F6+COSTS!G6+COSTS!H6</f>
        <v>106.17808219178082</v>
      </c>
      <c r="BM12" s="68">
        <f>COSTS!F6+COSTS!G6+COSTS!H6</f>
        <v>106.17808219178082</v>
      </c>
      <c r="BN12" s="68">
        <f>COSTS!F6+COSTS!G6+COSTS!H6</f>
        <v>106.17808219178082</v>
      </c>
      <c r="BO12" s="68">
        <f>COSTS!F6+COSTS!G6+COSTS!H6</f>
        <v>106.17808219178082</v>
      </c>
      <c r="BP12" s="68">
        <f>COSTS!F6+COSTS!G6+COSTS!H6</f>
        <v>106.17808219178082</v>
      </c>
      <c r="BQ12" s="68">
        <f>COSTS!F6+COSTS!G6+COSTS!H6</f>
        <v>106.17808219178082</v>
      </c>
      <c r="BR12" s="68">
        <f>COSTS!L6+COSTS!M6+COSTS!N6</f>
        <v>174.79452054794518</v>
      </c>
      <c r="BS12" s="68">
        <f>COSTS!R6+COSTS!S6+COSTS!T6</f>
        <v>174</v>
      </c>
      <c r="BT12" s="399">
        <f t="shared" si="52"/>
        <v>1366.1410251579712</v>
      </c>
      <c r="BU12" s="68">
        <f t="shared" si="53"/>
        <v>1343.3238752862069</v>
      </c>
      <c r="BV12" s="68">
        <f t="shared" si="54"/>
        <v>1398.3094297437699</v>
      </c>
      <c r="BW12" s="68">
        <f t="shared" si="55"/>
        <v>1095.0684911625558</v>
      </c>
      <c r="BX12" s="68">
        <f t="shared" si="56"/>
        <v>902.71920311103429</v>
      </c>
      <c r="BY12" s="68">
        <f t="shared" si="57"/>
        <v>1191.0481987749324</v>
      </c>
      <c r="BZ12" s="68">
        <f t="shared" si="58"/>
        <v>1046.3532419260496</v>
      </c>
      <c r="CA12" s="68">
        <f t="shared" si="59"/>
        <v>212.35616438356163</v>
      </c>
      <c r="CB12" s="68">
        <f t="shared" si="60"/>
        <v>186.35616438356163</v>
      </c>
      <c r="CC12" s="68">
        <f t="shared" si="42"/>
        <v>292.08228250022677</v>
      </c>
      <c r="CD12" s="68">
        <f t="shared" ref="CD12:CD52" si="61">P12+AA12+AL12+AW12+BH12+BS12</f>
        <v>337.88014536877438</v>
      </c>
      <c r="CE12" s="399">
        <f t="shared" si="43"/>
        <v>143.67026922952664</v>
      </c>
      <c r="CF12" s="68">
        <f t="shared" si="44"/>
        <v>117.18907800695683</v>
      </c>
      <c r="CG12" s="68">
        <f t="shared" si="45"/>
        <v>113.7486391354837</v>
      </c>
      <c r="CH12" s="68">
        <f t="shared" si="46"/>
        <v>173.46572377498183</v>
      </c>
      <c r="CI12" s="68">
        <f t="shared" si="47"/>
        <v>109.80663286589095</v>
      </c>
      <c r="CJ12" s="68">
        <f t="shared" si="48"/>
        <v>167.0556025628606</v>
      </c>
      <c r="CK12" s="68">
        <f t="shared" si="49"/>
        <v>192.74848475464148</v>
      </c>
      <c r="CN12" s="68">
        <f t="shared" si="50"/>
        <v>-55.917717499773232</v>
      </c>
      <c r="CO12" s="540">
        <f t="shared" si="51"/>
        <v>53.880145368774379</v>
      </c>
    </row>
    <row r="13" spans="1:93" ht="12.5" thickBot="1">
      <c r="A13" s="465"/>
      <c r="B13" s="131"/>
      <c r="C13" s="87"/>
      <c r="D13" s="87"/>
      <c r="E13" s="83" t="s">
        <v>1740</v>
      </c>
      <c r="F13" s="399">
        <f t="shared" si="4"/>
        <v>307.52023809523791</v>
      </c>
      <c r="G13" s="68">
        <f t="shared" si="5"/>
        <v>308.68205128205102</v>
      </c>
      <c r="H13" s="68">
        <f t="shared" si="6"/>
        <v>452.33045977011483</v>
      </c>
      <c r="I13" s="68">
        <f t="shared" si="7"/>
        <v>106.65000000000011</v>
      </c>
      <c r="J13" s="68">
        <f t="shared" si="8"/>
        <v>63.672812667740246</v>
      </c>
      <c r="K13" s="68">
        <f t="shared" si="9"/>
        <v>198.76926464016665</v>
      </c>
      <c r="L13" s="68">
        <f t="shared" si="10"/>
        <v>77.998541778493532</v>
      </c>
      <c r="P13" s="66"/>
      <c r="Q13" s="399">
        <f t="shared" si="11"/>
        <v>192.33065953654184</v>
      </c>
      <c r="R13" s="68">
        <f t="shared" si="12"/>
        <v>294.60561497326216</v>
      </c>
      <c r="S13" s="68">
        <f t="shared" si="13"/>
        <v>205.94276094276094</v>
      </c>
      <c r="T13" s="68">
        <f t="shared" si="14"/>
        <v>212.56872727272739</v>
      </c>
      <c r="U13" s="68">
        <f t="shared" si="15"/>
        <v>222.95738525155809</v>
      </c>
      <c r="V13" s="68">
        <f t="shared" si="16"/>
        <v>211.35138365102929</v>
      </c>
      <c r="W13" s="68">
        <f t="shared" si="17"/>
        <v>219.49449925861452</v>
      </c>
      <c r="AA13" s="66"/>
      <c r="AB13" s="399">
        <f t="shared" si="18"/>
        <v>130.64999999999989</v>
      </c>
      <c r="AC13" s="68">
        <f t="shared" si="19"/>
        <v>130.64999999999989</v>
      </c>
      <c r="AD13" s="68">
        <f t="shared" si="20"/>
        <v>130.65000000000006</v>
      </c>
      <c r="AE13" s="68">
        <f t="shared" si="21"/>
        <v>112.3460000000001</v>
      </c>
      <c r="AF13" s="68">
        <f t="shared" si="22"/>
        <v>127.72160493827144</v>
      </c>
      <c r="AG13" s="68">
        <f t="shared" si="23"/>
        <v>125.8178419753086</v>
      </c>
      <c r="AH13" s="68">
        <f t="shared" si="24"/>
        <v>122.59640329218099</v>
      </c>
      <c r="AI13" s="87">
        <f t="shared" si="25"/>
        <v>0</v>
      </c>
      <c r="AJ13" s="87">
        <f t="shared" si="26"/>
        <v>0</v>
      </c>
      <c r="AM13" s="399">
        <f>CIF!$X$5+VLOOKUP($AM$5&amp;$E13,OCEAN!$E:$J,5,FALSE)</f>
        <v>443.63636363636363</v>
      </c>
      <c r="AN13" s="68">
        <f>CIF!$X$6+VLOOKUP($AN$5&amp;$E13,OCEAN!$E:$J,5,FALSE)</f>
        <v>344.88244514106589</v>
      </c>
      <c r="AO13" s="68">
        <f>CIF!$X$7+VLOOKUP($AO$5&amp;$E13,OCEAN!$E:$J,5,FALSE)</f>
        <v>344.88244514106589</v>
      </c>
      <c r="AP13" s="68">
        <f>CIF!$X$8+VLOOKUP($AP$5&amp;$E13,OCEAN!$E:$J,5,FALSE)</f>
        <v>402.63636363636363</v>
      </c>
      <c r="AQ13" s="68">
        <f>CIF!$X$9+VLOOKUP($AQ$5&amp;$E13,OCEAN!$E:$J,5,FALSE)</f>
        <v>254.77272727272737</v>
      </c>
      <c r="AR13" s="68">
        <f t="shared" si="27"/>
        <v>361.48197492163013</v>
      </c>
      <c r="AS13" s="68">
        <f t="shared" si="28"/>
        <v>328.7045454545455</v>
      </c>
      <c r="AV13" s="68">
        <f>CIF!$X$16+VLOOKUP($AV$6&amp;$E13,OCEAN!$E:$J,5,FALSE)</f>
        <v>72.575523904563184</v>
      </c>
      <c r="AW13" s="540">
        <f>CIF!$X$17+VLOOKUP($AW$6&amp;$E13,OCEAN!$E:$J,5,FALSE)</f>
        <v>90.900843690465393</v>
      </c>
      <c r="AX13" s="68">
        <f>COSTS!C6+COSTS!D6+COSTS!E6</f>
        <v>67.416590788956427</v>
      </c>
      <c r="AY13" s="68">
        <f>COSTS!C6+COSTS!D6+COSTS!E6</f>
        <v>67.416590788956427</v>
      </c>
      <c r="AZ13" s="68">
        <f>COSTS!C6+COSTS!D6+COSTS!E6</f>
        <v>67.416590788956427</v>
      </c>
      <c r="BA13" s="68">
        <f>COSTS!C6+COSTS!D6+COSTS!E6</f>
        <v>67.416590788956427</v>
      </c>
      <c r="BB13" s="68">
        <f>COSTS!C6+COSTS!D6+COSTS!E6</f>
        <v>67.416590788956427</v>
      </c>
      <c r="BC13" s="68">
        <f>COSTS!D6+COSTS!E6+COSTS!F6</f>
        <v>98.301924122289762</v>
      </c>
      <c r="BD13" s="68">
        <f>COSTS!E6+COSTS!F6+COSTS!G6</f>
        <v>117.74480631407057</v>
      </c>
      <c r="BE13" s="68">
        <f>COSTS!F6+COSTS!G6+COSTS!H6</f>
        <v>106.17808219178082</v>
      </c>
      <c r="BF13" s="68">
        <f>COSTS!G6+COSTS!H6+COSTS!I6</f>
        <v>80.178082191780817</v>
      </c>
      <c r="BG13" s="68">
        <f>COSTS!I6+COSTS!J6+COSTS!K6</f>
        <v>81</v>
      </c>
      <c r="BH13" s="540">
        <f>COSTS!O6+COSTS!P6+COSTS!Q6</f>
        <v>64.088799999999992</v>
      </c>
      <c r="BI13" s="68">
        <f>COSTS!F6+COSTS!G6+COSTS!H6</f>
        <v>106.17808219178082</v>
      </c>
      <c r="BJ13" s="68">
        <f>COSTS!F6+COSTS!G6+COSTS!H6</f>
        <v>106.17808219178082</v>
      </c>
      <c r="BK13" s="68">
        <f>COSTS!F6+COSTS!G6+COSTS!H6</f>
        <v>106.17808219178082</v>
      </c>
      <c r="BL13" s="68">
        <f>COSTS!F6+COSTS!G6+COSTS!H6</f>
        <v>106.17808219178082</v>
      </c>
      <c r="BM13" s="68">
        <f>COSTS!F6+COSTS!G6+COSTS!H6</f>
        <v>106.17808219178082</v>
      </c>
      <c r="BN13" s="68">
        <f>COSTS!F6+COSTS!G6+COSTS!H6</f>
        <v>106.17808219178082</v>
      </c>
      <c r="BO13" s="68">
        <f>COSTS!F6+COSTS!G6+COSTS!H6</f>
        <v>106.17808219178082</v>
      </c>
      <c r="BP13" s="68">
        <f>COSTS!F6+COSTS!G6+COSTS!H6</f>
        <v>106.17808219178082</v>
      </c>
      <c r="BQ13" s="68">
        <f>COSTS!F6+COSTS!G6+COSTS!H6</f>
        <v>106.17808219178082</v>
      </c>
      <c r="BR13" s="68">
        <f>COSTS!L6+COSTS!M6+COSTS!N6</f>
        <v>174.79452054794518</v>
      </c>
      <c r="BS13" s="68">
        <f>COSTS!R6+COSTS!S6+COSTS!T6</f>
        <v>174</v>
      </c>
      <c r="BT13" s="399">
        <f t="shared" si="52"/>
        <v>1247.7319342488804</v>
      </c>
      <c r="BU13" s="68">
        <f t="shared" si="53"/>
        <v>1252.4147843771161</v>
      </c>
      <c r="BV13" s="68">
        <f t="shared" si="54"/>
        <v>1307.4003388346789</v>
      </c>
      <c r="BW13" s="68">
        <f t="shared" si="55"/>
        <v>1007.7957638898285</v>
      </c>
      <c r="BX13" s="68">
        <f t="shared" si="56"/>
        <v>842.7192031110344</v>
      </c>
      <c r="BY13" s="68">
        <f t="shared" si="57"/>
        <v>1101.9004715022052</v>
      </c>
      <c r="BZ13" s="68">
        <f t="shared" si="58"/>
        <v>972.71687828968606</v>
      </c>
      <c r="CA13" s="68">
        <f t="shared" si="59"/>
        <v>212.35616438356163</v>
      </c>
      <c r="CB13" s="68">
        <f t="shared" si="60"/>
        <v>186.35616438356163</v>
      </c>
      <c r="CC13" s="68">
        <f t="shared" si="42"/>
        <v>328.37004445250835</v>
      </c>
      <c r="CD13" s="68">
        <f t="shared" si="61"/>
        <v>328.98964369046541</v>
      </c>
      <c r="CE13" s="399">
        <f t="shared" si="43"/>
        <v>25.261178320435874</v>
      </c>
      <c r="CF13" s="68">
        <f t="shared" si="44"/>
        <v>26.279987097866069</v>
      </c>
      <c r="CG13" s="68">
        <f t="shared" si="45"/>
        <v>22.839548226392708</v>
      </c>
      <c r="CH13" s="68">
        <f t="shared" si="46"/>
        <v>86.192996502254573</v>
      </c>
      <c r="CI13" s="68">
        <f t="shared" si="47"/>
        <v>49.806632865891061</v>
      </c>
      <c r="CJ13" s="68">
        <f t="shared" si="48"/>
        <v>77.907875290133347</v>
      </c>
      <c r="CK13" s="68">
        <f t="shared" si="49"/>
        <v>119.11212111827797</v>
      </c>
      <c r="CN13" s="68">
        <f t="shared" si="50"/>
        <v>-19.629955547491647</v>
      </c>
      <c r="CO13" s="540">
        <f t="shared" si="51"/>
        <v>44.989643690465414</v>
      </c>
    </row>
    <row r="14" spans="1:93" ht="12.5" thickBot="1">
      <c r="A14" s="389" t="s">
        <v>1644</v>
      </c>
      <c r="B14" s="389" t="s">
        <v>1645</v>
      </c>
      <c r="C14" s="462">
        <v>46</v>
      </c>
      <c r="D14" s="463">
        <v>18</v>
      </c>
      <c r="E14" s="466" t="s">
        <v>1736</v>
      </c>
      <c r="F14" s="399">
        <f t="shared" si="4"/>
        <v>307.52023809523791</v>
      </c>
      <c r="G14" s="68">
        <f t="shared" si="5"/>
        <v>308.68205128205102</v>
      </c>
      <c r="H14" s="68">
        <f t="shared" si="6"/>
        <v>452.33045977011483</v>
      </c>
      <c r="I14" s="68">
        <f t="shared" si="7"/>
        <v>106.65000000000011</v>
      </c>
      <c r="J14" s="68">
        <f t="shared" si="8"/>
        <v>63.672812667740246</v>
      </c>
      <c r="K14" s="68">
        <f t="shared" si="9"/>
        <v>198.76926464016665</v>
      </c>
      <c r="L14" s="68">
        <f t="shared" si="10"/>
        <v>77.998541778493532</v>
      </c>
      <c r="P14" s="66"/>
      <c r="Q14" s="399">
        <f t="shared" si="11"/>
        <v>192.33065953654184</v>
      </c>
      <c r="R14" s="68">
        <f t="shared" si="12"/>
        <v>294.60561497326216</v>
      </c>
      <c r="S14" s="68">
        <f t="shared" si="13"/>
        <v>205.94276094276094</v>
      </c>
      <c r="T14" s="68">
        <f t="shared" si="14"/>
        <v>212.56872727272739</v>
      </c>
      <c r="U14" s="68">
        <f t="shared" si="15"/>
        <v>222.95738525155809</v>
      </c>
      <c r="V14" s="68">
        <f t="shared" si="16"/>
        <v>211.35138365102929</v>
      </c>
      <c r="W14" s="68">
        <f t="shared" si="17"/>
        <v>219.49449925861452</v>
      </c>
      <c r="AA14" s="66"/>
      <c r="AB14" s="399">
        <f t="shared" si="18"/>
        <v>130.64999999999989</v>
      </c>
      <c r="AC14" s="68">
        <f t="shared" si="19"/>
        <v>130.64999999999989</v>
      </c>
      <c r="AD14" s="68">
        <f t="shared" si="20"/>
        <v>130.65000000000006</v>
      </c>
      <c r="AE14" s="68">
        <f t="shared" si="21"/>
        <v>112.3460000000001</v>
      </c>
      <c r="AF14" s="68">
        <f t="shared" si="22"/>
        <v>127.72160493827144</v>
      </c>
      <c r="AG14" s="68">
        <f t="shared" si="23"/>
        <v>125.8178419753086</v>
      </c>
      <c r="AH14" s="68">
        <f t="shared" si="24"/>
        <v>122.59640329218099</v>
      </c>
      <c r="AI14" s="87">
        <f t="shared" si="25"/>
        <v>0</v>
      </c>
      <c r="AJ14" s="87">
        <f t="shared" si="26"/>
        <v>0</v>
      </c>
      <c r="AM14" s="399">
        <f>CIF!$X$5+VLOOKUP($AM$5&amp;$E14,OCEAN!$E:$J,5,FALSE)</f>
        <v>411.13636363636363</v>
      </c>
      <c r="AN14" s="68">
        <f>CIF!$X$6+VLOOKUP($AN$5&amp;$E14,OCEAN!$E:$J,5,FALSE)</f>
        <v>303.7460815047022</v>
      </c>
      <c r="AO14" s="68">
        <f>CIF!$X$7+VLOOKUP($AO$5&amp;$E14,OCEAN!$E:$J,5,FALSE)</f>
        <v>303.7460815047022</v>
      </c>
      <c r="AP14" s="68">
        <f>CIF!$X$8+VLOOKUP($AP$5&amp;$E14,OCEAN!$E:$J,5,FALSE)</f>
        <v>339.4545454545455</v>
      </c>
      <c r="AQ14" s="68">
        <f>CIF!$X$9+VLOOKUP($AQ$5&amp;$E14,OCEAN!$E:$J,5,FALSE)</f>
        <v>205.68181818181824</v>
      </c>
      <c r="AR14" s="68">
        <f t="shared" si="27"/>
        <v>315.00470219435738</v>
      </c>
      <c r="AS14" s="68">
        <f t="shared" si="28"/>
        <v>272.56818181818187</v>
      </c>
      <c r="AV14" s="68">
        <f>CIF!$X$16+VLOOKUP($AV$6&amp;$E14,OCEAN!$E:$J,5,FALSE)</f>
        <v>76.204300099791354</v>
      </c>
      <c r="AW14" s="540">
        <f>CIF!$X$17+VLOOKUP($AW$6&amp;$E14,OCEAN!$E:$J,5,FALSE)</f>
        <v>90.900843690465393</v>
      </c>
      <c r="AX14" s="68">
        <f>COSTS!C7+COSTS!D7+COSTS!E7</f>
        <v>37.941381862166985</v>
      </c>
      <c r="AY14" s="68">
        <f>COSTS!C7+COSTS!D7+COSTS!E7</f>
        <v>37.941381862166985</v>
      </c>
      <c r="AZ14" s="68">
        <f>COSTS!C7+COSTS!D7+COSTS!E7</f>
        <v>37.941381862166985</v>
      </c>
      <c r="BA14" s="68">
        <f>COSTS!C7+COSTS!D7+COSTS!E7</f>
        <v>37.941381862166985</v>
      </c>
      <c r="BB14" s="68">
        <f>COSTS!C7+COSTS!D7+COSTS!E7</f>
        <v>37.941381862166985</v>
      </c>
      <c r="BC14" s="68">
        <f>COSTS!D7+COSTS!E7+COSTS!F7</f>
        <v>99.662715195500311</v>
      </c>
      <c r="BD14" s="68">
        <f>COSTS!E7+COSTS!F7+COSTS!G7</f>
        <v>119.10559738728114</v>
      </c>
      <c r="BE14" s="68">
        <f>COSTS!F7+COSTS!G7+COSTS!H7</f>
        <v>106.17808219178082</v>
      </c>
      <c r="BF14" s="68">
        <f>COSTS!G7+COSTS!H7+COSTS!I7</f>
        <v>80.178082191780817</v>
      </c>
      <c r="BG14" s="68">
        <f>COSTS!I7+COSTS!J7+COSTS!K7</f>
        <v>74</v>
      </c>
      <c r="BH14" s="540">
        <f>COSTS!O7+COSTS!P7+COSTS!Q7</f>
        <v>41</v>
      </c>
      <c r="BI14" s="68">
        <f>COSTS!F7+COSTS!G7+COSTS!H7</f>
        <v>106.17808219178082</v>
      </c>
      <c r="BJ14" s="68">
        <f>COSTS!F7+COSTS!G7+COSTS!H7</f>
        <v>106.17808219178082</v>
      </c>
      <c r="BK14" s="68">
        <f>COSTS!F7+COSTS!G7+COSTS!H7</f>
        <v>106.17808219178082</v>
      </c>
      <c r="BL14" s="68">
        <f>COSTS!F7+COSTS!G7+COSTS!H7</f>
        <v>106.17808219178082</v>
      </c>
      <c r="BM14" s="68">
        <f>COSTS!F7+COSTS!G7+COSTS!H7</f>
        <v>106.17808219178082</v>
      </c>
      <c r="BN14" s="68">
        <f>COSTS!F7+COSTS!G7+COSTS!H7</f>
        <v>106.17808219178082</v>
      </c>
      <c r="BO14" s="68">
        <f>COSTS!F7+COSTS!G7+COSTS!H7</f>
        <v>106.17808219178082</v>
      </c>
      <c r="BP14" s="68">
        <f>COSTS!F7+COSTS!G7+COSTS!H7</f>
        <v>106.17808219178082</v>
      </c>
      <c r="BQ14" s="68">
        <f>COSTS!F7+COSTS!G7+COSTS!H7</f>
        <v>106.17808219178082</v>
      </c>
      <c r="BR14" s="68">
        <f>COSTS!L7+COSTS!M7+COSTS!N7</f>
        <v>174.79452054794518</v>
      </c>
      <c r="BS14" s="68">
        <f>COSTS!R7+COSTS!S7+COSTS!T7</f>
        <v>174</v>
      </c>
      <c r="BT14" s="399">
        <f t="shared" si="52"/>
        <v>1185.7567253220909</v>
      </c>
      <c r="BU14" s="68">
        <f t="shared" si="53"/>
        <v>1181.8032118139629</v>
      </c>
      <c r="BV14" s="68">
        <f t="shared" si="54"/>
        <v>1236.7887662715257</v>
      </c>
      <c r="BW14" s="68">
        <f t="shared" si="55"/>
        <v>915.13873678122093</v>
      </c>
      <c r="BX14" s="68">
        <f t="shared" si="56"/>
        <v>764.15308509333579</v>
      </c>
      <c r="BY14" s="68">
        <f t="shared" si="57"/>
        <v>1056.7839898481429</v>
      </c>
      <c r="BZ14" s="68">
        <f t="shared" si="58"/>
        <v>917.94130572653285</v>
      </c>
      <c r="CA14" s="68">
        <f t="shared" si="59"/>
        <v>212.35616438356163</v>
      </c>
      <c r="CB14" s="68">
        <f t="shared" si="60"/>
        <v>186.35616438356163</v>
      </c>
      <c r="CC14" s="68">
        <f t="shared" si="42"/>
        <v>324.99882064773652</v>
      </c>
      <c r="CD14" s="68">
        <f t="shared" si="61"/>
        <v>305.90084369046542</v>
      </c>
      <c r="CE14" s="399">
        <f t="shared" si="43"/>
        <v>-36.714030606353617</v>
      </c>
      <c r="CF14" s="68">
        <f t="shared" si="44"/>
        <v>-44.331585465287162</v>
      </c>
      <c r="CG14" s="68">
        <f t="shared" si="45"/>
        <v>-47.772024336760524</v>
      </c>
      <c r="CH14" s="68">
        <f t="shared" si="46"/>
        <v>-6.4640306063530488</v>
      </c>
      <c r="CI14" s="68">
        <f t="shared" si="47"/>
        <v>-28.759485151807553</v>
      </c>
      <c r="CJ14" s="68">
        <f t="shared" si="48"/>
        <v>32.79139363607112</v>
      </c>
      <c r="CK14" s="68">
        <f t="shared" si="49"/>
        <v>64.33654855512475</v>
      </c>
      <c r="CN14" s="68">
        <f t="shared" si="50"/>
        <v>-23.001179352263478</v>
      </c>
      <c r="CO14" s="540">
        <f t="shared" si="51"/>
        <v>21.900843690465422</v>
      </c>
    </row>
    <row r="15" spans="1:93" ht="12.5" thickBot="1">
      <c r="A15" s="67"/>
      <c r="B15" s="460"/>
      <c r="C15" s="91"/>
      <c r="D15" s="91"/>
      <c r="E15" s="461" t="s">
        <v>1737</v>
      </c>
      <c r="F15" s="399">
        <f t="shared" si="4"/>
        <v>307.52023809523791</v>
      </c>
      <c r="G15" s="68">
        <f t="shared" si="5"/>
        <v>308.68205128205102</v>
      </c>
      <c r="H15" s="68">
        <f t="shared" si="6"/>
        <v>452.33045977011483</v>
      </c>
      <c r="I15" s="68">
        <f t="shared" si="7"/>
        <v>106.65000000000011</v>
      </c>
      <c r="J15" s="68">
        <f t="shared" si="8"/>
        <v>63.672812667740246</v>
      </c>
      <c r="K15" s="68">
        <f t="shared" si="9"/>
        <v>198.76926464016665</v>
      </c>
      <c r="L15" s="68">
        <f t="shared" si="10"/>
        <v>77.998541778493532</v>
      </c>
      <c r="P15" s="66"/>
      <c r="Q15" s="399">
        <f t="shared" si="11"/>
        <v>192.33065953654184</v>
      </c>
      <c r="R15" s="68">
        <f t="shared" si="12"/>
        <v>294.60561497326216</v>
      </c>
      <c r="S15" s="68">
        <f t="shared" si="13"/>
        <v>205.94276094276094</v>
      </c>
      <c r="T15" s="68">
        <f t="shared" si="14"/>
        <v>212.56872727272739</v>
      </c>
      <c r="U15" s="68">
        <f t="shared" si="15"/>
        <v>222.95738525155809</v>
      </c>
      <c r="V15" s="68">
        <f t="shared" si="16"/>
        <v>211.35138365102929</v>
      </c>
      <c r="W15" s="68">
        <f t="shared" si="17"/>
        <v>219.49449925861452</v>
      </c>
      <c r="AA15" s="66"/>
      <c r="AB15" s="399">
        <f t="shared" si="18"/>
        <v>130.64999999999989</v>
      </c>
      <c r="AC15" s="68">
        <f t="shared" si="19"/>
        <v>130.64999999999989</v>
      </c>
      <c r="AD15" s="68">
        <f t="shared" si="20"/>
        <v>130.65000000000006</v>
      </c>
      <c r="AE15" s="68">
        <f t="shared" si="21"/>
        <v>112.3460000000001</v>
      </c>
      <c r="AF15" s="68">
        <f t="shared" si="22"/>
        <v>127.72160493827144</v>
      </c>
      <c r="AG15" s="68">
        <f t="shared" si="23"/>
        <v>125.8178419753086</v>
      </c>
      <c r="AH15" s="68">
        <f t="shared" si="24"/>
        <v>122.59640329218099</v>
      </c>
      <c r="AI15" s="87">
        <f t="shared" si="25"/>
        <v>0</v>
      </c>
      <c r="AJ15" s="87">
        <f t="shared" si="26"/>
        <v>0</v>
      </c>
      <c r="AM15" s="399">
        <f>CIF!$X$5+VLOOKUP($AM$5&amp;$E15,OCEAN!$E:$J,5,FALSE)</f>
        <v>473.86363636363637</v>
      </c>
      <c r="AN15" s="68">
        <f>CIF!$X$6+VLOOKUP($AN$5&amp;$E15,OCEAN!$E:$J,5,FALSE)</f>
        <v>386.2460815047022</v>
      </c>
      <c r="AO15" s="68">
        <f>CIF!$X$7+VLOOKUP($AO$5&amp;$E15,OCEAN!$E:$J,5,FALSE)</f>
        <v>386.2460815047022</v>
      </c>
      <c r="AP15" s="68">
        <f>CIF!$X$8+VLOOKUP($AP$5&amp;$E15,OCEAN!$E:$J,5,FALSE)</f>
        <v>401.9545454545455</v>
      </c>
      <c r="AQ15" s="68">
        <f>CIF!$X$9+VLOOKUP($AQ$5&amp;$E15,OCEAN!$E:$J,5,FALSE)</f>
        <v>282.27272727272731</v>
      </c>
      <c r="AR15" s="68">
        <f t="shared" si="27"/>
        <v>386.08424764890282</v>
      </c>
      <c r="AS15" s="68">
        <f t="shared" si="28"/>
        <v>342.11363636363637</v>
      </c>
      <c r="AV15" s="68">
        <f>CIF!$X$16+VLOOKUP($AV$6&amp;$E15,OCEAN!$E:$J,5,FALSE)</f>
        <v>76.204300099791354</v>
      </c>
      <c r="AW15" s="540">
        <f>CIF!$X$17+VLOOKUP($AW$6&amp;$E15,OCEAN!$E:$J,5,FALSE)</f>
        <v>90.900843690465393</v>
      </c>
      <c r="AX15" s="68">
        <f>COSTS!C7+COSTS!D6+COSTS!E6</f>
        <v>36.580590788956428</v>
      </c>
      <c r="AY15" s="68">
        <f>COSTS!C7+COSTS!D7+COSTS!E7</f>
        <v>37.941381862166985</v>
      </c>
      <c r="AZ15" s="68">
        <f>COSTS!C7+COSTS!D7+COSTS!E7</f>
        <v>37.941381862166985</v>
      </c>
      <c r="BA15" s="68">
        <f>COSTS!C7+COSTS!D7+COSTS!E7</f>
        <v>37.941381862166985</v>
      </c>
      <c r="BB15" s="68">
        <f>COSTS!C7+COSTS!D7+COSTS!E7</f>
        <v>37.941381862166985</v>
      </c>
      <c r="BC15" s="68">
        <f>COSTS!D7+COSTS!E7+COSTS!F7</f>
        <v>99.662715195500311</v>
      </c>
      <c r="BD15" s="68">
        <f>COSTS!E7+COSTS!F7+COSTS!G7</f>
        <v>119.10559738728114</v>
      </c>
      <c r="BE15" s="68">
        <f>COSTS!F7+COSTS!G7+COSTS!H7</f>
        <v>106.17808219178082</v>
      </c>
      <c r="BF15" s="68">
        <f>COSTS!G7+COSTS!H7+COSTS!I7</f>
        <v>80.178082191780817</v>
      </c>
      <c r="BG15" s="68">
        <f>COSTS!I7+COSTS!J7+COSTS!K7</f>
        <v>74</v>
      </c>
      <c r="BH15" s="540">
        <f>COSTS!O7+COSTS!P7+COSTS!Q7</f>
        <v>41</v>
      </c>
      <c r="BI15" s="68">
        <f>COSTS!F7+COSTS!G7+COSTS!H7</f>
        <v>106.17808219178082</v>
      </c>
      <c r="BJ15" s="68">
        <f>COSTS!F7+COSTS!G7+COSTS!H7</f>
        <v>106.17808219178082</v>
      </c>
      <c r="BK15" s="68">
        <f>COSTS!F7+COSTS!G7+COSTS!H7</f>
        <v>106.17808219178082</v>
      </c>
      <c r="BL15" s="68">
        <f>COSTS!F7+COSTS!G7+COSTS!H7</f>
        <v>106.17808219178082</v>
      </c>
      <c r="BM15" s="68">
        <f>COSTS!F7+COSTS!G7+COSTS!H7</f>
        <v>106.17808219178082</v>
      </c>
      <c r="BN15" s="68">
        <f>COSTS!F7+COSTS!G7+COSTS!H7</f>
        <v>106.17808219178082</v>
      </c>
      <c r="BO15" s="68">
        <f>COSTS!F7+COSTS!G7+COSTS!H7</f>
        <v>106.17808219178082</v>
      </c>
      <c r="BP15" s="68">
        <f>COSTS!F7+COSTS!G7+COSTS!H7</f>
        <v>106.17808219178082</v>
      </c>
      <c r="BQ15" s="68">
        <f>COSTS!F7+COSTS!G7+COSTS!H7</f>
        <v>106.17808219178082</v>
      </c>
      <c r="BR15" s="68">
        <f>COSTS!L7+COSTS!M7+COSTS!N7</f>
        <v>174.79452054794518</v>
      </c>
      <c r="BS15" s="68">
        <f>COSTS!R7+COSTS!S7+COSTS!T7</f>
        <v>174</v>
      </c>
      <c r="BT15" s="399">
        <f t="shared" si="52"/>
        <v>1247.1232069761531</v>
      </c>
      <c r="BU15" s="68">
        <f t="shared" si="53"/>
        <v>1264.3032118139629</v>
      </c>
      <c r="BV15" s="68">
        <f t="shared" si="54"/>
        <v>1319.2887662715257</v>
      </c>
      <c r="BW15" s="68">
        <f t="shared" si="55"/>
        <v>977.63873678122093</v>
      </c>
      <c r="BX15" s="68">
        <f t="shared" si="56"/>
        <v>840.7439941842448</v>
      </c>
      <c r="BY15" s="68">
        <f t="shared" si="57"/>
        <v>1127.8635353026884</v>
      </c>
      <c r="BZ15" s="68">
        <f t="shared" si="58"/>
        <v>987.48676027198735</v>
      </c>
      <c r="CA15" s="68">
        <f t="shared" si="59"/>
        <v>212.35616438356163</v>
      </c>
      <c r="CB15" s="68">
        <f t="shared" si="60"/>
        <v>186.35616438356163</v>
      </c>
      <c r="CC15" s="68">
        <f t="shared" si="42"/>
        <v>324.99882064773652</v>
      </c>
      <c r="CD15" s="68">
        <f t="shared" si="61"/>
        <v>305.90084369046542</v>
      </c>
      <c r="CE15" s="399">
        <f t="shared" si="43"/>
        <v>24.65245104770861</v>
      </c>
      <c r="CF15" s="68">
        <f t="shared" si="44"/>
        <v>38.168414534712838</v>
      </c>
      <c r="CG15" s="68">
        <f t="shared" si="45"/>
        <v>34.727975663239476</v>
      </c>
      <c r="CH15" s="68">
        <f t="shared" si="46"/>
        <v>56.035969393646951</v>
      </c>
      <c r="CI15" s="68">
        <f t="shared" si="47"/>
        <v>47.831423939101455</v>
      </c>
      <c r="CJ15" s="68">
        <f t="shared" si="48"/>
        <v>103.87093909061662</v>
      </c>
      <c r="CK15" s="68">
        <f t="shared" si="49"/>
        <v>133.88200310057925</v>
      </c>
      <c r="CN15" s="68">
        <f t="shared" si="50"/>
        <v>-23.001179352263478</v>
      </c>
      <c r="CO15" s="540">
        <f t="shared" si="51"/>
        <v>21.900843690465422</v>
      </c>
    </row>
    <row r="16" spans="1:93" ht="12.5" thickBot="1">
      <c r="A16" s="72" t="s">
        <v>1646</v>
      </c>
      <c r="B16" s="389" t="s">
        <v>1647</v>
      </c>
      <c r="C16" s="462">
        <v>43</v>
      </c>
      <c r="D16" s="463">
        <v>14</v>
      </c>
      <c r="E16" s="466" t="s">
        <v>1796</v>
      </c>
      <c r="F16" s="399">
        <f t="shared" si="4"/>
        <v>307.52023809523791</v>
      </c>
      <c r="G16" s="68">
        <f t="shared" si="5"/>
        <v>308.68205128205102</v>
      </c>
      <c r="H16" s="68">
        <f t="shared" si="6"/>
        <v>452.33045977011483</v>
      </c>
      <c r="I16" s="68">
        <f t="shared" si="7"/>
        <v>106.65000000000011</v>
      </c>
      <c r="J16" s="68">
        <f t="shared" si="8"/>
        <v>63.672812667740246</v>
      </c>
      <c r="K16" s="68">
        <f t="shared" si="9"/>
        <v>198.76926464016665</v>
      </c>
      <c r="L16" s="68">
        <f t="shared" si="10"/>
        <v>77.998541778493532</v>
      </c>
      <c r="P16" s="66"/>
      <c r="Q16" s="399">
        <f t="shared" si="11"/>
        <v>192.33065953654184</v>
      </c>
      <c r="R16" s="68">
        <f t="shared" si="12"/>
        <v>294.60561497326216</v>
      </c>
      <c r="S16" s="68">
        <f t="shared" si="13"/>
        <v>205.94276094276094</v>
      </c>
      <c r="T16" s="68">
        <f t="shared" si="14"/>
        <v>212.56872727272739</v>
      </c>
      <c r="U16" s="68">
        <f t="shared" si="15"/>
        <v>222.95738525155809</v>
      </c>
      <c r="V16" s="68">
        <f t="shared" si="16"/>
        <v>211.35138365102929</v>
      </c>
      <c r="W16" s="68">
        <f t="shared" si="17"/>
        <v>219.49449925861452</v>
      </c>
      <c r="AA16" s="66"/>
      <c r="AB16" s="399">
        <f t="shared" si="18"/>
        <v>130.64999999999989</v>
      </c>
      <c r="AC16" s="68">
        <f t="shared" si="19"/>
        <v>130.64999999999989</v>
      </c>
      <c r="AD16" s="68">
        <f t="shared" si="20"/>
        <v>130.65000000000006</v>
      </c>
      <c r="AE16" s="68">
        <f t="shared" si="21"/>
        <v>112.3460000000001</v>
      </c>
      <c r="AF16" s="68">
        <f t="shared" si="22"/>
        <v>127.72160493827144</v>
      </c>
      <c r="AG16" s="68">
        <f t="shared" si="23"/>
        <v>125.8178419753086</v>
      </c>
      <c r="AH16" s="68">
        <f t="shared" si="24"/>
        <v>122.59640329218099</v>
      </c>
      <c r="AI16" s="87">
        <f t="shared" si="25"/>
        <v>0</v>
      </c>
      <c r="AJ16" s="87">
        <f t="shared" si="26"/>
        <v>0</v>
      </c>
      <c r="AM16" s="399">
        <f>CIF!$X$5+VLOOKUP($AM$5&amp;$E16,OCEAN!$E:$J,5,FALSE)</f>
        <v>467.9545454545455</v>
      </c>
      <c r="AN16" s="68">
        <f>CIF!$X$6+VLOOKUP($AN$5&amp;$E16,OCEAN!$E:$J,5,FALSE)</f>
        <v>418.06426332288407</v>
      </c>
      <c r="AO16" s="68">
        <f>CIF!$X$7+VLOOKUP($AO$5&amp;$E16,OCEAN!$E:$J,5,FALSE)</f>
        <v>418.06426332288407</v>
      </c>
      <c r="AP16" s="68">
        <f>CIF!$X$8+VLOOKUP($AP$5&amp;$E16,OCEAN!$E:$J,5,FALSE)</f>
        <v>428.54545454545462</v>
      </c>
      <c r="AQ16" s="68">
        <f>CIF!$X$9+VLOOKUP($AQ$5&amp;$E16,OCEAN!$E:$J,5,FALSE)</f>
        <v>332.95454545454555</v>
      </c>
      <c r="AR16" s="68">
        <f t="shared" si="27"/>
        <v>411.87970219435738</v>
      </c>
      <c r="AS16" s="68">
        <f t="shared" si="28"/>
        <v>380.75000000000011</v>
      </c>
      <c r="AV16" s="68" t="e">
        <f>CIF!$X$16+VLOOKUP($AV$6&amp;$E16,OCEAN!$E:$J,5,FALSE)</f>
        <v>#N/A</v>
      </c>
      <c r="AW16" s="540" t="e">
        <f>CIF!$X$17+VLOOKUP($AW$6&amp;$E16,OCEAN!$E:$J,5,FALSE)</f>
        <v>#N/A</v>
      </c>
      <c r="AX16" s="68">
        <f>COSTS!C8+COSTS!D8+COSTS!E8</f>
        <v>14.735199999999999</v>
      </c>
      <c r="AY16" s="68">
        <f>COSTS!C8+COSTS!D8+COSTS!E8</f>
        <v>14.735199999999999</v>
      </c>
      <c r="AZ16" s="68">
        <f>COSTS!C8+COSTS!D8+COSTS!E8</f>
        <v>14.735199999999999</v>
      </c>
      <c r="BA16" s="68">
        <f>COSTS!C8+COSTS!D8+COSTS!E8</f>
        <v>14.735199999999999</v>
      </c>
      <c r="BB16" s="68">
        <f>COSTS!C8+COSTS!D8+COSTS!E8</f>
        <v>14.735199999999999</v>
      </c>
      <c r="BC16" s="68">
        <f>COSTS!D8+COSTS!E8+COSTS!F8</f>
        <v>86.735200000000006</v>
      </c>
      <c r="BD16" s="68">
        <f>COSTS!E8+COSTS!F8+COSTS!G8</f>
        <v>106.17808219178082</v>
      </c>
      <c r="BE16" s="68">
        <f>COSTS!F8+COSTS!G8+COSTS!H8</f>
        <v>106.17808219178082</v>
      </c>
      <c r="BF16" s="68">
        <f>COSTS!G8+COSTS!H8+COSTS!I8</f>
        <v>85.178082191780817</v>
      </c>
      <c r="BG16" s="68">
        <f>COSTS!I8+COSTS!J8+COSTS!K8</f>
        <v>86</v>
      </c>
      <c r="BH16" s="540">
        <f>COSTS!O8+COSTS!P8+COSTS!Q8</f>
        <v>48.088799999999999</v>
      </c>
      <c r="BI16" s="68">
        <f>COSTS!F8+COSTS!G8+COSTS!H8</f>
        <v>106.17808219178082</v>
      </c>
      <c r="BJ16" s="68">
        <f>COSTS!F8+COSTS!G8+COSTS!H8</f>
        <v>106.17808219178082</v>
      </c>
      <c r="BK16" s="68">
        <f>COSTS!F8+COSTS!G8+COSTS!H8</f>
        <v>106.17808219178082</v>
      </c>
      <c r="BL16" s="68">
        <f>COSTS!F8+COSTS!G8+COSTS!H8</f>
        <v>106.17808219178082</v>
      </c>
      <c r="BM16" s="68">
        <f>COSTS!F8+COSTS!G8+COSTS!H8</f>
        <v>106.17808219178082</v>
      </c>
      <c r="BN16" s="68">
        <f>COSTS!F8+COSTS!G8+COSTS!H8</f>
        <v>106.17808219178082</v>
      </c>
      <c r="BO16" s="68">
        <f>COSTS!F8+COSTS!G8+COSTS!H8</f>
        <v>106.17808219178082</v>
      </c>
      <c r="BP16" s="68">
        <f>COSTS!F8+COSTS!G8+COSTS!H8</f>
        <v>106.17808219178082</v>
      </c>
      <c r="BQ16" s="68">
        <f>COSTS!F8+COSTS!G8+COSTS!H8</f>
        <v>106.17808219178082</v>
      </c>
      <c r="BR16" s="68">
        <f>COSTS!L8+COSTS!M8+COSTS!N8</f>
        <v>174.79452054794518</v>
      </c>
      <c r="BS16" s="68">
        <f>COSTS!R8+COSTS!S8+COSTS!T8</f>
        <v>174</v>
      </c>
      <c r="BT16" s="399">
        <f t="shared" si="52"/>
        <v>1219.3687252781058</v>
      </c>
      <c r="BU16" s="68">
        <f t="shared" si="53"/>
        <v>1272.915211769978</v>
      </c>
      <c r="BV16" s="68">
        <f t="shared" si="54"/>
        <v>1327.9007662275408</v>
      </c>
      <c r="BW16" s="68">
        <f t="shared" si="55"/>
        <v>981.02346400996305</v>
      </c>
      <c r="BX16" s="68">
        <f t="shared" si="56"/>
        <v>868.21963050389604</v>
      </c>
      <c r="BY16" s="68">
        <f t="shared" si="57"/>
        <v>1140.7314746526426</v>
      </c>
      <c r="BZ16" s="68">
        <f t="shared" si="58"/>
        <v>1013.1956087128508</v>
      </c>
      <c r="CA16" s="68">
        <f t="shared" si="59"/>
        <v>212.35616438356163</v>
      </c>
      <c r="CB16" s="68">
        <f t="shared" si="60"/>
        <v>191.35616438356163</v>
      </c>
      <c r="CC16" s="68" t="e">
        <f t="shared" si="42"/>
        <v>#N/A</v>
      </c>
      <c r="CD16" s="68" t="e">
        <f t="shared" si="61"/>
        <v>#N/A</v>
      </c>
      <c r="CE16" s="399">
        <f t="shared" si="43"/>
        <v>-3.1020306503387474</v>
      </c>
      <c r="CF16" s="68">
        <f t="shared" si="44"/>
        <v>46.780414490727935</v>
      </c>
      <c r="CG16" s="68">
        <f t="shared" si="45"/>
        <v>43.339975619254574</v>
      </c>
      <c r="CH16" s="68">
        <f t="shared" si="46"/>
        <v>59.420696622389073</v>
      </c>
      <c r="CI16" s="68">
        <f t="shared" si="47"/>
        <v>75.307060258752699</v>
      </c>
      <c r="CJ16" s="68">
        <f t="shared" si="48"/>
        <v>116.73887844057083</v>
      </c>
      <c r="CK16" s="68">
        <f t="shared" si="49"/>
        <v>159.5908515414427</v>
      </c>
      <c r="CN16" s="68" t="e">
        <f t="shared" si="50"/>
        <v>#N/A</v>
      </c>
      <c r="CO16" s="540" t="e">
        <f t="shared" si="51"/>
        <v>#N/A</v>
      </c>
    </row>
    <row r="17" spans="1:93">
      <c r="A17" s="464"/>
      <c r="B17" s="131"/>
      <c r="C17" s="87"/>
      <c r="D17" s="87"/>
      <c r="E17" s="83" t="s">
        <v>1749</v>
      </c>
      <c r="F17" s="399">
        <f t="shared" si="4"/>
        <v>307.52023809523791</v>
      </c>
      <c r="G17" s="68">
        <f t="shared" si="5"/>
        <v>308.68205128205102</v>
      </c>
      <c r="H17" s="68">
        <f t="shared" si="6"/>
        <v>452.33045977011483</v>
      </c>
      <c r="I17" s="68">
        <f t="shared" si="7"/>
        <v>106.65000000000011</v>
      </c>
      <c r="J17" s="68">
        <f t="shared" si="8"/>
        <v>63.672812667740246</v>
      </c>
      <c r="K17" s="68">
        <f t="shared" si="9"/>
        <v>198.76926464016665</v>
      </c>
      <c r="L17" s="68">
        <f t="shared" si="10"/>
        <v>77.998541778493532</v>
      </c>
      <c r="P17" s="66"/>
      <c r="Q17" s="399">
        <f t="shared" si="11"/>
        <v>192.33065953654184</v>
      </c>
      <c r="R17" s="68">
        <f t="shared" si="12"/>
        <v>294.60561497326216</v>
      </c>
      <c r="S17" s="68">
        <f t="shared" si="13"/>
        <v>205.94276094276094</v>
      </c>
      <c r="T17" s="68">
        <f t="shared" si="14"/>
        <v>212.56872727272739</v>
      </c>
      <c r="U17" s="68">
        <f t="shared" si="15"/>
        <v>222.95738525155809</v>
      </c>
      <c r="V17" s="68">
        <f t="shared" si="16"/>
        <v>211.35138365102929</v>
      </c>
      <c r="W17" s="68">
        <f t="shared" si="17"/>
        <v>219.49449925861452</v>
      </c>
      <c r="AA17" s="66"/>
      <c r="AB17" s="399">
        <f t="shared" si="18"/>
        <v>130.64999999999989</v>
      </c>
      <c r="AC17" s="68">
        <f t="shared" si="19"/>
        <v>130.64999999999989</v>
      </c>
      <c r="AD17" s="68">
        <f t="shared" si="20"/>
        <v>130.65000000000006</v>
      </c>
      <c r="AE17" s="68">
        <f t="shared" si="21"/>
        <v>112.3460000000001</v>
      </c>
      <c r="AF17" s="68">
        <f t="shared" si="22"/>
        <v>127.72160493827144</v>
      </c>
      <c r="AG17" s="68">
        <f t="shared" si="23"/>
        <v>125.8178419753086</v>
      </c>
      <c r="AH17" s="68">
        <f t="shared" si="24"/>
        <v>122.59640329218099</v>
      </c>
      <c r="AI17" s="87">
        <f t="shared" si="25"/>
        <v>0</v>
      </c>
      <c r="AJ17" s="87">
        <f t="shared" si="26"/>
        <v>0</v>
      </c>
      <c r="AM17" s="399">
        <f>CIF!$X$5+VLOOKUP($AM$5&amp;$E17,OCEAN!$E:$J,5,FALSE)</f>
        <v>423.86363636363637</v>
      </c>
      <c r="AN17" s="68">
        <f>CIF!$X$6+VLOOKUP($AN$5&amp;$E17,OCEAN!$E:$J,5,FALSE)</f>
        <v>361.2460815047022</v>
      </c>
      <c r="AO17" s="68">
        <f>CIF!$X$7+VLOOKUP($AO$5&amp;$E17,OCEAN!$E:$J,5,FALSE)</f>
        <v>361.2460815047022</v>
      </c>
      <c r="AP17" s="68">
        <f>CIF!$X$8+VLOOKUP($AP$5&amp;$E17,OCEAN!$E:$J,5,FALSE)</f>
        <v>428.54545454545462</v>
      </c>
      <c r="AQ17" s="68">
        <f>CIF!$X$9+VLOOKUP($AQ$5&amp;$E17,OCEAN!$E:$J,5,FALSE)</f>
        <v>248.40909090909099</v>
      </c>
      <c r="AR17" s="68">
        <f t="shared" si="27"/>
        <v>365.516065830721</v>
      </c>
      <c r="AS17" s="68">
        <f t="shared" si="28"/>
        <v>338.4772727272728</v>
      </c>
      <c r="AV17" s="68">
        <f>CIF!$X$16+VLOOKUP($AV$6&amp;$E17,OCEAN!$E:$J,5,FALSE)</f>
        <v>111.58486800326591</v>
      </c>
      <c r="AW17" s="540">
        <f>CIF!$X$17+VLOOKUP($AW$6&amp;$E17,OCEAN!$E:$J,5,FALSE)</f>
        <v>172.72974689286039</v>
      </c>
      <c r="AX17" s="68">
        <f>COSTS!C8+COSTS!D8+COSTS!E8</f>
        <v>14.735199999999999</v>
      </c>
      <c r="AY17" s="68">
        <f>COSTS!C8+COSTS!D8+COSTS!E8</f>
        <v>14.735199999999999</v>
      </c>
      <c r="AZ17" s="68">
        <f>COSTS!C8+COSTS!D8+COSTS!E8</f>
        <v>14.735199999999999</v>
      </c>
      <c r="BA17" s="68">
        <f>COSTS!C8+COSTS!D8+COSTS!E8</f>
        <v>14.735199999999999</v>
      </c>
      <c r="BB17" s="68">
        <f>COSTS!C8+COSTS!D8+COSTS!E8</f>
        <v>14.735199999999999</v>
      </c>
      <c r="BC17" s="68">
        <f>COSTS!D8+COSTS!E8+COSTS!F8</f>
        <v>86.735200000000006</v>
      </c>
      <c r="BD17" s="68">
        <f>COSTS!E8+COSTS!F8+COSTS!G8</f>
        <v>106.17808219178082</v>
      </c>
      <c r="BE17" s="68">
        <f>COSTS!F8+COSTS!G8+COSTS!H8</f>
        <v>106.17808219178082</v>
      </c>
      <c r="BF17" s="68">
        <f>COSTS!G8+COSTS!H8+COSTS!I8</f>
        <v>85.178082191780817</v>
      </c>
      <c r="BG17" s="68">
        <f>COSTS!I8+COSTS!J8+COSTS!K8</f>
        <v>86</v>
      </c>
      <c r="BH17" s="540">
        <f>COSTS!O8+COSTS!P8+COSTS!Q8</f>
        <v>48.088799999999999</v>
      </c>
      <c r="BI17" s="399">
        <f>COSTS!F8+COSTS!G8+COSTS!H8</f>
        <v>106.17808219178082</v>
      </c>
      <c r="BJ17" s="68">
        <f>COSTS!F8+COSTS!G8+COSTS!H8</f>
        <v>106.17808219178082</v>
      </c>
      <c r="BK17" s="68">
        <f>COSTS!F8+COSTS!G8+COSTS!H8</f>
        <v>106.17808219178082</v>
      </c>
      <c r="BL17" s="68">
        <f>COSTS!F8+COSTS!G8+COSTS!H8</f>
        <v>106.17808219178082</v>
      </c>
      <c r="BM17" s="68">
        <f>COSTS!F8+COSTS!G8+COSTS!H8</f>
        <v>106.17808219178082</v>
      </c>
      <c r="BN17" s="68">
        <f>COSTS!F8+COSTS!G8+COSTS!H8</f>
        <v>106.17808219178082</v>
      </c>
      <c r="BO17" s="68">
        <f>COSTS!F8+COSTS!G8+COSTS!H8</f>
        <v>106.17808219178082</v>
      </c>
      <c r="BP17" s="68">
        <f>COSTS!F8+COSTS!G8+COSTS!H8</f>
        <v>106.17808219178082</v>
      </c>
      <c r="BQ17" s="68">
        <f>COSTS!F8+COSTS!G8+COSTS!H8</f>
        <v>106.17808219178082</v>
      </c>
      <c r="BR17" s="68">
        <f>COSTS!L8+COSTS!M8+COSTS!N8</f>
        <v>174.79452054794518</v>
      </c>
      <c r="BS17" s="68">
        <f>COSTS!R8+COSTS!S8+COSTS!T8</f>
        <v>174</v>
      </c>
      <c r="BT17" s="399">
        <f t="shared" si="52"/>
        <v>1175.2778161871968</v>
      </c>
      <c r="BU17" s="68">
        <f t="shared" si="53"/>
        <v>1216.097029951796</v>
      </c>
      <c r="BV17" s="68">
        <f t="shared" si="54"/>
        <v>1271.0825844093588</v>
      </c>
      <c r="BW17" s="68">
        <f t="shared" si="55"/>
        <v>981.02346400996305</v>
      </c>
      <c r="BX17" s="68">
        <f t="shared" si="56"/>
        <v>783.67417595844154</v>
      </c>
      <c r="BY17" s="68">
        <f t="shared" si="57"/>
        <v>1094.3678382890064</v>
      </c>
      <c r="BZ17" s="68">
        <f t="shared" si="58"/>
        <v>970.92288144012355</v>
      </c>
      <c r="CA17" s="68">
        <f t="shared" si="59"/>
        <v>212.35616438356163</v>
      </c>
      <c r="CB17" s="68">
        <f t="shared" si="60"/>
        <v>191.35616438356163</v>
      </c>
      <c r="CC17" s="68">
        <f t="shared" si="42"/>
        <v>372.37938855121109</v>
      </c>
      <c r="CD17" s="68">
        <f t="shared" si="61"/>
        <v>394.81854689286035</v>
      </c>
      <c r="CE17" s="399">
        <f t="shared" si="43"/>
        <v>-47.192939741247756</v>
      </c>
      <c r="CF17" s="68">
        <f t="shared" si="44"/>
        <v>-10.037767327454048</v>
      </c>
      <c r="CG17" s="68">
        <f t="shared" si="45"/>
        <v>-13.47820619892741</v>
      </c>
      <c r="CH17" s="68">
        <f t="shared" si="46"/>
        <v>59.420696622389073</v>
      </c>
      <c r="CI17" s="68">
        <f t="shared" si="47"/>
        <v>-9.238394286701805</v>
      </c>
      <c r="CJ17" s="68">
        <f t="shared" si="48"/>
        <v>70.375242076934569</v>
      </c>
      <c r="CK17" s="68">
        <f t="shared" si="49"/>
        <v>117.31812426871545</v>
      </c>
      <c r="CN17" s="68">
        <f t="shared" si="50"/>
        <v>24.379388551211093</v>
      </c>
      <c r="CO17" s="540">
        <f t="shared" si="51"/>
        <v>110.81854689286035</v>
      </c>
    </row>
    <row r="18" spans="1:93" ht="12.5" thickBot="1">
      <c r="A18" s="465"/>
      <c r="B18" s="131"/>
      <c r="C18" s="87"/>
      <c r="D18" s="87"/>
      <c r="E18" s="83" t="s">
        <v>1787</v>
      </c>
      <c r="F18" s="399">
        <f t="shared" si="4"/>
        <v>307.52023809523791</v>
      </c>
      <c r="G18" s="68">
        <f t="shared" si="5"/>
        <v>308.68205128205102</v>
      </c>
      <c r="H18" s="68">
        <f t="shared" si="6"/>
        <v>452.33045977011483</v>
      </c>
      <c r="I18" s="68">
        <f t="shared" si="7"/>
        <v>106.65000000000011</v>
      </c>
      <c r="J18" s="68">
        <f t="shared" si="8"/>
        <v>63.672812667740246</v>
      </c>
      <c r="K18" s="68">
        <f t="shared" si="9"/>
        <v>198.76926464016665</v>
      </c>
      <c r="L18" s="68">
        <f t="shared" si="10"/>
        <v>77.998541778493532</v>
      </c>
      <c r="P18" s="66"/>
      <c r="Q18" s="399">
        <f t="shared" si="11"/>
        <v>192.33065953654184</v>
      </c>
      <c r="R18" s="68">
        <f t="shared" si="12"/>
        <v>294.60561497326216</v>
      </c>
      <c r="S18" s="68">
        <f t="shared" si="13"/>
        <v>205.94276094276094</v>
      </c>
      <c r="T18" s="68">
        <f t="shared" si="14"/>
        <v>212.56872727272739</v>
      </c>
      <c r="U18" s="68">
        <f t="shared" si="15"/>
        <v>222.95738525155809</v>
      </c>
      <c r="V18" s="68">
        <f t="shared" si="16"/>
        <v>211.35138365102929</v>
      </c>
      <c r="W18" s="68">
        <f t="shared" si="17"/>
        <v>219.49449925861452</v>
      </c>
      <c r="AA18" s="66"/>
      <c r="AB18" s="399">
        <f t="shared" si="18"/>
        <v>130.64999999999989</v>
      </c>
      <c r="AC18" s="68">
        <f t="shared" si="19"/>
        <v>130.64999999999989</v>
      </c>
      <c r="AD18" s="68">
        <f t="shared" si="20"/>
        <v>130.65000000000006</v>
      </c>
      <c r="AE18" s="68">
        <f t="shared" si="21"/>
        <v>112.3460000000001</v>
      </c>
      <c r="AF18" s="68">
        <f t="shared" si="22"/>
        <v>127.72160493827144</v>
      </c>
      <c r="AG18" s="68">
        <f t="shared" si="23"/>
        <v>125.8178419753086</v>
      </c>
      <c r="AH18" s="68">
        <f t="shared" si="24"/>
        <v>122.59640329218099</v>
      </c>
      <c r="AI18" s="87">
        <f t="shared" si="25"/>
        <v>0</v>
      </c>
      <c r="AJ18" s="87">
        <f t="shared" si="26"/>
        <v>0</v>
      </c>
      <c r="AM18" s="399">
        <f>CIF!$X$5+VLOOKUP($AM$5&amp;$E18,OCEAN!$E:$J,5,FALSE)</f>
        <v>423.86363636363637</v>
      </c>
      <c r="AN18" s="68">
        <f>CIF!$X$6+VLOOKUP($AN$5&amp;$E18,OCEAN!$E:$J,5,FALSE)</f>
        <v>361.2460815047022</v>
      </c>
      <c r="AO18" s="68">
        <f>CIF!$X$7+VLOOKUP($AO$5&amp;$E18,OCEAN!$E:$J,5,FALSE)</f>
        <v>361.2460815047022</v>
      </c>
      <c r="AP18" s="68">
        <f>CIF!$X$8+VLOOKUP($AP$5&amp;$E18,OCEAN!$E:$J,5,FALSE)</f>
        <v>428.54545454545462</v>
      </c>
      <c r="AQ18" s="68">
        <f>CIF!$X$9+VLOOKUP($AQ$5&amp;$E18,OCEAN!$E:$J,5,FALSE)</f>
        <v>247.95454545454555</v>
      </c>
      <c r="AR18" s="68">
        <f t="shared" si="27"/>
        <v>365.40242946708463</v>
      </c>
      <c r="AS18" s="68">
        <f t="shared" si="28"/>
        <v>338.25000000000011</v>
      </c>
      <c r="AV18" s="68">
        <f>CIF!$X$16+VLOOKUP($AV$6&amp;$E18,OCEAN!$E:$J,5,FALSE)</f>
        <v>111.58486800326591</v>
      </c>
      <c r="AW18" s="540">
        <f>CIF!$X$17+VLOOKUP($AW$6&amp;$E18,OCEAN!$E:$J,5,FALSE)</f>
        <v>172.72974689286039</v>
      </c>
      <c r="AX18" s="68">
        <f>COSTS!C8+COSTS!D8+COSTS!E8</f>
        <v>14.735199999999999</v>
      </c>
      <c r="AY18" s="68">
        <f>COSTS!C8+COSTS!D8+COSTS!E8</f>
        <v>14.735199999999999</v>
      </c>
      <c r="AZ18" s="68">
        <f>COSTS!C8+COSTS!D8+COSTS!E8</f>
        <v>14.735199999999999</v>
      </c>
      <c r="BA18" s="68">
        <f>COSTS!C8+COSTS!D8+COSTS!E8</f>
        <v>14.735199999999999</v>
      </c>
      <c r="BB18" s="68">
        <f>COSTS!C8+COSTS!D8+COSTS!E8</f>
        <v>14.735199999999999</v>
      </c>
      <c r="BC18" s="68">
        <f>COSTS!D8+COSTS!E8+COSTS!F8</f>
        <v>86.735200000000006</v>
      </c>
      <c r="BD18" s="68">
        <f>COSTS!E8+COSTS!F8+COSTS!G8</f>
        <v>106.17808219178082</v>
      </c>
      <c r="BE18" s="68">
        <f>COSTS!F8+COSTS!G8+COSTS!H8</f>
        <v>106.17808219178082</v>
      </c>
      <c r="BF18" s="68">
        <f>COSTS!G8+COSTS!H8+COSTS!I8</f>
        <v>85.178082191780817</v>
      </c>
      <c r="BG18" s="68">
        <f>COSTS!I8+COSTS!J8+COSTS!K8</f>
        <v>86</v>
      </c>
      <c r="BH18" s="540">
        <f>COSTS!O8+COSTS!P8+COSTS!Q8</f>
        <v>48.088799999999999</v>
      </c>
      <c r="BI18" s="399">
        <f>COSTS!F8+COSTS!G8+COSTS!H8</f>
        <v>106.17808219178082</v>
      </c>
      <c r="BJ18" s="68">
        <f>COSTS!F8+COSTS!G8+COSTS!H8</f>
        <v>106.17808219178082</v>
      </c>
      <c r="BK18" s="68">
        <f>COSTS!F8+COSTS!G8+COSTS!H8</f>
        <v>106.17808219178082</v>
      </c>
      <c r="BL18" s="68">
        <f>COSTS!F8+COSTS!G8+COSTS!H8</f>
        <v>106.17808219178082</v>
      </c>
      <c r="BM18" s="68">
        <f>COSTS!F8+COSTS!G8+COSTS!H8</f>
        <v>106.17808219178082</v>
      </c>
      <c r="BN18" s="68">
        <f>COSTS!F8+COSTS!G8+COSTS!H8</f>
        <v>106.17808219178082</v>
      </c>
      <c r="BO18" s="68">
        <f>COSTS!F8+COSTS!G8+COSTS!H8</f>
        <v>106.17808219178082</v>
      </c>
      <c r="BP18" s="68">
        <f>COSTS!F8+COSTS!G8+COSTS!H8</f>
        <v>106.17808219178082</v>
      </c>
      <c r="BQ18" s="68">
        <f>COSTS!F8+COSTS!G8+COSTS!H8</f>
        <v>106.17808219178082</v>
      </c>
      <c r="BR18" s="68">
        <f>COSTS!L8+COSTS!M8+COSTS!N8</f>
        <v>174.79452054794518</v>
      </c>
      <c r="BS18" s="68">
        <f>COSTS!R8+COSTS!S8+COSTS!T8</f>
        <v>174</v>
      </c>
      <c r="BT18" s="399">
        <f t="shared" si="52"/>
        <v>1175.2778161871968</v>
      </c>
      <c r="BU18" s="68">
        <f t="shared" si="53"/>
        <v>1216.097029951796</v>
      </c>
      <c r="BV18" s="68">
        <f t="shared" si="54"/>
        <v>1271.0825844093588</v>
      </c>
      <c r="BW18" s="68">
        <f t="shared" si="55"/>
        <v>981.02346400996305</v>
      </c>
      <c r="BX18" s="68">
        <f t="shared" si="56"/>
        <v>783.21963050389604</v>
      </c>
      <c r="BY18" s="68">
        <f t="shared" si="57"/>
        <v>1094.2542019253699</v>
      </c>
      <c r="BZ18" s="68">
        <f t="shared" si="58"/>
        <v>970.6956087128508</v>
      </c>
      <c r="CA18" s="68">
        <f t="shared" si="59"/>
        <v>212.35616438356163</v>
      </c>
      <c r="CB18" s="68">
        <f t="shared" si="60"/>
        <v>191.35616438356163</v>
      </c>
      <c r="CC18" s="68">
        <f t="shared" si="42"/>
        <v>372.37938855121109</v>
      </c>
      <c r="CD18" s="68">
        <f t="shared" si="61"/>
        <v>394.81854689286035</v>
      </c>
      <c r="CE18" s="399">
        <f t="shared" si="43"/>
        <v>-47.192939741247756</v>
      </c>
      <c r="CF18" s="68">
        <f t="shared" si="44"/>
        <v>-10.037767327454048</v>
      </c>
      <c r="CG18" s="68">
        <f t="shared" si="45"/>
        <v>-13.47820619892741</v>
      </c>
      <c r="CH18" s="68">
        <f t="shared" si="46"/>
        <v>59.420696622389073</v>
      </c>
      <c r="CI18" s="68">
        <f t="shared" si="47"/>
        <v>-9.6929397412473008</v>
      </c>
      <c r="CJ18" s="68">
        <f t="shared" si="48"/>
        <v>70.261605713298081</v>
      </c>
      <c r="CK18" s="68">
        <f t="shared" si="49"/>
        <v>117.0908515414427</v>
      </c>
      <c r="CN18" s="68">
        <f t="shared" si="50"/>
        <v>24.379388551211093</v>
      </c>
      <c r="CO18" s="540">
        <f t="shared" si="51"/>
        <v>110.81854689286035</v>
      </c>
    </row>
    <row r="19" spans="1:93" ht="12.5" thickBot="1">
      <c r="A19" s="389" t="s">
        <v>1648</v>
      </c>
      <c r="B19" s="389" t="s">
        <v>1649</v>
      </c>
      <c r="C19" s="462">
        <v>40</v>
      </c>
      <c r="D19" s="463">
        <v>14</v>
      </c>
      <c r="E19" s="466" t="s">
        <v>1775</v>
      </c>
      <c r="F19" s="399">
        <f t="shared" si="4"/>
        <v>307.52023809523791</v>
      </c>
      <c r="G19" s="68">
        <f t="shared" si="5"/>
        <v>308.68205128205102</v>
      </c>
      <c r="H19" s="68">
        <f t="shared" si="6"/>
        <v>452.33045977011483</v>
      </c>
      <c r="I19" s="68">
        <f t="shared" si="7"/>
        <v>106.65000000000011</v>
      </c>
      <c r="J19" s="68">
        <f t="shared" si="8"/>
        <v>63.672812667740246</v>
      </c>
      <c r="K19" s="68">
        <f t="shared" si="9"/>
        <v>198.76926464016665</v>
      </c>
      <c r="L19" s="68">
        <f t="shared" si="10"/>
        <v>77.998541778493532</v>
      </c>
      <c r="P19" s="66"/>
      <c r="Q19" s="399">
        <f t="shared" si="11"/>
        <v>192.33065953654184</v>
      </c>
      <c r="R19" s="68">
        <f t="shared" si="12"/>
        <v>294.60561497326216</v>
      </c>
      <c r="S19" s="68">
        <f t="shared" si="13"/>
        <v>205.94276094276094</v>
      </c>
      <c r="T19" s="68">
        <f t="shared" si="14"/>
        <v>212.56872727272739</v>
      </c>
      <c r="U19" s="68">
        <f t="shared" si="15"/>
        <v>222.95738525155809</v>
      </c>
      <c r="V19" s="68">
        <f t="shared" si="16"/>
        <v>211.35138365102929</v>
      </c>
      <c r="W19" s="68">
        <f t="shared" si="17"/>
        <v>219.49449925861452</v>
      </c>
      <c r="AA19" s="66"/>
      <c r="AB19" s="399">
        <f t="shared" si="18"/>
        <v>130.64999999999989</v>
      </c>
      <c r="AC19" s="68">
        <f t="shared" si="19"/>
        <v>130.64999999999989</v>
      </c>
      <c r="AD19" s="68">
        <f t="shared" si="20"/>
        <v>130.65000000000006</v>
      </c>
      <c r="AE19" s="68">
        <f t="shared" si="21"/>
        <v>112.3460000000001</v>
      </c>
      <c r="AF19" s="68">
        <f t="shared" si="22"/>
        <v>127.72160493827144</v>
      </c>
      <c r="AG19" s="68">
        <f t="shared" si="23"/>
        <v>125.8178419753086</v>
      </c>
      <c r="AH19" s="68">
        <f t="shared" si="24"/>
        <v>122.59640329218099</v>
      </c>
      <c r="AI19" s="87">
        <f t="shared" si="25"/>
        <v>0</v>
      </c>
      <c r="AJ19" s="87">
        <f t="shared" si="26"/>
        <v>0</v>
      </c>
      <c r="AM19" s="399">
        <f>CIF!$X$5+VLOOKUP($AM$5&amp;$E19,OCEAN!$E:$J,5,FALSE)</f>
        <v>644.5454545454545</v>
      </c>
      <c r="AN19" s="68">
        <f>CIF!$X$6+VLOOKUP($AN$5&amp;$E19,OCEAN!$E:$J,5,FALSE)</f>
        <v>432.60971786833858</v>
      </c>
      <c r="AO19" s="68">
        <f>CIF!$X$7+VLOOKUP($AO$5&amp;$E19,OCEAN!$E:$J,5,FALSE)</f>
        <v>432.60971786833858</v>
      </c>
      <c r="AP19" s="68">
        <f>CIF!$X$8+VLOOKUP($AP$5&amp;$E19,OCEAN!$E:$J,5,FALSE)</f>
        <v>478.31818181818176</v>
      </c>
      <c r="AQ19" s="68">
        <f>CIF!$X$9+VLOOKUP($AQ$5&amp;$E19,OCEAN!$E:$J,5,FALSE)</f>
        <v>325.2272727272728</v>
      </c>
      <c r="AR19" s="68">
        <f t="shared" si="27"/>
        <v>470.17515673981188</v>
      </c>
      <c r="AS19" s="68">
        <f t="shared" si="28"/>
        <v>401.77272727272725</v>
      </c>
      <c r="AV19" s="68">
        <f>CIF!$X$16+VLOOKUP($AV$6&amp;$E19,OCEAN!$E:$J,5,FALSE)</f>
        <v>162.38773473646012</v>
      </c>
      <c r="AW19" s="540" t="e">
        <f>CIF!$X$17+VLOOKUP($AW$6&amp;$E19,OCEAN!$E:$J,5,FALSE)</f>
        <v>#N/A</v>
      </c>
      <c r="AX19" s="68">
        <f>COSTS!C9+COSTS!D9+COSTS!E9</f>
        <v>30.928613771205661</v>
      </c>
      <c r="AY19" s="68">
        <f>COSTS!C9+COSTS!D9+COSTS!E9</f>
        <v>30.928613771205661</v>
      </c>
      <c r="AZ19" s="68">
        <f>COSTS!C9+COSTS!D9+COSTS!E9</f>
        <v>30.928613771205661</v>
      </c>
      <c r="BA19" s="68">
        <f>COSTS!C9+COSTS!D9+COSTS!E9</f>
        <v>30.928613771205661</v>
      </c>
      <c r="BB19" s="68">
        <f>COSTS!C9+COSTS!D9+COSTS!E9</f>
        <v>30.928613771205661</v>
      </c>
      <c r="BC19" s="68">
        <f>COSTS!C9+COSTS!D9+COSTS!E9</f>
        <v>30.928613771205661</v>
      </c>
      <c r="BD19" s="68">
        <f>COSTS!C9+COSTS!D9+COSTS!E9</f>
        <v>30.928613771205661</v>
      </c>
      <c r="BE19" s="68">
        <f>COSTS!C9+COSTS!D9+COSTS!E9</f>
        <v>30.928613771205661</v>
      </c>
      <c r="BF19" s="68">
        <f>COSTS!C9+COSTS!D9+COSTS!E9</f>
        <v>30.928613771205661</v>
      </c>
      <c r="BG19" s="68">
        <f>COSTS!I9+COSTS!J9+COSTS!K9</f>
        <v>78</v>
      </c>
      <c r="BH19" s="540">
        <f>COSTS!O9+COSTS!P9+COSTS!Q9</f>
        <v>45</v>
      </c>
      <c r="BI19" s="399">
        <f>COSTS!F9+COSTS!G9+COSTS!H9</f>
        <v>106.17808219178082</v>
      </c>
      <c r="BJ19" s="68">
        <f>COSTS!F9+COSTS!G9+COSTS!H9</f>
        <v>106.17808219178082</v>
      </c>
      <c r="BK19" s="68">
        <f>COSTS!F9+COSTS!G9+COSTS!H9</f>
        <v>106.17808219178082</v>
      </c>
      <c r="BL19" s="68">
        <f>COSTS!F9+COSTS!G9+COSTS!H9</f>
        <v>106.17808219178082</v>
      </c>
      <c r="BM19" s="68">
        <f>COSTS!F9+COSTS!G9+COSTS!H9</f>
        <v>106.17808219178082</v>
      </c>
      <c r="BN19" s="68">
        <f>COSTS!F9+COSTS!G9+COSTS!H9</f>
        <v>106.17808219178082</v>
      </c>
      <c r="BO19" s="68">
        <f>COSTS!F9+COSTS!G9+COSTS!H9</f>
        <v>106.17808219178082</v>
      </c>
      <c r="BP19" s="68">
        <f>COSTS!F9+COSTS!G9+COSTS!H9</f>
        <v>106.17808219178082</v>
      </c>
      <c r="BQ19" s="68">
        <f>COSTS!F9+COSTS!G9+COSTS!H9</f>
        <v>106.17808219178082</v>
      </c>
      <c r="BR19" s="68">
        <f>COSTS!L9+COSTS!M9+COSTS!N9</f>
        <v>174.79452054794518</v>
      </c>
      <c r="BS19" s="68">
        <f>COSTS!R9+COSTS!S9+COSTS!T9</f>
        <v>174</v>
      </c>
      <c r="BT19" s="399">
        <f t="shared" si="52"/>
        <v>1412.1530481402203</v>
      </c>
      <c r="BU19" s="68">
        <f t="shared" si="53"/>
        <v>1303.654080086638</v>
      </c>
      <c r="BV19" s="68">
        <f t="shared" si="54"/>
        <v>1358.6396345442008</v>
      </c>
      <c r="BW19" s="68">
        <f t="shared" si="55"/>
        <v>1046.9896050538957</v>
      </c>
      <c r="BX19" s="68">
        <f t="shared" si="56"/>
        <v>876.68577154782895</v>
      </c>
      <c r="BY19" s="68">
        <f t="shared" si="57"/>
        <v>1143.2203429693029</v>
      </c>
      <c r="BZ19" s="68">
        <f t="shared" si="58"/>
        <v>958.96886756500282</v>
      </c>
      <c r="CA19" s="68">
        <f t="shared" si="59"/>
        <v>137.10669596298646</v>
      </c>
      <c r="CB19" s="68">
        <f t="shared" si="60"/>
        <v>137.10669596298646</v>
      </c>
      <c r="CC19" s="68">
        <f t="shared" si="42"/>
        <v>415.1822552844053</v>
      </c>
      <c r="CD19" s="68" t="e">
        <f t="shared" si="61"/>
        <v>#N/A</v>
      </c>
      <c r="CE19" s="399">
        <f t="shared" si="43"/>
        <v>189.6822922117758</v>
      </c>
      <c r="CF19" s="68">
        <f t="shared" si="44"/>
        <v>77.519282807387981</v>
      </c>
      <c r="CG19" s="68">
        <f t="shared" si="45"/>
        <v>74.07884393591462</v>
      </c>
      <c r="CH19" s="68">
        <f t="shared" si="46"/>
        <v>125.38683766632175</v>
      </c>
      <c r="CI19" s="68">
        <f t="shared" si="47"/>
        <v>83.773201302685607</v>
      </c>
      <c r="CJ19" s="68">
        <f t="shared" si="48"/>
        <v>119.2277467572311</v>
      </c>
      <c r="CK19" s="68">
        <f t="shared" si="49"/>
        <v>105.36411039359473</v>
      </c>
      <c r="CN19" s="68">
        <f t="shared" si="50"/>
        <v>67.182255284405301</v>
      </c>
      <c r="CO19" s="540" t="e">
        <f t="shared" si="51"/>
        <v>#N/A</v>
      </c>
    </row>
    <row r="20" spans="1:93">
      <c r="A20" s="67"/>
      <c r="B20" s="131"/>
      <c r="C20" s="87"/>
      <c r="D20" s="87"/>
      <c r="E20" s="83" t="s">
        <v>1786</v>
      </c>
      <c r="F20" s="399">
        <f t="shared" si="4"/>
        <v>307.52023809523791</v>
      </c>
      <c r="G20" s="68">
        <f t="shared" si="5"/>
        <v>308.68205128205102</v>
      </c>
      <c r="H20" s="68">
        <f t="shared" si="6"/>
        <v>452.33045977011483</v>
      </c>
      <c r="I20" s="68">
        <f t="shared" si="7"/>
        <v>106.65000000000011</v>
      </c>
      <c r="J20" s="68">
        <f t="shared" si="8"/>
        <v>63.672812667740246</v>
      </c>
      <c r="K20" s="68">
        <f t="shared" si="9"/>
        <v>198.76926464016665</v>
      </c>
      <c r="L20" s="68">
        <f t="shared" si="10"/>
        <v>77.998541778493532</v>
      </c>
      <c r="P20" s="66"/>
      <c r="Q20" s="399">
        <f t="shared" si="11"/>
        <v>192.33065953654184</v>
      </c>
      <c r="R20" s="68">
        <f t="shared" si="12"/>
        <v>294.60561497326216</v>
      </c>
      <c r="S20" s="68">
        <f t="shared" si="13"/>
        <v>205.94276094276094</v>
      </c>
      <c r="T20" s="68">
        <f t="shared" si="14"/>
        <v>212.56872727272739</v>
      </c>
      <c r="U20" s="68">
        <f t="shared" si="15"/>
        <v>222.95738525155809</v>
      </c>
      <c r="V20" s="68">
        <f t="shared" si="16"/>
        <v>211.35138365102929</v>
      </c>
      <c r="W20" s="68">
        <f t="shared" si="17"/>
        <v>219.49449925861452</v>
      </c>
      <c r="AA20" s="66"/>
      <c r="AB20" s="399">
        <f t="shared" si="18"/>
        <v>130.64999999999989</v>
      </c>
      <c r="AC20" s="68">
        <f t="shared" si="19"/>
        <v>130.64999999999989</v>
      </c>
      <c r="AD20" s="68">
        <f t="shared" si="20"/>
        <v>130.65000000000006</v>
      </c>
      <c r="AE20" s="68">
        <f t="shared" si="21"/>
        <v>112.3460000000001</v>
      </c>
      <c r="AF20" s="68">
        <f t="shared" si="22"/>
        <v>127.72160493827144</v>
      </c>
      <c r="AG20" s="68">
        <f t="shared" si="23"/>
        <v>125.8178419753086</v>
      </c>
      <c r="AH20" s="68">
        <f t="shared" si="24"/>
        <v>122.59640329218099</v>
      </c>
      <c r="AI20" s="87">
        <f t="shared" si="25"/>
        <v>0</v>
      </c>
      <c r="AJ20" s="87">
        <f t="shared" si="26"/>
        <v>0</v>
      </c>
      <c r="AM20" s="399">
        <f>CIF!$X$5+VLOOKUP($AM$5&amp;$E20,OCEAN!$E:$J,5,FALSE)</f>
        <v>433.86363636363637</v>
      </c>
      <c r="AN20" s="68">
        <f>CIF!$X$6+VLOOKUP($AN$5&amp;$E20,OCEAN!$E:$J,5,FALSE)</f>
        <v>460.56426332288402</v>
      </c>
      <c r="AO20" s="68">
        <f>CIF!$X$7+VLOOKUP($AO$5&amp;$E20,OCEAN!$E:$J,5,FALSE)</f>
        <v>460.56426332288402</v>
      </c>
      <c r="AP20" s="68">
        <f>CIF!$X$8+VLOOKUP($AP$5&amp;$E20,OCEAN!$E:$J,5,FALSE)</f>
        <v>511.27272727272725</v>
      </c>
      <c r="AQ20" s="68">
        <f>CIF!$X$9+VLOOKUP($AQ$5&amp;$E20,OCEAN!$E:$J,5,FALSE)</f>
        <v>282.95454545454555</v>
      </c>
      <c r="AR20" s="68">
        <f t="shared" si="27"/>
        <v>422.16379310344826</v>
      </c>
      <c r="AS20" s="68">
        <f t="shared" si="28"/>
        <v>397.11363636363637</v>
      </c>
      <c r="AV20" s="68">
        <f>CIF!$X$16+VLOOKUP($AV$6&amp;$E20,OCEAN!$E:$J,5,FALSE)</f>
        <v>162.38773473646012</v>
      </c>
      <c r="AW20" s="540" t="e">
        <f>CIF!$X$17+VLOOKUP($AW$6&amp;$E20,OCEAN!$E:$J,5,FALSE)</f>
        <v>#N/A</v>
      </c>
      <c r="AX20" s="68">
        <f>COSTS!C9+COSTS!D9+COSTS!E9</f>
        <v>30.928613771205661</v>
      </c>
      <c r="AY20" s="68">
        <f>COSTS!C9+COSTS!D9+COSTS!E9</f>
        <v>30.928613771205661</v>
      </c>
      <c r="AZ20" s="68">
        <f>COSTS!C9+COSTS!D9+COSTS!E9</f>
        <v>30.928613771205661</v>
      </c>
      <c r="BA20" s="68">
        <f>COSTS!C9+COSTS!D9+COSTS!E9</f>
        <v>30.928613771205661</v>
      </c>
      <c r="BB20" s="68">
        <f>COSTS!C9+COSTS!D9+COSTS!E9</f>
        <v>30.928613771205661</v>
      </c>
      <c r="BC20" s="68">
        <f>COSTS!C9+COSTS!D9+COSTS!E9</f>
        <v>30.928613771205661</v>
      </c>
      <c r="BD20" s="68">
        <f>COSTS!C9+COSTS!D9+COSTS!E9</f>
        <v>30.928613771205661</v>
      </c>
      <c r="BE20" s="68">
        <f>COSTS!C9+COSTS!D9+COSTS!E9</f>
        <v>30.928613771205661</v>
      </c>
      <c r="BF20" s="68">
        <f>COSTS!C9+COSTS!D9+COSTS!E9</f>
        <v>30.928613771205661</v>
      </c>
      <c r="BG20" s="68">
        <f>COSTS!I9+COSTS!J9+COSTS!K9</f>
        <v>78</v>
      </c>
      <c r="BH20" s="540">
        <f>COSTS!O9+COSTS!P9+COSTS!Q9</f>
        <v>45</v>
      </c>
      <c r="BI20" s="399">
        <f>COSTS!F9+COSTS!G9+COSTS!H9</f>
        <v>106.17808219178082</v>
      </c>
      <c r="BJ20" s="68">
        <f>COSTS!F9+COSTS!G9+COSTS!H9</f>
        <v>106.17808219178082</v>
      </c>
      <c r="BK20" s="68">
        <f>COSTS!F9+COSTS!G9+COSTS!H9</f>
        <v>106.17808219178082</v>
      </c>
      <c r="BL20" s="68">
        <f>COSTS!F9+COSTS!G9+COSTS!H9</f>
        <v>106.17808219178082</v>
      </c>
      <c r="BM20" s="68">
        <f>COSTS!F9+COSTS!G9+COSTS!H9</f>
        <v>106.17808219178082</v>
      </c>
      <c r="BN20" s="68">
        <f>COSTS!F9+COSTS!G9+COSTS!H9</f>
        <v>106.17808219178082</v>
      </c>
      <c r="BO20" s="68">
        <f>COSTS!F9+COSTS!G9+COSTS!H9</f>
        <v>106.17808219178082</v>
      </c>
      <c r="BP20" s="68">
        <f>COSTS!F9+COSTS!G9+COSTS!H9</f>
        <v>106.17808219178082</v>
      </c>
      <c r="BQ20" s="68">
        <f>COSTS!F9+COSTS!G9+COSTS!H9</f>
        <v>106.17808219178082</v>
      </c>
      <c r="BR20" s="68">
        <f>COSTS!L9+COSTS!M9+COSTS!N9</f>
        <v>174.79452054794518</v>
      </c>
      <c r="BS20" s="68">
        <f>COSTS!R9+COSTS!S9+COSTS!T9</f>
        <v>174</v>
      </c>
      <c r="BT20" s="399">
        <f t="shared" si="52"/>
        <v>1201.4712299584023</v>
      </c>
      <c r="BU20" s="68">
        <f t="shared" si="53"/>
        <v>1331.6086255411835</v>
      </c>
      <c r="BV20" s="68">
        <f t="shared" si="54"/>
        <v>1386.5941799987461</v>
      </c>
      <c r="BW20" s="68">
        <f t="shared" si="55"/>
        <v>1079.9441505084412</v>
      </c>
      <c r="BX20" s="68">
        <f t="shared" si="56"/>
        <v>834.4130442751017</v>
      </c>
      <c r="BY20" s="68">
        <f t="shared" si="57"/>
        <v>1095.2089793329392</v>
      </c>
      <c r="BZ20" s="68">
        <f t="shared" si="58"/>
        <v>954.30977665591183</v>
      </c>
      <c r="CA20" s="68">
        <f t="shared" si="59"/>
        <v>137.10669596298646</v>
      </c>
      <c r="CB20" s="68">
        <f t="shared" si="60"/>
        <v>137.10669596298646</v>
      </c>
      <c r="CC20" s="68">
        <f t="shared" si="42"/>
        <v>415.1822552844053</v>
      </c>
      <c r="CD20" s="68" t="e">
        <f t="shared" si="61"/>
        <v>#N/A</v>
      </c>
      <c r="CE20" s="399">
        <f t="shared" si="43"/>
        <v>-20.999525970042214</v>
      </c>
      <c r="CF20" s="68">
        <f t="shared" si="44"/>
        <v>105.47382826193348</v>
      </c>
      <c r="CG20" s="68">
        <f t="shared" si="45"/>
        <v>102.03338939045989</v>
      </c>
      <c r="CH20" s="68">
        <f t="shared" si="46"/>
        <v>158.34138312086725</v>
      </c>
      <c r="CI20" s="68">
        <f t="shared" si="47"/>
        <v>41.500474029958355</v>
      </c>
      <c r="CJ20" s="68">
        <f t="shared" si="48"/>
        <v>71.216383120867363</v>
      </c>
      <c r="CK20" s="68">
        <f t="shared" si="49"/>
        <v>100.70501948450374</v>
      </c>
      <c r="CN20" s="68">
        <f t="shared" si="50"/>
        <v>67.182255284405301</v>
      </c>
      <c r="CO20" s="540" t="e">
        <f t="shared" si="51"/>
        <v>#N/A</v>
      </c>
    </row>
    <row r="21" spans="1:93" ht="12.5" thickBot="1">
      <c r="A21" s="67"/>
      <c r="B21" s="460"/>
      <c r="C21" s="91"/>
      <c r="D21" s="91"/>
      <c r="E21" s="461" t="s">
        <v>1742</v>
      </c>
      <c r="F21" s="399">
        <f t="shared" si="4"/>
        <v>307.52023809523791</v>
      </c>
      <c r="G21" s="68">
        <f t="shared" si="5"/>
        <v>308.68205128205102</v>
      </c>
      <c r="H21" s="68">
        <f t="shared" si="6"/>
        <v>452.33045977011483</v>
      </c>
      <c r="I21" s="68">
        <f t="shared" si="7"/>
        <v>106.65000000000011</v>
      </c>
      <c r="J21" s="68">
        <f t="shared" si="8"/>
        <v>63.672812667740246</v>
      </c>
      <c r="K21" s="68">
        <f t="shared" si="9"/>
        <v>198.76926464016665</v>
      </c>
      <c r="L21" s="68">
        <f t="shared" si="10"/>
        <v>77.998541778493532</v>
      </c>
      <c r="P21" s="66"/>
      <c r="Q21" s="399">
        <f t="shared" si="11"/>
        <v>192.33065953654184</v>
      </c>
      <c r="R21" s="68">
        <f t="shared" si="12"/>
        <v>294.60561497326216</v>
      </c>
      <c r="S21" s="68">
        <f t="shared" si="13"/>
        <v>205.94276094276094</v>
      </c>
      <c r="T21" s="68">
        <f t="shared" si="14"/>
        <v>212.56872727272739</v>
      </c>
      <c r="U21" s="68">
        <f t="shared" si="15"/>
        <v>222.95738525155809</v>
      </c>
      <c r="V21" s="68">
        <f t="shared" si="16"/>
        <v>211.35138365102929</v>
      </c>
      <c r="W21" s="68">
        <f t="shared" si="17"/>
        <v>219.49449925861452</v>
      </c>
      <c r="AA21" s="66"/>
      <c r="AB21" s="399">
        <f t="shared" si="18"/>
        <v>130.64999999999989</v>
      </c>
      <c r="AC21" s="68">
        <f t="shared" si="19"/>
        <v>130.64999999999989</v>
      </c>
      <c r="AD21" s="68">
        <f t="shared" si="20"/>
        <v>130.65000000000006</v>
      </c>
      <c r="AE21" s="68">
        <f t="shared" si="21"/>
        <v>112.3460000000001</v>
      </c>
      <c r="AF21" s="68">
        <f t="shared" si="22"/>
        <v>127.72160493827144</v>
      </c>
      <c r="AG21" s="68">
        <f t="shared" si="23"/>
        <v>125.8178419753086</v>
      </c>
      <c r="AH21" s="68">
        <f t="shared" si="24"/>
        <v>122.59640329218099</v>
      </c>
      <c r="AI21" s="87">
        <f t="shared" si="25"/>
        <v>0</v>
      </c>
      <c r="AJ21" s="87">
        <f t="shared" si="26"/>
        <v>0</v>
      </c>
      <c r="AM21" s="399">
        <f>CIF!$X$5+VLOOKUP($AM$5&amp;$E21,OCEAN!$E:$J,5,FALSE)</f>
        <v>420.22727272727275</v>
      </c>
      <c r="AN21" s="68">
        <f>CIF!$X$6+VLOOKUP($AN$5&amp;$E21,OCEAN!$E:$J,5,FALSE)</f>
        <v>349.88244514106589</v>
      </c>
      <c r="AO21" s="68">
        <f>CIF!$X$7+VLOOKUP($AO$5&amp;$E21,OCEAN!$E:$J,5,FALSE)</f>
        <v>349.88244514106589</v>
      </c>
      <c r="AP21" s="68">
        <f>CIF!$X$8+VLOOKUP($AP$5&amp;$E21,OCEAN!$E:$J,5,FALSE)</f>
        <v>413.54545454545462</v>
      </c>
      <c r="AQ21" s="68">
        <f>CIF!$X$9+VLOOKUP($AQ$5&amp;$E21,OCEAN!$E:$J,5,FALSE)</f>
        <v>261.13636363636368</v>
      </c>
      <c r="AR21" s="68">
        <f t="shared" si="27"/>
        <v>361.19788401253925</v>
      </c>
      <c r="AS21" s="68">
        <f t="shared" si="28"/>
        <v>337.34090909090912</v>
      </c>
      <c r="AV21" s="68">
        <f>CIF!$X$16+VLOOKUP($AV$6&amp;$E21,OCEAN!$E:$J,5,FALSE)</f>
        <v>99.791345368774387</v>
      </c>
      <c r="AW21" s="540">
        <f>CIF!$X$17+VLOOKUP($AW$6&amp;$E21,OCEAN!$E:$J,5,FALSE)</f>
        <v>90.900843690465393</v>
      </c>
      <c r="AX21" s="68">
        <f>COSTS!C9+COSTS!D9+COSTS!E9</f>
        <v>30.928613771205661</v>
      </c>
      <c r="AY21" s="68">
        <f>COSTS!C9+COSTS!D9+COSTS!E9</f>
        <v>30.928613771205661</v>
      </c>
      <c r="AZ21" s="68">
        <f>COSTS!C9+COSTS!D9+COSTS!E9</f>
        <v>30.928613771205661</v>
      </c>
      <c r="BA21" s="68">
        <f>COSTS!C9+COSTS!D9+COSTS!E9</f>
        <v>30.928613771205661</v>
      </c>
      <c r="BB21" s="68">
        <f>COSTS!C9+COSTS!D9+COSTS!E9</f>
        <v>30.928613771205661</v>
      </c>
      <c r="BC21" s="68">
        <f>COSTS!C9+COSTS!D9+COSTS!E9</f>
        <v>30.928613771205661</v>
      </c>
      <c r="BD21" s="68">
        <f>COSTS!C9+COSTS!D9+COSTS!E9</f>
        <v>30.928613771205661</v>
      </c>
      <c r="BE21" s="68">
        <f>COSTS!C9+COSTS!D9+COSTS!E9</f>
        <v>30.928613771205661</v>
      </c>
      <c r="BF21" s="68">
        <f>COSTS!C9+COSTS!D9+COSTS!E9</f>
        <v>30.928613771205661</v>
      </c>
      <c r="BG21" s="68">
        <f>COSTS!I9+COSTS!J9+COSTS!K9</f>
        <v>78</v>
      </c>
      <c r="BH21" s="540">
        <f>COSTS!O9+COSTS!P9+COSTS!Q9</f>
        <v>45</v>
      </c>
      <c r="BI21" s="399">
        <f>COSTS!F9+COSTS!G9+COSTS!H9</f>
        <v>106.17808219178082</v>
      </c>
      <c r="BJ21" s="68">
        <f>COSTS!F9+COSTS!G9+COSTS!H9</f>
        <v>106.17808219178082</v>
      </c>
      <c r="BK21" s="68">
        <f>COSTS!F9+COSTS!G9+COSTS!H9</f>
        <v>106.17808219178082</v>
      </c>
      <c r="BL21" s="68">
        <f>COSTS!F9+COSTS!G9+COSTS!H9</f>
        <v>106.17808219178082</v>
      </c>
      <c r="BM21" s="68">
        <f>COSTS!F9+COSTS!G9+COSTS!H9</f>
        <v>106.17808219178082</v>
      </c>
      <c r="BN21" s="68">
        <f>COSTS!F9+COSTS!G9+COSTS!H9</f>
        <v>106.17808219178082</v>
      </c>
      <c r="BO21" s="68">
        <f>COSTS!F9+COSTS!G9+COSTS!H9</f>
        <v>106.17808219178082</v>
      </c>
      <c r="BP21" s="68">
        <f>COSTS!F9+COSTS!G9+COSTS!H9</f>
        <v>106.17808219178082</v>
      </c>
      <c r="BQ21" s="68">
        <f>COSTS!F9+COSTS!G9+COSTS!H9</f>
        <v>106.17808219178082</v>
      </c>
      <c r="BR21" s="68">
        <f>COSTS!L9+COSTS!M9+COSTS!N9</f>
        <v>174.79452054794518</v>
      </c>
      <c r="BS21" s="68">
        <f>COSTS!R9+COSTS!S9+COSTS!T9</f>
        <v>174</v>
      </c>
      <c r="BT21" s="399">
        <f t="shared" si="52"/>
        <v>1187.8348663220388</v>
      </c>
      <c r="BU21" s="68">
        <f t="shared" si="53"/>
        <v>1220.9268073593653</v>
      </c>
      <c r="BV21" s="68">
        <f t="shared" si="54"/>
        <v>1275.9123618169281</v>
      </c>
      <c r="BW21" s="68">
        <f t="shared" si="55"/>
        <v>982.21687778116871</v>
      </c>
      <c r="BX21" s="68">
        <f t="shared" si="56"/>
        <v>812.59486245691994</v>
      </c>
      <c r="BY21" s="68">
        <f t="shared" si="57"/>
        <v>1034.2430702420302</v>
      </c>
      <c r="BZ21" s="68">
        <f t="shared" si="58"/>
        <v>894.53704938318458</v>
      </c>
      <c r="CA21" s="68">
        <f t="shared" si="59"/>
        <v>137.10669596298646</v>
      </c>
      <c r="CB21" s="68">
        <f t="shared" si="60"/>
        <v>137.10669596298646</v>
      </c>
      <c r="CC21" s="68">
        <f t="shared" si="42"/>
        <v>352.58586591671957</v>
      </c>
      <c r="CD21" s="68">
        <f t="shared" si="61"/>
        <v>309.90084369046542</v>
      </c>
      <c r="CE21" s="399">
        <f t="shared" si="43"/>
        <v>-34.635889606405726</v>
      </c>
      <c r="CF21" s="68">
        <f t="shared" si="44"/>
        <v>-5.207989919884767</v>
      </c>
      <c r="CG21" s="68">
        <f t="shared" si="45"/>
        <v>-8.6484287913581284</v>
      </c>
      <c r="CH21" s="68">
        <f t="shared" si="46"/>
        <v>60.614110393594729</v>
      </c>
      <c r="CI21" s="68">
        <f t="shared" si="47"/>
        <v>19.682292211776598</v>
      </c>
      <c r="CJ21" s="68">
        <f t="shared" si="48"/>
        <v>10.250474029958355</v>
      </c>
      <c r="CK21" s="68">
        <f t="shared" si="49"/>
        <v>40.932292211776485</v>
      </c>
      <c r="CN21" s="68">
        <f t="shared" si="50"/>
        <v>4.5858659167195697</v>
      </c>
      <c r="CO21" s="540">
        <f t="shared" si="51"/>
        <v>25.900843690465422</v>
      </c>
    </row>
    <row r="22" spans="1:93" ht="12.5" thickBot="1">
      <c r="A22" s="72" t="s">
        <v>1652</v>
      </c>
      <c r="B22" s="389" t="s">
        <v>1653</v>
      </c>
      <c r="C22" s="462">
        <v>45</v>
      </c>
      <c r="D22" s="463">
        <v>21</v>
      </c>
      <c r="E22" s="466" t="s">
        <v>1752</v>
      </c>
      <c r="F22" s="399">
        <f t="shared" si="4"/>
        <v>307.52023809523791</v>
      </c>
      <c r="G22" s="68">
        <f t="shared" si="5"/>
        <v>308.68205128205102</v>
      </c>
      <c r="H22" s="68">
        <f t="shared" si="6"/>
        <v>452.33045977011483</v>
      </c>
      <c r="I22" s="68">
        <f t="shared" si="7"/>
        <v>106.65000000000011</v>
      </c>
      <c r="J22" s="68">
        <f t="shared" si="8"/>
        <v>63.672812667740246</v>
      </c>
      <c r="K22" s="68">
        <f t="shared" si="9"/>
        <v>198.76926464016665</v>
      </c>
      <c r="L22" s="68">
        <f t="shared" si="10"/>
        <v>77.998541778493532</v>
      </c>
      <c r="P22" s="66"/>
      <c r="Q22" s="399">
        <f t="shared" si="11"/>
        <v>192.33065953654184</v>
      </c>
      <c r="R22" s="68">
        <f t="shared" si="12"/>
        <v>294.60561497326216</v>
      </c>
      <c r="S22" s="68">
        <f t="shared" si="13"/>
        <v>205.94276094276094</v>
      </c>
      <c r="T22" s="68">
        <f t="shared" si="14"/>
        <v>212.56872727272739</v>
      </c>
      <c r="U22" s="68">
        <f t="shared" si="15"/>
        <v>222.95738525155809</v>
      </c>
      <c r="V22" s="68">
        <f t="shared" si="16"/>
        <v>211.35138365102929</v>
      </c>
      <c r="W22" s="68">
        <f t="shared" si="17"/>
        <v>219.49449925861452</v>
      </c>
      <c r="AA22" s="66"/>
      <c r="AB22" s="399">
        <f t="shared" si="18"/>
        <v>130.64999999999989</v>
      </c>
      <c r="AC22" s="68">
        <f t="shared" si="19"/>
        <v>130.64999999999989</v>
      </c>
      <c r="AD22" s="68">
        <f t="shared" si="20"/>
        <v>130.65000000000006</v>
      </c>
      <c r="AE22" s="68">
        <f t="shared" si="21"/>
        <v>112.3460000000001</v>
      </c>
      <c r="AF22" s="68">
        <f t="shared" si="22"/>
        <v>127.72160493827144</v>
      </c>
      <c r="AG22" s="68">
        <f t="shared" si="23"/>
        <v>125.8178419753086</v>
      </c>
      <c r="AH22" s="68">
        <f t="shared" si="24"/>
        <v>122.59640329218099</v>
      </c>
      <c r="AI22" s="87">
        <f t="shared" si="25"/>
        <v>0</v>
      </c>
      <c r="AJ22" s="87">
        <f t="shared" si="26"/>
        <v>0</v>
      </c>
      <c r="AM22" s="399">
        <f>CIF!$X$5+VLOOKUP($AM$5&amp;$E22,OCEAN!$E:$J,5,FALSE)</f>
        <v>423.86363636363637</v>
      </c>
      <c r="AN22" s="68">
        <f>CIF!$X$6+VLOOKUP($AN$5&amp;$E22,OCEAN!$E:$J,5,FALSE)</f>
        <v>304.42789968652039</v>
      </c>
      <c r="AO22" s="68">
        <f>CIF!$X$7+VLOOKUP($AO$5&amp;$E22,OCEAN!$E:$J,5,FALSE)</f>
        <v>304.42789968652039</v>
      </c>
      <c r="AP22" s="68">
        <f>CIF!$X$8+VLOOKUP($AP$5&amp;$E22,OCEAN!$E:$J,5,FALSE)</f>
        <v>428.31818181818187</v>
      </c>
      <c r="AQ22" s="68">
        <f>CIF!$X$9+VLOOKUP($AQ$5&amp;$E22,OCEAN!$E:$J,5,FALSE)</f>
        <v>259.77272727272737</v>
      </c>
      <c r="AR22" s="68">
        <f t="shared" si="27"/>
        <v>354.0956112852665</v>
      </c>
      <c r="AS22" s="68">
        <f t="shared" si="28"/>
        <v>344.04545454545462</v>
      </c>
      <c r="AV22" s="68">
        <f>CIF!$X$16+VLOOKUP($AV$6&amp;$E22,OCEAN!$E:$J,5,FALSE)</f>
        <v>127.00716683298558</v>
      </c>
      <c r="AW22" s="540">
        <f>CIF!$X$17+VLOOKUP($AW$6&amp;$E22,OCEAN!$E:$J,5,FALSE)</f>
        <v>135.71622970153317</v>
      </c>
      <c r="AX22" s="68">
        <f>COSTS!C10+COSTS!D10+COSTS!E10</f>
        <v>41.115486325561704</v>
      </c>
      <c r="AY22" s="68">
        <f>COSTS!C10+COSTS!D10+COSTS!E10</f>
        <v>41.115486325561704</v>
      </c>
      <c r="AZ22" s="68">
        <f>COSTS!C10+COSTS!D10+COSTS!E10</f>
        <v>41.115486325561704</v>
      </c>
      <c r="BA22" s="68">
        <f>COSTS!C10+COSTS!D10+COSTS!E10</f>
        <v>41.115486325561704</v>
      </c>
      <c r="BB22" s="68">
        <f>COSTS!C10+COSTS!D10+COSTS!E10</f>
        <v>41.115486325561704</v>
      </c>
      <c r="BC22" s="68">
        <f>COSTS!C10+COSTS!D10+COSTS!E10</f>
        <v>41.115486325561704</v>
      </c>
      <c r="BD22" s="68">
        <f>COSTS!C10+COSTS!D10+COSTS!E10</f>
        <v>41.115486325561704</v>
      </c>
      <c r="BE22" s="68">
        <f>COSTS!C10+COSTS!D10+COSTS!E10</f>
        <v>41.115486325561704</v>
      </c>
      <c r="BF22" s="68">
        <f>COSTS!C10+COSTS!D10+COSTS!E10</f>
        <v>41.115486325561704</v>
      </c>
      <c r="BG22" s="68">
        <f>COSTS!I10+COSTS!J10+COSTS!K10</f>
        <v>74</v>
      </c>
      <c r="BH22" s="540">
        <f>COSTS!O10+COSTS!P10+COSTS!Q10</f>
        <v>51.088799999999999</v>
      </c>
      <c r="BI22" s="399">
        <f>COSTS!F10+COSTS!G10+COSTS!H10</f>
        <v>106.17808219178082</v>
      </c>
      <c r="BJ22" s="68">
        <f>COSTS!F10+COSTS!G10+COSTS!H10</f>
        <v>106.17808219178082</v>
      </c>
      <c r="BK22" s="68">
        <f>COSTS!F10+COSTS!G10+COSTS!H10</f>
        <v>106.17808219178082</v>
      </c>
      <c r="BL22" s="68">
        <f>COSTS!F10+COSTS!G10+COSTS!H10</f>
        <v>106.17808219178082</v>
      </c>
      <c r="BM22" s="68">
        <f>COSTS!F10+COSTS!G10+COSTS!H10</f>
        <v>106.17808219178082</v>
      </c>
      <c r="BN22" s="68">
        <f>COSTS!F10+COSTS!G10+COSTS!H10</f>
        <v>106.17808219178082</v>
      </c>
      <c r="BO22" s="68">
        <f>COSTS!F10+COSTS!G10+COSTS!H10</f>
        <v>106.17808219178082</v>
      </c>
      <c r="BP22" s="68">
        <f>COSTS!F10+COSTS!G10+COSTS!H10</f>
        <v>106.17808219178082</v>
      </c>
      <c r="BQ22" s="68">
        <f>COSTS!F10+COSTS!G10+COSTS!H10</f>
        <v>106.17808219178082</v>
      </c>
      <c r="BR22" s="68">
        <f>COSTS!L10+COSTS!M10+COSTS!N10</f>
        <v>174.79452054794518</v>
      </c>
      <c r="BS22" s="68">
        <f>COSTS!R10+COSTS!S10+COSTS!T10</f>
        <v>174</v>
      </c>
      <c r="BT22" s="399">
        <f t="shared" si="52"/>
        <v>1201.6581025127584</v>
      </c>
      <c r="BU22" s="68">
        <f t="shared" si="53"/>
        <v>1185.6591344591759</v>
      </c>
      <c r="BV22" s="68">
        <f t="shared" si="54"/>
        <v>1240.6446889167387</v>
      </c>
      <c r="BW22" s="68">
        <f t="shared" si="55"/>
        <v>1007.1764776082521</v>
      </c>
      <c r="BX22" s="68">
        <f t="shared" si="56"/>
        <v>821.41809864763968</v>
      </c>
      <c r="BY22" s="68">
        <f t="shared" si="57"/>
        <v>1037.3276700691135</v>
      </c>
      <c r="BZ22" s="68">
        <f t="shared" si="58"/>
        <v>911.42846739208619</v>
      </c>
      <c r="CA22" s="68">
        <f t="shared" si="59"/>
        <v>147.29356851734252</v>
      </c>
      <c r="CB22" s="68">
        <f t="shared" si="60"/>
        <v>147.29356851734252</v>
      </c>
      <c r="CC22" s="68">
        <f t="shared" si="42"/>
        <v>375.80168738093073</v>
      </c>
      <c r="CD22" s="68">
        <f t="shared" si="61"/>
        <v>360.80502970153316</v>
      </c>
      <c r="CE22" s="399">
        <f t="shared" si="43"/>
        <v>-20.8126534156861</v>
      </c>
      <c r="CF22" s="68">
        <f t="shared" si="44"/>
        <v>-40.475662820074149</v>
      </c>
      <c r="CG22" s="68">
        <f t="shared" si="45"/>
        <v>-43.91610169154751</v>
      </c>
      <c r="CH22" s="68">
        <f t="shared" si="46"/>
        <v>85.573710220678095</v>
      </c>
      <c r="CI22" s="68">
        <f t="shared" si="47"/>
        <v>28.505528402496338</v>
      </c>
      <c r="CJ22" s="68">
        <f t="shared" si="48"/>
        <v>13.335073857041721</v>
      </c>
      <c r="CK22" s="68">
        <f t="shared" si="49"/>
        <v>57.823710220678095</v>
      </c>
      <c r="CN22" s="68">
        <f t="shared" si="50"/>
        <v>27.80168738093073</v>
      </c>
      <c r="CO22" s="540">
        <f t="shared" si="51"/>
        <v>76.805029701533158</v>
      </c>
    </row>
    <row r="23" spans="1:93">
      <c r="A23" s="464"/>
      <c r="B23" s="131"/>
      <c r="C23" s="87"/>
      <c r="D23" s="87"/>
      <c r="E23" s="83" t="s">
        <v>1781</v>
      </c>
      <c r="F23" s="399">
        <f t="shared" si="4"/>
        <v>307.52023809523791</v>
      </c>
      <c r="G23" s="68">
        <f t="shared" si="5"/>
        <v>308.68205128205102</v>
      </c>
      <c r="H23" s="68">
        <f t="shared" si="6"/>
        <v>452.33045977011483</v>
      </c>
      <c r="I23" s="68">
        <f t="shared" si="7"/>
        <v>106.65000000000011</v>
      </c>
      <c r="J23" s="68">
        <f t="shared" si="8"/>
        <v>63.672812667740246</v>
      </c>
      <c r="K23" s="68">
        <f t="shared" si="9"/>
        <v>198.76926464016665</v>
      </c>
      <c r="L23" s="68">
        <f t="shared" si="10"/>
        <v>77.998541778493532</v>
      </c>
      <c r="P23" s="66"/>
      <c r="Q23" s="399">
        <f t="shared" si="11"/>
        <v>192.33065953654184</v>
      </c>
      <c r="R23" s="68">
        <f t="shared" si="12"/>
        <v>294.60561497326216</v>
      </c>
      <c r="S23" s="68">
        <f t="shared" si="13"/>
        <v>205.94276094276094</v>
      </c>
      <c r="T23" s="68">
        <f t="shared" si="14"/>
        <v>212.56872727272739</v>
      </c>
      <c r="U23" s="68">
        <f t="shared" si="15"/>
        <v>222.95738525155809</v>
      </c>
      <c r="V23" s="68">
        <f t="shared" si="16"/>
        <v>211.35138365102929</v>
      </c>
      <c r="W23" s="68">
        <f t="shared" si="17"/>
        <v>219.49449925861452</v>
      </c>
      <c r="AA23" s="66"/>
      <c r="AB23" s="399">
        <f t="shared" si="18"/>
        <v>130.64999999999989</v>
      </c>
      <c r="AC23" s="68">
        <f t="shared" si="19"/>
        <v>130.64999999999989</v>
      </c>
      <c r="AD23" s="68">
        <f t="shared" si="20"/>
        <v>130.65000000000006</v>
      </c>
      <c r="AE23" s="68">
        <f t="shared" si="21"/>
        <v>112.3460000000001</v>
      </c>
      <c r="AF23" s="68">
        <f t="shared" si="22"/>
        <v>127.72160493827144</v>
      </c>
      <c r="AG23" s="68">
        <f t="shared" si="23"/>
        <v>125.8178419753086</v>
      </c>
      <c r="AH23" s="68">
        <f t="shared" si="24"/>
        <v>122.59640329218099</v>
      </c>
      <c r="AI23" s="87">
        <f t="shared" si="25"/>
        <v>0</v>
      </c>
      <c r="AJ23" s="87">
        <f t="shared" si="26"/>
        <v>0</v>
      </c>
      <c r="AM23" s="399">
        <f>CIF!$X$5+VLOOKUP($AM$5&amp;$E23,OCEAN!$E:$J,5,FALSE)</f>
        <v>435</v>
      </c>
      <c r="AN23" s="68">
        <f>CIF!$X$6+VLOOKUP($AN$5&amp;$E23,OCEAN!$E:$J,5,FALSE)</f>
        <v>281.7006269592477</v>
      </c>
      <c r="AO23" s="68">
        <f>CIF!$X$7+VLOOKUP($AO$5&amp;$E23,OCEAN!$E:$J,5,FALSE)</f>
        <v>281.7006269592477</v>
      </c>
      <c r="AP23" s="68">
        <f>CIF!$X$8+VLOOKUP($AP$5&amp;$E23,OCEAN!$E:$J,5,FALSE)</f>
        <v>407.18181818181824</v>
      </c>
      <c r="AQ23" s="68">
        <f>CIF!$X$9+VLOOKUP($AQ$5&amp;$E23,OCEAN!$E:$J,5,FALSE)</f>
        <v>225.68181818181824</v>
      </c>
      <c r="AR23" s="68">
        <f t="shared" si="27"/>
        <v>337.39106583072106</v>
      </c>
      <c r="AS23" s="68">
        <f t="shared" si="28"/>
        <v>316.43181818181824</v>
      </c>
      <c r="AV23" s="68">
        <f>CIF!$X$16+VLOOKUP($AV$6&amp;$E23,OCEAN!$E:$J,5,FALSE)</f>
        <v>180.53161571260091</v>
      </c>
      <c r="AW23" s="540" t="e">
        <f>CIF!$X$17+VLOOKUP($AW$6&amp;$E23,OCEAN!$E:$J,5,FALSE)</f>
        <v>#N/A</v>
      </c>
      <c r="AX23" s="68">
        <f>COSTS!C10+COSTS!D10+COSTS!E10</f>
        <v>41.115486325561704</v>
      </c>
      <c r="AY23" s="68">
        <f>COSTS!C10+COSTS!D10+COSTS!E10</f>
        <v>41.115486325561704</v>
      </c>
      <c r="AZ23" s="68">
        <f>COSTS!C10+COSTS!D10+COSTS!E10</f>
        <v>41.115486325561704</v>
      </c>
      <c r="BA23" s="68">
        <f>COSTS!C10+COSTS!D10+COSTS!E10</f>
        <v>41.115486325561704</v>
      </c>
      <c r="BB23" s="68">
        <f>COSTS!C10+COSTS!D10+COSTS!E10</f>
        <v>41.115486325561704</v>
      </c>
      <c r="BC23" s="68">
        <f>COSTS!C10+COSTS!D10+COSTS!E10</f>
        <v>41.115486325561704</v>
      </c>
      <c r="BD23" s="68">
        <f>COSTS!C10+COSTS!D10+COSTS!E10</f>
        <v>41.115486325561704</v>
      </c>
      <c r="BE23" s="68">
        <f>COSTS!C10+COSTS!D10+COSTS!E10</f>
        <v>41.115486325561704</v>
      </c>
      <c r="BF23" s="68">
        <f>COSTS!C10+COSTS!D10+COSTS!E10</f>
        <v>41.115486325561704</v>
      </c>
      <c r="BG23" s="68">
        <f>COSTS!I10+COSTS!J10+COSTS!K10</f>
        <v>74</v>
      </c>
      <c r="BH23" s="540">
        <f>COSTS!O10+COSTS!P10+COSTS!Q10</f>
        <v>51.088799999999999</v>
      </c>
      <c r="BI23" s="399">
        <f>COSTS!F10+COSTS!G10+COSTS!H10</f>
        <v>106.17808219178082</v>
      </c>
      <c r="BJ23" s="68">
        <f>COSTS!F10+COSTS!G10+COSTS!H10</f>
        <v>106.17808219178082</v>
      </c>
      <c r="BK23" s="68">
        <f>COSTS!F10+COSTS!G10+COSTS!H10</f>
        <v>106.17808219178082</v>
      </c>
      <c r="BL23" s="68">
        <f>COSTS!F10+COSTS!G10+COSTS!H10</f>
        <v>106.17808219178082</v>
      </c>
      <c r="BM23" s="68">
        <f>COSTS!F10+COSTS!G10+COSTS!H10</f>
        <v>106.17808219178082</v>
      </c>
      <c r="BN23" s="68">
        <f>COSTS!F10+COSTS!G10+COSTS!H10</f>
        <v>106.17808219178082</v>
      </c>
      <c r="BO23" s="68">
        <f>COSTS!F10+COSTS!G10+COSTS!H10</f>
        <v>106.17808219178082</v>
      </c>
      <c r="BP23" s="68">
        <f>COSTS!F10+COSTS!G10+COSTS!H10</f>
        <v>106.17808219178082</v>
      </c>
      <c r="BQ23" s="68">
        <f>COSTS!F10+COSTS!G10+COSTS!H10</f>
        <v>106.17808219178082</v>
      </c>
      <c r="BR23" s="68">
        <f>COSTS!L10+COSTS!M10+COSTS!N10</f>
        <v>174.79452054794518</v>
      </c>
      <c r="BS23" s="68">
        <f>COSTS!R10+COSTS!S10+COSTS!T10</f>
        <v>174</v>
      </c>
      <c r="BT23" s="399">
        <f t="shared" si="52"/>
        <v>1212.7944661491219</v>
      </c>
      <c r="BU23" s="68">
        <f t="shared" si="53"/>
        <v>1162.9318617319032</v>
      </c>
      <c r="BV23" s="68">
        <f t="shared" si="54"/>
        <v>1217.9174161894659</v>
      </c>
      <c r="BW23" s="68">
        <f t="shared" si="55"/>
        <v>986.04011397188845</v>
      </c>
      <c r="BX23" s="68">
        <f t="shared" si="56"/>
        <v>787.32718955673056</v>
      </c>
      <c r="BY23" s="68">
        <f t="shared" si="57"/>
        <v>1020.6231246145682</v>
      </c>
      <c r="BZ23" s="68">
        <f t="shared" si="58"/>
        <v>883.81483102844993</v>
      </c>
      <c r="CA23" s="68">
        <f t="shared" si="59"/>
        <v>147.29356851734252</v>
      </c>
      <c r="CB23" s="68">
        <f t="shared" si="60"/>
        <v>147.29356851734252</v>
      </c>
      <c r="CC23" s="68">
        <f t="shared" si="42"/>
        <v>429.32613626054609</v>
      </c>
      <c r="CD23" s="68" t="e">
        <f t="shared" si="61"/>
        <v>#N/A</v>
      </c>
      <c r="CE23" s="399">
        <f t="shared" si="43"/>
        <v>-9.6762897793225875</v>
      </c>
      <c r="CF23" s="68">
        <f t="shared" si="44"/>
        <v>-63.202935547346897</v>
      </c>
      <c r="CG23" s="68">
        <f t="shared" si="45"/>
        <v>-66.643374418820258</v>
      </c>
      <c r="CH23" s="68">
        <f t="shared" si="46"/>
        <v>64.437346584314469</v>
      </c>
      <c r="CI23" s="68">
        <f t="shared" si="47"/>
        <v>-5.5853806884127835</v>
      </c>
      <c r="CJ23" s="68">
        <f t="shared" si="48"/>
        <v>-3.3694715975036615</v>
      </c>
      <c r="CK23" s="68">
        <f t="shared" si="49"/>
        <v>30.210073857041834</v>
      </c>
      <c r="CN23" s="68">
        <f t="shared" si="50"/>
        <v>81.326136260546093</v>
      </c>
      <c r="CO23" s="540" t="e">
        <f t="shared" si="51"/>
        <v>#N/A</v>
      </c>
    </row>
    <row r="24" spans="1:93">
      <c r="A24" s="464"/>
      <c r="B24" s="131"/>
      <c r="C24" s="87"/>
      <c r="D24" s="87"/>
      <c r="E24" s="83" t="s">
        <v>1780</v>
      </c>
      <c r="F24" s="399">
        <f t="shared" si="4"/>
        <v>307.52023809523791</v>
      </c>
      <c r="G24" s="68">
        <f t="shared" si="5"/>
        <v>308.68205128205102</v>
      </c>
      <c r="H24" s="68">
        <f t="shared" si="6"/>
        <v>452.33045977011483</v>
      </c>
      <c r="I24" s="68">
        <f t="shared" si="7"/>
        <v>106.65000000000011</v>
      </c>
      <c r="J24" s="68">
        <f t="shared" si="8"/>
        <v>63.672812667740246</v>
      </c>
      <c r="K24" s="68">
        <f t="shared" si="9"/>
        <v>198.76926464016665</v>
      </c>
      <c r="L24" s="68">
        <f t="shared" si="10"/>
        <v>77.998541778493532</v>
      </c>
      <c r="P24" s="66"/>
      <c r="Q24" s="399">
        <f t="shared" si="11"/>
        <v>192.33065953654184</v>
      </c>
      <c r="R24" s="68">
        <f t="shared" si="12"/>
        <v>294.60561497326216</v>
      </c>
      <c r="S24" s="68">
        <f t="shared" si="13"/>
        <v>205.94276094276094</v>
      </c>
      <c r="T24" s="68">
        <f t="shared" si="14"/>
        <v>212.56872727272739</v>
      </c>
      <c r="U24" s="68">
        <f t="shared" si="15"/>
        <v>222.95738525155809</v>
      </c>
      <c r="V24" s="68">
        <f t="shared" si="16"/>
        <v>211.35138365102929</v>
      </c>
      <c r="W24" s="68">
        <f t="shared" si="17"/>
        <v>219.49449925861452</v>
      </c>
      <c r="AA24" s="66"/>
      <c r="AB24" s="399">
        <f t="shared" si="18"/>
        <v>130.64999999999989</v>
      </c>
      <c r="AC24" s="68">
        <f t="shared" si="19"/>
        <v>130.64999999999989</v>
      </c>
      <c r="AD24" s="68">
        <f t="shared" si="20"/>
        <v>130.65000000000006</v>
      </c>
      <c r="AE24" s="68">
        <f t="shared" si="21"/>
        <v>112.3460000000001</v>
      </c>
      <c r="AF24" s="68">
        <f t="shared" si="22"/>
        <v>127.72160493827144</v>
      </c>
      <c r="AG24" s="68">
        <f t="shared" si="23"/>
        <v>125.8178419753086</v>
      </c>
      <c r="AH24" s="68">
        <f t="shared" si="24"/>
        <v>122.59640329218099</v>
      </c>
      <c r="AI24" s="87">
        <f t="shared" si="25"/>
        <v>0</v>
      </c>
      <c r="AJ24" s="87">
        <f t="shared" si="26"/>
        <v>0</v>
      </c>
      <c r="AM24" s="399">
        <f>CIF!$X$5+VLOOKUP($AM$5&amp;$E24,OCEAN!$E:$J,5,FALSE)</f>
        <v>411.13636363636363</v>
      </c>
      <c r="AN24" s="68">
        <f>CIF!$X$6+VLOOKUP($AN$5&amp;$E24,OCEAN!$E:$J,5,FALSE)</f>
        <v>270.33699059561133</v>
      </c>
      <c r="AO24" s="68">
        <f>CIF!$X$7+VLOOKUP($AO$5&amp;$E24,OCEAN!$E:$J,5,FALSE)</f>
        <v>270.33699059561133</v>
      </c>
      <c r="AP24" s="68">
        <f>CIF!$X$8+VLOOKUP($AP$5&amp;$E24,OCEAN!$E:$J,5,FALSE)</f>
        <v>339.4545454545455</v>
      </c>
      <c r="AQ24" s="68">
        <f>CIF!$X$9+VLOOKUP($AQ$5&amp;$E24,OCEAN!$E:$J,5,FALSE)</f>
        <v>214.31818181818187</v>
      </c>
      <c r="AR24" s="68">
        <f t="shared" si="27"/>
        <v>308.81152037617562</v>
      </c>
      <c r="AS24" s="68">
        <f t="shared" si="28"/>
        <v>276.88636363636368</v>
      </c>
      <c r="AV24" s="68">
        <f>CIF!$X$16+VLOOKUP($AV$6&amp;$E24,OCEAN!$E:$J,5,FALSE)</f>
        <v>180.53161571260091</v>
      </c>
      <c r="AW24" s="540" t="e">
        <f>CIF!$X$17+VLOOKUP($AW$6&amp;$E24,OCEAN!$E:$J,5,FALSE)</f>
        <v>#N/A</v>
      </c>
      <c r="AX24" s="68">
        <f>COSTS!C10+COSTS!D10+COSTS!E10</f>
        <v>41.115486325561704</v>
      </c>
      <c r="AY24" s="68">
        <f>COSTS!C10+COSTS!D10+COSTS!E10</f>
        <v>41.115486325561704</v>
      </c>
      <c r="AZ24" s="68">
        <f>COSTS!C10+COSTS!D10+COSTS!E10</f>
        <v>41.115486325561704</v>
      </c>
      <c r="BA24" s="68">
        <f>COSTS!C10+COSTS!D10+COSTS!E10</f>
        <v>41.115486325561704</v>
      </c>
      <c r="BB24" s="68">
        <f>COSTS!C10+COSTS!D10+COSTS!E10</f>
        <v>41.115486325561704</v>
      </c>
      <c r="BC24" s="68">
        <f>COSTS!C10+COSTS!D10+COSTS!E10</f>
        <v>41.115486325561704</v>
      </c>
      <c r="BD24" s="68">
        <f>COSTS!C10+COSTS!D10+COSTS!E10</f>
        <v>41.115486325561704</v>
      </c>
      <c r="BE24" s="68">
        <f>COSTS!C10+COSTS!D10+COSTS!E10</f>
        <v>41.115486325561704</v>
      </c>
      <c r="BF24" s="68">
        <f>COSTS!C10+COSTS!D10+COSTS!E10</f>
        <v>41.115486325561704</v>
      </c>
      <c r="BG24" s="68">
        <f>COSTS!I10+COSTS!J10+COSTS!K10</f>
        <v>74</v>
      </c>
      <c r="BH24" s="540">
        <f>COSTS!O10+COSTS!P10+COSTS!Q10</f>
        <v>51.088799999999999</v>
      </c>
      <c r="BI24" s="399">
        <f>COSTS!F10+COSTS!G10+COSTS!H10</f>
        <v>106.17808219178082</v>
      </c>
      <c r="BJ24" s="68">
        <f>COSTS!F10+COSTS!G10+COSTS!H10</f>
        <v>106.17808219178082</v>
      </c>
      <c r="BK24" s="68">
        <f>COSTS!F10+COSTS!G10+COSTS!H10</f>
        <v>106.17808219178082</v>
      </c>
      <c r="BL24" s="68">
        <f>COSTS!F10+COSTS!G10+COSTS!H10</f>
        <v>106.17808219178082</v>
      </c>
      <c r="BM24" s="68">
        <f>COSTS!F10+COSTS!G10+COSTS!H10</f>
        <v>106.17808219178082</v>
      </c>
      <c r="BN24" s="68">
        <f>COSTS!F10+COSTS!G10+COSTS!H10</f>
        <v>106.17808219178082</v>
      </c>
      <c r="BO24" s="68">
        <f>COSTS!F10+COSTS!G10+COSTS!H10</f>
        <v>106.17808219178082</v>
      </c>
      <c r="BP24" s="68">
        <f>COSTS!F10+COSTS!G10+COSTS!H10</f>
        <v>106.17808219178082</v>
      </c>
      <c r="BQ24" s="68">
        <f>COSTS!F10+COSTS!G10+COSTS!H10</f>
        <v>106.17808219178082</v>
      </c>
      <c r="BR24" s="68">
        <f>COSTS!L10+COSTS!M10+COSTS!N10</f>
        <v>174.79452054794518</v>
      </c>
      <c r="BS24" s="68">
        <f>COSTS!R10+COSTS!S10+COSTS!T10</f>
        <v>174</v>
      </c>
      <c r="BT24" s="399">
        <f t="shared" si="52"/>
        <v>1188.9308297854857</v>
      </c>
      <c r="BU24" s="68">
        <f t="shared" si="53"/>
        <v>1151.5682253682669</v>
      </c>
      <c r="BV24" s="68">
        <f t="shared" si="54"/>
        <v>1206.5537798258297</v>
      </c>
      <c r="BW24" s="68">
        <f t="shared" si="55"/>
        <v>918.3128412446157</v>
      </c>
      <c r="BX24" s="68">
        <f t="shared" si="56"/>
        <v>775.96355319309419</v>
      </c>
      <c r="BY24" s="68">
        <f t="shared" si="57"/>
        <v>992.04357916002277</v>
      </c>
      <c r="BZ24" s="68">
        <f t="shared" si="58"/>
        <v>844.26937648299531</v>
      </c>
      <c r="CA24" s="68">
        <f t="shared" si="59"/>
        <v>147.29356851734252</v>
      </c>
      <c r="CB24" s="68">
        <f t="shared" si="60"/>
        <v>147.29356851734252</v>
      </c>
      <c r="CC24" s="68">
        <f t="shared" si="42"/>
        <v>429.32613626054609</v>
      </c>
      <c r="CD24" s="68" t="e">
        <f t="shared" si="61"/>
        <v>#N/A</v>
      </c>
      <c r="CE24" s="399">
        <f t="shared" si="43"/>
        <v>-33.539926142958848</v>
      </c>
      <c r="CF24" s="68">
        <f t="shared" si="44"/>
        <v>-74.566571910983157</v>
      </c>
      <c r="CG24" s="68">
        <f t="shared" si="45"/>
        <v>-78.007010782456518</v>
      </c>
      <c r="CH24" s="68">
        <f t="shared" si="46"/>
        <v>-3.2899261429582793</v>
      </c>
      <c r="CI24" s="68">
        <f t="shared" si="47"/>
        <v>-16.949017052049157</v>
      </c>
      <c r="CJ24" s="68">
        <f t="shared" si="48"/>
        <v>-31.949017052049044</v>
      </c>
      <c r="CK24" s="68">
        <f t="shared" si="49"/>
        <v>-9.3353806884127835</v>
      </c>
      <c r="CN24" s="68">
        <f t="shared" si="50"/>
        <v>81.326136260546093</v>
      </c>
      <c r="CO24" s="540" t="e">
        <f t="shared" si="51"/>
        <v>#N/A</v>
      </c>
    </row>
    <row r="25" spans="1:93" ht="12.5" thickBot="1">
      <c r="A25" s="465"/>
      <c r="B25" s="460"/>
      <c r="C25" s="91"/>
      <c r="D25" s="91"/>
      <c r="E25" s="461" t="s">
        <v>1798</v>
      </c>
      <c r="F25" s="399">
        <f t="shared" si="4"/>
        <v>307.52023809523791</v>
      </c>
      <c r="G25" s="68">
        <f t="shared" si="5"/>
        <v>308.68205128205102</v>
      </c>
      <c r="H25" s="68">
        <f t="shared" si="6"/>
        <v>452.33045977011483</v>
      </c>
      <c r="I25" s="68">
        <f t="shared" si="7"/>
        <v>106.65000000000011</v>
      </c>
      <c r="J25" s="68">
        <f t="shared" si="8"/>
        <v>63.672812667740246</v>
      </c>
      <c r="K25" s="68">
        <f t="shared" si="9"/>
        <v>198.76926464016665</v>
      </c>
      <c r="L25" s="68">
        <f t="shared" si="10"/>
        <v>77.998541778493532</v>
      </c>
      <c r="P25" s="66"/>
      <c r="Q25" s="399">
        <f t="shared" si="11"/>
        <v>192.33065953654184</v>
      </c>
      <c r="R25" s="68">
        <f t="shared" si="12"/>
        <v>294.60561497326216</v>
      </c>
      <c r="S25" s="68">
        <f t="shared" si="13"/>
        <v>205.94276094276094</v>
      </c>
      <c r="T25" s="68">
        <f t="shared" si="14"/>
        <v>212.56872727272739</v>
      </c>
      <c r="U25" s="68">
        <f t="shared" si="15"/>
        <v>222.95738525155809</v>
      </c>
      <c r="V25" s="68">
        <f t="shared" si="16"/>
        <v>211.35138365102929</v>
      </c>
      <c r="W25" s="68">
        <f t="shared" si="17"/>
        <v>219.49449925861452</v>
      </c>
      <c r="AA25" s="66"/>
      <c r="AB25" s="399">
        <f t="shared" si="18"/>
        <v>130.64999999999989</v>
      </c>
      <c r="AC25" s="68">
        <f t="shared" si="19"/>
        <v>130.64999999999989</v>
      </c>
      <c r="AD25" s="68">
        <f t="shared" si="20"/>
        <v>130.65000000000006</v>
      </c>
      <c r="AE25" s="68">
        <f t="shared" si="21"/>
        <v>112.3460000000001</v>
      </c>
      <c r="AF25" s="68">
        <f t="shared" si="22"/>
        <v>127.72160493827144</v>
      </c>
      <c r="AG25" s="68">
        <f t="shared" si="23"/>
        <v>125.8178419753086</v>
      </c>
      <c r="AH25" s="68">
        <f t="shared" si="24"/>
        <v>122.59640329218099</v>
      </c>
      <c r="AI25" s="87">
        <f t="shared" si="25"/>
        <v>0</v>
      </c>
      <c r="AJ25" s="87">
        <f t="shared" si="26"/>
        <v>0</v>
      </c>
      <c r="AM25" s="399">
        <f>CIF!$X$5+VLOOKUP($AM$5&amp;$E25,OCEAN!$E:$J,5,FALSE)</f>
        <v>446.59090909090912</v>
      </c>
      <c r="AN25" s="68">
        <f>CIF!$X$6+VLOOKUP($AN$5&amp;$E25,OCEAN!$E:$J,5,FALSE)</f>
        <v>372.60971786833858</v>
      </c>
      <c r="AO25" s="68">
        <f>CIF!$X$7+VLOOKUP($AO$5&amp;$E25,OCEAN!$E:$J,5,FALSE)</f>
        <v>372.60971786833858</v>
      </c>
      <c r="AP25" s="68">
        <f>CIF!$X$8+VLOOKUP($AP$5&amp;$E25,OCEAN!$E:$J,5,FALSE)</f>
        <v>451.27272727272725</v>
      </c>
      <c r="AQ25" s="68">
        <f>CIF!$X$9+VLOOKUP($AQ$5&amp;$E25,OCEAN!$E:$J,5,FALSE)</f>
        <v>263.40909090909099</v>
      </c>
      <c r="AR25" s="68">
        <f t="shared" si="27"/>
        <v>383.4706112852665</v>
      </c>
      <c r="AS25" s="68">
        <f t="shared" si="28"/>
        <v>357.34090909090912</v>
      </c>
      <c r="AV25" s="68" t="e">
        <f>CIF!$X$16+VLOOKUP($AV$6&amp;$E25,OCEAN!$E:$J,5,FALSE)</f>
        <v>#N/A</v>
      </c>
      <c r="AW25" s="540" t="e">
        <f>CIF!$X$17+VLOOKUP($AW$6&amp;$E25,OCEAN!$E:$J,5,FALSE)</f>
        <v>#N/A</v>
      </c>
      <c r="AX25" s="68">
        <f>COSTS!C10+COSTS!D10+COSTS!E10</f>
        <v>41.115486325561704</v>
      </c>
      <c r="AY25" s="68">
        <f>COSTS!C10+COSTS!D10+COSTS!E10</f>
        <v>41.115486325561704</v>
      </c>
      <c r="AZ25" s="68">
        <f>COSTS!C10+COSTS!D10+COSTS!E10</f>
        <v>41.115486325561704</v>
      </c>
      <c r="BA25" s="68">
        <f>COSTS!C10+COSTS!D10+COSTS!E10</f>
        <v>41.115486325561704</v>
      </c>
      <c r="BB25" s="68">
        <f>COSTS!C10+COSTS!D10+COSTS!E10</f>
        <v>41.115486325561704</v>
      </c>
      <c r="BC25" s="68">
        <f>COSTS!C10+COSTS!D10+COSTS!E10</f>
        <v>41.115486325561704</v>
      </c>
      <c r="BD25" s="68">
        <f>COSTS!C10+COSTS!D10+COSTS!E10</f>
        <v>41.115486325561704</v>
      </c>
      <c r="BE25" s="68">
        <f>COSTS!C10+COSTS!D10+COSTS!E10</f>
        <v>41.115486325561704</v>
      </c>
      <c r="BF25" s="68">
        <f>COSTS!C10+COSTS!D10+COSTS!E10</f>
        <v>41.115486325561704</v>
      </c>
      <c r="BG25" s="68">
        <f>COSTS!I10+COSTS!J10+COSTS!K10</f>
        <v>74</v>
      </c>
      <c r="BH25" s="540">
        <f>COSTS!O10+COSTS!P10+COSTS!Q10</f>
        <v>51.088799999999999</v>
      </c>
      <c r="BI25" s="399">
        <f>COSTS!F10+COSTS!G10+COSTS!H10</f>
        <v>106.17808219178082</v>
      </c>
      <c r="BJ25" s="68">
        <f>COSTS!F10+COSTS!G10+COSTS!H10</f>
        <v>106.17808219178082</v>
      </c>
      <c r="BK25" s="68">
        <f>COSTS!F10+COSTS!G10+COSTS!H10</f>
        <v>106.17808219178082</v>
      </c>
      <c r="BL25" s="68">
        <f>COSTS!F10+COSTS!G10+COSTS!H10</f>
        <v>106.17808219178082</v>
      </c>
      <c r="BM25" s="68">
        <f>COSTS!F10+COSTS!G10+COSTS!H10</f>
        <v>106.17808219178082</v>
      </c>
      <c r="BN25" s="68">
        <f>COSTS!F10+COSTS!G10+COSTS!H10</f>
        <v>106.17808219178082</v>
      </c>
      <c r="BO25" s="68">
        <f>COSTS!F10+COSTS!G10+COSTS!H10</f>
        <v>106.17808219178082</v>
      </c>
      <c r="BP25" s="68">
        <f>COSTS!F10+COSTS!G10+COSTS!H10</f>
        <v>106.17808219178082</v>
      </c>
      <c r="BQ25" s="68">
        <f>COSTS!F10+COSTS!G10+COSTS!H10</f>
        <v>106.17808219178082</v>
      </c>
      <c r="BR25" s="68">
        <f>COSTS!L10+COSTS!M10+COSTS!N10</f>
        <v>174.79452054794518</v>
      </c>
      <c r="BS25" s="68">
        <f>COSTS!R10+COSTS!S10+COSTS!T10</f>
        <v>174</v>
      </c>
      <c r="BT25" s="399">
        <f t="shared" si="52"/>
        <v>1224.3853752400312</v>
      </c>
      <c r="BU25" s="68">
        <f t="shared" si="53"/>
        <v>1253.8409526409941</v>
      </c>
      <c r="BV25" s="68">
        <f t="shared" si="54"/>
        <v>1308.8265070985569</v>
      </c>
      <c r="BW25" s="68">
        <f t="shared" si="55"/>
        <v>1030.1310230627973</v>
      </c>
      <c r="BX25" s="68">
        <f t="shared" si="56"/>
        <v>825.05446228400331</v>
      </c>
      <c r="BY25" s="68">
        <f t="shared" si="57"/>
        <v>1066.7026700691135</v>
      </c>
      <c r="BZ25" s="68">
        <f t="shared" si="58"/>
        <v>924.72392193754069</v>
      </c>
      <c r="CA25" s="68">
        <f t="shared" si="59"/>
        <v>147.29356851734252</v>
      </c>
      <c r="CB25" s="68">
        <f t="shared" si="60"/>
        <v>147.29356851734252</v>
      </c>
      <c r="CC25" s="68" t="e">
        <f t="shared" si="42"/>
        <v>#N/A</v>
      </c>
      <c r="CD25" s="68" t="e">
        <f t="shared" si="61"/>
        <v>#N/A</v>
      </c>
      <c r="CE25" s="399">
        <f t="shared" si="43"/>
        <v>1.9146193115866481</v>
      </c>
      <c r="CF25" s="68">
        <f t="shared" si="44"/>
        <v>27.706155361744095</v>
      </c>
      <c r="CG25" s="68">
        <f t="shared" si="45"/>
        <v>24.265716490270734</v>
      </c>
      <c r="CH25" s="68">
        <f t="shared" si="46"/>
        <v>108.52825567522336</v>
      </c>
      <c r="CI25" s="68">
        <f t="shared" si="47"/>
        <v>32.141892038859964</v>
      </c>
      <c r="CJ25" s="68">
        <f t="shared" si="48"/>
        <v>42.710073857041721</v>
      </c>
      <c r="CK25" s="68">
        <f t="shared" si="49"/>
        <v>71.119164766132599</v>
      </c>
      <c r="CN25" s="68" t="e">
        <f t="shared" si="50"/>
        <v>#N/A</v>
      </c>
      <c r="CO25" s="540" t="e">
        <f t="shared" si="51"/>
        <v>#N/A</v>
      </c>
    </row>
    <row r="26" spans="1:93" ht="12.5" thickBot="1">
      <c r="A26" s="389" t="s">
        <v>1658</v>
      </c>
      <c r="B26" s="389" t="s">
        <v>1659</v>
      </c>
      <c r="C26" s="462">
        <v>38</v>
      </c>
      <c r="D26" s="463">
        <v>14</v>
      </c>
      <c r="E26" s="466" t="s">
        <v>1746</v>
      </c>
      <c r="F26" s="399">
        <f t="shared" si="4"/>
        <v>307.52023809523791</v>
      </c>
      <c r="G26" s="68">
        <f t="shared" si="5"/>
        <v>308.68205128205102</v>
      </c>
      <c r="H26" s="68">
        <f t="shared" si="6"/>
        <v>452.33045977011483</v>
      </c>
      <c r="I26" s="68">
        <f t="shared" si="7"/>
        <v>106.65000000000011</v>
      </c>
      <c r="J26" s="68">
        <f t="shared" si="8"/>
        <v>63.672812667740246</v>
      </c>
      <c r="K26" s="68">
        <f t="shared" si="9"/>
        <v>198.76926464016665</v>
      </c>
      <c r="L26" s="68">
        <f t="shared" si="10"/>
        <v>77.998541778493532</v>
      </c>
      <c r="P26" s="66"/>
      <c r="Q26" s="399">
        <f t="shared" si="11"/>
        <v>192.33065953654184</v>
      </c>
      <c r="R26" s="68">
        <f t="shared" si="12"/>
        <v>294.60561497326216</v>
      </c>
      <c r="S26" s="68">
        <f t="shared" si="13"/>
        <v>205.94276094276094</v>
      </c>
      <c r="T26" s="68">
        <f t="shared" si="14"/>
        <v>212.56872727272739</v>
      </c>
      <c r="U26" s="68">
        <f t="shared" si="15"/>
        <v>222.95738525155809</v>
      </c>
      <c r="V26" s="68">
        <f t="shared" si="16"/>
        <v>211.35138365102929</v>
      </c>
      <c r="W26" s="68">
        <f t="shared" si="17"/>
        <v>219.49449925861452</v>
      </c>
      <c r="AA26" s="66"/>
      <c r="AB26" s="399">
        <f t="shared" si="18"/>
        <v>130.64999999999989</v>
      </c>
      <c r="AC26" s="68">
        <f t="shared" si="19"/>
        <v>130.64999999999989</v>
      </c>
      <c r="AD26" s="68">
        <f t="shared" si="20"/>
        <v>130.65000000000006</v>
      </c>
      <c r="AE26" s="68">
        <f t="shared" si="21"/>
        <v>112.3460000000001</v>
      </c>
      <c r="AF26" s="68">
        <f t="shared" si="22"/>
        <v>127.72160493827144</v>
      </c>
      <c r="AG26" s="68">
        <f t="shared" si="23"/>
        <v>125.8178419753086</v>
      </c>
      <c r="AH26" s="68">
        <f t="shared" si="24"/>
        <v>122.59640329218099</v>
      </c>
      <c r="AI26" s="87">
        <f t="shared" si="25"/>
        <v>0</v>
      </c>
      <c r="AJ26" s="87">
        <f t="shared" si="26"/>
        <v>0</v>
      </c>
      <c r="AM26" s="399">
        <f>CIF!$X$5+VLOOKUP($AM$5&amp;$E26,OCEAN!$E:$J,5,FALSE)</f>
        <v>469.31818181818181</v>
      </c>
      <c r="AN26" s="68">
        <f>CIF!$X$6+VLOOKUP($AN$5&amp;$E26,OCEAN!$E:$J,5,FALSE)</f>
        <v>402.60971786833858</v>
      </c>
      <c r="AO26" s="68">
        <f>CIF!$X$7+VLOOKUP($AO$5&amp;$E26,OCEAN!$E:$J,5,FALSE)</f>
        <v>402.60971786833858</v>
      </c>
      <c r="AP26" s="68">
        <f>CIF!$X$8+VLOOKUP($AP$5&amp;$E26,OCEAN!$E:$J,5,FALSE)</f>
        <v>461.5</v>
      </c>
      <c r="AQ26" s="68">
        <f>CIF!$X$9+VLOOKUP($AQ$5&amp;$E26,OCEAN!$E:$J,5,FALSE)</f>
        <v>327.95454545454555</v>
      </c>
      <c r="AR26" s="68">
        <f t="shared" si="27"/>
        <v>415.3456112852665</v>
      </c>
      <c r="AS26" s="68">
        <f t="shared" si="28"/>
        <v>394.72727272727275</v>
      </c>
      <c r="AV26" s="68">
        <f>CIF!$X$16+VLOOKUP($AV$6&amp;$E26,OCEAN!$E:$J,5,FALSE)</f>
        <v>36.287761952281592</v>
      </c>
      <c r="AW26" s="540">
        <f>CIF!$X$17+VLOOKUP($AW$6&amp;$E26,OCEAN!$E:$J,5,FALSE)</f>
        <v>99.791345368774387</v>
      </c>
      <c r="AX26" s="68">
        <f>COSTS!C11+COSTS!D11+COSTS!E11</f>
        <v>49.376720941062629</v>
      </c>
      <c r="AY26" s="68">
        <f>COSTS!C11+COSTS!D11+COSTS!E11</f>
        <v>49.376720941062629</v>
      </c>
      <c r="AZ26" s="68">
        <f>COSTS!C11+COSTS!D11+COSTS!E11</f>
        <v>49.376720941062629</v>
      </c>
      <c r="BA26" s="68">
        <f>COSTS!C11+COSTS!D11+COSTS!E11</f>
        <v>49.376720941062629</v>
      </c>
      <c r="BB26" s="68">
        <f>COSTS!C11+COSTS!D11+COSTS!E11</f>
        <v>49.376720941062629</v>
      </c>
      <c r="BC26" s="68">
        <f>COSTS!C11+COSTS!D11+COSTS!E11</f>
        <v>49.376720941062629</v>
      </c>
      <c r="BD26" s="68">
        <f>COSTS!C11+COSTS!D11+COSTS!E11</f>
        <v>49.376720941062629</v>
      </c>
      <c r="BE26" s="68">
        <f>COSTS!C11+COSTS!D11+COSTS!E11</f>
        <v>49.376720941062629</v>
      </c>
      <c r="BF26" s="68">
        <f>COSTS!C11+COSTS!D11+COSTS!E11</f>
        <v>49.376720941062629</v>
      </c>
      <c r="BG26" s="68">
        <f>COSTS!I11+COSTS!J11+COSTS!K11</f>
        <v>76</v>
      </c>
      <c r="BH26" s="540">
        <f>COSTS!O11+COSTS!P11+COSTS!Q11</f>
        <v>44</v>
      </c>
      <c r="BI26" s="399">
        <f>COSTS!F11+COSTS!G11+COSTS!H11</f>
        <v>106.17808219178082</v>
      </c>
      <c r="BJ26" s="68">
        <f>COSTS!F11+COSTS!G11+COSTS!H11</f>
        <v>106.17808219178082</v>
      </c>
      <c r="BK26" s="68">
        <f>COSTS!F11+COSTS!G11+COSTS!H11</f>
        <v>106.17808219178082</v>
      </c>
      <c r="BL26" s="68">
        <f>COSTS!F11+COSTS!G11+COSTS!H11</f>
        <v>106.17808219178082</v>
      </c>
      <c r="BM26" s="68">
        <f>COSTS!F11+COSTS!G11+COSTS!H11</f>
        <v>106.17808219178082</v>
      </c>
      <c r="BN26" s="68">
        <f>COSTS!F11+COSTS!G11+COSTS!H11</f>
        <v>106.17808219178082</v>
      </c>
      <c r="BO26" s="68">
        <f>COSTS!F11+COSTS!G11+COSTS!H11</f>
        <v>106.17808219178082</v>
      </c>
      <c r="BP26" s="68">
        <f>COSTS!F11+COSTS!G11+COSTS!H11</f>
        <v>106.17808219178082</v>
      </c>
      <c r="BQ26" s="68">
        <f>COSTS!F11+COSTS!G11+COSTS!H11</f>
        <v>106.17808219178082</v>
      </c>
      <c r="BR26" s="68">
        <f>COSTS!L11+COSTS!M11+COSTS!N11</f>
        <v>174.79452054794518</v>
      </c>
      <c r="BS26" s="68">
        <f>COSTS!R11+COSTS!S11+COSTS!T11</f>
        <v>174</v>
      </c>
      <c r="BT26" s="399">
        <f t="shared" si="52"/>
        <v>1255.3738825828048</v>
      </c>
      <c r="BU26" s="68">
        <f t="shared" si="53"/>
        <v>1292.102187256495</v>
      </c>
      <c r="BV26" s="68">
        <f t="shared" si="54"/>
        <v>1347.0877417140578</v>
      </c>
      <c r="BW26" s="68">
        <f t="shared" si="55"/>
        <v>1048.6195304055711</v>
      </c>
      <c r="BX26" s="68">
        <f t="shared" si="56"/>
        <v>897.86115144495875</v>
      </c>
      <c r="BY26" s="68">
        <f t="shared" si="57"/>
        <v>1106.8389046846146</v>
      </c>
      <c r="BZ26" s="68">
        <f t="shared" si="58"/>
        <v>970.37152018940537</v>
      </c>
      <c r="CA26" s="68">
        <f t="shared" si="59"/>
        <v>155.55480313284346</v>
      </c>
      <c r="CB26" s="68">
        <f t="shared" si="60"/>
        <v>155.55480313284346</v>
      </c>
      <c r="CC26" s="68">
        <f t="shared" si="42"/>
        <v>287.08228250022677</v>
      </c>
      <c r="CD26" s="68">
        <f t="shared" si="61"/>
        <v>317.79134536877439</v>
      </c>
      <c r="CE26" s="399">
        <f t="shared" si="43"/>
        <v>32.903126654360221</v>
      </c>
      <c r="CF26" s="68">
        <f t="shared" si="44"/>
        <v>65.96738997724492</v>
      </c>
      <c r="CG26" s="68">
        <f t="shared" si="45"/>
        <v>62.526951105771559</v>
      </c>
      <c r="CH26" s="68">
        <f t="shared" si="46"/>
        <v>127.01676301799716</v>
      </c>
      <c r="CI26" s="68">
        <f t="shared" si="47"/>
        <v>104.94858119981541</v>
      </c>
      <c r="CJ26" s="68">
        <f t="shared" si="48"/>
        <v>82.846308472542773</v>
      </c>
      <c r="CK26" s="68">
        <f t="shared" si="49"/>
        <v>116.76676301799728</v>
      </c>
      <c r="CN26" s="68">
        <f t="shared" si="50"/>
        <v>-60.917717499773232</v>
      </c>
      <c r="CO26" s="540">
        <f t="shared" si="51"/>
        <v>33.791345368774387</v>
      </c>
    </row>
    <row r="27" spans="1:93">
      <c r="A27" s="464"/>
      <c r="B27" s="131"/>
      <c r="C27" s="87"/>
      <c r="D27" s="87"/>
      <c r="E27" s="83" t="s">
        <v>1747</v>
      </c>
      <c r="F27" s="399">
        <f t="shared" si="4"/>
        <v>307.52023809523791</v>
      </c>
      <c r="G27" s="68">
        <f t="shared" si="5"/>
        <v>308.68205128205102</v>
      </c>
      <c r="H27" s="68">
        <f t="shared" si="6"/>
        <v>452.33045977011483</v>
      </c>
      <c r="I27" s="68">
        <f t="shared" si="7"/>
        <v>106.65000000000011</v>
      </c>
      <c r="J27" s="68">
        <f t="shared" si="8"/>
        <v>63.672812667740246</v>
      </c>
      <c r="K27" s="68">
        <f t="shared" si="9"/>
        <v>198.76926464016665</v>
      </c>
      <c r="L27" s="68">
        <f t="shared" si="10"/>
        <v>77.998541778493532</v>
      </c>
      <c r="P27" s="66"/>
      <c r="Q27" s="399">
        <f t="shared" si="11"/>
        <v>192.33065953654184</v>
      </c>
      <c r="R27" s="68">
        <f t="shared" si="12"/>
        <v>294.60561497326216</v>
      </c>
      <c r="S27" s="68">
        <f t="shared" si="13"/>
        <v>205.94276094276094</v>
      </c>
      <c r="T27" s="68">
        <f t="shared" si="14"/>
        <v>212.56872727272739</v>
      </c>
      <c r="U27" s="68">
        <f t="shared" si="15"/>
        <v>222.95738525155809</v>
      </c>
      <c r="V27" s="68">
        <f t="shared" si="16"/>
        <v>211.35138365102929</v>
      </c>
      <c r="W27" s="68">
        <f t="shared" si="17"/>
        <v>219.49449925861452</v>
      </c>
      <c r="AA27" s="66"/>
      <c r="AB27" s="399">
        <f t="shared" si="18"/>
        <v>130.64999999999989</v>
      </c>
      <c r="AC27" s="68">
        <f t="shared" si="19"/>
        <v>130.64999999999989</v>
      </c>
      <c r="AD27" s="68">
        <f t="shared" si="20"/>
        <v>130.65000000000006</v>
      </c>
      <c r="AE27" s="68">
        <f t="shared" si="21"/>
        <v>112.3460000000001</v>
      </c>
      <c r="AF27" s="68">
        <f t="shared" si="22"/>
        <v>127.72160493827144</v>
      </c>
      <c r="AG27" s="68">
        <f t="shared" si="23"/>
        <v>125.8178419753086</v>
      </c>
      <c r="AH27" s="68">
        <f t="shared" si="24"/>
        <v>122.59640329218099</v>
      </c>
      <c r="AI27" s="87">
        <f t="shared" si="25"/>
        <v>0</v>
      </c>
      <c r="AJ27" s="87">
        <f t="shared" si="26"/>
        <v>0</v>
      </c>
      <c r="AM27" s="399">
        <f>CIF!$X$5+VLOOKUP($AM$5&amp;$E27,OCEAN!$E:$J,5,FALSE)</f>
        <v>535</v>
      </c>
      <c r="AN27" s="68">
        <f>CIF!$X$6+VLOOKUP($AN$5&amp;$E27,OCEAN!$E:$J,5,FALSE)</f>
        <v>402.60971786833858</v>
      </c>
      <c r="AO27" s="68">
        <f>CIF!$X$7+VLOOKUP($AO$5&amp;$E27,OCEAN!$E:$J,5,FALSE)</f>
        <v>402.60971786833858</v>
      </c>
      <c r="AP27" s="68">
        <f>CIF!$X$8+VLOOKUP($AP$5&amp;$E27,OCEAN!$E:$J,5,FALSE)</f>
        <v>461.5</v>
      </c>
      <c r="AQ27" s="68">
        <f>CIF!$X$9+VLOOKUP($AQ$5&amp;$E27,OCEAN!$E:$J,5,FALSE)</f>
        <v>368.86363636363643</v>
      </c>
      <c r="AR27" s="68">
        <f t="shared" si="27"/>
        <v>441.99333855799375</v>
      </c>
      <c r="AS27" s="68">
        <f t="shared" si="28"/>
        <v>415.18181818181824</v>
      </c>
      <c r="AV27" s="68">
        <f>CIF!$X$16+VLOOKUP($AV$6&amp;$E27,OCEAN!$E:$J,5,FALSE)</f>
        <v>87.090628685475821</v>
      </c>
      <c r="AW27" s="540">
        <f>CIF!$X$17+VLOOKUP($AW$6&amp;$E27,OCEAN!$E:$J,5,FALSE)</f>
        <v>117.75378753515378</v>
      </c>
      <c r="AX27" s="68">
        <f>COSTS!C11+COSTS!D11+COSTS!E11</f>
        <v>49.376720941062629</v>
      </c>
      <c r="AY27" s="68">
        <f>COSTS!C11+COSTS!D11+COSTS!E11</f>
        <v>49.376720941062629</v>
      </c>
      <c r="AZ27" s="68">
        <f>COSTS!C11+COSTS!D11+COSTS!E11</f>
        <v>49.376720941062629</v>
      </c>
      <c r="BA27" s="68">
        <f>COSTS!C11+COSTS!D11+COSTS!E11</f>
        <v>49.376720941062629</v>
      </c>
      <c r="BB27" s="68">
        <f>COSTS!C11+COSTS!D11+COSTS!E11</f>
        <v>49.376720941062629</v>
      </c>
      <c r="BC27" s="68">
        <f>COSTS!C11+COSTS!D11+COSTS!E11</f>
        <v>49.376720941062629</v>
      </c>
      <c r="BD27" s="68">
        <f>COSTS!C11+COSTS!D11+COSTS!E11</f>
        <v>49.376720941062629</v>
      </c>
      <c r="BE27" s="68">
        <f>COSTS!C11+COSTS!D11+COSTS!E11</f>
        <v>49.376720941062629</v>
      </c>
      <c r="BF27" s="68">
        <f>COSTS!C11+COSTS!D11+COSTS!E11</f>
        <v>49.376720941062629</v>
      </c>
      <c r="BG27" s="68">
        <f>COSTS!I11+COSTS!J11+COSTS!K11</f>
        <v>76</v>
      </c>
      <c r="BH27" s="540">
        <f>COSTS!O11+COSTS!P11+COSTS!Q11</f>
        <v>44</v>
      </c>
      <c r="BI27" s="399">
        <f>COSTS!F11+COSTS!G11+COSTS!H11</f>
        <v>106.17808219178082</v>
      </c>
      <c r="BJ27" s="68">
        <f>COSTS!F11+COSTS!G11+COSTS!H11</f>
        <v>106.17808219178082</v>
      </c>
      <c r="BK27" s="68">
        <f>COSTS!F11+COSTS!G11+COSTS!H11</f>
        <v>106.17808219178082</v>
      </c>
      <c r="BL27" s="68">
        <f>COSTS!F11+COSTS!G11+COSTS!H11</f>
        <v>106.17808219178082</v>
      </c>
      <c r="BM27" s="68">
        <f>COSTS!F11+COSTS!G11+COSTS!H11</f>
        <v>106.17808219178082</v>
      </c>
      <c r="BN27" s="68">
        <f>COSTS!F11+COSTS!G11+COSTS!H11</f>
        <v>106.17808219178082</v>
      </c>
      <c r="BO27" s="68">
        <f>COSTS!F11+COSTS!G11+COSTS!H11</f>
        <v>106.17808219178082</v>
      </c>
      <c r="BP27" s="68">
        <f>COSTS!F11+COSTS!G11+COSTS!H11</f>
        <v>106.17808219178082</v>
      </c>
      <c r="BQ27" s="68">
        <f>COSTS!F11+COSTS!G11+COSTS!H11</f>
        <v>106.17808219178082</v>
      </c>
      <c r="BR27" s="68">
        <f>COSTS!L11+COSTS!M11+COSTS!N11</f>
        <v>174.79452054794518</v>
      </c>
      <c r="BS27" s="68">
        <f>COSTS!R11+COSTS!S11+COSTS!T11</f>
        <v>174</v>
      </c>
      <c r="BT27" s="399">
        <f t="shared" si="52"/>
        <v>1321.0557007646228</v>
      </c>
      <c r="BU27" s="68">
        <f t="shared" si="53"/>
        <v>1292.102187256495</v>
      </c>
      <c r="BV27" s="68">
        <f t="shared" si="54"/>
        <v>1347.0877417140578</v>
      </c>
      <c r="BW27" s="68">
        <f t="shared" si="55"/>
        <v>1048.6195304055711</v>
      </c>
      <c r="BX27" s="68">
        <f t="shared" si="56"/>
        <v>938.77024235404974</v>
      </c>
      <c r="BY27" s="68">
        <f t="shared" si="57"/>
        <v>1133.4866319573416</v>
      </c>
      <c r="BZ27" s="68">
        <f t="shared" si="58"/>
        <v>990.82606564395087</v>
      </c>
      <c r="CA27" s="68">
        <f t="shared" si="59"/>
        <v>155.55480313284346</v>
      </c>
      <c r="CB27" s="68">
        <f t="shared" si="60"/>
        <v>155.55480313284346</v>
      </c>
      <c r="CC27" s="68">
        <f t="shared" si="42"/>
        <v>337.88514923342098</v>
      </c>
      <c r="CD27" s="68">
        <f t="shared" si="61"/>
        <v>335.75378753515378</v>
      </c>
      <c r="CE27" s="399">
        <f t="shared" si="43"/>
        <v>98.584944836178238</v>
      </c>
      <c r="CF27" s="68">
        <f t="shared" si="44"/>
        <v>65.96738997724492</v>
      </c>
      <c r="CG27" s="68">
        <f t="shared" si="45"/>
        <v>62.526951105771559</v>
      </c>
      <c r="CH27" s="68">
        <f t="shared" si="46"/>
        <v>127.01676301799716</v>
      </c>
      <c r="CI27" s="68">
        <f t="shared" si="47"/>
        <v>145.8576721089064</v>
      </c>
      <c r="CJ27" s="68">
        <f t="shared" si="48"/>
        <v>109.4940357452698</v>
      </c>
      <c r="CK27" s="68">
        <f t="shared" si="49"/>
        <v>137.22130847254277</v>
      </c>
      <c r="CN27" s="68">
        <f t="shared" si="50"/>
        <v>-10.114850766579025</v>
      </c>
      <c r="CO27" s="540">
        <f t="shared" si="51"/>
        <v>51.753787535153776</v>
      </c>
    </row>
    <row r="28" spans="1:93">
      <c r="A28" s="464"/>
      <c r="B28" s="131"/>
      <c r="C28" s="87"/>
      <c r="D28" s="87"/>
      <c r="E28" s="83" t="s">
        <v>1774</v>
      </c>
      <c r="F28" s="399">
        <f t="shared" si="4"/>
        <v>307.52023809523791</v>
      </c>
      <c r="G28" s="68">
        <f t="shared" si="5"/>
        <v>308.68205128205102</v>
      </c>
      <c r="H28" s="68">
        <f t="shared" si="6"/>
        <v>452.33045977011483</v>
      </c>
      <c r="I28" s="68">
        <f t="shared" si="7"/>
        <v>106.65000000000011</v>
      </c>
      <c r="J28" s="68">
        <f t="shared" si="8"/>
        <v>63.672812667740246</v>
      </c>
      <c r="K28" s="68">
        <f t="shared" si="9"/>
        <v>198.76926464016665</v>
      </c>
      <c r="L28" s="68">
        <f t="shared" si="10"/>
        <v>77.998541778493532</v>
      </c>
      <c r="P28" s="66"/>
      <c r="Q28" s="399">
        <f t="shared" si="11"/>
        <v>192.33065953654184</v>
      </c>
      <c r="R28" s="68">
        <f t="shared" si="12"/>
        <v>294.60561497326216</v>
      </c>
      <c r="S28" s="68">
        <f t="shared" si="13"/>
        <v>205.94276094276094</v>
      </c>
      <c r="T28" s="68">
        <f t="shared" si="14"/>
        <v>212.56872727272739</v>
      </c>
      <c r="U28" s="68">
        <f t="shared" si="15"/>
        <v>222.95738525155809</v>
      </c>
      <c r="V28" s="68">
        <f t="shared" si="16"/>
        <v>211.35138365102929</v>
      </c>
      <c r="W28" s="68">
        <f t="shared" si="17"/>
        <v>219.49449925861452</v>
      </c>
      <c r="AA28" s="66"/>
      <c r="AB28" s="399">
        <f t="shared" si="18"/>
        <v>130.64999999999989</v>
      </c>
      <c r="AC28" s="68">
        <f t="shared" si="19"/>
        <v>130.64999999999989</v>
      </c>
      <c r="AD28" s="68">
        <f t="shared" si="20"/>
        <v>130.65000000000006</v>
      </c>
      <c r="AE28" s="68">
        <f t="shared" si="21"/>
        <v>112.3460000000001</v>
      </c>
      <c r="AF28" s="68">
        <f t="shared" si="22"/>
        <v>127.72160493827144</v>
      </c>
      <c r="AG28" s="68">
        <f t="shared" si="23"/>
        <v>125.8178419753086</v>
      </c>
      <c r="AH28" s="68">
        <f t="shared" si="24"/>
        <v>122.59640329218099</v>
      </c>
      <c r="AI28" s="87">
        <f t="shared" si="25"/>
        <v>0</v>
      </c>
      <c r="AJ28" s="87">
        <f t="shared" si="26"/>
        <v>0</v>
      </c>
      <c r="AM28" s="399">
        <f>CIF!$X$5+VLOOKUP($AM$5&amp;$E28,OCEAN!$E:$J,5,FALSE)</f>
        <v>580.4545454545455</v>
      </c>
      <c r="AN28" s="68">
        <f>CIF!$X$6+VLOOKUP($AN$5&amp;$E28,OCEAN!$E:$J,5,FALSE)</f>
        <v>622.60971786833863</v>
      </c>
      <c r="AO28" s="68">
        <f>CIF!$X$7+VLOOKUP($AO$5&amp;$E28,OCEAN!$E:$J,5,FALSE)</f>
        <v>622.60971786833863</v>
      </c>
      <c r="AP28" s="68">
        <f>CIF!$X$8+VLOOKUP($AP$5&amp;$E28,OCEAN!$E:$J,5,FALSE)</f>
        <v>573.77272727272725</v>
      </c>
      <c r="AQ28" s="68">
        <f>CIF!$X$9+VLOOKUP($AQ$5&amp;$E28,OCEAN!$E:$J,5,FALSE)</f>
        <v>415.2272727272728</v>
      </c>
      <c r="AR28" s="68">
        <f t="shared" si="27"/>
        <v>548.016065830721</v>
      </c>
      <c r="AS28" s="68">
        <f t="shared" si="28"/>
        <v>494.5</v>
      </c>
      <c r="AV28" s="68">
        <f>CIF!$X$16+VLOOKUP($AV$6&amp;$E28,OCEAN!$E:$J,5,FALSE)</f>
        <v>223.35117481629322</v>
      </c>
      <c r="AW28" s="540" t="e">
        <f>CIF!$X$17+VLOOKUP($AW$6&amp;$E28,OCEAN!$E:$J,5,FALSE)</f>
        <v>#N/A</v>
      </c>
      <c r="AX28" s="68">
        <f>COSTS!C11+COSTS!D11+COSTS!E11</f>
        <v>49.376720941062629</v>
      </c>
      <c r="AY28" s="68">
        <f>COSTS!C11+COSTS!D11+COSTS!E11</f>
        <v>49.376720941062629</v>
      </c>
      <c r="AZ28" s="68">
        <f>COSTS!C11+COSTS!D11+COSTS!E11</f>
        <v>49.376720941062629</v>
      </c>
      <c r="BA28" s="68">
        <f>COSTS!C11+COSTS!D11+COSTS!E11</f>
        <v>49.376720941062629</v>
      </c>
      <c r="BB28" s="68">
        <f>COSTS!C11+COSTS!D11+COSTS!E11</f>
        <v>49.376720941062629</v>
      </c>
      <c r="BC28" s="68">
        <f>COSTS!C11+COSTS!D11+COSTS!E11</f>
        <v>49.376720941062629</v>
      </c>
      <c r="BD28" s="68">
        <f>COSTS!C11+COSTS!D11+COSTS!E11</f>
        <v>49.376720941062629</v>
      </c>
      <c r="BE28" s="68">
        <f>COSTS!C11+COSTS!D11+COSTS!E11</f>
        <v>49.376720941062629</v>
      </c>
      <c r="BF28" s="68">
        <f>COSTS!C11+COSTS!D11+COSTS!E11</f>
        <v>49.376720941062629</v>
      </c>
      <c r="BG28" s="68">
        <f>COSTS!I11+COSTS!J11+COSTS!K11</f>
        <v>76</v>
      </c>
      <c r="BH28" s="540">
        <f>COSTS!O11+COSTS!P11+COSTS!Q11</f>
        <v>44</v>
      </c>
      <c r="BI28" s="399">
        <f>COSTS!F11+COSTS!G11+COSTS!H11</f>
        <v>106.17808219178082</v>
      </c>
      <c r="BJ28" s="68">
        <f>COSTS!F11+COSTS!G11+COSTS!H11</f>
        <v>106.17808219178082</v>
      </c>
      <c r="BK28" s="68">
        <f>COSTS!F11+COSTS!G11+COSTS!H11</f>
        <v>106.17808219178082</v>
      </c>
      <c r="BL28" s="68">
        <f>COSTS!F11+COSTS!G11+COSTS!H11</f>
        <v>106.17808219178082</v>
      </c>
      <c r="BM28" s="68">
        <f>COSTS!F11+COSTS!G11+COSTS!H11</f>
        <v>106.17808219178082</v>
      </c>
      <c r="BN28" s="68">
        <f>COSTS!F11+COSTS!G11+COSTS!H11</f>
        <v>106.17808219178082</v>
      </c>
      <c r="BO28" s="68">
        <f>COSTS!F11+COSTS!G11+COSTS!H11</f>
        <v>106.17808219178082</v>
      </c>
      <c r="BP28" s="68">
        <f>COSTS!F11+COSTS!G11+COSTS!H11</f>
        <v>106.17808219178082</v>
      </c>
      <c r="BQ28" s="68">
        <f>COSTS!F11+COSTS!G11+COSTS!H11</f>
        <v>106.17808219178082</v>
      </c>
      <c r="BR28" s="68">
        <f>COSTS!L11+COSTS!M11+COSTS!N11</f>
        <v>174.79452054794518</v>
      </c>
      <c r="BS28" s="68">
        <f>COSTS!R11+COSTS!S11+COSTS!T11</f>
        <v>174</v>
      </c>
      <c r="BT28" s="399">
        <f t="shared" si="52"/>
        <v>1366.5102462191683</v>
      </c>
      <c r="BU28" s="68">
        <f t="shared" si="53"/>
        <v>1512.102187256495</v>
      </c>
      <c r="BV28" s="68">
        <f t="shared" si="54"/>
        <v>1567.0877417140578</v>
      </c>
      <c r="BW28" s="68">
        <f t="shared" si="55"/>
        <v>1160.8922576782982</v>
      </c>
      <c r="BX28" s="68">
        <f t="shared" si="56"/>
        <v>985.133878717686</v>
      </c>
      <c r="BY28" s="68">
        <f t="shared" si="57"/>
        <v>1239.5093592300689</v>
      </c>
      <c r="BZ28" s="68">
        <f t="shared" si="58"/>
        <v>1070.1442474621326</v>
      </c>
      <c r="CA28" s="68">
        <f t="shared" si="59"/>
        <v>155.55480313284346</v>
      </c>
      <c r="CB28" s="68">
        <f t="shared" si="60"/>
        <v>155.55480313284346</v>
      </c>
      <c r="CC28" s="68">
        <f t="shared" si="42"/>
        <v>474.14569536423841</v>
      </c>
      <c r="CD28" s="68" t="e">
        <f t="shared" si="61"/>
        <v>#N/A</v>
      </c>
      <c r="CE28" s="399">
        <f t="shared" si="43"/>
        <v>144.03949029072373</v>
      </c>
      <c r="CF28" s="68">
        <f t="shared" si="44"/>
        <v>285.96738997724492</v>
      </c>
      <c r="CG28" s="68">
        <f t="shared" si="45"/>
        <v>282.52695110577156</v>
      </c>
      <c r="CH28" s="68">
        <f t="shared" si="46"/>
        <v>239.28949029072419</v>
      </c>
      <c r="CI28" s="68">
        <f t="shared" si="47"/>
        <v>192.22130847254266</v>
      </c>
      <c r="CJ28" s="68">
        <f t="shared" si="48"/>
        <v>215.51676301799705</v>
      </c>
      <c r="CK28" s="68">
        <f t="shared" si="49"/>
        <v>216.53949029072453</v>
      </c>
      <c r="CN28" s="68">
        <f t="shared" si="50"/>
        <v>126.14569536423841</v>
      </c>
      <c r="CO28" s="540" t="e">
        <f t="shared" si="51"/>
        <v>#N/A</v>
      </c>
    </row>
    <row r="29" spans="1:93" ht="12.5" thickBot="1">
      <c r="A29" s="465"/>
      <c r="B29" s="460"/>
      <c r="C29" s="91"/>
      <c r="D29" s="91"/>
      <c r="E29" s="461" t="s">
        <v>1748</v>
      </c>
      <c r="F29" s="399">
        <f t="shared" si="4"/>
        <v>307.52023809523791</v>
      </c>
      <c r="G29" s="68">
        <f t="shared" si="5"/>
        <v>308.68205128205102</v>
      </c>
      <c r="H29" s="68">
        <f t="shared" si="6"/>
        <v>452.33045977011483</v>
      </c>
      <c r="I29" s="68">
        <f t="shared" si="7"/>
        <v>106.65000000000011</v>
      </c>
      <c r="J29" s="68">
        <f t="shared" si="8"/>
        <v>63.672812667740246</v>
      </c>
      <c r="K29" s="68">
        <f t="shared" si="9"/>
        <v>198.76926464016665</v>
      </c>
      <c r="L29" s="68">
        <f t="shared" si="10"/>
        <v>77.998541778493532</v>
      </c>
      <c r="P29" s="66"/>
      <c r="Q29" s="399">
        <f t="shared" si="11"/>
        <v>192.33065953654184</v>
      </c>
      <c r="R29" s="68">
        <f t="shared" si="12"/>
        <v>294.60561497326216</v>
      </c>
      <c r="S29" s="68">
        <f t="shared" si="13"/>
        <v>205.94276094276094</v>
      </c>
      <c r="T29" s="68">
        <f t="shared" si="14"/>
        <v>212.56872727272739</v>
      </c>
      <c r="U29" s="68">
        <f t="shared" si="15"/>
        <v>222.95738525155809</v>
      </c>
      <c r="V29" s="68">
        <f t="shared" si="16"/>
        <v>211.35138365102929</v>
      </c>
      <c r="W29" s="68">
        <f t="shared" si="17"/>
        <v>219.49449925861452</v>
      </c>
      <c r="AA29" s="66"/>
      <c r="AB29" s="399">
        <f t="shared" si="18"/>
        <v>130.64999999999989</v>
      </c>
      <c r="AC29" s="68">
        <f t="shared" si="19"/>
        <v>130.64999999999989</v>
      </c>
      <c r="AD29" s="68">
        <f t="shared" si="20"/>
        <v>130.65000000000006</v>
      </c>
      <c r="AE29" s="68">
        <f t="shared" si="21"/>
        <v>112.3460000000001</v>
      </c>
      <c r="AF29" s="68">
        <f t="shared" si="22"/>
        <v>127.72160493827144</v>
      </c>
      <c r="AG29" s="68">
        <f t="shared" si="23"/>
        <v>125.8178419753086</v>
      </c>
      <c r="AH29" s="68">
        <f t="shared" si="24"/>
        <v>122.59640329218099</v>
      </c>
      <c r="AI29" s="87">
        <f t="shared" si="25"/>
        <v>0</v>
      </c>
      <c r="AJ29" s="87">
        <f t="shared" si="26"/>
        <v>0</v>
      </c>
      <c r="AM29" s="399">
        <f>CIF!$X$5+VLOOKUP($AM$5&amp;$E29,OCEAN!$E:$J,5,FALSE)</f>
        <v>535</v>
      </c>
      <c r="AN29" s="68">
        <f>CIF!$X$6+VLOOKUP($AN$5&amp;$E29,OCEAN!$E:$J,5,FALSE)</f>
        <v>402.60971786833858</v>
      </c>
      <c r="AO29" s="68">
        <f>CIF!$X$7+VLOOKUP($AO$5&amp;$E29,OCEAN!$E:$J,5,FALSE)</f>
        <v>402.60971786833858</v>
      </c>
      <c r="AP29" s="68">
        <f>CIF!$X$8+VLOOKUP($AP$5&amp;$E29,OCEAN!$E:$J,5,FALSE)</f>
        <v>461.5</v>
      </c>
      <c r="AQ29" s="68">
        <f>CIF!$X$9+VLOOKUP($AQ$5&amp;$E29,OCEAN!$E:$J,5,FALSE)</f>
        <v>331.81818181818187</v>
      </c>
      <c r="AR29" s="68">
        <f t="shared" si="27"/>
        <v>432.73197492163013</v>
      </c>
      <c r="AS29" s="68">
        <f t="shared" si="28"/>
        <v>396.65909090909093</v>
      </c>
      <c r="AV29" s="68">
        <f>CIF!$X$16+VLOOKUP($AV$6&amp;$E29,OCEAN!$E:$J,5,FALSE)</f>
        <v>87.090628685475821</v>
      </c>
      <c r="AW29" s="540">
        <f>CIF!$X$17+VLOOKUP($AW$6&amp;$E29,OCEAN!$E:$J,5,FALSE)</f>
        <v>117.75378753515378</v>
      </c>
      <c r="AX29" s="68">
        <f>COSTS!C11+COSTS!D11+COSTS!E11</f>
        <v>49.376720941062629</v>
      </c>
      <c r="AY29" s="68">
        <f>COSTS!C11+COSTS!D11+COSTS!E11</f>
        <v>49.376720941062629</v>
      </c>
      <c r="AZ29" s="68">
        <f>COSTS!C11+COSTS!D11+COSTS!E11</f>
        <v>49.376720941062629</v>
      </c>
      <c r="BA29" s="68">
        <f>COSTS!C11+COSTS!D11+COSTS!E11</f>
        <v>49.376720941062629</v>
      </c>
      <c r="BB29" s="68">
        <f>COSTS!C11+COSTS!D11+COSTS!E11</f>
        <v>49.376720941062629</v>
      </c>
      <c r="BC29" s="68">
        <f>COSTS!C11+COSTS!D11+COSTS!E11</f>
        <v>49.376720941062629</v>
      </c>
      <c r="BD29" s="68">
        <f>COSTS!C11+COSTS!D11+COSTS!E11</f>
        <v>49.376720941062629</v>
      </c>
      <c r="BE29" s="68">
        <f>COSTS!C11+COSTS!D11+COSTS!E11</f>
        <v>49.376720941062629</v>
      </c>
      <c r="BF29" s="68">
        <f>COSTS!C11+COSTS!D11+COSTS!E11</f>
        <v>49.376720941062629</v>
      </c>
      <c r="BG29" s="68">
        <f>COSTS!I11+COSTS!J11+COSTS!K11</f>
        <v>76</v>
      </c>
      <c r="BH29" s="540">
        <f>COSTS!O11+COSTS!P11+COSTS!Q11</f>
        <v>44</v>
      </c>
      <c r="BI29" s="399">
        <f>COSTS!F11+COSTS!G11+COSTS!H11</f>
        <v>106.17808219178082</v>
      </c>
      <c r="BJ29" s="68">
        <f>COSTS!F11+COSTS!G11+COSTS!H11</f>
        <v>106.17808219178082</v>
      </c>
      <c r="BK29" s="68">
        <f>COSTS!F11+COSTS!G11+COSTS!H11</f>
        <v>106.17808219178082</v>
      </c>
      <c r="BL29" s="68">
        <f>COSTS!F11+COSTS!G11+COSTS!H11</f>
        <v>106.17808219178082</v>
      </c>
      <c r="BM29" s="68">
        <f>COSTS!F11+COSTS!G11+COSTS!H11</f>
        <v>106.17808219178082</v>
      </c>
      <c r="BN29" s="68">
        <f>COSTS!F11+COSTS!G11+COSTS!H11</f>
        <v>106.17808219178082</v>
      </c>
      <c r="BO29" s="68">
        <f>COSTS!F11+COSTS!G11+COSTS!H11</f>
        <v>106.17808219178082</v>
      </c>
      <c r="BP29" s="68">
        <f>COSTS!F11+COSTS!G11+COSTS!H11</f>
        <v>106.17808219178082</v>
      </c>
      <c r="BQ29" s="68">
        <f>COSTS!F11+COSTS!G11+COSTS!H11</f>
        <v>106.17808219178082</v>
      </c>
      <c r="BR29" s="68">
        <f>COSTS!L11+COSTS!M11+COSTS!N11</f>
        <v>174.79452054794518</v>
      </c>
      <c r="BS29" s="68">
        <f>COSTS!R11+COSTS!S11+COSTS!T11</f>
        <v>174</v>
      </c>
      <c r="BT29" s="399">
        <f t="shared" si="52"/>
        <v>1321.0557007646228</v>
      </c>
      <c r="BU29" s="68">
        <f t="shared" si="53"/>
        <v>1292.102187256495</v>
      </c>
      <c r="BV29" s="68">
        <f t="shared" si="54"/>
        <v>1347.0877417140578</v>
      </c>
      <c r="BW29" s="68">
        <f t="shared" si="55"/>
        <v>1048.6195304055711</v>
      </c>
      <c r="BX29" s="68">
        <f t="shared" si="56"/>
        <v>901.72478780859512</v>
      </c>
      <c r="BY29" s="68">
        <f t="shared" si="57"/>
        <v>1124.2252683209781</v>
      </c>
      <c r="BZ29" s="68">
        <f t="shared" si="58"/>
        <v>972.3033383712235</v>
      </c>
      <c r="CA29" s="68">
        <f t="shared" si="59"/>
        <v>155.55480313284346</v>
      </c>
      <c r="CB29" s="68">
        <f t="shared" si="60"/>
        <v>155.55480313284346</v>
      </c>
      <c r="CC29" s="68">
        <f t="shared" si="42"/>
        <v>337.88514923342098</v>
      </c>
      <c r="CD29" s="68">
        <f t="shared" si="61"/>
        <v>335.75378753515378</v>
      </c>
      <c r="CE29" s="399">
        <f t="shared" si="43"/>
        <v>98.584944836178238</v>
      </c>
      <c r="CF29" s="68">
        <f t="shared" si="44"/>
        <v>65.96738997724492</v>
      </c>
      <c r="CG29" s="68">
        <f t="shared" si="45"/>
        <v>62.526951105771559</v>
      </c>
      <c r="CH29" s="68">
        <f t="shared" si="46"/>
        <v>127.01676301799716</v>
      </c>
      <c r="CI29" s="68">
        <f t="shared" si="47"/>
        <v>108.81221756345178</v>
      </c>
      <c r="CJ29" s="68">
        <f t="shared" si="48"/>
        <v>100.23267210890629</v>
      </c>
      <c r="CK29" s="68">
        <f t="shared" si="49"/>
        <v>118.69858119981541</v>
      </c>
      <c r="CN29" s="68">
        <f t="shared" si="50"/>
        <v>-10.114850766579025</v>
      </c>
      <c r="CO29" s="540">
        <f t="shared" si="51"/>
        <v>51.753787535153776</v>
      </c>
    </row>
    <row r="30" spans="1:93" ht="12.5" thickBot="1">
      <c r="A30" s="72" t="s">
        <v>1660</v>
      </c>
      <c r="B30" s="389" t="s">
        <v>1661</v>
      </c>
      <c r="C30" s="462">
        <v>45</v>
      </c>
      <c r="D30" s="463">
        <v>14</v>
      </c>
      <c r="E30" s="466" t="s">
        <v>1743</v>
      </c>
      <c r="F30" s="399">
        <f t="shared" si="4"/>
        <v>307.52023809523791</v>
      </c>
      <c r="G30" s="68">
        <f t="shared" si="5"/>
        <v>308.68205128205102</v>
      </c>
      <c r="H30" s="68">
        <f t="shared" si="6"/>
        <v>452.33045977011483</v>
      </c>
      <c r="I30" s="68">
        <f t="shared" si="7"/>
        <v>106.65000000000011</v>
      </c>
      <c r="J30" s="68">
        <f t="shared" si="8"/>
        <v>63.672812667740246</v>
      </c>
      <c r="K30" s="68">
        <f t="shared" si="9"/>
        <v>198.76926464016665</v>
      </c>
      <c r="L30" s="68">
        <f t="shared" si="10"/>
        <v>77.998541778493532</v>
      </c>
      <c r="P30" s="66"/>
      <c r="Q30" s="399">
        <f t="shared" si="11"/>
        <v>192.33065953654184</v>
      </c>
      <c r="R30" s="68">
        <f t="shared" si="12"/>
        <v>294.60561497326216</v>
      </c>
      <c r="S30" s="68">
        <f t="shared" si="13"/>
        <v>205.94276094276094</v>
      </c>
      <c r="T30" s="68">
        <f t="shared" si="14"/>
        <v>212.56872727272739</v>
      </c>
      <c r="U30" s="68">
        <f t="shared" si="15"/>
        <v>222.95738525155809</v>
      </c>
      <c r="V30" s="68">
        <f t="shared" si="16"/>
        <v>211.35138365102929</v>
      </c>
      <c r="W30" s="68">
        <f t="shared" si="17"/>
        <v>219.49449925861452</v>
      </c>
      <c r="AA30" s="66"/>
      <c r="AB30" s="399">
        <f t="shared" si="18"/>
        <v>130.64999999999989</v>
      </c>
      <c r="AC30" s="68">
        <f t="shared" si="19"/>
        <v>130.64999999999989</v>
      </c>
      <c r="AD30" s="68">
        <f t="shared" si="20"/>
        <v>130.65000000000006</v>
      </c>
      <c r="AE30" s="68">
        <f t="shared" si="21"/>
        <v>112.3460000000001</v>
      </c>
      <c r="AF30" s="68">
        <f t="shared" si="22"/>
        <v>127.72160493827144</v>
      </c>
      <c r="AG30" s="68">
        <f t="shared" si="23"/>
        <v>125.8178419753086</v>
      </c>
      <c r="AH30" s="68">
        <f t="shared" si="24"/>
        <v>122.59640329218099</v>
      </c>
      <c r="AI30" s="87">
        <f t="shared" si="25"/>
        <v>0</v>
      </c>
      <c r="AJ30" s="87">
        <f t="shared" si="26"/>
        <v>0</v>
      </c>
      <c r="AM30" s="399">
        <f>CIF!$X$5+VLOOKUP($AM$5&amp;$E30,OCEAN!$E:$J,5,FALSE)</f>
        <v>457.9545454545455</v>
      </c>
      <c r="AN30" s="68">
        <f>CIF!$X$6+VLOOKUP($AN$5&amp;$E30,OCEAN!$E:$J,5,FALSE)</f>
        <v>386.2460815047022</v>
      </c>
      <c r="AO30" s="68">
        <f>CIF!$X$7+VLOOKUP($AO$5&amp;$E30,OCEAN!$E:$J,5,FALSE)</f>
        <v>386.2460815047022</v>
      </c>
      <c r="AP30" s="68">
        <f>CIF!$X$8+VLOOKUP($AP$5&amp;$E30,OCEAN!$E:$J,5,FALSE)</f>
        <v>477.63636363636363</v>
      </c>
      <c r="AQ30" s="68">
        <f>CIF!$X$9+VLOOKUP($AQ$5&amp;$E30,OCEAN!$E:$J,5,FALSE)</f>
        <v>248.18181818181824</v>
      </c>
      <c r="AR30" s="68">
        <f t="shared" si="27"/>
        <v>392.50470219435744</v>
      </c>
      <c r="AS30" s="68">
        <f t="shared" si="28"/>
        <v>362.90909090909093</v>
      </c>
      <c r="AV30" s="68">
        <f>CIF!$X$16+VLOOKUP($AV$6&amp;$E30,OCEAN!$E:$J,5,FALSE)</f>
        <v>99.791345368774387</v>
      </c>
      <c r="AW30" s="540">
        <f>CIF!$X$17+VLOOKUP($AW$6&amp;$E30,OCEAN!$E:$J,5,FALSE)</f>
        <v>144.78817018960356</v>
      </c>
      <c r="AX30" s="68">
        <f>COSTS!C12+COSTS!D12+COSTS!E12</f>
        <v>25.819861919017811</v>
      </c>
      <c r="AY30" s="68">
        <f>COSTS!C12+COSTS!D12+COSTS!E12</f>
        <v>25.819861919017811</v>
      </c>
      <c r="AZ30" s="68">
        <f>COSTS!C12+COSTS!D12+COSTS!E12</f>
        <v>25.819861919017811</v>
      </c>
      <c r="BA30" s="68">
        <f>COSTS!C12+COSTS!D12+COSTS!E12</f>
        <v>25.819861919017811</v>
      </c>
      <c r="BB30" s="68">
        <f>COSTS!C12+COSTS!D12+COSTS!E12</f>
        <v>25.819861919017811</v>
      </c>
      <c r="BC30" s="68">
        <f>COSTS!C12+COSTS!D12+COSTS!E12</f>
        <v>25.819861919017811</v>
      </c>
      <c r="BD30" s="68">
        <f>COSTS!C12+COSTS!D12+COSTS!E12</f>
        <v>25.819861919017811</v>
      </c>
      <c r="BE30" s="68">
        <f>COSTS!C12+COSTS!D12+COSTS!E12</f>
        <v>25.819861919017811</v>
      </c>
      <c r="BF30" s="68">
        <f>COSTS!C12+COSTS!D12+COSTS!E12</f>
        <v>25.819861919017811</v>
      </c>
      <c r="BG30" s="68">
        <f>COSTS!I12+COSTS!J12+COSTS!K12</f>
        <v>78</v>
      </c>
      <c r="BH30" s="540">
        <f>COSTS!O11+COSTS!P11+COSTS!Q11</f>
        <v>44</v>
      </c>
      <c r="BI30" s="399">
        <f>COSTS!F12+COSTS!G12+COSTS!H12</f>
        <v>106.17808219178082</v>
      </c>
      <c r="BJ30" s="68">
        <f>COSTS!F12+COSTS!G12+COSTS!H12</f>
        <v>106.17808219178082</v>
      </c>
      <c r="BK30" s="68">
        <f>COSTS!F12+COSTS!G12+COSTS!H12</f>
        <v>106.17808219178082</v>
      </c>
      <c r="BL30" s="68">
        <f>COSTS!F12+COSTS!G12+COSTS!H12</f>
        <v>106.17808219178082</v>
      </c>
      <c r="BM30" s="68">
        <f>COSTS!F12+COSTS!G12+COSTS!H12</f>
        <v>106.17808219178082</v>
      </c>
      <c r="BN30" s="68">
        <f>COSTS!F12+COSTS!G12+COSTS!H12</f>
        <v>106.17808219178082</v>
      </c>
      <c r="BO30" s="68">
        <f>COSTS!F12+COSTS!G12+COSTS!H12</f>
        <v>106.17808219178082</v>
      </c>
      <c r="BP30" s="68">
        <f>COSTS!F12+COSTS!G12+COSTS!H12</f>
        <v>106.17808219178082</v>
      </c>
      <c r="BQ30" s="68">
        <f>COSTS!F12+COSTS!G12+COSTS!H12</f>
        <v>106.17808219178082</v>
      </c>
      <c r="BR30" s="68">
        <f>COSTS!L12+COSTS!M12+COSTS!N12</f>
        <v>174.79452054794518</v>
      </c>
      <c r="BS30" s="68">
        <f>COSTS!R12+COSTS!S12+COSTS!T12</f>
        <v>174</v>
      </c>
      <c r="BT30" s="399">
        <f t="shared" si="52"/>
        <v>1220.4533871971234</v>
      </c>
      <c r="BU30" s="68">
        <f t="shared" si="53"/>
        <v>1252.1816918708137</v>
      </c>
      <c r="BV30" s="68">
        <f t="shared" si="54"/>
        <v>1307.1672463283765</v>
      </c>
      <c r="BW30" s="68">
        <f t="shared" si="55"/>
        <v>1041.1990350198898</v>
      </c>
      <c r="BX30" s="68">
        <f t="shared" si="56"/>
        <v>794.53156515018668</v>
      </c>
      <c r="BY30" s="68">
        <f t="shared" si="57"/>
        <v>1060.4411365716608</v>
      </c>
      <c r="BZ30" s="68">
        <f t="shared" si="58"/>
        <v>914.99647934917868</v>
      </c>
      <c r="CA30" s="68">
        <f t="shared" si="59"/>
        <v>131.99794411079864</v>
      </c>
      <c r="CB30" s="68">
        <f t="shared" si="60"/>
        <v>131.99794411079864</v>
      </c>
      <c r="CC30" s="68">
        <f t="shared" si="42"/>
        <v>352.58586591671957</v>
      </c>
      <c r="CD30" s="68">
        <f t="shared" si="61"/>
        <v>362.78817018960353</v>
      </c>
      <c r="CE30" s="399">
        <f t="shared" si="43"/>
        <v>-2.0173687313210849</v>
      </c>
      <c r="CF30" s="68">
        <f t="shared" si="44"/>
        <v>26.046894591563614</v>
      </c>
      <c r="CG30" s="68">
        <f t="shared" si="45"/>
        <v>22.606455720090253</v>
      </c>
      <c r="CH30" s="68">
        <f t="shared" si="46"/>
        <v>119.59626763231586</v>
      </c>
      <c r="CI30" s="68">
        <f t="shared" si="47"/>
        <v>1.618994905043337</v>
      </c>
      <c r="CJ30" s="68">
        <f t="shared" si="48"/>
        <v>36.448540359588947</v>
      </c>
      <c r="CK30" s="68">
        <f t="shared" si="49"/>
        <v>61.391722177770589</v>
      </c>
      <c r="CN30" s="68">
        <f t="shared" si="50"/>
        <v>4.5858659167195697</v>
      </c>
      <c r="CO30" s="540">
        <f t="shared" si="51"/>
        <v>78.788170189603534</v>
      </c>
    </row>
    <row r="31" spans="1:93">
      <c r="A31" s="464"/>
      <c r="B31" s="131"/>
      <c r="C31" s="87"/>
      <c r="D31" s="87"/>
      <c r="E31" s="83" t="s">
        <v>1745</v>
      </c>
      <c r="F31" s="399">
        <f t="shared" si="4"/>
        <v>307.52023809523791</v>
      </c>
      <c r="G31" s="68">
        <f t="shared" si="5"/>
        <v>308.68205128205102</v>
      </c>
      <c r="H31" s="68">
        <f t="shared" si="6"/>
        <v>452.33045977011483</v>
      </c>
      <c r="I31" s="68">
        <f t="shared" si="7"/>
        <v>106.65000000000011</v>
      </c>
      <c r="J31" s="68">
        <f t="shared" si="8"/>
        <v>63.672812667740246</v>
      </c>
      <c r="K31" s="68">
        <f t="shared" si="9"/>
        <v>198.76926464016665</v>
      </c>
      <c r="L31" s="68">
        <f t="shared" si="10"/>
        <v>77.998541778493532</v>
      </c>
      <c r="P31" s="66"/>
      <c r="Q31" s="399">
        <f t="shared" si="11"/>
        <v>192.33065953654184</v>
      </c>
      <c r="R31" s="68">
        <f t="shared" si="12"/>
        <v>294.60561497326216</v>
      </c>
      <c r="S31" s="68">
        <f t="shared" si="13"/>
        <v>205.94276094276094</v>
      </c>
      <c r="T31" s="68">
        <f t="shared" si="14"/>
        <v>212.56872727272739</v>
      </c>
      <c r="U31" s="68">
        <f t="shared" si="15"/>
        <v>222.95738525155809</v>
      </c>
      <c r="V31" s="68">
        <f t="shared" si="16"/>
        <v>211.35138365102929</v>
      </c>
      <c r="W31" s="68">
        <f t="shared" si="17"/>
        <v>219.49449925861452</v>
      </c>
      <c r="AA31" s="66"/>
      <c r="AB31" s="399">
        <f t="shared" si="18"/>
        <v>130.64999999999989</v>
      </c>
      <c r="AC31" s="68">
        <f t="shared" si="19"/>
        <v>130.64999999999989</v>
      </c>
      <c r="AD31" s="68">
        <f t="shared" si="20"/>
        <v>130.65000000000006</v>
      </c>
      <c r="AE31" s="68">
        <f t="shared" si="21"/>
        <v>112.3460000000001</v>
      </c>
      <c r="AF31" s="68">
        <f t="shared" si="22"/>
        <v>127.72160493827144</v>
      </c>
      <c r="AG31" s="68">
        <f t="shared" si="23"/>
        <v>125.8178419753086</v>
      </c>
      <c r="AH31" s="68">
        <f t="shared" si="24"/>
        <v>122.59640329218099</v>
      </c>
      <c r="AI31" s="87">
        <f t="shared" si="25"/>
        <v>0</v>
      </c>
      <c r="AJ31" s="87">
        <f t="shared" si="26"/>
        <v>0</v>
      </c>
      <c r="AM31" s="399">
        <f>CIF!$X$5+VLOOKUP($AM$5&amp;$E31,OCEAN!$E:$J,5,FALSE)</f>
        <v>457.9545454545455</v>
      </c>
      <c r="AN31" s="68">
        <f>CIF!$X$6+VLOOKUP($AN$5&amp;$E31,OCEAN!$E:$J,5,FALSE)</f>
        <v>372.60971786833858</v>
      </c>
      <c r="AO31" s="68">
        <f>CIF!$X$7+VLOOKUP($AO$5&amp;$E31,OCEAN!$E:$J,5,FALSE)</f>
        <v>372.60971786833858</v>
      </c>
      <c r="AP31" s="68">
        <f>CIF!$X$8+VLOOKUP($AP$5&amp;$E31,OCEAN!$E:$J,5,FALSE)</f>
        <v>401.27272727272725</v>
      </c>
      <c r="AQ31" s="68">
        <f>CIF!$X$9+VLOOKUP($AQ$5&amp;$E31,OCEAN!$E:$J,5,FALSE)</f>
        <v>261.59090909090918</v>
      </c>
      <c r="AR31" s="68">
        <f t="shared" si="27"/>
        <v>373.35697492163013</v>
      </c>
      <c r="AS31" s="68">
        <f t="shared" si="28"/>
        <v>331.43181818181824</v>
      </c>
      <c r="AV31" s="68">
        <f>CIF!$X$16+VLOOKUP($AV$6&amp;$E31,OCEAN!$E:$J,5,FALSE)</f>
        <v>179.8058604735553</v>
      </c>
      <c r="AW31" s="540">
        <f>CIF!$X$17+VLOOKUP($AW$6&amp;$E31,OCEAN!$E:$J,5,FALSE)</f>
        <v>90.900843690465393</v>
      </c>
      <c r="AX31" s="68">
        <f>COSTS!C12+COSTS!D12+COSTS!E12</f>
        <v>25.819861919017811</v>
      </c>
      <c r="AY31" s="68">
        <f>COSTS!C12+COSTS!D12+COSTS!E12</f>
        <v>25.819861919017811</v>
      </c>
      <c r="AZ31" s="68">
        <f>COSTS!C12+COSTS!D12+COSTS!E12</f>
        <v>25.819861919017811</v>
      </c>
      <c r="BA31" s="68">
        <f>COSTS!C12+COSTS!D12+COSTS!E12</f>
        <v>25.819861919017811</v>
      </c>
      <c r="BB31" s="68">
        <f>COSTS!C12+COSTS!D12+COSTS!E12</f>
        <v>25.819861919017811</v>
      </c>
      <c r="BC31" s="68">
        <f>COSTS!C12+COSTS!D12+COSTS!E12</f>
        <v>25.819861919017811</v>
      </c>
      <c r="BD31" s="68">
        <f>COSTS!C12+COSTS!D12+COSTS!E12</f>
        <v>25.819861919017811</v>
      </c>
      <c r="BE31" s="68">
        <f>COSTS!C12+COSTS!D12+COSTS!E12</f>
        <v>25.819861919017811</v>
      </c>
      <c r="BF31" s="68">
        <f>COSTS!C12+COSTS!D12+COSTS!E12</f>
        <v>25.819861919017811</v>
      </c>
      <c r="BG31" s="68">
        <f>COSTS!I12+COSTS!J12+COSTS!K12</f>
        <v>78</v>
      </c>
      <c r="BH31" s="540">
        <f>COSTS!I12+COSTS!J12+COSTS!K12</f>
        <v>78</v>
      </c>
      <c r="BI31" s="399">
        <f>COSTS!F12+COSTS!G12+COSTS!H12</f>
        <v>106.17808219178082</v>
      </c>
      <c r="BJ31" s="68">
        <f>COSTS!F12+COSTS!G12+COSTS!H12</f>
        <v>106.17808219178082</v>
      </c>
      <c r="BK31" s="68">
        <f>COSTS!F12+COSTS!G12+COSTS!H12</f>
        <v>106.17808219178082</v>
      </c>
      <c r="BL31" s="68">
        <f>COSTS!F12+COSTS!G12+COSTS!H12</f>
        <v>106.17808219178082</v>
      </c>
      <c r="BM31" s="68">
        <f>COSTS!F12+COSTS!G12+COSTS!H12</f>
        <v>106.17808219178082</v>
      </c>
      <c r="BN31" s="68">
        <f>COSTS!F12+COSTS!G12+COSTS!H12</f>
        <v>106.17808219178082</v>
      </c>
      <c r="BO31" s="68">
        <f>COSTS!F12+COSTS!G12+COSTS!H12</f>
        <v>106.17808219178082</v>
      </c>
      <c r="BP31" s="68">
        <f>COSTS!F12+COSTS!G12+COSTS!H12</f>
        <v>106.17808219178082</v>
      </c>
      <c r="BQ31" s="68">
        <f>COSTS!F12+COSTS!G12+COSTS!H12</f>
        <v>106.17808219178082</v>
      </c>
      <c r="BR31" s="68">
        <f>COSTS!L12+COSTS!M12+COSTS!N12</f>
        <v>174.79452054794518</v>
      </c>
      <c r="BS31" s="68">
        <f>COSTS!R12+COSTS!S12+COSTS!T12</f>
        <v>174</v>
      </c>
      <c r="BT31" s="399">
        <f t="shared" si="52"/>
        <v>1220.4533871971234</v>
      </c>
      <c r="BU31" s="68">
        <f t="shared" si="53"/>
        <v>1238.5453282344502</v>
      </c>
      <c r="BV31" s="68">
        <f t="shared" si="54"/>
        <v>1293.5308826920129</v>
      </c>
      <c r="BW31" s="68">
        <f t="shared" si="55"/>
        <v>964.83539865625357</v>
      </c>
      <c r="BX31" s="68">
        <f t="shared" si="56"/>
        <v>807.94065605927767</v>
      </c>
      <c r="BY31" s="68">
        <f t="shared" si="57"/>
        <v>1041.2934092989333</v>
      </c>
      <c r="BZ31" s="68">
        <f t="shared" si="58"/>
        <v>883.51920662190605</v>
      </c>
      <c r="CA31" s="68">
        <f t="shared" si="59"/>
        <v>131.99794411079864</v>
      </c>
      <c r="CB31" s="68">
        <f t="shared" si="60"/>
        <v>131.99794411079864</v>
      </c>
      <c r="CC31" s="68">
        <f t="shared" si="42"/>
        <v>432.60038102150048</v>
      </c>
      <c r="CD31" s="68">
        <f t="shared" si="61"/>
        <v>342.90084369046542</v>
      </c>
      <c r="CE31" s="399">
        <f t="shared" si="43"/>
        <v>-2.0173687313210849</v>
      </c>
      <c r="CF31" s="68">
        <f t="shared" si="44"/>
        <v>12.410530955200102</v>
      </c>
      <c r="CG31" s="68">
        <f t="shared" si="45"/>
        <v>8.9700920837267404</v>
      </c>
      <c r="CH31" s="68">
        <f t="shared" si="46"/>
        <v>43.232631268679597</v>
      </c>
      <c r="CI31" s="68">
        <f t="shared" si="47"/>
        <v>15.028085814134329</v>
      </c>
      <c r="CJ31" s="68">
        <f t="shared" si="48"/>
        <v>17.300813086861467</v>
      </c>
      <c r="CK31" s="68">
        <f t="shared" si="49"/>
        <v>29.914449450497955</v>
      </c>
      <c r="CN31" s="68">
        <f t="shared" si="50"/>
        <v>84.600381021500482</v>
      </c>
      <c r="CO31" s="540">
        <f t="shared" si="51"/>
        <v>58.900843690465422</v>
      </c>
    </row>
    <row r="32" spans="1:93" ht="12.5" thickBot="1">
      <c r="A32" s="467"/>
      <c r="B32" s="460"/>
      <c r="C32" s="91"/>
      <c r="D32" s="91"/>
      <c r="E32" s="461" t="s">
        <v>1744</v>
      </c>
      <c r="F32" s="399">
        <f t="shared" si="4"/>
        <v>307.52023809523791</v>
      </c>
      <c r="G32" s="68">
        <f t="shared" si="5"/>
        <v>308.68205128205102</v>
      </c>
      <c r="H32" s="68">
        <f t="shared" si="6"/>
        <v>452.33045977011483</v>
      </c>
      <c r="I32" s="68">
        <f t="shared" si="7"/>
        <v>106.65000000000011</v>
      </c>
      <c r="J32" s="68">
        <f t="shared" si="8"/>
        <v>63.672812667740246</v>
      </c>
      <c r="K32" s="68">
        <f t="shared" si="9"/>
        <v>198.76926464016665</v>
      </c>
      <c r="L32" s="68">
        <f t="shared" si="10"/>
        <v>77.998541778493532</v>
      </c>
      <c r="P32" s="66"/>
      <c r="Q32" s="399">
        <f t="shared" si="11"/>
        <v>192.33065953654184</v>
      </c>
      <c r="R32" s="68">
        <f t="shared" si="12"/>
        <v>294.60561497326216</v>
      </c>
      <c r="S32" s="68">
        <f t="shared" si="13"/>
        <v>205.94276094276094</v>
      </c>
      <c r="T32" s="68">
        <f t="shared" si="14"/>
        <v>212.56872727272739</v>
      </c>
      <c r="U32" s="68">
        <f t="shared" si="15"/>
        <v>222.95738525155809</v>
      </c>
      <c r="V32" s="68">
        <f t="shared" si="16"/>
        <v>211.35138365102929</v>
      </c>
      <c r="W32" s="68">
        <f t="shared" si="17"/>
        <v>219.49449925861452</v>
      </c>
      <c r="AA32" s="66"/>
      <c r="AB32" s="399">
        <f t="shared" si="18"/>
        <v>130.64999999999989</v>
      </c>
      <c r="AC32" s="68">
        <f t="shared" si="19"/>
        <v>130.64999999999989</v>
      </c>
      <c r="AD32" s="68">
        <f t="shared" si="20"/>
        <v>130.65000000000006</v>
      </c>
      <c r="AE32" s="68">
        <f t="shared" si="21"/>
        <v>112.3460000000001</v>
      </c>
      <c r="AF32" s="68">
        <f t="shared" si="22"/>
        <v>127.72160493827144</v>
      </c>
      <c r="AG32" s="68">
        <f t="shared" si="23"/>
        <v>125.8178419753086</v>
      </c>
      <c r="AH32" s="68">
        <f t="shared" si="24"/>
        <v>122.59640329218099</v>
      </c>
      <c r="AI32" s="87">
        <f t="shared" si="25"/>
        <v>0</v>
      </c>
      <c r="AJ32" s="87">
        <f t="shared" si="26"/>
        <v>0</v>
      </c>
      <c r="AM32" s="399">
        <f>CIF!$X$5+VLOOKUP($AM$5&amp;$E32,OCEAN!$E:$J,5,FALSE)</f>
        <v>469.31818181818181</v>
      </c>
      <c r="AN32" s="68">
        <f>CIF!$X$6+VLOOKUP($AN$5&amp;$E32,OCEAN!$E:$J,5,FALSE)</f>
        <v>409.65517241379314</v>
      </c>
      <c r="AO32" s="68">
        <f>CIF!$X$7+VLOOKUP($AO$5&amp;$E32,OCEAN!$E:$J,5,FALSE)</f>
        <v>409.65517241379314</v>
      </c>
      <c r="AP32" s="68">
        <f>CIF!$X$8+VLOOKUP($AP$5&amp;$E32,OCEAN!$E:$J,5,FALSE)</f>
        <v>439.90909090909099</v>
      </c>
      <c r="AQ32" s="68">
        <f>CIF!$X$9+VLOOKUP($AQ$5&amp;$E32,OCEAN!$E:$J,5,FALSE)</f>
        <v>252.27272727272737</v>
      </c>
      <c r="AR32" s="68">
        <f t="shared" si="27"/>
        <v>392.78879310344837</v>
      </c>
      <c r="AS32" s="68">
        <f t="shared" si="28"/>
        <v>346.09090909090918</v>
      </c>
      <c r="AV32" s="68">
        <f>CIF!$X$16+VLOOKUP($AV$6&amp;$E32,OCEAN!$E:$J,5,FALSE)</f>
        <v>90.719404880703991</v>
      </c>
      <c r="AW32" s="540">
        <f>CIF!$X$17+VLOOKUP($AW$6&amp;$E32,OCEAN!$E:$J,5,FALSE)</f>
        <v>90.900843690465393</v>
      </c>
      <c r="AX32" s="68">
        <f>COSTS!C12+COSTS!D12+COSTS!E12</f>
        <v>25.819861919017811</v>
      </c>
      <c r="AY32" s="68">
        <f>COSTS!C12+COSTS!D12+COSTS!E12</f>
        <v>25.819861919017811</v>
      </c>
      <c r="AZ32" s="68">
        <f>COSTS!C12+COSTS!D12+COSTS!E12</f>
        <v>25.819861919017811</v>
      </c>
      <c r="BA32" s="68">
        <f>COSTS!C12+COSTS!D12+COSTS!E12</f>
        <v>25.819861919017811</v>
      </c>
      <c r="BB32" s="68">
        <f>COSTS!C12+COSTS!D12+COSTS!E12</f>
        <v>25.819861919017811</v>
      </c>
      <c r="BC32" s="68">
        <f>COSTS!C12+COSTS!D12+COSTS!E12</f>
        <v>25.819861919017811</v>
      </c>
      <c r="BD32" s="68">
        <f>COSTS!C12+COSTS!D12+COSTS!E12</f>
        <v>25.819861919017811</v>
      </c>
      <c r="BE32" s="68">
        <f>COSTS!C12+COSTS!D12+COSTS!E12</f>
        <v>25.819861919017811</v>
      </c>
      <c r="BF32" s="68">
        <f>COSTS!C12+COSTS!D12+COSTS!E12</f>
        <v>25.819861919017811</v>
      </c>
      <c r="BG32" s="68">
        <f>COSTS!I12+COSTS!J12+COSTS!K12</f>
        <v>78</v>
      </c>
      <c r="BH32" s="540">
        <f>COSTS!I12+COSTS!J12+COSTS!K12</f>
        <v>78</v>
      </c>
      <c r="BI32" s="399">
        <f>COSTS!F12+COSTS!G12+COSTS!H12</f>
        <v>106.17808219178082</v>
      </c>
      <c r="BJ32" s="68">
        <f>COSTS!F12+COSTS!G12+COSTS!H12</f>
        <v>106.17808219178082</v>
      </c>
      <c r="BK32" s="68">
        <f>COSTS!F12+COSTS!G12+COSTS!H12</f>
        <v>106.17808219178082</v>
      </c>
      <c r="BL32" s="68">
        <f>COSTS!F12+COSTS!G12+COSTS!H12</f>
        <v>106.17808219178082</v>
      </c>
      <c r="BM32" s="68">
        <f>COSTS!F12+COSTS!G12+COSTS!H12</f>
        <v>106.17808219178082</v>
      </c>
      <c r="BN32" s="68">
        <f>COSTS!F12+COSTS!G12+COSTS!H12</f>
        <v>106.17808219178082</v>
      </c>
      <c r="BO32" s="68">
        <f>COSTS!F12+COSTS!G12+COSTS!H12</f>
        <v>106.17808219178082</v>
      </c>
      <c r="BP32" s="68">
        <f>COSTS!F12+COSTS!G12+COSTS!H12</f>
        <v>106.17808219178082</v>
      </c>
      <c r="BQ32" s="68">
        <f>COSTS!F12+COSTS!G12+COSTS!H12</f>
        <v>106.17808219178082</v>
      </c>
      <c r="BR32" s="68">
        <f>COSTS!L12+COSTS!M12+COSTS!N12</f>
        <v>174.79452054794518</v>
      </c>
      <c r="BS32" s="68">
        <f>COSTS!R12+COSTS!S12+COSTS!T12</f>
        <v>174</v>
      </c>
      <c r="BT32" s="399">
        <f t="shared" si="52"/>
        <v>1231.8170235607599</v>
      </c>
      <c r="BU32" s="68">
        <f t="shared" si="53"/>
        <v>1275.5907827799047</v>
      </c>
      <c r="BV32" s="68">
        <f t="shared" si="54"/>
        <v>1330.5763372374674</v>
      </c>
      <c r="BW32" s="68">
        <f t="shared" si="55"/>
        <v>1003.4717622926173</v>
      </c>
      <c r="BX32" s="68">
        <f t="shared" si="56"/>
        <v>798.6224742410958</v>
      </c>
      <c r="BY32" s="68">
        <f t="shared" si="57"/>
        <v>1060.7252274807515</v>
      </c>
      <c r="BZ32" s="68">
        <f t="shared" si="58"/>
        <v>898.17829753099693</v>
      </c>
      <c r="CA32" s="68">
        <f t="shared" si="59"/>
        <v>131.99794411079864</v>
      </c>
      <c r="CB32" s="68">
        <f t="shared" si="60"/>
        <v>131.99794411079864</v>
      </c>
      <c r="CC32" s="68">
        <f t="shared" si="42"/>
        <v>343.51392542864915</v>
      </c>
      <c r="CD32" s="68">
        <f>P32+AA32+AL32+AW32+BH32+BS32</f>
        <v>342.90084369046542</v>
      </c>
      <c r="CE32" s="399">
        <f t="shared" si="43"/>
        <v>9.3462676323154028</v>
      </c>
      <c r="CF32" s="68">
        <f t="shared" si="44"/>
        <v>49.455985500654606</v>
      </c>
      <c r="CG32" s="68">
        <f t="shared" si="45"/>
        <v>46.015546629181244</v>
      </c>
      <c r="CH32" s="68">
        <f t="shared" si="46"/>
        <v>81.868994905043337</v>
      </c>
      <c r="CI32" s="68">
        <f t="shared" si="47"/>
        <v>5.7099039959524589</v>
      </c>
      <c r="CJ32" s="68">
        <f t="shared" si="48"/>
        <v>36.732631268679711</v>
      </c>
      <c r="CK32" s="68">
        <f t="shared" si="49"/>
        <v>44.573540359588833</v>
      </c>
      <c r="CN32" s="68">
        <f t="shared" si="50"/>
        <v>-4.486074571350855</v>
      </c>
      <c r="CO32" s="540">
        <f t="shared" si="51"/>
        <v>58.900843690465422</v>
      </c>
    </row>
    <row r="33" spans="1:93" ht="12.5" thickBot="1">
      <c r="A33" s="391" t="s">
        <v>1664</v>
      </c>
      <c r="B33" s="390" t="s">
        <v>1665</v>
      </c>
      <c r="C33" s="468">
        <v>52</v>
      </c>
      <c r="D33" s="469">
        <v>14</v>
      </c>
      <c r="E33" s="83" t="s">
        <v>1735</v>
      </c>
      <c r="F33" s="399">
        <f t="shared" si="4"/>
        <v>307.52023809523791</v>
      </c>
      <c r="G33" s="68">
        <f t="shared" si="5"/>
        <v>308.68205128205102</v>
      </c>
      <c r="H33" s="68">
        <f t="shared" si="6"/>
        <v>452.33045977011483</v>
      </c>
      <c r="I33" s="68">
        <f t="shared" si="7"/>
        <v>106.65000000000011</v>
      </c>
      <c r="J33" s="68">
        <f t="shared" si="8"/>
        <v>63.672812667740246</v>
      </c>
      <c r="K33" s="68">
        <f t="shared" si="9"/>
        <v>198.76926464016665</v>
      </c>
      <c r="L33" s="68">
        <f t="shared" si="10"/>
        <v>77.998541778493532</v>
      </c>
      <c r="P33" s="66"/>
      <c r="Q33" s="399">
        <f t="shared" si="11"/>
        <v>192.33065953654184</v>
      </c>
      <c r="R33" s="68">
        <f t="shared" si="12"/>
        <v>294.60561497326216</v>
      </c>
      <c r="S33" s="68">
        <f t="shared" si="13"/>
        <v>205.94276094276094</v>
      </c>
      <c r="T33" s="68">
        <f t="shared" si="14"/>
        <v>212.56872727272739</v>
      </c>
      <c r="U33" s="68">
        <f t="shared" si="15"/>
        <v>222.95738525155809</v>
      </c>
      <c r="V33" s="68">
        <f t="shared" si="16"/>
        <v>211.35138365102929</v>
      </c>
      <c r="W33" s="68">
        <f t="shared" si="17"/>
        <v>219.49449925861452</v>
      </c>
      <c r="AA33" s="66"/>
      <c r="AB33" s="399">
        <f t="shared" si="18"/>
        <v>130.64999999999989</v>
      </c>
      <c r="AC33" s="68">
        <f t="shared" si="19"/>
        <v>130.64999999999989</v>
      </c>
      <c r="AD33" s="68">
        <f t="shared" si="20"/>
        <v>130.65000000000006</v>
      </c>
      <c r="AE33" s="68">
        <f t="shared" si="21"/>
        <v>112.3460000000001</v>
      </c>
      <c r="AF33" s="68">
        <f t="shared" si="22"/>
        <v>127.72160493827144</v>
      </c>
      <c r="AG33" s="68">
        <f t="shared" si="23"/>
        <v>125.8178419753086</v>
      </c>
      <c r="AH33" s="68">
        <f t="shared" si="24"/>
        <v>122.59640329218099</v>
      </c>
      <c r="AI33" s="87">
        <f t="shared" si="25"/>
        <v>0</v>
      </c>
      <c r="AJ33" s="87">
        <f t="shared" si="26"/>
        <v>0</v>
      </c>
      <c r="AM33" s="399">
        <f>CIF!$X$5+VLOOKUP($AM$5&amp;$E33,OCEAN!$E:$J,5,FALSE)</f>
        <v>787.5</v>
      </c>
      <c r="AN33" s="68">
        <f>CIF!$X$6+VLOOKUP($AN$5&amp;$E33,OCEAN!$E:$J,5,FALSE)</f>
        <v>645.33699059561127</v>
      </c>
      <c r="AO33" s="68">
        <f>CIF!$X$7+VLOOKUP($AO$5&amp;$E33,OCEAN!$E:$J,5,FALSE)</f>
        <v>645.33699059561127</v>
      </c>
      <c r="AP33" s="68">
        <f>CIF!$X$8+VLOOKUP($AP$5&amp;$E33,OCEAN!$E:$J,5,FALSE)</f>
        <v>667.18181818181824</v>
      </c>
      <c r="AQ33" s="68">
        <f>CIF!$X$9+VLOOKUP($AQ$5&amp;$E33,OCEAN!$E:$J,5,FALSE)</f>
        <v>560.90909090909099</v>
      </c>
      <c r="AR33" s="68">
        <f t="shared" si="27"/>
        <v>665.23197492163013</v>
      </c>
      <c r="AS33" s="68">
        <f t="shared" si="28"/>
        <v>614.04545454545462</v>
      </c>
      <c r="AV33" s="68">
        <f>CIF!$X$16+VLOOKUP($AV$6&amp;$E33,OCEAN!$E:$J,5,FALSE)</f>
        <v>237.68484078744444</v>
      </c>
      <c r="AW33" s="540">
        <f>CIF!$X$17+VLOOKUP($AW$6&amp;$E33,OCEAN!$E:$J,5,FALSE)</f>
        <v>290.66497323777554</v>
      </c>
      <c r="AX33" s="68">
        <f>COSTS!C13+COSTS!D13+COSTS!E13</f>
        <v>124.52994069370106</v>
      </c>
      <c r="AY33" s="68">
        <f>COSTS!C13+COSTS!D13+COSTS!E13</f>
        <v>124.52994069370106</v>
      </c>
      <c r="AZ33" s="68">
        <f>COSTS!C13+COSTS!D13+COSTS!E13</f>
        <v>124.52994069370106</v>
      </c>
      <c r="BA33" s="68">
        <f>COSTS!C13+COSTS!D13+COSTS!E13</f>
        <v>124.52994069370106</v>
      </c>
      <c r="BB33" s="68">
        <f>COSTS!C13+COSTS!D13+COSTS!E13</f>
        <v>124.52994069370106</v>
      </c>
      <c r="BC33" s="68">
        <f>COSTS!C13+COSTS!D13+COSTS!E13</f>
        <v>124.52994069370106</v>
      </c>
      <c r="BD33" s="68">
        <f>COSTS!C13+COSTS!D13+COSTS!E13</f>
        <v>124.52994069370106</v>
      </c>
      <c r="BE33" s="68">
        <f>COSTS!C13+COSTS!D13+COSTS!E13</f>
        <v>124.52994069370106</v>
      </c>
      <c r="BF33" s="68">
        <f>COSTS!C13+COSTS!D13+COSTS!E13</f>
        <v>124.52994069370106</v>
      </c>
      <c r="BG33" s="68">
        <f>COSTS!I13+COSTS!J13+COSTS!K13</f>
        <v>138</v>
      </c>
      <c r="BH33" s="540">
        <f>COSTS!I12+COSTS!J12+COSTS!K12</f>
        <v>78</v>
      </c>
      <c r="BI33" s="399">
        <f>COSTS!F13+COSTS!G13+COSTS!H13</f>
        <v>117.39726027397259</v>
      </c>
      <c r="BJ33" s="68">
        <f>COSTS!F13+COSTS!G13+COSTS!H13</f>
        <v>117.39726027397259</v>
      </c>
      <c r="BK33" s="68">
        <f>COSTS!F13+COSTS!G13+COSTS!H13</f>
        <v>117.39726027397259</v>
      </c>
      <c r="BL33" s="68">
        <f>COSTS!F13+COSTS!G13+COSTS!H13</f>
        <v>117.39726027397259</v>
      </c>
      <c r="BM33" s="68">
        <f>COSTS!F13+COSTS!G13+COSTS!H13</f>
        <v>117.39726027397259</v>
      </c>
      <c r="BN33" s="68">
        <f>COSTS!F13+COSTS!G13+COSTS!H13</f>
        <v>117.39726027397259</v>
      </c>
      <c r="BO33" s="68">
        <f>COSTS!F13+COSTS!G13+COSTS!H13</f>
        <v>117.39726027397259</v>
      </c>
      <c r="BP33" s="68">
        <f>COSTS!F13+COSTS!G13+COSTS!H13</f>
        <v>117.39726027397259</v>
      </c>
      <c r="BQ33" s="68">
        <f>COSTS!F13+COSTS!G13+COSTS!H13</f>
        <v>117.39726027397259</v>
      </c>
      <c r="BR33" s="68">
        <f>COSTS!L13+COSTS!M13+COSTS!N13</f>
        <v>174.79452054794518</v>
      </c>
      <c r="BS33" s="68">
        <f>COSTS!R13+COSTS!S13+COSTS!T13</f>
        <v>174</v>
      </c>
      <c r="BT33" s="399">
        <f t="shared" si="52"/>
        <v>1659.9280985994531</v>
      </c>
      <c r="BU33" s="68">
        <f t="shared" si="53"/>
        <v>1621.2018578185978</v>
      </c>
      <c r="BV33" s="68">
        <f t="shared" si="54"/>
        <v>1676.1874122761608</v>
      </c>
      <c r="BW33" s="68">
        <f t="shared" si="55"/>
        <v>1340.6737464222194</v>
      </c>
      <c r="BX33" s="68">
        <f t="shared" si="56"/>
        <v>1217.1880947343343</v>
      </c>
      <c r="BY33" s="68">
        <f t="shared" si="57"/>
        <v>1443.0976661558082</v>
      </c>
      <c r="BZ33" s="68">
        <f t="shared" si="58"/>
        <v>1276.0620998424172</v>
      </c>
      <c r="CA33" s="68">
        <f t="shared" si="59"/>
        <v>241.92720096767366</v>
      </c>
      <c r="CB33" s="68">
        <f t="shared" si="60"/>
        <v>241.92720096767366</v>
      </c>
      <c r="CC33" s="68">
        <f t="shared" si="42"/>
        <v>550.47936133538963</v>
      </c>
      <c r="CD33" s="68">
        <f>P33+AA33+AL33+AW33+BH33+BS33</f>
        <v>542.66497323777548</v>
      </c>
      <c r="CE33" s="399">
        <f t="shared" si="43"/>
        <v>437.45734267100852</v>
      </c>
      <c r="CF33" s="68">
        <f t="shared" si="44"/>
        <v>395.06706053934772</v>
      </c>
      <c r="CG33" s="68">
        <f t="shared" si="45"/>
        <v>391.62662166787459</v>
      </c>
      <c r="CH33" s="68">
        <f t="shared" si="46"/>
        <v>419.07097903464546</v>
      </c>
      <c r="CI33" s="68">
        <f t="shared" si="47"/>
        <v>424.27552448919096</v>
      </c>
      <c r="CJ33" s="68">
        <f t="shared" si="48"/>
        <v>419.10506994373634</v>
      </c>
      <c r="CK33" s="68">
        <f t="shared" si="49"/>
        <v>422.45734267100909</v>
      </c>
      <c r="CN33" s="68">
        <f t="shared" si="50"/>
        <v>202.47936133538963</v>
      </c>
      <c r="CO33" s="540">
        <f t="shared" si="51"/>
        <v>258.66497323777548</v>
      </c>
    </row>
    <row r="34" spans="1:93" ht="12.5" thickBot="1">
      <c r="A34" s="391" t="s">
        <v>1666</v>
      </c>
      <c r="B34" s="391" t="s">
        <v>1667</v>
      </c>
      <c r="C34" s="470">
        <v>45</v>
      </c>
      <c r="D34" s="471">
        <v>14</v>
      </c>
      <c r="E34" s="137" t="s">
        <v>1738</v>
      </c>
      <c r="F34" s="399">
        <f t="shared" si="4"/>
        <v>307.52023809523791</v>
      </c>
      <c r="G34" s="68">
        <f t="shared" si="5"/>
        <v>308.68205128205102</v>
      </c>
      <c r="H34" s="68">
        <f t="shared" si="6"/>
        <v>452.33045977011483</v>
      </c>
      <c r="I34" s="68">
        <f t="shared" si="7"/>
        <v>106.65000000000011</v>
      </c>
      <c r="J34" s="68">
        <f t="shared" si="8"/>
        <v>63.672812667740246</v>
      </c>
      <c r="K34" s="68">
        <f t="shared" si="9"/>
        <v>198.76926464016665</v>
      </c>
      <c r="L34" s="68">
        <f t="shared" si="10"/>
        <v>77.998541778493532</v>
      </c>
      <c r="P34" s="66"/>
      <c r="Q34" s="399">
        <f t="shared" si="11"/>
        <v>192.33065953654184</v>
      </c>
      <c r="R34" s="68">
        <f t="shared" si="12"/>
        <v>294.60561497326216</v>
      </c>
      <c r="S34" s="68">
        <f t="shared" si="13"/>
        <v>205.94276094276094</v>
      </c>
      <c r="T34" s="68">
        <f t="shared" si="14"/>
        <v>212.56872727272739</v>
      </c>
      <c r="U34" s="68">
        <f t="shared" si="15"/>
        <v>222.95738525155809</v>
      </c>
      <c r="V34" s="68">
        <f t="shared" si="16"/>
        <v>211.35138365102929</v>
      </c>
      <c r="W34" s="68">
        <f t="shared" si="17"/>
        <v>219.49449925861452</v>
      </c>
      <c r="AA34" s="66"/>
      <c r="AB34" s="399">
        <f t="shared" si="18"/>
        <v>130.64999999999989</v>
      </c>
      <c r="AC34" s="68">
        <f t="shared" si="19"/>
        <v>130.64999999999989</v>
      </c>
      <c r="AD34" s="68">
        <f t="shared" si="20"/>
        <v>130.65000000000006</v>
      </c>
      <c r="AE34" s="68">
        <f t="shared" si="21"/>
        <v>112.3460000000001</v>
      </c>
      <c r="AF34" s="68">
        <f t="shared" si="22"/>
        <v>127.72160493827144</v>
      </c>
      <c r="AG34" s="68">
        <f t="shared" si="23"/>
        <v>125.8178419753086</v>
      </c>
      <c r="AH34" s="68">
        <f t="shared" si="24"/>
        <v>122.59640329218099</v>
      </c>
      <c r="AI34" s="87">
        <f t="shared" si="25"/>
        <v>0</v>
      </c>
      <c r="AJ34" s="87">
        <f t="shared" si="26"/>
        <v>0</v>
      </c>
      <c r="AM34" s="399">
        <f>CIF!$X$5+VLOOKUP($AM$5&amp;$E34,OCEAN!$E:$J,5,FALSE)</f>
        <v>889.09090909090901</v>
      </c>
      <c r="AN34" s="68">
        <f>CIF!$X$6+VLOOKUP($AN$5&amp;$E34,OCEAN!$E:$J,5,FALSE)</f>
        <v>629.20062695924776</v>
      </c>
      <c r="AO34" s="68">
        <f>CIF!$X$7+VLOOKUP($AO$5&amp;$E34,OCEAN!$E:$J,5,FALSE)</f>
        <v>629.20062695924776</v>
      </c>
      <c r="AP34" s="68">
        <f>CIF!$X$8+VLOOKUP($AP$5&amp;$E34,OCEAN!$E:$J,5,FALSE)</f>
        <v>564.22727272727275</v>
      </c>
      <c r="AQ34" s="68">
        <f>CIF!$X$9+VLOOKUP($AQ$5&amp;$E34,OCEAN!$E:$J,5,FALSE)</f>
        <v>405.00000000000006</v>
      </c>
      <c r="AR34" s="68">
        <f t="shared" si="27"/>
        <v>621.87970219435738</v>
      </c>
      <c r="AS34" s="68">
        <f t="shared" si="28"/>
        <v>484.61363636363637</v>
      </c>
      <c r="AV34" s="68">
        <f>CIF!$X$16+VLOOKUP($AV$6&amp;$E34,OCEAN!$E:$J,5,FALSE)</f>
        <v>72.575523904563184</v>
      </c>
      <c r="AW34" s="540">
        <f>CIF!$X$17+VLOOKUP($AW$6&amp;$E34,OCEAN!$E:$J,5,FALSE)</f>
        <v>472.10378299918352</v>
      </c>
      <c r="AX34" s="68">
        <f>COSTS!C14+COSTS!D14+COSTS!E14</f>
        <v>201.70381661979499</v>
      </c>
      <c r="AY34" s="68">
        <f>COSTS!C14+COSTS!D14+COSTS!E14</f>
        <v>201.70381661979499</v>
      </c>
      <c r="AZ34" s="68">
        <f>COSTS!C14+COSTS!D14+COSTS!E14</f>
        <v>201.70381661979499</v>
      </c>
      <c r="BA34" s="68">
        <f>COSTS!C14+COSTS!D14+COSTS!E14</f>
        <v>201.70381661979499</v>
      </c>
      <c r="BB34" s="68">
        <f>COSTS!C14+COSTS!D14+COSTS!E14</f>
        <v>201.70381661979499</v>
      </c>
      <c r="BC34" s="68">
        <f>COSTS!C14+COSTS!D14+COSTS!E14</f>
        <v>201.70381661979499</v>
      </c>
      <c r="BD34" s="68">
        <f>COSTS!C14+COSTS!D14+COSTS!E14</f>
        <v>201.70381661979499</v>
      </c>
      <c r="BE34" s="68">
        <f>COSTS!C14+COSTS!D14+COSTS!E14</f>
        <v>201.70381661979499</v>
      </c>
      <c r="BF34" s="68">
        <f>COSTS!C14+COSTS!D14+COSTS!E14</f>
        <v>201.70381661979499</v>
      </c>
      <c r="BG34" s="68">
        <f>COSTS!I14+COSTS!J14+COSTS!K14</f>
        <v>104</v>
      </c>
      <c r="BH34" s="540">
        <f>COSTS!O13+COSTS!P13+COSTS!Q13</f>
        <v>106</v>
      </c>
      <c r="BI34" s="399">
        <f>COSTS!F14+COSTS!G14+COSTS!H14</f>
        <v>117.39726027397259</v>
      </c>
      <c r="BJ34" s="68">
        <f>COSTS!F14+COSTS!G14+COSTS!H14</f>
        <v>117.39726027397259</v>
      </c>
      <c r="BK34" s="68">
        <f>COSTS!F14+COSTS!G14+COSTS!H14</f>
        <v>117.39726027397259</v>
      </c>
      <c r="BL34" s="68">
        <f>COSTS!F14+COSTS!G14+COSTS!H14</f>
        <v>117.39726027397259</v>
      </c>
      <c r="BM34" s="68">
        <f>COSTS!F14+COSTS!G14+COSTS!H14</f>
        <v>117.39726027397259</v>
      </c>
      <c r="BN34" s="68">
        <f>COSTS!F14+COSTS!G14+COSTS!H14</f>
        <v>117.39726027397259</v>
      </c>
      <c r="BO34" s="68">
        <f>COSTS!F14+COSTS!G14+COSTS!H14</f>
        <v>117.39726027397259</v>
      </c>
      <c r="BP34" s="68">
        <f>COSTS!F14+COSTS!G14+COSTS!H14</f>
        <v>117.39726027397259</v>
      </c>
      <c r="BQ34" s="68">
        <f>COSTS!F14+COSTS!G14+COSTS!H14</f>
        <v>117.39726027397259</v>
      </c>
      <c r="BR34" s="68">
        <f>COSTS!L14+COSTS!M14+COSTS!N14</f>
        <v>174.79452054794518</v>
      </c>
      <c r="BS34" s="68">
        <f>COSTS!R14+COSTS!S14+COSTS!T14</f>
        <v>174</v>
      </c>
      <c r="BT34" s="399">
        <f t="shared" si="52"/>
        <v>1838.6928836164559</v>
      </c>
      <c r="BU34" s="68">
        <f t="shared" si="53"/>
        <v>1682.2393701083281</v>
      </c>
      <c r="BV34" s="68">
        <f t="shared" si="54"/>
        <v>1737.2249245658911</v>
      </c>
      <c r="BW34" s="68">
        <f t="shared" si="55"/>
        <v>1314.8930768937678</v>
      </c>
      <c r="BX34" s="68">
        <f t="shared" si="56"/>
        <v>1138.4528797513374</v>
      </c>
      <c r="BY34" s="68">
        <f t="shared" si="57"/>
        <v>1476.9192693546295</v>
      </c>
      <c r="BZ34" s="68">
        <f t="shared" si="58"/>
        <v>1223.8041575866928</v>
      </c>
      <c r="CA34" s="68">
        <f t="shared" si="59"/>
        <v>319.10107689376758</v>
      </c>
      <c r="CB34" s="68">
        <f t="shared" si="60"/>
        <v>319.10107689376758</v>
      </c>
      <c r="CC34" s="68">
        <f t="shared" si="42"/>
        <v>351.37004445250835</v>
      </c>
      <c r="CD34" s="68">
        <f t="shared" si="61"/>
        <v>752.10378299918352</v>
      </c>
      <c r="CE34" s="399">
        <f t="shared" si="43"/>
        <v>616.22212768801137</v>
      </c>
      <c r="CF34" s="68">
        <f t="shared" si="44"/>
        <v>456.10457282907805</v>
      </c>
      <c r="CG34" s="68">
        <f t="shared" si="45"/>
        <v>452.66413395760492</v>
      </c>
      <c r="CH34" s="68">
        <f t="shared" si="46"/>
        <v>393.29030950619381</v>
      </c>
      <c r="CI34" s="68">
        <f t="shared" si="47"/>
        <v>345.54030950619403</v>
      </c>
      <c r="CJ34" s="68">
        <f t="shared" si="48"/>
        <v>452.92667314255766</v>
      </c>
      <c r="CK34" s="68">
        <f t="shared" si="49"/>
        <v>370.19940041528469</v>
      </c>
      <c r="CN34" s="68">
        <f t="shared" si="50"/>
        <v>3.3700444525083526</v>
      </c>
      <c r="CO34" s="540">
        <f t="shared" si="51"/>
        <v>468.10378299918352</v>
      </c>
    </row>
    <row r="35" spans="1:93" ht="12.5" thickBot="1">
      <c r="A35" s="391" t="s">
        <v>1668</v>
      </c>
      <c r="B35" s="391" t="s">
        <v>1669</v>
      </c>
      <c r="C35" s="470">
        <v>50</v>
      </c>
      <c r="D35" s="471">
        <v>14</v>
      </c>
      <c r="E35" s="466" t="s">
        <v>1726</v>
      </c>
      <c r="F35" s="399">
        <f t="shared" si="4"/>
        <v>307.52023809523791</v>
      </c>
      <c r="G35" s="68">
        <f t="shared" si="5"/>
        <v>308.68205128205102</v>
      </c>
      <c r="H35" s="68">
        <f t="shared" si="6"/>
        <v>452.33045977011483</v>
      </c>
      <c r="I35" s="68">
        <f t="shared" si="7"/>
        <v>106.65000000000011</v>
      </c>
      <c r="J35" s="68">
        <f t="shared" si="8"/>
        <v>63.672812667740246</v>
      </c>
      <c r="K35" s="68">
        <f t="shared" si="9"/>
        <v>198.76926464016665</v>
      </c>
      <c r="L35" s="68">
        <f t="shared" si="10"/>
        <v>77.998541778493532</v>
      </c>
      <c r="P35" s="66"/>
      <c r="Q35" s="399">
        <f t="shared" si="11"/>
        <v>192.33065953654184</v>
      </c>
      <c r="R35" s="68">
        <f t="shared" si="12"/>
        <v>294.60561497326216</v>
      </c>
      <c r="S35" s="68">
        <f t="shared" si="13"/>
        <v>205.94276094276094</v>
      </c>
      <c r="T35" s="68">
        <f t="shared" si="14"/>
        <v>212.56872727272739</v>
      </c>
      <c r="U35" s="68">
        <f t="shared" si="15"/>
        <v>222.95738525155809</v>
      </c>
      <c r="V35" s="68">
        <f t="shared" si="16"/>
        <v>211.35138365102929</v>
      </c>
      <c r="W35" s="68">
        <f t="shared" si="17"/>
        <v>219.49449925861452</v>
      </c>
      <c r="AA35" s="66"/>
      <c r="AB35" s="399">
        <f t="shared" si="18"/>
        <v>130.64999999999989</v>
      </c>
      <c r="AC35" s="68">
        <f t="shared" si="19"/>
        <v>130.64999999999989</v>
      </c>
      <c r="AD35" s="68">
        <f t="shared" si="20"/>
        <v>130.65000000000006</v>
      </c>
      <c r="AE35" s="68">
        <f t="shared" si="21"/>
        <v>112.3460000000001</v>
      </c>
      <c r="AF35" s="68">
        <f t="shared" si="22"/>
        <v>127.72160493827144</v>
      </c>
      <c r="AG35" s="68">
        <f t="shared" si="23"/>
        <v>125.8178419753086</v>
      </c>
      <c r="AH35" s="68">
        <f t="shared" si="24"/>
        <v>122.59640329218099</v>
      </c>
      <c r="AI35" s="87">
        <f t="shared" si="25"/>
        <v>0</v>
      </c>
      <c r="AJ35" s="87">
        <f t="shared" si="26"/>
        <v>0</v>
      </c>
      <c r="AM35" s="399">
        <f>CIF!$X$5+VLOOKUP($AM$5&amp;$E35,OCEAN!$E:$J,5,FALSE)</f>
        <v>755.68181818181824</v>
      </c>
      <c r="AN35" s="68">
        <f>CIF!$X$6+VLOOKUP($AN$5&amp;$E35,OCEAN!$E:$J,5,FALSE)</f>
        <v>593.29153605015676</v>
      </c>
      <c r="AO35" s="68">
        <f>CIF!$X$7+VLOOKUP($AO$5&amp;$E35,OCEAN!$E:$J,5,FALSE)</f>
        <v>593.29153605015676</v>
      </c>
      <c r="AP35" s="68">
        <f>CIF!$X$8+VLOOKUP($AP$5&amp;$E35,OCEAN!$E:$J,5,FALSE)</f>
        <v>503.31818181818176</v>
      </c>
      <c r="AQ35" s="68">
        <f>CIF!$X$9+VLOOKUP($AQ$5&amp;$E35,OCEAN!$E:$J,5,FALSE)</f>
        <v>359.54545454545462</v>
      </c>
      <c r="AR35" s="68">
        <f t="shared" si="27"/>
        <v>552.95924764890287</v>
      </c>
      <c r="AS35" s="68">
        <f t="shared" si="28"/>
        <v>431.43181818181819</v>
      </c>
      <c r="AV35" s="68">
        <f>CIF!$X$16+VLOOKUP($AV$6&amp;$E35,OCEAN!$E:$J,5,FALSE)</f>
        <v>219.54095981130365</v>
      </c>
      <c r="AW35" s="540">
        <f>CIF!$X$17+VLOOKUP($AW$6&amp;$E35,OCEAN!$E:$J,5,FALSE)</f>
        <v>299.37403610632316</v>
      </c>
      <c r="AX35" s="68">
        <f>COSTS!C15+COSTS!D15+COSTS!E15</f>
        <v>42.784802422208109</v>
      </c>
      <c r="AY35" s="68">
        <f>COSTS!C15+COSTS!D15+COSTS!E15</f>
        <v>42.784802422208109</v>
      </c>
      <c r="AZ35" s="68">
        <f>COSTS!C15+COSTS!D15+COSTS!E15</f>
        <v>42.784802422208109</v>
      </c>
      <c r="BA35" s="68">
        <f>COSTS!C15+COSTS!D15+COSTS!E15</f>
        <v>42.784802422208109</v>
      </c>
      <c r="BB35" s="68">
        <f>COSTS!C15+COSTS!D15+COSTS!E15</f>
        <v>42.784802422208109</v>
      </c>
      <c r="BC35" s="68">
        <f>COSTS!C15+COSTS!D15+COSTS!E15</f>
        <v>42.784802422208109</v>
      </c>
      <c r="BD35" s="68">
        <f>COSTS!C15+COSTS!D15+COSTS!E15</f>
        <v>42.784802422208109</v>
      </c>
      <c r="BE35" s="68">
        <f>COSTS!C15+COSTS!D15+COSTS!E15</f>
        <v>42.784802422208109</v>
      </c>
      <c r="BF35" s="68">
        <f>COSTS!C15+COSTS!D15+COSTS!E15</f>
        <v>42.784802422208109</v>
      </c>
      <c r="BG35" s="68">
        <f>COSTS!I15+COSTS!J15+COSTS!K15</f>
        <v>105</v>
      </c>
      <c r="BH35" s="540">
        <f>COSTS!O14+COSTS!P14+COSTS!Q14</f>
        <v>64.088799999999992</v>
      </c>
      <c r="BI35" s="399">
        <f>COSTS!F15+COSTS!G15+COSTS!H15</f>
        <v>117.39726027397259</v>
      </c>
      <c r="BJ35" s="68">
        <f>COSTS!F15+COSTS!G15+COSTS!H15</f>
        <v>117.39726027397259</v>
      </c>
      <c r="BK35" s="68">
        <f>COSTS!F15+COSTS!G15+COSTS!H15</f>
        <v>117.39726027397259</v>
      </c>
      <c r="BL35" s="68">
        <f>COSTS!F15+COSTS!G15+COSTS!H15</f>
        <v>117.39726027397259</v>
      </c>
      <c r="BM35" s="68">
        <f>COSTS!F15+COSTS!G15+COSTS!H15</f>
        <v>117.39726027397259</v>
      </c>
      <c r="BN35" s="68">
        <f>COSTS!F15+COSTS!G15+COSTS!H15</f>
        <v>117.39726027397259</v>
      </c>
      <c r="BO35" s="68">
        <f>COSTS!F15+COSTS!G15+COSTS!H15</f>
        <v>117.39726027397259</v>
      </c>
      <c r="BP35" s="68">
        <f>COSTS!F15+COSTS!G15+COSTS!H15</f>
        <v>117.39726027397259</v>
      </c>
      <c r="BQ35" s="68">
        <f>COSTS!F15+COSTS!G15+COSTS!H15</f>
        <v>117.39726027397259</v>
      </c>
      <c r="BR35" s="68">
        <f>COSTS!L15+COSTS!M15+COSTS!N15</f>
        <v>187.26027397260276</v>
      </c>
      <c r="BS35" s="68">
        <f>COSTS!R15+COSTS!S15+COSTS!T15</f>
        <v>234</v>
      </c>
      <c r="BT35" s="399">
        <f t="shared" si="52"/>
        <v>1546.3647785097785</v>
      </c>
      <c r="BU35" s="68">
        <f t="shared" si="53"/>
        <v>1487.4112650016502</v>
      </c>
      <c r="BV35" s="68">
        <f t="shared" si="54"/>
        <v>1542.3968194592132</v>
      </c>
      <c r="BW35" s="68">
        <f t="shared" si="55"/>
        <v>1095.0649717870901</v>
      </c>
      <c r="BX35" s="68">
        <f t="shared" si="56"/>
        <v>934.07932009920512</v>
      </c>
      <c r="BY35" s="68">
        <f t="shared" si="57"/>
        <v>1249.0798006115881</v>
      </c>
      <c r="BZ35" s="68">
        <f t="shared" si="58"/>
        <v>1011.703325207288</v>
      </c>
      <c r="CA35" s="68">
        <f t="shared" si="59"/>
        <v>160.18206269618071</v>
      </c>
      <c r="CB35" s="68">
        <f t="shared" si="60"/>
        <v>160.18206269618071</v>
      </c>
      <c r="CC35" s="68">
        <f t="shared" si="42"/>
        <v>511.80123378390641</v>
      </c>
      <c r="CD35" s="68">
        <f t="shared" si="61"/>
        <v>597.46283610632315</v>
      </c>
      <c r="CE35" s="399">
        <f t="shared" si="43"/>
        <v>323.89402258133396</v>
      </c>
      <c r="CF35" s="68">
        <f t="shared" si="44"/>
        <v>261.27646772240018</v>
      </c>
      <c r="CG35" s="68">
        <f t="shared" si="45"/>
        <v>257.83602885092705</v>
      </c>
      <c r="CH35" s="68">
        <f t="shared" si="46"/>
        <v>173.46220439951617</v>
      </c>
      <c r="CI35" s="68">
        <f t="shared" si="47"/>
        <v>141.16674985406178</v>
      </c>
      <c r="CJ35" s="68">
        <f t="shared" si="48"/>
        <v>225.08720439951628</v>
      </c>
      <c r="CK35" s="68">
        <f t="shared" si="49"/>
        <v>158.09856803587991</v>
      </c>
      <c r="CN35" s="68">
        <f t="shared" si="50"/>
        <v>163.80123378390641</v>
      </c>
      <c r="CO35" s="540">
        <f t="shared" si="51"/>
        <v>313.46283610632315</v>
      </c>
    </row>
    <row r="36" spans="1:93">
      <c r="A36" s="464"/>
      <c r="B36" s="131"/>
      <c r="C36" s="87"/>
      <c r="D36" s="87"/>
      <c r="E36" s="83" t="s">
        <v>1727</v>
      </c>
      <c r="F36" s="399">
        <f t="shared" si="4"/>
        <v>307.52023809523791</v>
      </c>
      <c r="G36" s="68">
        <f t="shared" si="5"/>
        <v>308.68205128205102</v>
      </c>
      <c r="H36" s="68">
        <f t="shared" si="6"/>
        <v>452.33045977011483</v>
      </c>
      <c r="I36" s="68">
        <f t="shared" si="7"/>
        <v>106.65000000000011</v>
      </c>
      <c r="J36" s="68">
        <f t="shared" si="8"/>
        <v>63.672812667740246</v>
      </c>
      <c r="K36" s="68">
        <f t="shared" si="9"/>
        <v>198.76926464016665</v>
      </c>
      <c r="L36" s="68">
        <f t="shared" si="10"/>
        <v>77.998541778493532</v>
      </c>
      <c r="P36" s="66"/>
      <c r="Q36" s="399">
        <f t="shared" si="11"/>
        <v>192.33065953654184</v>
      </c>
      <c r="R36" s="68">
        <f t="shared" si="12"/>
        <v>294.60561497326216</v>
      </c>
      <c r="S36" s="68">
        <f t="shared" si="13"/>
        <v>205.94276094276094</v>
      </c>
      <c r="T36" s="68">
        <f t="shared" si="14"/>
        <v>212.56872727272739</v>
      </c>
      <c r="U36" s="68">
        <f t="shared" si="15"/>
        <v>222.95738525155809</v>
      </c>
      <c r="V36" s="68">
        <f t="shared" si="16"/>
        <v>211.35138365102929</v>
      </c>
      <c r="W36" s="68">
        <f t="shared" si="17"/>
        <v>219.49449925861452</v>
      </c>
      <c r="AA36" s="66"/>
      <c r="AB36" s="399">
        <f t="shared" si="18"/>
        <v>130.64999999999989</v>
      </c>
      <c r="AC36" s="68">
        <f t="shared" si="19"/>
        <v>130.64999999999989</v>
      </c>
      <c r="AD36" s="68">
        <f t="shared" si="20"/>
        <v>130.65000000000006</v>
      </c>
      <c r="AE36" s="68">
        <f t="shared" si="21"/>
        <v>112.3460000000001</v>
      </c>
      <c r="AF36" s="68">
        <f t="shared" si="22"/>
        <v>127.72160493827144</v>
      </c>
      <c r="AG36" s="68">
        <f t="shared" si="23"/>
        <v>125.8178419753086</v>
      </c>
      <c r="AH36" s="68">
        <f t="shared" si="24"/>
        <v>122.59640329218099</v>
      </c>
      <c r="AI36" s="87">
        <f t="shared" si="25"/>
        <v>0</v>
      </c>
      <c r="AJ36" s="87">
        <f t="shared" si="26"/>
        <v>0</v>
      </c>
      <c r="AM36" s="399">
        <f>CIF!$X$5+VLOOKUP($AM$5&amp;$E36,OCEAN!$E:$J,5,FALSE)</f>
        <v>547.5</v>
      </c>
      <c r="AN36" s="68">
        <f>CIF!$X$6+VLOOKUP($AN$5&amp;$E36,OCEAN!$E:$J,5,FALSE)</f>
        <v>592.83699059561127</v>
      </c>
      <c r="AO36" s="68">
        <f>CIF!$X$7+VLOOKUP($AO$5&amp;$E36,OCEAN!$E:$J,5,FALSE)</f>
        <v>592.83699059561127</v>
      </c>
      <c r="AP36" s="68">
        <f>CIF!$X$8+VLOOKUP($AP$5&amp;$E36,OCEAN!$E:$J,5,FALSE)</f>
        <v>614.68181818181824</v>
      </c>
      <c r="AQ36" s="68">
        <f>CIF!$X$9+VLOOKUP($AQ$5&amp;$E36,OCEAN!$E:$J,5,FALSE)</f>
        <v>512.5</v>
      </c>
      <c r="AR36" s="68">
        <f t="shared" si="27"/>
        <v>566.87970219435738</v>
      </c>
      <c r="AS36" s="68">
        <f t="shared" si="28"/>
        <v>563.59090909090912</v>
      </c>
      <c r="AV36" s="68">
        <f>CIF!$X$16+VLOOKUP($AV$6&amp;$E36,OCEAN!$E:$J,5,FALSE)</f>
        <v>219.54095981130365</v>
      </c>
      <c r="AW36" s="540">
        <f>CIF!$X$17+VLOOKUP($AW$6&amp;$E36,OCEAN!$E:$J,5,FALSE)</f>
        <v>326.40841876077292</v>
      </c>
      <c r="AX36" s="68">
        <f>COSTS!C15+COSTS!D15+COSTS!E15</f>
        <v>42.784802422208109</v>
      </c>
      <c r="AY36" s="68">
        <f>COSTS!C15+COSTS!D15+COSTS!E15</f>
        <v>42.784802422208109</v>
      </c>
      <c r="AZ36" s="68">
        <f>COSTS!C15+COSTS!D15+COSTS!E15</f>
        <v>42.784802422208109</v>
      </c>
      <c r="BA36" s="68">
        <f>COSTS!C15+COSTS!D15+COSTS!E15</f>
        <v>42.784802422208109</v>
      </c>
      <c r="BB36" s="68">
        <f>COSTS!C15+COSTS!D15+COSTS!E15</f>
        <v>42.784802422208109</v>
      </c>
      <c r="BC36" s="68">
        <f>COSTS!C15+COSTS!D15+COSTS!E15</f>
        <v>42.784802422208109</v>
      </c>
      <c r="BD36" s="68">
        <f>COSTS!C15+COSTS!D15+COSTS!E15</f>
        <v>42.784802422208109</v>
      </c>
      <c r="BE36" s="68">
        <f>COSTS!C15+COSTS!D15+COSTS!E15</f>
        <v>42.784802422208109</v>
      </c>
      <c r="BF36" s="68">
        <f>COSTS!C15+COSTS!D15+COSTS!E15</f>
        <v>42.784802422208109</v>
      </c>
      <c r="BG36" s="68">
        <f>COSTS!I15+COSTS!J15+COSTS!K15</f>
        <v>105</v>
      </c>
      <c r="BH36" s="540">
        <f>COSTS!O15+COSTS!P15+COSTS!Q15</f>
        <v>60.088799999999999</v>
      </c>
      <c r="BI36" s="399">
        <f>COSTS!F15+COSTS!G15+COSTS!H15</f>
        <v>117.39726027397259</v>
      </c>
      <c r="BJ36" s="68">
        <f>COSTS!F15+COSTS!G15+COSTS!H15</f>
        <v>117.39726027397259</v>
      </c>
      <c r="BK36" s="68">
        <f>COSTS!F15+COSTS!G15+COSTS!H15</f>
        <v>117.39726027397259</v>
      </c>
      <c r="BL36" s="68">
        <f>COSTS!F15+COSTS!G15+COSTS!H15</f>
        <v>117.39726027397259</v>
      </c>
      <c r="BM36" s="68">
        <f>COSTS!F15+COSTS!G15+COSTS!H15</f>
        <v>117.39726027397259</v>
      </c>
      <c r="BN36" s="68">
        <f>COSTS!F15+COSTS!G15+COSTS!H15</f>
        <v>117.39726027397259</v>
      </c>
      <c r="BO36" s="68">
        <f>COSTS!F15+COSTS!G15+COSTS!H15</f>
        <v>117.39726027397259</v>
      </c>
      <c r="BP36" s="68">
        <f>COSTS!F15+COSTS!G15+COSTS!H15</f>
        <v>117.39726027397259</v>
      </c>
      <c r="BQ36" s="68">
        <f>COSTS!F15+COSTS!G15+COSTS!H15</f>
        <v>117.39726027397259</v>
      </c>
      <c r="BR36" s="68">
        <f>COSTS!L15+COSTS!M15+COSTS!N15</f>
        <v>187.26027397260276</v>
      </c>
      <c r="BS36" s="68">
        <f>COSTS!R15+COSTS!S15+COSTS!T15</f>
        <v>234</v>
      </c>
      <c r="BT36" s="399">
        <f t="shared" si="52"/>
        <v>1338.18296032796</v>
      </c>
      <c r="BU36" s="68">
        <f t="shared" si="53"/>
        <v>1486.9567195471047</v>
      </c>
      <c r="BV36" s="68">
        <f t="shared" si="54"/>
        <v>1541.9422740046678</v>
      </c>
      <c r="BW36" s="68">
        <f t="shared" si="55"/>
        <v>1206.4286081507264</v>
      </c>
      <c r="BX36" s="68">
        <f t="shared" si="56"/>
        <v>1087.0338655537505</v>
      </c>
      <c r="BY36" s="68">
        <f t="shared" si="57"/>
        <v>1263.0002551570426</v>
      </c>
      <c r="BZ36" s="68">
        <f t="shared" si="58"/>
        <v>1143.8624161163787</v>
      </c>
      <c r="CA36" s="68">
        <f t="shared" si="59"/>
        <v>160.18206269618071</v>
      </c>
      <c r="CB36" s="68">
        <f t="shared" si="60"/>
        <v>160.18206269618071</v>
      </c>
      <c r="CC36" s="68">
        <f t="shared" si="42"/>
        <v>511.80123378390641</v>
      </c>
      <c r="CD36" s="68">
        <f t="shared" si="61"/>
        <v>620.49721876077297</v>
      </c>
      <c r="CE36" s="399">
        <f t="shared" si="43"/>
        <v>115.71220439951549</v>
      </c>
      <c r="CF36" s="68">
        <f t="shared" si="44"/>
        <v>260.82192226785469</v>
      </c>
      <c r="CG36" s="68">
        <f t="shared" si="45"/>
        <v>257.38148339638155</v>
      </c>
      <c r="CH36" s="68">
        <f t="shared" si="46"/>
        <v>284.82584076315243</v>
      </c>
      <c r="CI36" s="68">
        <f t="shared" si="47"/>
        <v>294.12129530860716</v>
      </c>
      <c r="CJ36" s="68">
        <f t="shared" si="48"/>
        <v>239.00765894497079</v>
      </c>
      <c r="CK36" s="68">
        <f t="shared" si="49"/>
        <v>290.25765894497056</v>
      </c>
      <c r="CN36" s="68">
        <f t="shared" si="50"/>
        <v>163.80123378390641</v>
      </c>
      <c r="CO36" s="540">
        <f t="shared" si="51"/>
        <v>336.49721876077297</v>
      </c>
    </row>
    <row r="37" spans="1:93" ht="12.5" thickBot="1">
      <c r="A37" s="464"/>
      <c r="B37" s="131"/>
      <c r="C37" s="87"/>
      <c r="D37" s="87"/>
      <c r="E37" s="461" t="s">
        <v>1725</v>
      </c>
      <c r="F37" s="399">
        <f t="shared" si="4"/>
        <v>307.52023809523791</v>
      </c>
      <c r="G37" s="68">
        <f t="shared" si="5"/>
        <v>308.68205128205102</v>
      </c>
      <c r="H37" s="68">
        <f t="shared" si="6"/>
        <v>452.33045977011483</v>
      </c>
      <c r="I37" s="68">
        <f t="shared" si="7"/>
        <v>106.65000000000011</v>
      </c>
      <c r="J37" s="68">
        <f t="shared" si="8"/>
        <v>63.672812667740246</v>
      </c>
      <c r="K37" s="68">
        <f t="shared" si="9"/>
        <v>198.76926464016665</v>
      </c>
      <c r="L37" s="68">
        <f t="shared" si="10"/>
        <v>77.998541778493532</v>
      </c>
      <c r="P37" s="66"/>
      <c r="Q37" s="399">
        <f t="shared" si="11"/>
        <v>192.33065953654184</v>
      </c>
      <c r="R37" s="68">
        <f t="shared" si="12"/>
        <v>294.60561497326216</v>
      </c>
      <c r="S37" s="68">
        <f t="shared" si="13"/>
        <v>205.94276094276094</v>
      </c>
      <c r="T37" s="68">
        <f t="shared" si="14"/>
        <v>212.56872727272739</v>
      </c>
      <c r="U37" s="68">
        <f t="shared" si="15"/>
        <v>222.95738525155809</v>
      </c>
      <c r="V37" s="68">
        <f t="shared" si="16"/>
        <v>211.35138365102929</v>
      </c>
      <c r="W37" s="68">
        <f t="shared" si="17"/>
        <v>219.49449925861452</v>
      </c>
      <c r="AA37" s="66"/>
      <c r="AB37" s="399">
        <f t="shared" si="18"/>
        <v>130.64999999999989</v>
      </c>
      <c r="AC37" s="68">
        <f t="shared" si="19"/>
        <v>130.64999999999989</v>
      </c>
      <c r="AD37" s="68">
        <f t="shared" si="20"/>
        <v>130.65000000000006</v>
      </c>
      <c r="AE37" s="68">
        <f t="shared" si="21"/>
        <v>112.3460000000001</v>
      </c>
      <c r="AF37" s="68">
        <f t="shared" si="22"/>
        <v>127.72160493827144</v>
      </c>
      <c r="AG37" s="68">
        <f t="shared" si="23"/>
        <v>125.8178419753086</v>
      </c>
      <c r="AH37" s="68">
        <f t="shared" si="24"/>
        <v>122.59640329218099</v>
      </c>
      <c r="AI37" s="87">
        <f t="shared" si="25"/>
        <v>0</v>
      </c>
      <c r="AJ37" s="87">
        <f t="shared" si="26"/>
        <v>0</v>
      </c>
      <c r="AM37" s="399">
        <f>CIF!$X$5+VLOOKUP($AM$5&amp;$E37,OCEAN!$E:$J,5,FALSE)</f>
        <v>520.22727272727275</v>
      </c>
      <c r="AN37" s="68">
        <f>CIF!$X$6+VLOOKUP($AN$5&amp;$E37,OCEAN!$E:$J,5,FALSE)</f>
        <v>519.65517241379314</v>
      </c>
      <c r="AO37" s="68">
        <f>CIF!$X$7+VLOOKUP($AO$5&amp;$E37,OCEAN!$E:$J,5,FALSE)</f>
        <v>519.65517241379314</v>
      </c>
      <c r="AP37" s="68">
        <f>CIF!$X$8+VLOOKUP($AP$5&amp;$E37,OCEAN!$E:$J,5,FALSE)</f>
        <v>503.31818181818176</v>
      </c>
      <c r="AQ37" s="68">
        <f>CIF!$X$9+VLOOKUP($AQ$5&amp;$E37,OCEAN!$E:$J,5,FALSE)</f>
        <v>359.54545454545462</v>
      </c>
      <c r="AR37" s="68">
        <f t="shared" si="27"/>
        <v>475.68652037617562</v>
      </c>
      <c r="AS37" s="68">
        <f t="shared" si="28"/>
        <v>431.43181818181819</v>
      </c>
      <c r="AV37" s="68">
        <f>CIF!$X$16+VLOOKUP($AV$6&amp;$E37,OCEAN!$E:$J,5,FALSE)</f>
        <v>219.54095981130365</v>
      </c>
      <c r="AW37" s="540">
        <f>CIF!$X$17+VLOOKUP($AW$6&amp;$E37,OCEAN!$E:$J,5,FALSE)</f>
        <v>299.37403610632316</v>
      </c>
      <c r="AX37" s="68">
        <f>COSTS!C15+COSTS!D15+COSTS!E15</f>
        <v>42.784802422208109</v>
      </c>
      <c r="AY37" s="68">
        <f>COSTS!C15+COSTS!D15+COSTS!E15</f>
        <v>42.784802422208109</v>
      </c>
      <c r="AZ37" s="68">
        <f>COSTS!C15+COSTS!D15+COSTS!E15</f>
        <v>42.784802422208109</v>
      </c>
      <c r="BA37" s="68">
        <f>COSTS!C15+COSTS!D15+COSTS!E15</f>
        <v>42.784802422208109</v>
      </c>
      <c r="BB37" s="68">
        <f>COSTS!C15+COSTS!D15+COSTS!E15</f>
        <v>42.784802422208109</v>
      </c>
      <c r="BC37" s="68">
        <f>COSTS!C15+COSTS!D15+COSTS!E15</f>
        <v>42.784802422208109</v>
      </c>
      <c r="BD37" s="68">
        <f>COSTS!C15+COSTS!D15+COSTS!E15</f>
        <v>42.784802422208109</v>
      </c>
      <c r="BE37" s="68">
        <f>COSTS!C15+COSTS!D15+COSTS!E15</f>
        <v>42.784802422208109</v>
      </c>
      <c r="BF37" s="68">
        <f>COSTS!C15+COSTS!D15+COSTS!E15</f>
        <v>42.784802422208109</v>
      </c>
      <c r="BG37" s="68">
        <f>COSTS!I15+COSTS!J15+COSTS!K15</f>
        <v>105</v>
      </c>
      <c r="BH37" s="540">
        <f>COSTS!O15+COSTS!P15+COSTS!Q15</f>
        <v>60.088799999999999</v>
      </c>
      <c r="BI37" s="399">
        <f>COSTS!F15+COSTS!G15+COSTS!H15</f>
        <v>117.39726027397259</v>
      </c>
      <c r="BJ37" s="68">
        <f>COSTS!F15+COSTS!G15+COSTS!H15</f>
        <v>117.39726027397259</v>
      </c>
      <c r="BK37" s="68">
        <f>COSTS!F15+COSTS!G15+COSTS!H15</f>
        <v>117.39726027397259</v>
      </c>
      <c r="BL37" s="68">
        <f>COSTS!F15+COSTS!G15+COSTS!H15</f>
        <v>117.39726027397259</v>
      </c>
      <c r="BM37" s="68">
        <f>COSTS!F15+COSTS!G15+COSTS!H15</f>
        <v>117.39726027397259</v>
      </c>
      <c r="BN37" s="68">
        <f>COSTS!F15+COSTS!G15+COSTS!H15</f>
        <v>117.39726027397259</v>
      </c>
      <c r="BO37" s="68">
        <f>COSTS!F15+COSTS!G15+COSTS!H15</f>
        <v>117.39726027397259</v>
      </c>
      <c r="BP37" s="68">
        <f>COSTS!F15+COSTS!G15+COSTS!H15</f>
        <v>117.39726027397259</v>
      </c>
      <c r="BQ37" s="68">
        <f>COSTS!F15+COSTS!G15+COSTS!H15</f>
        <v>117.39726027397259</v>
      </c>
      <c r="BR37" s="68">
        <f>COSTS!L15+COSTS!M15+COSTS!N15</f>
        <v>187.26027397260276</v>
      </c>
      <c r="BS37" s="68">
        <f>COSTS!R15+COSTS!S15+COSTS!T15</f>
        <v>234</v>
      </c>
      <c r="BT37" s="399">
        <f t="shared" si="52"/>
        <v>1310.910233055233</v>
      </c>
      <c r="BU37" s="68">
        <f t="shared" si="53"/>
        <v>1413.7749013652867</v>
      </c>
      <c r="BV37" s="68">
        <f t="shared" si="54"/>
        <v>1468.7604558228495</v>
      </c>
      <c r="BW37" s="68">
        <f t="shared" si="55"/>
        <v>1095.0649717870901</v>
      </c>
      <c r="BX37" s="68">
        <f t="shared" si="56"/>
        <v>934.07932009920512</v>
      </c>
      <c r="BY37" s="68">
        <f t="shared" si="57"/>
        <v>1171.8070733388608</v>
      </c>
      <c r="BZ37" s="68">
        <f t="shared" si="58"/>
        <v>1011.703325207288</v>
      </c>
      <c r="CA37" s="68">
        <f t="shared" si="59"/>
        <v>160.18206269618071</v>
      </c>
      <c r="CB37" s="68">
        <f t="shared" si="60"/>
        <v>160.18206269618071</v>
      </c>
      <c r="CC37" s="68">
        <f t="shared" si="42"/>
        <v>511.80123378390641</v>
      </c>
      <c r="CD37" s="68">
        <f t="shared" si="61"/>
        <v>593.46283610632315</v>
      </c>
      <c r="CE37" s="399">
        <f t="shared" si="43"/>
        <v>88.439477126788461</v>
      </c>
      <c r="CF37" s="68">
        <f t="shared" si="44"/>
        <v>187.64010408603667</v>
      </c>
      <c r="CG37" s="68">
        <f t="shared" si="45"/>
        <v>184.19966521456331</v>
      </c>
      <c r="CH37" s="68">
        <f t="shared" si="46"/>
        <v>173.46220439951617</v>
      </c>
      <c r="CI37" s="68">
        <f t="shared" si="47"/>
        <v>141.16674985406178</v>
      </c>
      <c r="CJ37" s="68">
        <f t="shared" si="48"/>
        <v>147.81447712678903</v>
      </c>
      <c r="CK37" s="68">
        <f t="shared" si="49"/>
        <v>158.09856803587991</v>
      </c>
      <c r="CN37" s="68">
        <f t="shared" si="50"/>
        <v>163.80123378390641</v>
      </c>
      <c r="CO37" s="540">
        <f t="shared" si="51"/>
        <v>309.46283610632315</v>
      </c>
    </row>
    <row r="38" spans="1:93" ht="12.5" thickBot="1">
      <c r="A38" s="392" t="s">
        <v>1670</v>
      </c>
      <c r="B38" s="541" t="s">
        <v>1671</v>
      </c>
      <c r="C38" s="542">
        <v>37</v>
      </c>
      <c r="D38" s="543">
        <v>14</v>
      </c>
      <c r="E38" s="466" t="s">
        <v>1750</v>
      </c>
      <c r="F38" s="399">
        <f t="shared" si="4"/>
        <v>307.52023809523791</v>
      </c>
      <c r="G38" s="68">
        <f t="shared" si="5"/>
        <v>308.68205128205102</v>
      </c>
      <c r="H38" s="68">
        <f t="shared" si="6"/>
        <v>452.33045977011483</v>
      </c>
      <c r="I38" s="68">
        <f t="shared" si="7"/>
        <v>106.65000000000011</v>
      </c>
      <c r="J38" s="68">
        <f t="shared" si="8"/>
        <v>63.672812667740246</v>
      </c>
      <c r="K38" s="68">
        <f t="shared" si="9"/>
        <v>198.76926464016665</v>
      </c>
      <c r="L38" s="68">
        <f t="shared" si="10"/>
        <v>77.998541778493532</v>
      </c>
      <c r="P38" s="66"/>
      <c r="Q38" s="399">
        <f t="shared" si="11"/>
        <v>192.33065953654184</v>
      </c>
      <c r="R38" s="68">
        <f t="shared" si="12"/>
        <v>294.60561497326216</v>
      </c>
      <c r="S38" s="68">
        <f t="shared" si="13"/>
        <v>205.94276094276094</v>
      </c>
      <c r="T38" s="68">
        <f t="shared" si="14"/>
        <v>212.56872727272739</v>
      </c>
      <c r="U38" s="68">
        <f t="shared" si="15"/>
        <v>222.95738525155809</v>
      </c>
      <c r="V38" s="68">
        <f t="shared" si="16"/>
        <v>211.35138365102929</v>
      </c>
      <c r="W38" s="68">
        <f t="shared" si="17"/>
        <v>219.49449925861452</v>
      </c>
      <c r="AA38" s="66"/>
      <c r="AB38" s="399">
        <f t="shared" si="18"/>
        <v>130.64999999999989</v>
      </c>
      <c r="AC38" s="68">
        <f t="shared" si="19"/>
        <v>130.64999999999989</v>
      </c>
      <c r="AD38" s="68">
        <f t="shared" si="20"/>
        <v>130.65000000000006</v>
      </c>
      <c r="AE38" s="68">
        <f t="shared" si="21"/>
        <v>112.3460000000001</v>
      </c>
      <c r="AF38" s="68">
        <f t="shared" si="22"/>
        <v>127.72160493827144</v>
      </c>
      <c r="AG38" s="68">
        <f t="shared" si="23"/>
        <v>125.8178419753086</v>
      </c>
      <c r="AH38" s="68">
        <f t="shared" si="24"/>
        <v>122.59640329218099</v>
      </c>
      <c r="AI38" s="87">
        <f t="shared" si="25"/>
        <v>0</v>
      </c>
      <c r="AJ38" s="87">
        <f t="shared" si="26"/>
        <v>0</v>
      </c>
      <c r="AM38" s="399">
        <f>CIF!$X$5+VLOOKUP($AM$5&amp;$E38,OCEAN!$E:$J,5,FALSE)</f>
        <v>787.5</v>
      </c>
      <c r="AN38" s="68">
        <f>CIF!$X$6+VLOOKUP($AN$5&amp;$E38,OCEAN!$E:$J,5,FALSE)</f>
        <v>638.74608150470226</v>
      </c>
      <c r="AO38" s="68">
        <f>CIF!$X$7+VLOOKUP($AO$5&amp;$E38,OCEAN!$E:$J,5,FALSE)</f>
        <v>638.74608150470226</v>
      </c>
      <c r="AP38" s="68">
        <f>CIF!$X$8+VLOOKUP($AP$5&amp;$E38,OCEAN!$E:$J,5,FALSE)</f>
        <v>570.59090909090912</v>
      </c>
      <c r="AQ38" s="68">
        <f>CIF!$X$9+VLOOKUP($AQ$5&amp;$E38,OCEAN!$E:$J,5,FALSE)</f>
        <v>377.04545454545462</v>
      </c>
      <c r="AR38" s="68">
        <f t="shared" si="27"/>
        <v>593.4706112852665</v>
      </c>
      <c r="AS38" s="68">
        <f t="shared" si="28"/>
        <v>473.81818181818187</v>
      </c>
      <c r="AV38" s="68">
        <f>CIF!$X$16+VLOOKUP($AV$6&amp;$E38,OCEAN!$E:$J,5,FALSE)</f>
        <v>254.01433366597115</v>
      </c>
      <c r="AW38" s="540">
        <f>CIF!$X$17+VLOOKUP($AW$6&amp;$E38,OCEAN!$E:$J,5,FALSE)</f>
        <v>707.61135806949108</v>
      </c>
      <c r="AX38" s="68">
        <f>COSTS!C16+COSTS!D16+COSTS!E16</f>
        <v>87.973924122289759</v>
      </c>
      <c r="AY38" s="68">
        <f>COSTS!C16+COSTS!D16+COSTS!E16</f>
        <v>87.973924122289759</v>
      </c>
      <c r="AZ38" s="68">
        <f>COSTS!C16+COSTS!D16+COSTS!E16</f>
        <v>87.973924122289759</v>
      </c>
      <c r="BA38" s="68">
        <f>COSTS!C16+COSTS!D16+COSTS!E16</f>
        <v>87.973924122289759</v>
      </c>
      <c r="BB38" s="68">
        <f>COSTS!C16+COSTS!D16+COSTS!E16</f>
        <v>87.973924122289759</v>
      </c>
      <c r="BC38" s="68">
        <f>COSTS!C16+COSTS!D16+COSTS!E16</f>
        <v>87.973924122289759</v>
      </c>
      <c r="BD38" s="68">
        <f>COSTS!C16+COSTS!D16+COSTS!E16</f>
        <v>87.973924122289759</v>
      </c>
      <c r="BE38" s="68">
        <f>COSTS!C16+COSTS!D16+COSTS!E16</f>
        <v>87.973924122289759</v>
      </c>
      <c r="BF38" s="68">
        <f>COSTS!C16+COSTS!D16+COSTS!E16</f>
        <v>87.973924122289759</v>
      </c>
      <c r="BG38" s="68">
        <f>COSTS!I16+COSTS!J16+COSTS!K16</f>
        <v>110</v>
      </c>
      <c r="BH38" s="540">
        <f>COSTS!O16+COSTS!P16+COSTS!Q16</f>
        <v>48.088799999999999</v>
      </c>
      <c r="BI38" s="399">
        <f>COSTS!F16+COSTS!G16+COSTS!H16</f>
        <v>123.63013698630138</v>
      </c>
      <c r="BJ38" s="68">
        <f>COSTS!F16+COSTS!G16+COSTS!H16</f>
        <v>123.63013698630138</v>
      </c>
      <c r="BK38" s="68">
        <f>COSTS!F16+COSTS!G16+COSTS!H16</f>
        <v>123.63013698630138</v>
      </c>
      <c r="BL38" s="68">
        <f>COSTS!F16+COSTS!G16+COSTS!H16</f>
        <v>123.63013698630138</v>
      </c>
      <c r="BM38" s="68">
        <f>COSTS!F16+COSTS!G16+COSTS!H16</f>
        <v>123.63013698630138</v>
      </c>
      <c r="BN38" s="68">
        <f>COSTS!F16+COSTS!G16+COSTS!H16</f>
        <v>123.63013698630138</v>
      </c>
      <c r="BO38" s="68">
        <f>COSTS!F16+COSTS!G16+COSTS!H16</f>
        <v>123.63013698630138</v>
      </c>
      <c r="BP38" s="68">
        <f>COSTS!F16+COSTS!G16+COSTS!H16</f>
        <v>123.63013698630138</v>
      </c>
      <c r="BQ38" s="68">
        <f>COSTS!F16+COSTS!G16+COSTS!H16</f>
        <v>123.63013698630138</v>
      </c>
      <c r="BR38" s="68">
        <f>COSTS!L16+COSTS!M16+COSTS!N16</f>
        <v>187.26027397260276</v>
      </c>
      <c r="BS38" s="68">
        <f>COSTS!M16+COSTS!N16+COSTS!O16</f>
        <v>128.26027397260276</v>
      </c>
      <c r="BT38" s="399">
        <f t="shared" si="52"/>
        <v>1629.6049587403704</v>
      </c>
      <c r="BU38" s="68">
        <f t="shared" si="53"/>
        <v>1584.2878088686061</v>
      </c>
      <c r="BV38" s="68">
        <f t="shared" si="54"/>
        <v>1639.2733633261691</v>
      </c>
      <c r="BW38" s="68">
        <f t="shared" si="55"/>
        <v>1213.7596974722278</v>
      </c>
      <c r="BX38" s="68">
        <f t="shared" si="56"/>
        <v>1003.0013185116155</v>
      </c>
      <c r="BY38" s="68">
        <f t="shared" si="57"/>
        <v>1341.013162660362</v>
      </c>
      <c r="BZ38" s="68">
        <f t="shared" si="58"/>
        <v>1105.511687256062</v>
      </c>
      <c r="CA38" s="68">
        <f t="shared" si="59"/>
        <v>211.60406110859114</v>
      </c>
      <c r="CB38" s="68">
        <f t="shared" si="60"/>
        <v>211.60406110859114</v>
      </c>
      <c r="CC38" s="68">
        <f t="shared" si="42"/>
        <v>551.27460763857391</v>
      </c>
      <c r="CD38" s="68">
        <f t="shared" si="61"/>
        <v>883.96043204209377</v>
      </c>
      <c r="CE38" s="399">
        <f t="shared" si="43"/>
        <v>407.13420281192589</v>
      </c>
      <c r="CF38" s="68">
        <f t="shared" si="44"/>
        <v>358.15301158935608</v>
      </c>
      <c r="CG38" s="68">
        <f t="shared" si="45"/>
        <v>354.71257271788295</v>
      </c>
      <c r="CH38" s="68">
        <f t="shared" si="46"/>
        <v>292.15693008465382</v>
      </c>
      <c r="CI38" s="68">
        <f t="shared" si="47"/>
        <v>210.08874826647218</v>
      </c>
      <c r="CJ38" s="68">
        <f t="shared" si="48"/>
        <v>317.0205664482902</v>
      </c>
      <c r="CK38" s="68">
        <f t="shared" si="49"/>
        <v>251.90693008465394</v>
      </c>
      <c r="CN38" s="68" t="s">
        <v>2215</v>
      </c>
      <c r="CO38" s="540">
        <f t="shared" si="51"/>
        <v>599.96043204209377</v>
      </c>
    </row>
    <row r="39" spans="1:93">
      <c r="A39" s="67"/>
      <c r="B39" s="131"/>
      <c r="C39" s="87"/>
      <c r="D39" s="87"/>
      <c r="E39" s="83" t="s">
        <v>1751</v>
      </c>
      <c r="F39" s="399">
        <f t="shared" si="4"/>
        <v>307.52023809523791</v>
      </c>
      <c r="G39" s="68">
        <f t="shared" si="5"/>
        <v>308.68205128205102</v>
      </c>
      <c r="H39" s="68">
        <f t="shared" si="6"/>
        <v>452.33045977011483</v>
      </c>
      <c r="I39" s="68">
        <f t="shared" si="7"/>
        <v>106.65000000000011</v>
      </c>
      <c r="J39" s="68">
        <f t="shared" si="8"/>
        <v>63.672812667740246</v>
      </c>
      <c r="K39" s="68">
        <f t="shared" si="9"/>
        <v>198.76926464016665</v>
      </c>
      <c r="L39" s="68">
        <f t="shared" si="10"/>
        <v>77.998541778493532</v>
      </c>
      <c r="P39" s="66"/>
      <c r="Q39" s="399">
        <f t="shared" si="11"/>
        <v>192.33065953654184</v>
      </c>
      <c r="R39" s="68">
        <f t="shared" si="12"/>
        <v>294.60561497326216</v>
      </c>
      <c r="S39" s="68">
        <f t="shared" si="13"/>
        <v>205.94276094276094</v>
      </c>
      <c r="T39" s="68">
        <f t="shared" si="14"/>
        <v>212.56872727272739</v>
      </c>
      <c r="U39" s="68">
        <f t="shared" si="15"/>
        <v>222.95738525155809</v>
      </c>
      <c r="V39" s="68">
        <f t="shared" si="16"/>
        <v>211.35138365102929</v>
      </c>
      <c r="W39" s="68">
        <f t="shared" si="17"/>
        <v>219.49449925861452</v>
      </c>
      <c r="AA39" s="66"/>
      <c r="AB39" s="399">
        <f t="shared" si="18"/>
        <v>130.64999999999989</v>
      </c>
      <c r="AC39" s="68">
        <f t="shared" si="19"/>
        <v>130.64999999999989</v>
      </c>
      <c r="AD39" s="68">
        <f t="shared" si="20"/>
        <v>130.65000000000006</v>
      </c>
      <c r="AE39" s="68">
        <f t="shared" si="21"/>
        <v>112.3460000000001</v>
      </c>
      <c r="AF39" s="68">
        <f t="shared" si="22"/>
        <v>127.72160493827144</v>
      </c>
      <c r="AG39" s="68">
        <f t="shared" si="23"/>
        <v>125.8178419753086</v>
      </c>
      <c r="AH39" s="68">
        <f t="shared" si="24"/>
        <v>122.59640329218099</v>
      </c>
      <c r="AI39" s="87">
        <f t="shared" si="25"/>
        <v>0</v>
      </c>
      <c r="AJ39" s="87">
        <f t="shared" si="26"/>
        <v>0</v>
      </c>
      <c r="AM39" s="399">
        <f>CIF!$X$5+VLOOKUP($AM$5&amp;$E39,OCEAN!$E:$J,5,FALSE)</f>
        <v>1082.7272727272725</v>
      </c>
      <c r="AN39" s="68">
        <f>CIF!$X$6+VLOOKUP($AN$5&amp;$E39,OCEAN!$E:$J,5,FALSE)</f>
        <v>646.24608150470226</v>
      </c>
      <c r="AO39" s="68">
        <f>CIF!$X$7+VLOOKUP($AO$5&amp;$E39,OCEAN!$E:$J,5,FALSE)</f>
        <v>646.24608150470226</v>
      </c>
      <c r="AP39" s="68">
        <f>CIF!$X$8+VLOOKUP($AP$5&amp;$E39,OCEAN!$E:$J,5,FALSE)</f>
        <v>609</v>
      </c>
      <c r="AQ39" s="68">
        <f>CIF!$X$9+VLOOKUP($AQ$5&amp;$E39,OCEAN!$E:$J,5,FALSE)</f>
        <v>467.95454545454555</v>
      </c>
      <c r="AR39" s="68">
        <f t="shared" si="27"/>
        <v>701.48197492163001</v>
      </c>
      <c r="AS39" s="68">
        <f t="shared" si="28"/>
        <v>538.47727272727275</v>
      </c>
      <c r="AV39" s="68">
        <f>CIF!$X$16+VLOOKUP($AV$6&amp;$E39,OCEAN!$E:$J,5,FALSE)</f>
        <v>254.01433366597115</v>
      </c>
      <c r="AW39" s="540">
        <f>CIF!$X$17+VLOOKUP($AW$6&amp;$E39,OCEAN!$E:$J,5,FALSE)</f>
        <v>707.61135806949108</v>
      </c>
      <c r="AX39" s="68">
        <f>COSTS!C16+COSTS!D16+COSTS!E16</f>
        <v>87.973924122289759</v>
      </c>
      <c r="AY39" s="68">
        <f>COSTS!C16+COSTS!D16+COSTS!E16</f>
        <v>87.973924122289759</v>
      </c>
      <c r="AZ39" s="68">
        <f>COSTS!C16+COSTS!D16+COSTS!E16</f>
        <v>87.973924122289759</v>
      </c>
      <c r="BA39" s="68">
        <f>COSTS!C16+COSTS!D16+COSTS!E16</f>
        <v>87.973924122289759</v>
      </c>
      <c r="BB39" s="68">
        <f>COSTS!C16+COSTS!D16+COSTS!E16</f>
        <v>87.973924122289759</v>
      </c>
      <c r="BC39" s="68">
        <f>COSTS!C16+COSTS!D16+COSTS!E16</f>
        <v>87.973924122289759</v>
      </c>
      <c r="BD39" s="68">
        <f>COSTS!C16+COSTS!D16+COSTS!E16</f>
        <v>87.973924122289759</v>
      </c>
      <c r="BE39" s="68">
        <f>COSTS!C16+COSTS!D16+COSTS!E16</f>
        <v>87.973924122289759</v>
      </c>
      <c r="BF39" s="68">
        <f>COSTS!C16+COSTS!D16+COSTS!E16</f>
        <v>87.973924122289759</v>
      </c>
      <c r="BG39" s="68">
        <f>COSTS!I16+COSTS!J16+COSTS!K16</f>
        <v>110</v>
      </c>
      <c r="BH39" s="540">
        <f>COSTS!O16+COSTS!P16+COSTS!Q16</f>
        <v>48.088799999999999</v>
      </c>
      <c r="BI39" s="399">
        <f>COSTS!F16+COSTS!G16+COSTS!H16</f>
        <v>123.63013698630138</v>
      </c>
      <c r="BJ39" s="68">
        <f>COSTS!F16+COSTS!G16+COSTS!H16</f>
        <v>123.63013698630138</v>
      </c>
      <c r="BK39" s="68">
        <f>COSTS!F16+COSTS!G16+COSTS!H16</f>
        <v>123.63013698630138</v>
      </c>
      <c r="BL39" s="68">
        <f>COSTS!F16+COSTS!G16+COSTS!H16</f>
        <v>123.63013698630138</v>
      </c>
      <c r="BM39" s="68">
        <f>COSTS!F16+COSTS!G16+COSTS!H16</f>
        <v>123.63013698630138</v>
      </c>
      <c r="BN39" s="68">
        <f>COSTS!F16+COSTS!G16+COSTS!H16</f>
        <v>123.63013698630138</v>
      </c>
      <c r="BO39" s="68">
        <f>COSTS!F16+COSTS!G16+COSTS!H16</f>
        <v>123.63013698630138</v>
      </c>
      <c r="BP39" s="68">
        <f>COSTS!F16+COSTS!G16+COSTS!H16</f>
        <v>123.63013698630138</v>
      </c>
      <c r="BQ39" s="68">
        <f>COSTS!F16+COSTS!G16+COSTS!H16</f>
        <v>123.63013698630138</v>
      </c>
      <c r="BR39" s="68">
        <f>COSTS!L16+COSTS!M16+COSTS!N16</f>
        <v>187.26027397260276</v>
      </c>
      <c r="BS39" s="68">
        <f>COSTS!M16+COSTS!N16+COSTS!O16</f>
        <v>128.26027397260276</v>
      </c>
      <c r="BT39" s="399">
        <f t="shared" si="52"/>
        <v>1924.8322314676429</v>
      </c>
      <c r="BU39" s="68">
        <f t="shared" si="53"/>
        <v>1591.7878088686061</v>
      </c>
      <c r="BV39" s="68">
        <f t="shared" si="54"/>
        <v>1646.7733633261691</v>
      </c>
      <c r="BW39" s="68">
        <f t="shared" si="55"/>
        <v>1252.1687883813188</v>
      </c>
      <c r="BX39" s="68">
        <f t="shared" si="56"/>
        <v>1093.9104094207064</v>
      </c>
      <c r="BY39" s="68">
        <f t="shared" si="57"/>
        <v>1449.0245262967255</v>
      </c>
      <c r="BZ39" s="68">
        <f t="shared" si="58"/>
        <v>1170.170778165153</v>
      </c>
      <c r="CA39" s="68">
        <f t="shared" si="59"/>
        <v>211.60406110859114</v>
      </c>
      <c r="CB39" s="68">
        <f t="shared" si="60"/>
        <v>211.60406110859114</v>
      </c>
      <c r="CC39" s="68">
        <f t="shared" si="42"/>
        <v>551.27460763857391</v>
      </c>
      <c r="CD39" s="68">
        <f t="shared" si="61"/>
        <v>883.96043204209377</v>
      </c>
      <c r="CE39" s="399">
        <f t="shared" si="43"/>
        <v>702.36147553919841</v>
      </c>
      <c r="CF39" s="68">
        <f t="shared" si="44"/>
        <v>365.65301158935608</v>
      </c>
      <c r="CG39" s="68">
        <f t="shared" si="45"/>
        <v>362.21257271788295</v>
      </c>
      <c r="CH39" s="68">
        <f t="shared" si="46"/>
        <v>330.56602099374481</v>
      </c>
      <c r="CI39" s="68">
        <f t="shared" si="47"/>
        <v>300.99783917556306</v>
      </c>
      <c r="CJ39" s="68">
        <f t="shared" si="48"/>
        <v>425.03193008465371</v>
      </c>
      <c r="CK39" s="68">
        <f t="shared" si="49"/>
        <v>316.56602099374493</v>
      </c>
      <c r="CN39" s="68">
        <f t="shared" si="50"/>
        <v>203.27460763857391</v>
      </c>
      <c r="CO39" s="540">
        <f t="shared" si="51"/>
        <v>599.96043204209377</v>
      </c>
    </row>
    <row r="40" spans="1:93" ht="12.5" thickBot="1">
      <c r="A40" s="80"/>
      <c r="B40" s="460"/>
      <c r="C40" s="91"/>
      <c r="D40" s="91"/>
      <c r="E40" s="461" t="s">
        <v>1783</v>
      </c>
      <c r="F40" s="399">
        <f t="shared" si="4"/>
        <v>307.52023809523791</v>
      </c>
      <c r="G40" s="68">
        <f t="shared" si="5"/>
        <v>308.68205128205102</v>
      </c>
      <c r="H40" s="68">
        <f t="shared" si="6"/>
        <v>452.33045977011483</v>
      </c>
      <c r="I40" s="68">
        <f t="shared" si="7"/>
        <v>106.65000000000011</v>
      </c>
      <c r="J40" s="68">
        <f t="shared" si="8"/>
        <v>63.672812667740246</v>
      </c>
      <c r="K40" s="68">
        <f t="shared" si="9"/>
        <v>198.76926464016665</v>
      </c>
      <c r="L40" s="68">
        <f t="shared" si="10"/>
        <v>77.998541778493532</v>
      </c>
      <c r="P40" s="66"/>
      <c r="Q40" s="399">
        <f t="shared" si="11"/>
        <v>192.33065953654184</v>
      </c>
      <c r="R40" s="68">
        <f t="shared" si="12"/>
        <v>294.60561497326216</v>
      </c>
      <c r="S40" s="68">
        <f t="shared" si="13"/>
        <v>205.94276094276094</v>
      </c>
      <c r="T40" s="68">
        <f t="shared" si="14"/>
        <v>212.56872727272739</v>
      </c>
      <c r="U40" s="68">
        <f t="shared" si="15"/>
        <v>222.95738525155809</v>
      </c>
      <c r="V40" s="68">
        <f t="shared" si="16"/>
        <v>211.35138365102929</v>
      </c>
      <c r="W40" s="68">
        <f t="shared" si="17"/>
        <v>219.49449925861452</v>
      </c>
      <c r="AA40" s="66"/>
      <c r="AB40" s="399">
        <f t="shared" si="18"/>
        <v>130.64999999999989</v>
      </c>
      <c r="AC40" s="68">
        <f t="shared" si="19"/>
        <v>130.64999999999989</v>
      </c>
      <c r="AD40" s="68">
        <f t="shared" si="20"/>
        <v>130.65000000000006</v>
      </c>
      <c r="AE40" s="68">
        <f t="shared" si="21"/>
        <v>112.3460000000001</v>
      </c>
      <c r="AF40" s="68">
        <f t="shared" si="22"/>
        <v>127.72160493827144</v>
      </c>
      <c r="AG40" s="68">
        <f t="shared" si="23"/>
        <v>125.8178419753086</v>
      </c>
      <c r="AH40" s="68">
        <f t="shared" si="24"/>
        <v>122.59640329218099</v>
      </c>
      <c r="AI40" s="87">
        <f t="shared" si="25"/>
        <v>0</v>
      </c>
      <c r="AJ40" s="87">
        <f t="shared" si="26"/>
        <v>0</v>
      </c>
      <c r="AM40" s="399">
        <f>CIF!$X$5+VLOOKUP($AM$5&amp;$E40,OCEAN!$E:$J,5,FALSE)</f>
        <v>1083.409090909091</v>
      </c>
      <c r="AN40" s="68">
        <f>CIF!$X$6+VLOOKUP($AN$5&amp;$E40,OCEAN!$E:$J,5,FALSE)</f>
        <v>607.60971786833863</v>
      </c>
      <c r="AO40" s="68">
        <f>CIF!$X$7+VLOOKUP($AO$5&amp;$E40,OCEAN!$E:$J,5,FALSE)</f>
        <v>607.60971786833863</v>
      </c>
      <c r="AP40" s="68">
        <f>CIF!$X$8+VLOOKUP($AP$5&amp;$E40,OCEAN!$E:$J,5,FALSE)</f>
        <v>633.5454545454545</v>
      </c>
      <c r="AQ40" s="68">
        <f>CIF!$X$9+VLOOKUP($AQ$5&amp;$E40,OCEAN!$E:$J,5,FALSE)</f>
        <v>474.31818181818187</v>
      </c>
      <c r="AR40" s="68">
        <f t="shared" si="27"/>
        <v>699.7206112852665</v>
      </c>
      <c r="AS40" s="68">
        <f t="shared" si="28"/>
        <v>553.93181818181824</v>
      </c>
      <c r="AV40" s="68">
        <f>CIF!$X$16+VLOOKUP($AV$6&amp;$E40,OCEAN!$E:$J,5,FALSE)</f>
        <v>262.36051891499596</v>
      </c>
      <c r="AW40" s="540" t="e">
        <f>CIF!$X$17+VLOOKUP($AW$6&amp;$E40,OCEAN!$E:$J,5,FALSE)</f>
        <v>#N/A</v>
      </c>
      <c r="AX40" s="68">
        <f>COSTS!C16+COSTS!D16+COSTS!E16</f>
        <v>87.973924122289759</v>
      </c>
      <c r="AY40" s="68">
        <f>COSTS!C16+COSTS!D16+COSTS!E16</f>
        <v>87.973924122289759</v>
      </c>
      <c r="AZ40" s="68">
        <f>COSTS!C16+COSTS!D16+COSTS!E16</f>
        <v>87.973924122289759</v>
      </c>
      <c r="BA40" s="68">
        <f>COSTS!C16+COSTS!D16+COSTS!E16</f>
        <v>87.973924122289759</v>
      </c>
      <c r="BB40" s="68">
        <f>COSTS!C16+COSTS!D16+COSTS!E16</f>
        <v>87.973924122289759</v>
      </c>
      <c r="BC40" s="68">
        <f>COSTS!C16+COSTS!D16+COSTS!E16</f>
        <v>87.973924122289759</v>
      </c>
      <c r="BD40" s="68">
        <f>COSTS!C16+COSTS!D16+COSTS!E16</f>
        <v>87.973924122289759</v>
      </c>
      <c r="BE40" s="68">
        <f>COSTS!C16+COSTS!D16+COSTS!E16</f>
        <v>87.973924122289759</v>
      </c>
      <c r="BF40" s="68">
        <f>COSTS!C16+COSTS!D16+COSTS!E16</f>
        <v>87.973924122289759</v>
      </c>
      <c r="BG40" s="68">
        <f>COSTS!I16+COSTS!J16+COSTS!K16</f>
        <v>110</v>
      </c>
      <c r="BH40" s="540"/>
      <c r="BI40" s="399">
        <f>COSTS!F16+COSTS!G16+COSTS!H16</f>
        <v>123.63013698630138</v>
      </c>
      <c r="BJ40" s="68">
        <f>COSTS!F16+COSTS!G16+COSTS!H16</f>
        <v>123.63013698630138</v>
      </c>
      <c r="BK40" s="68">
        <f>COSTS!F16+COSTS!G16+COSTS!H16</f>
        <v>123.63013698630138</v>
      </c>
      <c r="BL40" s="68">
        <f>COSTS!F16+COSTS!G16+COSTS!H16</f>
        <v>123.63013698630138</v>
      </c>
      <c r="BM40" s="68">
        <f>COSTS!F16+COSTS!G16+COSTS!H16</f>
        <v>123.63013698630138</v>
      </c>
      <c r="BN40" s="68">
        <f>COSTS!F16+COSTS!G16+COSTS!H16</f>
        <v>123.63013698630138</v>
      </c>
      <c r="BO40" s="68">
        <f>COSTS!F16+COSTS!G16+COSTS!H16</f>
        <v>123.63013698630138</v>
      </c>
      <c r="BP40" s="68">
        <f>COSTS!F16+COSTS!G16+COSTS!H16</f>
        <v>123.63013698630138</v>
      </c>
      <c r="BQ40" s="68">
        <f>COSTS!F16+COSTS!G16+COSTS!H16</f>
        <v>123.63013698630138</v>
      </c>
      <c r="BR40" s="68">
        <f>COSTS!L16+COSTS!M16+COSTS!N16</f>
        <v>187.26027397260276</v>
      </c>
      <c r="BS40" s="68">
        <f>COSTS!M16+COSTS!N16+COSTS!O16</f>
        <v>128.26027397260276</v>
      </c>
      <c r="BT40" s="399">
        <f t="shared" si="52"/>
        <v>1925.5140496494614</v>
      </c>
      <c r="BU40" s="68">
        <f t="shared" si="53"/>
        <v>1553.1514452322426</v>
      </c>
      <c r="BV40" s="68">
        <f t="shared" si="54"/>
        <v>1608.1369996898056</v>
      </c>
      <c r="BW40" s="68">
        <f t="shared" si="55"/>
        <v>1276.7142429267733</v>
      </c>
      <c r="BX40" s="68">
        <f t="shared" si="56"/>
        <v>1100.2740457843427</v>
      </c>
      <c r="BY40" s="68">
        <f t="shared" si="57"/>
        <v>1447.263162660362</v>
      </c>
      <c r="BZ40" s="68">
        <f t="shared" si="58"/>
        <v>1185.6253236196985</v>
      </c>
      <c r="CA40" s="68">
        <f t="shared" si="59"/>
        <v>211.60406110859114</v>
      </c>
      <c r="CB40" s="68">
        <f t="shared" si="60"/>
        <v>211.60406110859114</v>
      </c>
      <c r="CC40" s="68">
        <f t="shared" si="42"/>
        <v>559.62079288759878</v>
      </c>
      <c r="CD40" s="68" t="e">
        <f t="shared" si="61"/>
        <v>#N/A</v>
      </c>
      <c r="CE40" s="399">
        <f t="shared" si="43"/>
        <v>703.04329372101688</v>
      </c>
      <c r="CF40" s="68">
        <f t="shared" si="44"/>
        <v>327.01664795299257</v>
      </c>
      <c r="CG40" s="68">
        <f t="shared" si="45"/>
        <v>323.57620908151944</v>
      </c>
      <c r="CH40" s="68">
        <f t="shared" si="46"/>
        <v>355.11147553919932</v>
      </c>
      <c r="CI40" s="68">
        <f t="shared" si="47"/>
        <v>307.36147553919932</v>
      </c>
      <c r="CJ40" s="68">
        <f t="shared" si="48"/>
        <v>423.2705664482902</v>
      </c>
      <c r="CK40" s="68">
        <f t="shared" si="49"/>
        <v>332.02056644829042</v>
      </c>
      <c r="CN40" s="68">
        <f t="shared" si="50"/>
        <v>211.62079288759878</v>
      </c>
      <c r="CO40" s="540" t="e">
        <f t="shared" si="51"/>
        <v>#N/A</v>
      </c>
    </row>
    <row r="41" spans="1:93" ht="12.5" thickBot="1">
      <c r="A41" s="95" t="s">
        <v>821</v>
      </c>
      <c r="B41" s="393" t="s">
        <v>1674</v>
      </c>
      <c r="C41" s="472"/>
      <c r="D41" s="473" t="s">
        <v>1889</v>
      </c>
      <c r="E41" s="83" t="s">
        <v>1879</v>
      </c>
      <c r="F41" s="561">
        <f t="shared" si="4"/>
        <v>307.52023809523791</v>
      </c>
      <c r="G41" s="562">
        <f t="shared" si="5"/>
        <v>308.68205128205102</v>
      </c>
      <c r="H41" s="562">
        <f t="shared" si="6"/>
        <v>452.33045977011483</v>
      </c>
      <c r="I41" s="562">
        <f t="shared" si="7"/>
        <v>106.65000000000011</v>
      </c>
      <c r="J41" s="562">
        <f t="shared" si="8"/>
        <v>63.672812667740246</v>
      </c>
      <c r="K41" s="562">
        <f t="shared" si="9"/>
        <v>198.76926464016665</v>
      </c>
      <c r="L41" s="562">
        <f t="shared" si="10"/>
        <v>77.998541778493532</v>
      </c>
      <c r="M41" s="563"/>
      <c r="N41" s="563"/>
      <c r="O41" s="563"/>
      <c r="P41" s="564"/>
      <c r="Q41" s="561" cm="1">
        <f t="array" ref="Q41">AVERAGE(_xlfn._xlws.FILTER(PTS!AW:AW, (PTS!$E:$E="WTX") * ISNUMBER(PTS!AW:AW)))</f>
        <v>363.55063424947144</v>
      </c>
      <c r="R41" s="562" cm="1">
        <f t="array" ref="R41">AVERAGE(_xlfn._xlws.FILTER(PTS!AW:AW, (PTS!$E:$E="WTXH") * ISNUMBER(PTS!AW:AW)))</f>
        <v>364.31379870129865</v>
      </c>
      <c r="S41" s="562" cm="1">
        <f t="array" ref="S41">AVERAGE(_xlfn._xlws.FILTER(PTS!AW:AW, (PTS!$E:$E="STEX") * ISNUMBER(PTS!AW:AW)))</f>
        <v>282.42240259740254</v>
      </c>
      <c r="T41" s="562" cm="1">
        <f t="array" ref="T41">AVERAGE(_xlfn._xlws.FILTER(PTS!AW:AW, (PTS!$E:$E="Memphis Rule 5") * ISNUMBER(PTS!AW:AW)))</f>
        <v>486.39037433155096</v>
      </c>
      <c r="U41" s="562" cm="1">
        <f t="array" ref="U41">AVERAGE(_xlfn._xlws.FILTER(PTS!AW:AW, (PTS!$E:$E="GA 30 DAY") * ISNUMBER(PTS!AW:AW)))</f>
        <v>498.53169191919193</v>
      </c>
      <c r="V41" s="562">
        <f>AVERAGE(Q41,S41,T41,U41)</f>
        <v>407.7237757744042</v>
      </c>
      <c r="W41" s="562">
        <f>AVERAGE(T41,U41)</f>
        <v>492.46103312537144</v>
      </c>
      <c r="X41" s="563"/>
      <c r="Y41" s="563"/>
      <c r="Z41" s="563"/>
      <c r="AA41" s="564"/>
      <c r="AB41" s="561">
        <f>((COSTS!AA23+COSTS!AC23)*20)+COSTS!G17</f>
        <v>83.052054794520558</v>
      </c>
      <c r="AC41" s="562">
        <f>((COSTS!AA23+COSTS!AC23)*20)+COSTS!G17</f>
        <v>83.052054794520558</v>
      </c>
      <c r="AD41" s="562">
        <f>((COSTS!AA23+COSTS!AC23)*20)+COSTS!G17</f>
        <v>83.052054794520558</v>
      </c>
      <c r="AE41" s="562">
        <f>((COSTS!AA23+COSTS!AC23)*20)+COSTS!G17</f>
        <v>83.052054794520558</v>
      </c>
      <c r="AF41" s="562">
        <f>((COSTS!AA23+COSTS!AC23)*20)+COSTS!G17</f>
        <v>83.052054794520558</v>
      </c>
      <c r="AG41" s="562">
        <f>((COSTS!AA23+COSTS!AC23)*20)+COSTS!G17</f>
        <v>83.052054794520558</v>
      </c>
      <c r="AH41" s="562">
        <f>((COSTS!AA23+COSTS!AC23)*20)+COSTS!G17</f>
        <v>83.052054794520558</v>
      </c>
      <c r="AI41" s="566"/>
      <c r="AJ41" s="566"/>
      <c r="AK41" s="563"/>
      <c r="AL41" s="563"/>
      <c r="AM41" s="561">
        <f>VLOOKUP($B$41&amp;$E$41, OCEAN!$E:$J,5,FALSE)</f>
        <v>477.27272727272725</v>
      </c>
      <c r="AN41" s="562">
        <f>AM41</f>
        <v>477.27272727272725</v>
      </c>
      <c r="AO41" s="562">
        <f t="shared" ref="AO41:AS41" si="62">AN41</f>
        <v>477.27272727272725</v>
      </c>
      <c r="AP41" s="562">
        <f t="shared" si="62"/>
        <v>477.27272727272725</v>
      </c>
      <c r="AQ41" s="562">
        <f t="shared" si="62"/>
        <v>477.27272727272725</v>
      </c>
      <c r="AR41" s="562">
        <f t="shared" si="62"/>
        <v>477.27272727272725</v>
      </c>
      <c r="AS41" s="562">
        <f t="shared" si="62"/>
        <v>477.27272727272725</v>
      </c>
      <c r="AT41" s="563"/>
      <c r="AU41" s="563"/>
      <c r="AV41" s="562"/>
      <c r="AW41" s="565"/>
      <c r="AX41" s="562">
        <f>COSTS!$X$32</f>
        <v>185.45454545454544</v>
      </c>
      <c r="AY41" s="562">
        <f>COSTS!$X$32</f>
        <v>185.45454545454544</v>
      </c>
      <c r="AZ41" s="562">
        <f>COSTS!$X$32</f>
        <v>185.45454545454544</v>
      </c>
      <c r="BA41" s="562">
        <f>COSTS!$X$32</f>
        <v>185.45454545454544</v>
      </c>
      <c r="BB41" s="562">
        <f>COSTS!$X$32</f>
        <v>185.45454545454544</v>
      </c>
      <c r="BC41" s="562">
        <f>COSTS!$X$32</f>
        <v>185.45454545454544</v>
      </c>
      <c r="BD41" s="562">
        <f>COSTS!$X$32</f>
        <v>185.45454545454544</v>
      </c>
      <c r="BE41" s="562">
        <f>COSTS!$X$32</f>
        <v>185.45454545454544</v>
      </c>
      <c r="BF41" s="562">
        <f>COSTS!$X$32</f>
        <v>185.45454545454544</v>
      </c>
      <c r="BG41" s="563"/>
      <c r="BH41" s="564"/>
      <c r="BI41" s="561">
        <f>COSTS!F17</f>
        <v>80</v>
      </c>
      <c r="BJ41" s="562">
        <f>BI41</f>
        <v>80</v>
      </c>
      <c r="BK41" s="562">
        <f t="shared" ref="BK41:BO41" si="63">BJ41</f>
        <v>80</v>
      </c>
      <c r="BL41" s="562">
        <f t="shared" si="63"/>
        <v>80</v>
      </c>
      <c r="BM41" s="562">
        <f t="shared" si="63"/>
        <v>80</v>
      </c>
      <c r="BN41" s="562">
        <f t="shared" si="63"/>
        <v>80</v>
      </c>
      <c r="BO41" s="562">
        <f t="shared" si="63"/>
        <v>80</v>
      </c>
      <c r="BP41" s="562"/>
      <c r="BQ41" s="562"/>
      <c r="BR41" s="563"/>
      <c r="BS41" s="610"/>
      <c r="BT41" s="561">
        <f>F41+Q41+AB41+AM41+AX41+BI41</f>
        <v>1496.8501998665029</v>
      </c>
      <c r="BU41" s="562">
        <f>G41+R41+AC41+AN41+AY41+BJ41</f>
        <v>1498.7751775051429</v>
      </c>
      <c r="BV41" s="562">
        <f t="shared" si="54"/>
        <v>1560.5321898893108</v>
      </c>
      <c r="BW41" s="562">
        <f t="shared" si="55"/>
        <v>1418.8197018533444</v>
      </c>
      <c r="BX41" s="562">
        <f t="shared" si="56"/>
        <v>1387.9838321087254</v>
      </c>
      <c r="BY41" s="562">
        <f t="shared" si="57"/>
        <v>1432.2723679363642</v>
      </c>
      <c r="BZ41" s="562">
        <f t="shared" si="58"/>
        <v>1396.2389024256584</v>
      </c>
      <c r="CA41" s="562"/>
      <c r="CB41" s="562"/>
      <c r="CC41" s="562"/>
      <c r="CD41" s="562"/>
      <c r="CE41" s="561">
        <f t="shared" si="43"/>
        <v>274.37944393805833</v>
      </c>
      <c r="CF41" s="562">
        <f>BU41-$BU$7</f>
        <v>272.64038022589284</v>
      </c>
      <c r="CG41" s="562">
        <f>BV41-$BV$7</f>
        <v>275.97139928102456</v>
      </c>
      <c r="CH41" s="562">
        <f>BW41-$BW$7</f>
        <v>497.21693446577046</v>
      </c>
      <c r="CI41" s="562">
        <f>BX41-$BX$7</f>
        <v>595.07126186358209</v>
      </c>
      <c r="CJ41" s="562">
        <f>BY41-$BY$7</f>
        <v>408.27977172429235</v>
      </c>
      <c r="CK41" s="562">
        <f>BZ41-$BZ$7</f>
        <v>542.63414525425026</v>
      </c>
      <c r="CL41" s="563"/>
      <c r="CM41" s="563"/>
      <c r="CN41" s="563"/>
      <c r="CO41" s="564"/>
    </row>
    <row r="42" spans="1:93">
      <c r="A42" s="464"/>
      <c r="B42" s="558" t="s">
        <v>6</v>
      </c>
      <c r="C42" s="87"/>
      <c r="D42" s="87"/>
      <c r="E42" s="83" t="s">
        <v>1872</v>
      </c>
      <c r="F42" s="561">
        <f t="shared" si="4"/>
        <v>307.52023809523791</v>
      </c>
      <c r="G42" s="562">
        <f t="shared" si="5"/>
        <v>308.68205128205102</v>
      </c>
      <c r="H42" s="562">
        <f t="shared" si="6"/>
        <v>452.33045977011483</v>
      </c>
      <c r="I42" s="562">
        <f t="shared" si="7"/>
        <v>106.65000000000011</v>
      </c>
      <c r="J42" s="562">
        <f t="shared" si="8"/>
        <v>63.672812667740246</v>
      </c>
      <c r="K42" s="562">
        <f t="shared" si="9"/>
        <v>198.76926464016665</v>
      </c>
      <c r="L42" s="562">
        <f t="shared" si="10"/>
        <v>77.998541778493532</v>
      </c>
      <c r="M42" s="563"/>
      <c r="N42" s="563"/>
      <c r="O42" s="563"/>
      <c r="P42" s="564"/>
      <c r="Q42" s="561">
        <f t="shared" ref="Q42:W42" si="64">Q41</f>
        <v>363.55063424947144</v>
      </c>
      <c r="R42" s="562">
        <f t="shared" si="64"/>
        <v>364.31379870129865</v>
      </c>
      <c r="S42" s="562">
        <f t="shared" si="64"/>
        <v>282.42240259740254</v>
      </c>
      <c r="T42" s="562">
        <f t="shared" si="64"/>
        <v>486.39037433155096</v>
      </c>
      <c r="U42" s="562">
        <f t="shared" si="64"/>
        <v>498.53169191919193</v>
      </c>
      <c r="V42" s="562">
        <f t="shared" si="64"/>
        <v>407.7237757744042</v>
      </c>
      <c r="W42" s="562">
        <f t="shared" si="64"/>
        <v>492.46103312537144</v>
      </c>
      <c r="X42" s="563"/>
      <c r="Y42" s="563"/>
      <c r="Z42" s="563"/>
      <c r="AA42" s="564"/>
      <c r="AB42" s="561">
        <f>AB41</f>
        <v>83.052054794520558</v>
      </c>
      <c r="AC42" s="562">
        <f t="shared" ref="AC42:AG42" si="65">AC41</f>
        <v>83.052054794520558</v>
      </c>
      <c r="AD42" s="562">
        <f t="shared" si="65"/>
        <v>83.052054794520558</v>
      </c>
      <c r="AE42" s="562">
        <f t="shared" si="65"/>
        <v>83.052054794520558</v>
      </c>
      <c r="AF42" s="562">
        <f t="shared" si="65"/>
        <v>83.052054794520558</v>
      </c>
      <c r="AG42" s="562">
        <f t="shared" si="65"/>
        <v>83.052054794520558</v>
      </c>
      <c r="AH42" s="562">
        <f>AH41</f>
        <v>83.052054794520558</v>
      </c>
      <c r="AI42" s="566"/>
      <c r="AJ42" s="566"/>
      <c r="AK42" s="563"/>
      <c r="AL42" s="563"/>
      <c r="AM42" s="561">
        <f>VLOOKUP($B$41&amp;$E$42, OCEAN!$E:$J,5,FALSE)</f>
        <v>289.77272727272725</v>
      </c>
      <c r="AN42" s="562">
        <f>AM42</f>
        <v>289.77272727272725</v>
      </c>
      <c r="AO42" s="562">
        <f t="shared" ref="AO42:AS42" si="66">AN42</f>
        <v>289.77272727272725</v>
      </c>
      <c r="AP42" s="562">
        <f t="shared" si="66"/>
        <v>289.77272727272725</v>
      </c>
      <c r="AQ42" s="562">
        <f t="shared" si="66"/>
        <v>289.77272727272725</v>
      </c>
      <c r="AR42" s="562">
        <f t="shared" si="66"/>
        <v>289.77272727272725</v>
      </c>
      <c r="AS42" s="562">
        <f t="shared" si="66"/>
        <v>289.77272727272725</v>
      </c>
      <c r="AT42" s="563"/>
      <c r="AU42" s="563"/>
      <c r="AV42" s="562"/>
      <c r="AW42" s="565"/>
      <c r="AX42" s="562">
        <f>COSTS!$X$32</f>
        <v>185.45454545454544</v>
      </c>
      <c r="AY42" s="562">
        <f>COSTS!$X$32</f>
        <v>185.45454545454544</v>
      </c>
      <c r="AZ42" s="562">
        <f>COSTS!$X$32</f>
        <v>185.45454545454544</v>
      </c>
      <c r="BA42" s="562">
        <f>COSTS!$X$32</f>
        <v>185.45454545454544</v>
      </c>
      <c r="BB42" s="562">
        <f>COSTS!$X$32</f>
        <v>185.45454545454544</v>
      </c>
      <c r="BC42" s="562">
        <f>COSTS!$X$32</f>
        <v>185.45454545454544</v>
      </c>
      <c r="BD42" s="562">
        <f>COSTS!$X$32</f>
        <v>185.45454545454544</v>
      </c>
      <c r="BE42" s="562">
        <f>COSTS!$X$32</f>
        <v>185.45454545454544</v>
      </c>
      <c r="BF42" s="562">
        <f>COSTS!$X$32</f>
        <v>185.45454545454544</v>
      </c>
      <c r="BG42" s="563"/>
      <c r="BH42" s="564"/>
      <c r="BI42" s="561">
        <f>COSTS!F17</f>
        <v>80</v>
      </c>
      <c r="BJ42" s="562">
        <f>BI42</f>
        <v>80</v>
      </c>
      <c r="BK42" s="562">
        <f t="shared" ref="BK42:BO42" si="67">BJ42</f>
        <v>80</v>
      </c>
      <c r="BL42" s="562">
        <f t="shared" si="67"/>
        <v>80</v>
      </c>
      <c r="BM42" s="562">
        <f t="shared" si="67"/>
        <v>80</v>
      </c>
      <c r="BN42" s="562">
        <f t="shared" si="67"/>
        <v>80</v>
      </c>
      <c r="BO42" s="562">
        <f t="shared" si="67"/>
        <v>80</v>
      </c>
      <c r="BP42" s="562"/>
      <c r="BQ42" s="562"/>
      <c r="BR42" s="563"/>
      <c r="BS42" s="610"/>
      <c r="BT42" s="561">
        <f>F42+Q42+AB42+AM42+AX42+BI42</f>
        <v>1309.3501998665029</v>
      </c>
      <c r="BU42" s="562">
        <f t="shared" ref="BU42:BU43" si="68">G42+R42+AC42+AN42+AY42+BJ42</f>
        <v>1311.2751775051429</v>
      </c>
      <c r="BV42" s="562">
        <f t="shared" si="54"/>
        <v>1373.0321898893108</v>
      </c>
      <c r="BW42" s="562">
        <f t="shared" si="55"/>
        <v>1231.3197018533444</v>
      </c>
      <c r="BX42" s="562">
        <f t="shared" si="56"/>
        <v>1200.4838321087254</v>
      </c>
      <c r="BY42" s="562">
        <f t="shared" si="57"/>
        <v>1244.7723679363642</v>
      </c>
      <c r="BZ42" s="562">
        <f t="shared" si="58"/>
        <v>1208.7389024256584</v>
      </c>
      <c r="CA42" s="562"/>
      <c r="CB42" s="562"/>
      <c r="CC42" s="562"/>
      <c r="CD42" s="562"/>
      <c r="CE42" s="561">
        <f t="shared" si="43"/>
        <v>86.87944393805833</v>
      </c>
      <c r="CF42" s="562">
        <f t="shared" ref="CF42:CF43" si="69">BU42-$BU$7</f>
        <v>85.140380225892841</v>
      </c>
      <c r="CG42" s="562">
        <f t="shared" ref="CG42:CG43" si="70">BV42-$BV$7</f>
        <v>88.47139928102456</v>
      </c>
      <c r="CH42" s="562">
        <f t="shared" ref="CH42:CH43" si="71">BW42-$BW$7</f>
        <v>309.71693446577046</v>
      </c>
      <c r="CI42" s="562">
        <f t="shared" ref="CI42:CI43" si="72">BX42-$BX$7</f>
        <v>407.57126186358209</v>
      </c>
      <c r="CJ42" s="562">
        <f t="shared" ref="CJ42:CJ43" si="73">BY42-$BY$7</f>
        <v>220.77977172429235</v>
      </c>
      <c r="CK42" s="562">
        <f t="shared" ref="CK42:CK43" si="74">BZ42-$BZ$7</f>
        <v>355.13414525425026</v>
      </c>
      <c r="CL42" s="563"/>
      <c r="CM42" s="563"/>
      <c r="CN42" s="563"/>
      <c r="CO42" s="564"/>
    </row>
    <row r="43" spans="1:93" ht="12.5" thickBot="1">
      <c r="A43" s="465"/>
      <c r="B43" s="198"/>
      <c r="C43" s="87"/>
      <c r="D43" s="87"/>
      <c r="E43" s="461" t="s">
        <v>1867</v>
      </c>
      <c r="F43" s="561">
        <f t="shared" si="4"/>
        <v>307.52023809523791</v>
      </c>
      <c r="G43" s="562">
        <f t="shared" si="5"/>
        <v>308.68205128205102</v>
      </c>
      <c r="H43" s="562">
        <f t="shared" si="6"/>
        <v>452.33045977011483</v>
      </c>
      <c r="I43" s="562">
        <f t="shared" si="7"/>
        <v>106.65000000000011</v>
      </c>
      <c r="J43" s="562">
        <f t="shared" si="8"/>
        <v>63.672812667740246</v>
      </c>
      <c r="K43" s="562">
        <f t="shared" si="9"/>
        <v>198.76926464016665</v>
      </c>
      <c r="L43" s="562">
        <f t="shared" si="10"/>
        <v>77.998541778493532</v>
      </c>
      <c r="M43" s="563"/>
      <c r="N43" s="563"/>
      <c r="O43" s="563"/>
      <c r="P43" s="564"/>
      <c r="Q43" s="561">
        <f t="shared" ref="Q43:W43" si="75">Q41</f>
        <v>363.55063424947144</v>
      </c>
      <c r="R43" s="562">
        <f t="shared" si="75"/>
        <v>364.31379870129865</v>
      </c>
      <c r="S43" s="562">
        <f t="shared" si="75"/>
        <v>282.42240259740254</v>
      </c>
      <c r="T43" s="562">
        <f t="shared" si="75"/>
        <v>486.39037433155096</v>
      </c>
      <c r="U43" s="562">
        <f t="shared" si="75"/>
        <v>498.53169191919193</v>
      </c>
      <c r="V43" s="562">
        <f t="shared" si="75"/>
        <v>407.7237757744042</v>
      </c>
      <c r="W43" s="562">
        <f t="shared" si="75"/>
        <v>492.46103312537144</v>
      </c>
      <c r="X43" s="563"/>
      <c r="Y43" s="563"/>
      <c r="Z43" s="563"/>
      <c r="AA43" s="564"/>
      <c r="AB43" s="561">
        <f>AB41</f>
        <v>83.052054794520558</v>
      </c>
      <c r="AC43" s="562">
        <f t="shared" ref="AC43:AG43" si="76">AC41</f>
        <v>83.052054794520558</v>
      </c>
      <c r="AD43" s="562">
        <f t="shared" si="76"/>
        <v>83.052054794520558</v>
      </c>
      <c r="AE43" s="562">
        <f t="shared" si="76"/>
        <v>83.052054794520558</v>
      </c>
      <c r="AF43" s="562">
        <f t="shared" si="76"/>
        <v>83.052054794520558</v>
      </c>
      <c r="AG43" s="562">
        <f t="shared" si="76"/>
        <v>83.052054794520558</v>
      </c>
      <c r="AH43" s="562">
        <f>AH41</f>
        <v>83.052054794520558</v>
      </c>
      <c r="AI43" s="566"/>
      <c r="AJ43" s="566"/>
      <c r="AK43" s="563"/>
      <c r="AL43" s="563"/>
      <c r="AM43" s="561">
        <f>VLOOKUP($B$41&amp;$E$43, OCEAN!$E:$J,5,FALSE)</f>
        <v>272.72727272727275</v>
      </c>
      <c r="AN43" s="562">
        <f>AM43</f>
        <v>272.72727272727275</v>
      </c>
      <c r="AO43" s="562">
        <f t="shared" ref="AO43:AS43" si="77">AN43</f>
        <v>272.72727272727275</v>
      </c>
      <c r="AP43" s="562">
        <f t="shared" si="77"/>
        <v>272.72727272727275</v>
      </c>
      <c r="AQ43" s="562">
        <f t="shared" si="77"/>
        <v>272.72727272727275</v>
      </c>
      <c r="AR43" s="562">
        <f t="shared" si="77"/>
        <v>272.72727272727275</v>
      </c>
      <c r="AS43" s="562">
        <f t="shared" si="77"/>
        <v>272.72727272727275</v>
      </c>
      <c r="AT43" s="563"/>
      <c r="AU43" s="563"/>
      <c r="AV43" s="562"/>
      <c r="AW43" s="565"/>
      <c r="AX43" s="562">
        <f>COSTS!$X$32</f>
        <v>185.45454545454544</v>
      </c>
      <c r="AY43" s="562">
        <f>COSTS!$X$32</f>
        <v>185.45454545454544</v>
      </c>
      <c r="AZ43" s="562">
        <f>COSTS!$X$32</f>
        <v>185.45454545454544</v>
      </c>
      <c r="BA43" s="562">
        <f>COSTS!$X$32</f>
        <v>185.45454545454544</v>
      </c>
      <c r="BB43" s="562">
        <f>COSTS!$X$32</f>
        <v>185.45454545454544</v>
      </c>
      <c r="BC43" s="562">
        <f>COSTS!$X$32</f>
        <v>185.45454545454544</v>
      </c>
      <c r="BD43" s="562">
        <f>COSTS!$X$32</f>
        <v>185.45454545454544</v>
      </c>
      <c r="BE43" s="562">
        <f>COSTS!$X$32</f>
        <v>185.45454545454544</v>
      </c>
      <c r="BF43" s="562">
        <f>COSTS!$X$32</f>
        <v>185.45454545454544</v>
      </c>
      <c r="BG43" s="563"/>
      <c r="BH43" s="564"/>
      <c r="BI43" s="561">
        <f>COSTS!F17</f>
        <v>80</v>
      </c>
      <c r="BJ43" s="562">
        <f>BI43</f>
        <v>80</v>
      </c>
      <c r="BK43" s="562">
        <f t="shared" ref="BK43:BO43" si="78">BJ43</f>
        <v>80</v>
      </c>
      <c r="BL43" s="562">
        <f t="shared" si="78"/>
        <v>80</v>
      </c>
      <c r="BM43" s="562">
        <f t="shared" si="78"/>
        <v>80</v>
      </c>
      <c r="BN43" s="562">
        <f t="shared" si="78"/>
        <v>80</v>
      </c>
      <c r="BO43" s="562">
        <f t="shared" si="78"/>
        <v>80</v>
      </c>
      <c r="BP43" s="562"/>
      <c r="BQ43" s="562"/>
      <c r="BR43" s="563"/>
      <c r="BS43" s="610"/>
      <c r="BT43" s="561">
        <f>F43+Q43+AB43+AM43+AX43+BI43</f>
        <v>1292.3047453210484</v>
      </c>
      <c r="BU43" s="562">
        <f t="shared" si="68"/>
        <v>1294.2297229596884</v>
      </c>
      <c r="BV43" s="562">
        <f t="shared" si="54"/>
        <v>1355.9867353438563</v>
      </c>
      <c r="BW43" s="562">
        <f t="shared" si="55"/>
        <v>1214.2742473078899</v>
      </c>
      <c r="BX43" s="562">
        <f t="shared" si="56"/>
        <v>1183.4383775632709</v>
      </c>
      <c r="BY43" s="562">
        <f t="shared" si="57"/>
        <v>1227.7269133909097</v>
      </c>
      <c r="BZ43" s="562">
        <f t="shared" si="58"/>
        <v>1191.6934478802038</v>
      </c>
      <c r="CA43" s="562"/>
      <c r="CB43" s="562"/>
      <c r="CC43" s="562"/>
      <c r="CD43" s="562"/>
      <c r="CE43" s="561">
        <f t="shared" si="43"/>
        <v>69.833989392603826</v>
      </c>
      <c r="CF43" s="562">
        <f t="shared" si="69"/>
        <v>68.094925680438337</v>
      </c>
      <c r="CG43" s="562">
        <f t="shared" si="70"/>
        <v>71.425944735570056</v>
      </c>
      <c r="CH43" s="562">
        <f t="shared" si="71"/>
        <v>292.67147992031596</v>
      </c>
      <c r="CI43" s="562">
        <f t="shared" si="72"/>
        <v>390.52580731812759</v>
      </c>
      <c r="CJ43" s="562">
        <f t="shared" si="73"/>
        <v>203.73431717883784</v>
      </c>
      <c r="CK43" s="562">
        <f t="shared" si="74"/>
        <v>338.08869070879575</v>
      </c>
      <c r="CL43" s="563"/>
      <c r="CM43" s="563"/>
      <c r="CN43" s="563"/>
      <c r="CO43" s="564"/>
    </row>
    <row r="44" spans="1:93" ht="12.5" thickBot="1">
      <c r="A44" s="394" t="s">
        <v>1677</v>
      </c>
      <c r="B44" s="394" t="s">
        <v>1678</v>
      </c>
      <c r="C44" s="474">
        <v>11</v>
      </c>
      <c r="D44" s="475">
        <v>18</v>
      </c>
      <c r="E44" s="476" t="s">
        <v>1851</v>
      </c>
      <c r="F44" s="399">
        <f t="shared" si="4"/>
        <v>307.52023809523791</v>
      </c>
      <c r="G44" s="68">
        <f t="shared" si="5"/>
        <v>308.68205128205102</v>
      </c>
      <c r="H44" s="68">
        <f t="shared" si="6"/>
        <v>452.33045977011483</v>
      </c>
      <c r="I44" s="68">
        <f t="shared" si="7"/>
        <v>106.65000000000011</v>
      </c>
      <c r="J44" s="68">
        <f t="shared" si="8"/>
        <v>63.672812667740246</v>
      </c>
      <c r="K44" s="68">
        <f t="shared" si="9"/>
        <v>198.76926464016665</v>
      </c>
      <c r="L44" s="68">
        <f t="shared" si="10"/>
        <v>77.998541778493532</v>
      </c>
      <c r="P44" s="66"/>
      <c r="Q44" s="399">
        <f t="shared" si="11"/>
        <v>192.33065953654184</v>
      </c>
      <c r="R44" s="68">
        <f t="shared" si="12"/>
        <v>294.60561497326216</v>
      </c>
      <c r="S44" s="68">
        <f t="shared" si="13"/>
        <v>205.94276094276094</v>
      </c>
      <c r="T44" s="68">
        <f t="shared" si="14"/>
        <v>212.56872727272739</v>
      </c>
      <c r="U44" s="68">
        <f t="shared" si="15"/>
        <v>222.95738525155809</v>
      </c>
      <c r="V44" s="68">
        <f t="shared" si="16"/>
        <v>211.35138365102929</v>
      </c>
      <c r="W44" s="68">
        <f t="shared" si="17"/>
        <v>219.49449925861452</v>
      </c>
      <c r="AA44" s="66"/>
      <c r="AB44" s="399">
        <f t="shared" si="18"/>
        <v>130.64999999999989</v>
      </c>
      <c r="AC44" s="68">
        <f t="shared" si="19"/>
        <v>130.64999999999989</v>
      </c>
      <c r="AD44" s="68">
        <f t="shared" si="20"/>
        <v>130.65000000000006</v>
      </c>
      <c r="AE44" s="68">
        <f t="shared" si="21"/>
        <v>112.3460000000001</v>
      </c>
      <c r="AF44" s="68">
        <f t="shared" si="22"/>
        <v>127.72160493827144</v>
      </c>
      <c r="AG44" s="68">
        <f t="shared" si="23"/>
        <v>125.8178419753086</v>
      </c>
      <c r="AH44" s="68">
        <f t="shared" si="24"/>
        <v>122.59640329218099</v>
      </c>
      <c r="AI44" s="87">
        <f t="shared" si="25"/>
        <v>0</v>
      </c>
      <c r="AJ44" s="87">
        <f t="shared" si="26"/>
        <v>0</v>
      </c>
      <c r="AM44" s="399" t="e">
        <f>CIF!$X$5+VLOOKUP($AM$5&amp;$E44,OCEAN!$E:$J,5,FALSE)</f>
        <v>#N/A</v>
      </c>
      <c r="AN44" s="68">
        <f>CIF!$X$6+VLOOKUP($AN$5&amp;$E44,OCEAN!$E:$J,5,FALSE)</f>
        <v>464.65517241379314</v>
      </c>
      <c r="AO44" s="68">
        <f>CIF!$X$7+VLOOKUP($AO$5&amp;$E44,OCEAN!$E:$J,5,FALSE)</f>
        <v>464.65517241379314</v>
      </c>
      <c r="AP44" s="68">
        <f>CIF!$X$8+VLOOKUP($AP$5&amp;$E44,OCEAN!$E:$J,5,FALSE)</f>
        <v>566.0454545454545</v>
      </c>
      <c r="AQ44" s="68">
        <f>CIF!$X$9+VLOOKUP($AQ$5&amp;$E44,OCEAN!$E:$J,5,FALSE)</f>
        <v>401.13636363636368</v>
      </c>
      <c r="AR44" s="68" t="e">
        <f t="shared" si="27"/>
        <v>#VALUE!</v>
      </c>
      <c r="AS44" s="68">
        <f t="shared" si="28"/>
        <v>483.59090909090912</v>
      </c>
      <c r="AV44" s="68"/>
      <c r="AW44" s="540"/>
      <c r="AX44" s="68">
        <f>COSTS!C18+COSTS!D18+COSTS!E18</f>
        <v>35.28314520547945</v>
      </c>
      <c r="AY44" s="68">
        <f>COSTS!C18+COSTS!D18+COSTS!E18</f>
        <v>35.28314520547945</v>
      </c>
      <c r="AZ44" s="68">
        <f>COSTS!C18+COSTS!D18+COSTS!E18</f>
        <v>35.28314520547945</v>
      </c>
      <c r="BA44" s="68">
        <f>COSTS!C18+COSTS!D18+COSTS!E18</f>
        <v>35.28314520547945</v>
      </c>
      <c r="BB44" s="68">
        <f>COSTS!C18+COSTS!D18+COSTS!E18</f>
        <v>35.28314520547945</v>
      </c>
      <c r="BC44" s="68">
        <f>COSTS!C18+COSTS!D18+COSTS!E18</f>
        <v>35.28314520547945</v>
      </c>
      <c r="BD44" s="68">
        <f>COSTS!C18+COSTS!D18+COSTS!E18</f>
        <v>35.28314520547945</v>
      </c>
      <c r="BE44" s="68">
        <f>COSTS!C18+COSTS!D18+COSTS!E18</f>
        <v>35.28314520547945</v>
      </c>
      <c r="BF44" s="68">
        <f>COSTS!C18+COSTS!D18+COSTS!E18</f>
        <v>35.28314520547945</v>
      </c>
      <c r="BH44" s="66"/>
      <c r="BI44" s="399">
        <f>COSTS!F18+COSTS!G18+COSTS!H18</f>
        <v>97.452054794520549</v>
      </c>
      <c r="BJ44" s="68">
        <f>COSTS!F18+COSTS!G18+COSTS!H18</f>
        <v>97.452054794520549</v>
      </c>
      <c r="BK44" s="68">
        <f>COSTS!F18+COSTS!G18+COSTS!H18</f>
        <v>97.452054794520549</v>
      </c>
      <c r="BL44" s="68">
        <f>COSTS!F18+COSTS!G18+COSTS!H18</f>
        <v>97.452054794520549</v>
      </c>
      <c r="BM44" s="68">
        <f>COSTS!F18+COSTS!G18+COSTS!H18</f>
        <v>97.452054794520549</v>
      </c>
      <c r="BN44" s="68">
        <f>COSTS!F18+COSTS!G18+COSTS!H18</f>
        <v>97.452054794520549</v>
      </c>
      <c r="BO44" s="68">
        <f>COSTS!F18+COSTS!G18+COSTS!H18</f>
        <v>97.452054794520549</v>
      </c>
      <c r="BP44" s="68">
        <f>COSTS!F18+COSTS!G18+COSTS!H18</f>
        <v>97.452054794520549</v>
      </c>
      <c r="BQ44" s="68">
        <f>COSTS!F18+COSTS!G18+COSTS!H18</f>
        <v>97.452054794520549</v>
      </c>
      <c r="BS44" s="87"/>
      <c r="BT44" s="399" t="e">
        <f t="shared" si="52"/>
        <v>#N/A</v>
      </c>
      <c r="BU44" s="68">
        <f t="shared" si="53"/>
        <v>1331.3280386691063</v>
      </c>
      <c r="BV44" s="68">
        <f t="shared" si="54"/>
        <v>1386.313593126669</v>
      </c>
      <c r="BW44" s="68">
        <f t="shared" si="55"/>
        <v>1130.3453818181822</v>
      </c>
      <c r="BX44" s="68">
        <f t="shared" si="56"/>
        <v>948.22336649393344</v>
      </c>
      <c r="BY44" s="68" t="e">
        <f t="shared" si="57"/>
        <v>#VALUE!</v>
      </c>
      <c r="BZ44" s="68">
        <f t="shared" si="58"/>
        <v>1036.415553420198</v>
      </c>
      <c r="CA44" s="68">
        <f t="shared" si="59"/>
        <v>132.73519999999999</v>
      </c>
      <c r="CB44" s="68">
        <f t="shared" si="60"/>
        <v>132.73519999999999</v>
      </c>
      <c r="CC44" s="68"/>
      <c r="CD44" s="68"/>
      <c r="CE44" s="399" t="e">
        <f t="shared" si="43"/>
        <v>#N/A</v>
      </c>
      <c r="CF44" s="68">
        <f t="shared" si="44"/>
        <v>105.19324138985621</v>
      </c>
      <c r="CG44" s="68">
        <f t="shared" si="45"/>
        <v>101.75280251838285</v>
      </c>
      <c r="CH44" s="68">
        <f t="shared" si="46"/>
        <v>208.74261443060823</v>
      </c>
      <c r="CI44" s="68">
        <f t="shared" si="47"/>
        <v>155.3107962487901</v>
      </c>
      <c r="CJ44" s="68" t="e">
        <f t="shared" si="48"/>
        <v>#VALUE!</v>
      </c>
      <c r="CK44" s="68">
        <f t="shared" si="49"/>
        <v>182.81079624878987</v>
      </c>
      <c r="CN44" s="38"/>
      <c r="CO44" s="120"/>
    </row>
    <row r="45" spans="1:93" ht="12.5" thickBot="1">
      <c r="A45" s="394" t="s">
        <v>1679</v>
      </c>
      <c r="B45" s="394" t="s">
        <v>1680</v>
      </c>
      <c r="C45" s="474">
        <v>8</v>
      </c>
      <c r="D45" s="475">
        <v>21</v>
      </c>
      <c r="E45" s="83" t="s">
        <v>1857</v>
      </c>
      <c r="F45" s="399">
        <f t="shared" si="4"/>
        <v>307.52023809523791</v>
      </c>
      <c r="G45" s="68">
        <f t="shared" si="5"/>
        <v>308.68205128205102</v>
      </c>
      <c r="H45" s="68">
        <f t="shared" si="6"/>
        <v>452.33045977011483</v>
      </c>
      <c r="I45" s="68">
        <f t="shared" si="7"/>
        <v>106.65000000000011</v>
      </c>
      <c r="J45" s="68">
        <f t="shared" si="8"/>
        <v>63.672812667740246</v>
      </c>
      <c r="K45" s="68">
        <f t="shared" si="9"/>
        <v>198.76926464016665</v>
      </c>
      <c r="L45" s="68">
        <f t="shared" si="10"/>
        <v>77.998541778493532</v>
      </c>
      <c r="P45" s="66"/>
      <c r="Q45" s="399">
        <f t="shared" si="11"/>
        <v>192.33065953654184</v>
      </c>
      <c r="R45" s="68">
        <f t="shared" si="12"/>
        <v>294.60561497326216</v>
      </c>
      <c r="S45" s="68">
        <f t="shared" si="13"/>
        <v>205.94276094276094</v>
      </c>
      <c r="T45" s="68">
        <f t="shared" si="14"/>
        <v>212.56872727272739</v>
      </c>
      <c r="U45" s="68">
        <f t="shared" si="15"/>
        <v>222.95738525155809</v>
      </c>
      <c r="V45" s="68">
        <f t="shared" si="16"/>
        <v>211.35138365102929</v>
      </c>
      <c r="W45" s="68">
        <f t="shared" si="17"/>
        <v>219.49449925861452</v>
      </c>
      <c r="AA45" s="66"/>
      <c r="AB45" s="399">
        <f t="shared" si="18"/>
        <v>130.64999999999989</v>
      </c>
      <c r="AC45" s="68">
        <f t="shared" si="19"/>
        <v>130.64999999999989</v>
      </c>
      <c r="AD45" s="68">
        <f t="shared" si="20"/>
        <v>130.65000000000006</v>
      </c>
      <c r="AE45" s="68">
        <f t="shared" si="21"/>
        <v>112.3460000000001</v>
      </c>
      <c r="AF45" s="68">
        <f t="shared" si="22"/>
        <v>127.72160493827144</v>
      </c>
      <c r="AG45" s="68">
        <f t="shared" si="23"/>
        <v>125.8178419753086</v>
      </c>
      <c r="AH45" s="68">
        <f t="shared" si="24"/>
        <v>122.59640329218099</v>
      </c>
      <c r="AI45" s="87">
        <f t="shared" si="25"/>
        <v>0</v>
      </c>
      <c r="AJ45" s="87">
        <f t="shared" si="26"/>
        <v>0</v>
      </c>
      <c r="AM45" s="399" t="e">
        <f>CIF!$X$5+VLOOKUP($AM$5&amp;$E45,OCEAN!$E:$J,5,FALSE)</f>
        <v>#N/A</v>
      </c>
      <c r="AN45" s="68">
        <f>CIF!$X$6+VLOOKUP($AN$5&amp;$E45,OCEAN!$E:$J,5,FALSE)</f>
        <v>793.51880877742951</v>
      </c>
      <c r="AO45" s="68">
        <f>CIF!$X$7+VLOOKUP($AO$5&amp;$E45,OCEAN!$E:$J,5,FALSE)</f>
        <v>793.51880877742951</v>
      </c>
      <c r="AP45" s="68">
        <f>CIF!$X$8+VLOOKUP($AP$5&amp;$E45,OCEAN!$E:$J,5,FALSE)</f>
        <v>1138.090909090909</v>
      </c>
      <c r="AQ45" s="68">
        <f>CIF!$X$9+VLOOKUP($AQ$5&amp;$E45,OCEAN!$E:$J,5,FALSE)</f>
        <v>922.04545454545462</v>
      </c>
      <c r="AR45" s="68" t="e">
        <f t="shared" si="27"/>
        <v>#VALUE!</v>
      </c>
      <c r="AS45" s="68">
        <f t="shared" si="28"/>
        <v>1030.0681818181818</v>
      </c>
      <c r="AV45" s="68"/>
      <c r="AW45" s="540"/>
      <c r="AX45" s="68">
        <f>COSTS!C19+COSTS!D19+COSTS!E19</f>
        <v>33.582156363966249</v>
      </c>
      <c r="AY45" s="68">
        <f>COSTS!C19+COSTS!D19+COSTS!E19</f>
        <v>33.582156363966249</v>
      </c>
      <c r="AZ45" s="68">
        <f>COSTS!C19+COSTS!D19+COSTS!E19</f>
        <v>33.582156363966249</v>
      </c>
      <c r="BA45" s="68">
        <f>COSTS!C19+COSTS!D19+COSTS!E19</f>
        <v>33.582156363966249</v>
      </c>
      <c r="BB45" s="68">
        <f>COSTS!C19+COSTS!D19+COSTS!E19</f>
        <v>33.582156363966249</v>
      </c>
      <c r="BC45" s="68">
        <f>COSTS!C19+COSTS!D19+COSTS!E19</f>
        <v>33.582156363966249</v>
      </c>
      <c r="BD45" s="68">
        <f>COSTS!C19+COSTS!D19+COSTS!E19</f>
        <v>33.582156363966249</v>
      </c>
      <c r="BE45" s="68">
        <f>COSTS!C19+COSTS!D19+COSTS!E19</f>
        <v>33.582156363966249</v>
      </c>
      <c r="BF45" s="68">
        <f>COSTS!C19+COSTS!D19+COSTS!E19</f>
        <v>33.582156363966249</v>
      </c>
      <c r="BH45" s="66"/>
      <c r="BI45" s="399">
        <f>COSTS!F19+COSTS!G19+COSTS!H19</f>
        <v>97.452054794520549</v>
      </c>
      <c r="BJ45" s="68">
        <f>COSTS!F19+COSTS!G19+COSTS!H19</f>
        <v>97.452054794520549</v>
      </c>
      <c r="BK45" s="68">
        <f>COSTS!F19+COSTS!G19+COSTS!H19</f>
        <v>97.452054794520549</v>
      </c>
      <c r="BL45" s="68">
        <f>COSTS!F19+COSTS!G19+COSTS!H19</f>
        <v>97.452054794520549</v>
      </c>
      <c r="BM45" s="68">
        <f>COSTS!F19+COSTS!G19+COSTS!H19</f>
        <v>97.452054794520549</v>
      </c>
      <c r="BN45" s="68">
        <f>COSTS!F19+COSTS!G19+COSTS!H19</f>
        <v>97.452054794520549</v>
      </c>
      <c r="BO45" s="68">
        <f>COSTS!F19+COSTS!G19+COSTS!H19</f>
        <v>97.452054794520549</v>
      </c>
      <c r="BP45" s="68">
        <f>COSTS!F19+COSTS!G19+COSTS!H19</f>
        <v>97.452054794520549</v>
      </c>
      <c r="BQ45" s="68">
        <f>COSTS!F19+COSTS!G19+COSTS!H19</f>
        <v>97.452054794520549</v>
      </c>
      <c r="BS45" s="87"/>
      <c r="BT45" s="399" t="e">
        <f t="shared" si="52"/>
        <v>#N/A</v>
      </c>
      <c r="BU45" s="68">
        <f t="shared" si="53"/>
        <v>1658.4906861912295</v>
      </c>
      <c r="BV45" s="68">
        <f t="shared" si="54"/>
        <v>1713.4762406487921</v>
      </c>
      <c r="BW45" s="68">
        <f t="shared" si="55"/>
        <v>1700.6898475221235</v>
      </c>
      <c r="BX45" s="68">
        <f t="shared" si="56"/>
        <v>1467.4314685615113</v>
      </c>
      <c r="BY45" s="68" t="e">
        <f t="shared" si="57"/>
        <v>#VALUE!</v>
      </c>
      <c r="BZ45" s="68">
        <f t="shared" si="58"/>
        <v>1581.1918373059577</v>
      </c>
      <c r="CA45" s="68">
        <f t="shared" si="59"/>
        <v>131.03421115848681</v>
      </c>
      <c r="CB45" s="68">
        <f t="shared" si="60"/>
        <v>131.03421115848681</v>
      </c>
      <c r="CC45" s="68"/>
      <c r="CD45" s="68"/>
      <c r="CE45" s="399" t="e">
        <f t="shared" si="43"/>
        <v>#N/A</v>
      </c>
      <c r="CF45" s="68">
        <f t="shared" si="44"/>
        <v>432.35588891197949</v>
      </c>
      <c r="CG45" s="68">
        <f t="shared" si="45"/>
        <v>428.9154500405059</v>
      </c>
      <c r="CH45" s="68">
        <f t="shared" si="46"/>
        <v>779.08708013454952</v>
      </c>
      <c r="CI45" s="68">
        <f t="shared" si="47"/>
        <v>674.51889831636799</v>
      </c>
      <c r="CJ45" s="68" t="e">
        <f t="shared" si="48"/>
        <v>#VALUE!</v>
      </c>
      <c r="CK45" s="68">
        <f t="shared" si="49"/>
        <v>727.58708013454964</v>
      </c>
      <c r="CN45" s="38"/>
      <c r="CO45" s="120"/>
    </row>
    <row r="46" spans="1:93" ht="12.5" thickBot="1">
      <c r="A46" s="467"/>
      <c r="B46" s="477"/>
      <c r="C46" s="91"/>
      <c r="D46" s="91"/>
      <c r="E46" s="461" t="s">
        <v>1837</v>
      </c>
      <c r="F46" s="399">
        <f t="shared" si="4"/>
        <v>307.52023809523791</v>
      </c>
      <c r="G46" s="68">
        <f t="shared" si="5"/>
        <v>308.68205128205102</v>
      </c>
      <c r="H46" s="68">
        <f t="shared" si="6"/>
        <v>452.33045977011483</v>
      </c>
      <c r="I46" s="68">
        <f t="shared" si="7"/>
        <v>106.65000000000011</v>
      </c>
      <c r="J46" s="68">
        <f t="shared" si="8"/>
        <v>63.672812667740246</v>
      </c>
      <c r="K46" s="68">
        <f t="shared" si="9"/>
        <v>198.76926464016665</v>
      </c>
      <c r="L46" s="68">
        <f t="shared" si="10"/>
        <v>77.998541778493532</v>
      </c>
      <c r="P46" s="66"/>
      <c r="Q46" s="399">
        <f t="shared" si="11"/>
        <v>192.33065953654184</v>
      </c>
      <c r="R46" s="68">
        <f t="shared" si="12"/>
        <v>294.60561497326216</v>
      </c>
      <c r="S46" s="68">
        <f t="shared" si="13"/>
        <v>205.94276094276094</v>
      </c>
      <c r="T46" s="68">
        <f t="shared" si="14"/>
        <v>212.56872727272739</v>
      </c>
      <c r="U46" s="68">
        <f t="shared" si="15"/>
        <v>222.95738525155809</v>
      </c>
      <c r="V46" s="68">
        <f t="shared" si="16"/>
        <v>211.35138365102929</v>
      </c>
      <c r="W46" s="68">
        <f t="shared" si="17"/>
        <v>219.49449925861452</v>
      </c>
      <c r="AA46" s="66"/>
      <c r="AB46" s="399">
        <f t="shared" si="18"/>
        <v>130.64999999999989</v>
      </c>
      <c r="AC46" s="68">
        <f t="shared" si="19"/>
        <v>130.64999999999989</v>
      </c>
      <c r="AD46" s="68">
        <f t="shared" si="20"/>
        <v>130.65000000000006</v>
      </c>
      <c r="AE46" s="68">
        <f t="shared" si="21"/>
        <v>112.3460000000001</v>
      </c>
      <c r="AF46" s="68">
        <f t="shared" si="22"/>
        <v>127.72160493827144</v>
      </c>
      <c r="AG46" s="68">
        <f t="shared" si="23"/>
        <v>125.8178419753086</v>
      </c>
      <c r="AH46" s="68">
        <f t="shared" si="24"/>
        <v>122.59640329218099</v>
      </c>
      <c r="AI46" s="87">
        <f t="shared" si="25"/>
        <v>0</v>
      </c>
      <c r="AJ46" s="87">
        <f t="shared" si="26"/>
        <v>0</v>
      </c>
      <c r="AM46" s="399" t="e">
        <f>CIF!$X$5+VLOOKUP($AM$5&amp;$E46,OCEAN!$E:$J,5,FALSE)</f>
        <v>#N/A</v>
      </c>
      <c r="AN46" s="68">
        <f>CIF!$X$6+VLOOKUP($AN$5&amp;$E46,OCEAN!$E:$J,5,FALSE)</f>
        <v>759.20062695924776</v>
      </c>
      <c r="AO46" s="68">
        <f>CIF!$X$7+VLOOKUP($AO$5&amp;$E46,OCEAN!$E:$J,5,FALSE)</f>
        <v>759.20062695924776</v>
      </c>
      <c r="AP46" s="68">
        <f>CIF!$X$8+VLOOKUP($AP$5&amp;$E46,OCEAN!$E:$J,5,FALSE)</f>
        <v>1160.8181818181818</v>
      </c>
      <c r="AQ46" s="68">
        <f>CIF!$X$9+VLOOKUP($AQ$5&amp;$E46,OCEAN!$E:$J,5,FALSE)</f>
        <v>944.77272727272725</v>
      </c>
      <c r="AR46" s="68" t="e">
        <f t="shared" si="27"/>
        <v>#VALUE!</v>
      </c>
      <c r="AS46" s="68">
        <f t="shared" si="28"/>
        <v>1052.7954545454545</v>
      </c>
      <c r="AV46" s="68"/>
      <c r="AW46" s="540"/>
      <c r="AX46" s="68">
        <f>COSTS!C19+COSTS!D19+COSTS!E19</f>
        <v>33.582156363966249</v>
      </c>
      <c r="AY46" s="68">
        <f>COSTS!C19+COSTS!D19+COSTS!E19</f>
        <v>33.582156363966249</v>
      </c>
      <c r="AZ46" s="68">
        <f>COSTS!C19+COSTS!D19+COSTS!E19</f>
        <v>33.582156363966249</v>
      </c>
      <c r="BA46" s="68">
        <f>COSTS!C19+COSTS!D19+COSTS!E19</f>
        <v>33.582156363966249</v>
      </c>
      <c r="BB46" s="68">
        <f>COSTS!C19+COSTS!D19+COSTS!E19</f>
        <v>33.582156363966249</v>
      </c>
      <c r="BC46" s="68">
        <f>COSTS!C19+COSTS!D19+COSTS!E19</f>
        <v>33.582156363966249</v>
      </c>
      <c r="BD46" s="68">
        <f>COSTS!C19+COSTS!D19+COSTS!E19</f>
        <v>33.582156363966249</v>
      </c>
      <c r="BE46" s="68">
        <f>COSTS!C19+COSTS!D19+COSTS!E19</f>
        <v>33.582156363966249</v>
      </c>
      <c r="BF46" s="68">
        <f>COSTS!C19+COSTS!D19+COSTS!E19</f>
        <v>33.582156363966249</v>
      </c>
      <c r="BH46" s="66"/>
      <c r="BI46" s="399">
        <f>COSTS!F19+COSTS!G19+COSTS!H19</f>
        <v>97.452054794520549</v>
      </c>
      <c r="BJ46" s="68">
        <f>COSTS!F19+COSTS!G19+COSTS!H19</f>
        <v>97.452054794520549</v>
      </c>
      <c r="BK46" s="68">
        <f>COSTS!F19+COSTS!G19+COSTS!H19</f>
        <v>97.452054794520549</v>
      </c>
      <c r="BL46" s="68">
        <f>COSTS!F19+COSTS!G19+COSTS!H19</f>
        <v>97.452054794520549</v>
      </c>
      <c r="BM46" s="68">
        <f>COSTS!F19+COSTS!G19+COSTS!H19</f>
        <v>97.452054794520549</v>
      </c>
      <c r="BN46" s="68">
        <f>COSTS!F19+COSTS!G19+COSTS!H19</f>
        <v>97.452054794520549</v>
      </c>
      <c r="BO46" s="68">
        <f>COSTS!F19+COSTS!G19+COSTS!H19</f>
        <v>97.452054794520549</v>
      </c>
      <c r="BP46" s="68">
        <f>COSTS!F19+COSTS!G19+COSTS!H19</f>
        <v>97.452054794520549</v>
      </c>
      <c r="BQ46" s="68">
        <f>COSTS!F19+COSTS!G19+COSTS!H19</f>
        <v>97.452054794520549</v>
      </c>
      <c r="BS46" s="87"/>
      <c r="BT46" s="399" t="e">
        <f t="shared" si="52"/>
        <v>#N/A</v>
      </c>
      <c r="BU46" s="68">
        <f t="shared" si="53"/>
        <v>1624.1725043730476</v>
      </c>
      <c r="BV46" s="68">
        <f t="shared" si="54"/>
        <v>1679.1580588306106</v>
      </c>
      <c r="BW46" s="68">
        <f t="shared" si="55"/>
        <v>1723.4171202493962</v>
      </c>
      <c r="BX46" s="68">
        <f t="shared" si="56"/>
        <v>1490.1587412887839</v>
      </c>
      <c r="BY46" s="68" t="e">
        <f t="shared" si="57"/>
        <v>#VALUE!</v>
      </c>
      <c r="BZ46" s="68">
        <f t="shared" si="58"/>
        <v>1603.9191100332305</v>
      </c>
      <c r="CA46" s="68">
        <f t="shared" si="59"/>
        <v>131.03421115848681</v>
      </c>
      <c r="CB46" s="68">
        <f t="shared" si="60"/>
        <v>131.03421115848681</v>
      </c>
      <c r="CC46" s="68"/>
      <c r="CD46" s="68"/>
      <c r="CE46" s="399" t="e">
        <f t="shared" si="43"/>
        <v>#N/A</v>
      </c>
      <c r="CF46" s="68">
        <f t="shared" si="44"/>
        <v>398.03770709379751</v>
      </c>
      <c r="CG46" s="68">
        <f t="shared" si="45"/>
        <v>394.59726822232437</v>
      </c>
      <c r="CH46" s="68">
        <f t="shared" si="46"/>
        <v>801.81435286182227</v>
      </c>
      <c r="CI46" s="68">
        <f t="shared" si="47"/>
        <v>697.24617104364052</v>
      </c>
      <c r="CJ46" s="68" t="e">
        <f t="shared" si="48"/>
        <v>#VALUE!</v>
      </c>
      <c r="CK46" s="68">
        <f t="shared" si="49"/>
        <v>750.31435286182239</v>
      </c>
      <c r="CN46" s="38"/>
      <c r="CO46" s="120"/>
    </row>
    <row r="47" spans="1:93" ht="12.5" thickBot="1">
      <c r="A47" s="95" t="s">
        <v>1681</v>
      </c>
      <c r="B47" s="394" t="s">
        <v>1682</v>
      </c>
      <c r="C47" s="474">
        <v>11</v>
      </c>
      <c r="D47" s="475">
        <v>18</v>
      </c>
      <c r="E47" s="478" t="s">
        <v>1862</v>
      </c>
      <c r="F47" s="399">
        <f t="shared" si="4"/>
        <v>307.52023809523791</v>
      </c>
      <c r="G47" s="68">
        <f t="shared" si="5"/>
        <v>308.68205128205102</v>
      </c>
      <c r="H47" s="68">
        <f t="shared" si="6"/>
        <v>452.33045977011483</v>
      </c>
      <c r="I47" s="68">
        <f t="shared" si="7"/>
        <v>106.65000000000011</v>
      </c>
      <c r="J47" s="68">
        <f t="shared" si="8"/>
        <v>63.672812667740246</v>
      </c>
      <c r="K47" s="68">
        <f t="shared" si="9"/>
        <v>198.76926464016665</v>
      </c>
      <c r="L47" s="68">
        <f t="shared" si="10"/>
        <v>77.998541778493532</v>
      </c>
      <c r="P47" s="66"/>
      <c r="Q47" s="399">
        <f t="shared" si="11"/>
        <v>192.33065953654184</v>
      </c>
      <c r="R47" s="68">
        <f t="shared" si="12"/>
        <v>294.60561497326216</v>
      </c>
      <c r="S47" s="68">
        <f t="shared" si="13"/>
        <v>205.94276094276094</v>
      </c>
      <c r="T47" s="68">
        <f t="shared" si="14"/>
        <v>212.56872727272739</v>
      </c>
      <c r="U47" s="68">
        <f t="shared" si="15"/>
        <v>222.95738525155809</v>
      </c>
      <c r="V47" s="68">
        <f t="shared" si="16"/>
        <v>211.35138365102929</v>
      </c>
      <c r="W47" s="68">
        <f t="shared" si="17"/>
        <v>219.49449925861452</v>
      </c>
      <c r="AA47" s="66"/>
      <c r="AB47" s="399">
        <f t="shared" si="18"/>
        <v>130.64999999999989</v>
      </c>
      <c r="AC47" s="68">
        <f t="shared" si="19"/>
        <v>130.64999999999989</v>
      </c>
      <c r="AD47" s="68">
        <f t="shared" si="20"/>
        <v>130.65000000000006</v>
      </c>
      <c r="AE47" s="68">
        <f t="shared" si="21"/>
        <v>112.3460000000001</v>
      </c>
      <c r="AF47" s="68">
        <f t="shared" si="22"/>
        <v>127.72160493827144</v>
      </c>
      <c r="AG47" s="68">
        <f t="shared" si="23"/>
        <v>125.8178419753086</v>
      </c>
      <c r="AH47" s="68">
        <f t="shared" si="24"/>
        <v>122.59640329218099</v>
      </c>
      <c r="AI47" s="87">
        <f t="shared" si="25"/>
        <v>0</v>
      </c>
      <c r="AJ47" s="87">
        <f t="shared" si="26"/>
        <v>0</v>
      </c>
      <c r="AM47" s="399" t="e">
        <f>CIF!$X$5+VLOOKUP($AM$5&amp;$E47,OCEAN!$E:$J,5,FALSE)</f>
        <v>#N/A</v>
      </c>
      <c r="AN47" s="68">
        <f>CIF!$X$6+VLOOKUP($AN$5&amp;$E47,OCEAN!$E:$J,5,FALSE)</f>
        <v>769.65517241379325</v>
      </c>
      <c r="AO47" s="68">
        <f>CIF!$X$7+VLOOKUP($AO$5&amp;$E47,OCEAN!$E:$J,5,FALSE)</f>
        <v>769.65517241379325</v>
      </c>
      <c r="AP47" s="68" t="e">
        <f>CIF!$X$8+VLOOKUP($AP$5&amp;$E47,OCEAN!$E:$J,5,FALSE)</f>
        <v>#VALUE!</v>
      </c>
      <c r="AQ47" s="68" t="e">
        <f>CIF!$X$9+VLOOKUP($AQ$5&amp;$E47,OCEAN!$E:$J,5,FALSE)</f>
        <v>#VALUE!</v>
      </c>
      <c r="AR47" s="68" t="e">
        <f t="shared" si="27"/>
        <v>#VALUE!</v>
      </c>
      <c r="AS47" s="68" t="e">
        <f t="shared" si="28"/>
        <v>#VALUE!</v>
      </c>
      <c r="AV47" s="68"/>
      <c r="AW47" s="540"/>
      <c r="AX47" s="68">
        <f>COSTS!C20+COSTS!D20+COSTS!E20</f>
        <v>33.582156363966249</v>
      </c>
      <c r="AY47" s="68">
        <f>COSTS!C20+COSTS!D20+COSTS!E20</f>
        <v>33.582156363966249</v>
      </c>
      <c r="AZ47" s="68">
        <f>COSTS!C20+COSTS!D20+COSTS!E20</f>
        <v>33.582156363966249</v>
      </c>
      <c r="BA47" s="68">
        <f>COSTS!C20+COSTS!D20+COSTS!E20</f>
        <v>33.582156363966249</v>
      </c>
      <c r="BB47" s="68">
        <f>COSTS!C20+COSTS!D20+COSTS!E20</f>
        <v>33.582156363966249</v>
      </c>
      <c r="BC47" s="68">
        <f>COSTS!C20+COSTS!D20+COSTS!E20</f>
        <v>33.582156363966249</v>
      </c>
      <c r="BD47" s="68">
        <f>COSTS!C20+COSTS!D20+COSTS!E20</f>
        <v>33.582156363966249</v>
      </c>
      <c r="BE47" s="68">
        <f>COSTS!C20+COSTS!D20+COSTS!E20</f>
        <v>33.582156363966249</v>
      </c>
      <c r="BF47" s="68">
        <f>COSTS!C20+COSTS!D20+COSTS!E20</f>
        <v>33.582156363966249</v>
      </c>
      <c r="BH47" s="66"/>
      <c r="BI47" s="399">
        <f>COSTS!F20+COSTS!G20+COSTS!H20</f>
        <v>97.452054794520549</v>
      </c>
      <c r="BJ47" s="68">
        <f>COSTS!F20+COSTS!G20+COSTS!H20</f>
        <v>97.452054794520549</v>
      </c>
      <c r="BK47" s="68">
        <f>COSTS!F20+COSTS!G20+COSTS!H20</f>
        <v>97.452054794520549</v>
      </c>
      <c r="BL47" s="68">
        <f>COSTS!F20+COSTS!G20+COSTS!H20</f>
        <v>97.452054794520549</v>
      </c>
      <c r="BM47" s="68">
        <f>COSTS!F20+COSTS!G20+COSTS!H20</f>
        <v>97.452054794520549</v>
      </c>
      <c r="BN47" s="68">
        <f>COSTS!F20+COSTS!G20+COSTS!H20</f>
        <v>97.452054794520549</v>
      </c>
      <c r="BO47" s="68">
        <f>COSTS!F20+COSTS!G20+COSTS!H20</f>
        <v>97.452054794520549</v>
      </c>
      <c r="BP47" s="68">
        <f>COSTS!F20+COSTS!G20+COSTS!H20</f>
        <v>97.452054794520549</v>
      </c>
      <c r="BQ47" s="68">
        <f>COSTS!F20+COSTS!G20+COSTS!H20</f>
        <v>97.452054794520549</v>
      </c>
      <c r="BS47" s="87"/>
      <c r="BT47" s="399" t="e">
        <f t="shared" si="52"/>
        <v>#N/A</v>
      </c>
      <c r="BU47" s="68">
        <f t="shared" si="53"/>
        <v>1634.6270498275931</v>
      </c>
      <c r="BV47" s="68">
        <f t="shared" si="54"/>
        <v>1689.6126042851561</v>
      </c>
      <c r="BW47" s="68" t="e">
        <f t="shared" si="55"/>
        <v>#VALUE!</v>
      </c>
      <c r="BX47" s="68" t="e">
        <f t="shared" si="56"/>
        <v>#VALUE!</v>
      </c>
      <c r="BY47" s="68" t="e">
        <f t="shared" si="57"/>
        <v>#VALUE!</v>
      </c>
      <c r="BZ47" s="68" t="e">
        <f t="shared" si="58"/>
        <v>#VALUE!</v>
      </c>
      <c r="CA47" s="68">
        <f t="shared" si="59"/>
        <v>131.03421115848681</v>
      </c>
      <c r="CB47" s="68">
        <f t="shared" si="60"/>
        <v>131.03421115848681</v>
      </c>
      <c r="CC47" s="68"/>
      <c r="CD47" s="68"/>
      <c r="CE47" s="399" t="e">
        <f t="shared" si="43"/>
        <v>#N/A</v>
      </c>
      <c r="CF47" s="68">
        <f t="shared" si="44"/>
        <v>408.492252548343</v>
      </c>
      <c r="CG47" s="68">
        <f t="shared" si="45"/>
        <v>405.05181367686987</v>
      </c>
      <c r="CH47" s="68" t="e">
        <f t="shared" si="46"/>
        <v>#VALUE!</v>
      </c>
      <c r="CI47" s="68" t="e">
        <f t="shared" si="47"/>
        <v>#VALUE!</v>
      </c>
      <c r="CJ47" s="68" t="e">
        <f t="shared" si="48"/>
        <v>#VALUE!</v>
      </c>
      <c r="CK47" s="68" t="e">
        <f t="shared" si="49"/>
        <v>#VALUE!</v>
      </c>
      <c r="CN47" s="38"/>
      <c r="CO47" s="120"/>
    </row>
    <row r="48" spans="1:93" ht="12.5" thickBot="1">
      <c r="A48" s="95" t="s">
        <v>1683</v>
      </c>
      <c r="B48" s="394" t="s">
        <v>1684</v>
      </c>
      <c r="C48" s="474"/>
      <c r="D48" s="475">
        <v>14</v>
      </c>
      <c r="E48" s="478" t="s">
        <v>1861</v>
      </c>
      <c r="F48" s="399">
        <f t="shared" si="4"/>
        <v>307.52023809523791</v>
      </c>
      <c r="G48" s="68">
        <f t="shared" si="5"/>
        <v>308.68205128205102</v>
      </c>
      <c r="H48" s="68">
        <f t="shared" si="6"/>
        <v>452.33045977011483</v>
      </c>
      <c r="I48" s="68">
        <f t="shared" si="7"/>
        <v>106.65000000000011</v>
      </c>
      <c r="J48" s="68">
        <f t="shared" si="8"/>
        <v>63.672812667740246</v>
      </c>
      <c r="K48" s="68">
        <f t="shared" si="9"/>
        <v>198.76926464016665</v>
      </c>
      <c r="L48" s="68">
        <f t="shared" si="10"/>
        <v>77.998541778493532</v>
      </c>
      <c r="P48" s="66"/>
      <c r="Q48" s="399">
        <f t="shared" si="11"/>
        <v>192.33065953654184</v>
      </c>
      <c r="R48" s="68">
        <f t="shared" si="12"/>
        <v>294.60561497326216</v>
      </c>
      <c r="S48" s="68">
        <f t="shared" si="13"/>
        <v>205.94276094276094</v>
      </c>
      <c r="T48" s="68">
        <f t="shared" si="14"/>
        <v>212.56872727272739</v>
      </c>
      <c r="U48" s="68">
        <f t="shared" si="15"/>
        <v>222.95738525155809</v>
      </c>
      <c r="V48" s="68">
        <f t="shared" si="16"/>
        <v>211.35138365102929</v>
      </c>
      <c r="W48" s="68">
        <f t="shared" si="17"/>
        <v>219.49449925861452</v>
      </c>
      <c r="AA48" s="66"/>
      <c r="AB48" s="399">
        <f t="shared" si="18"/>
        <v>130.64999999999989</v>
      </c>
      <c r="AC48" s="68">
        <f t="shared" si="19"/>
        <v>130.64999999999989</v>
      </c>
      <c r="AD48" s="68">
        <f t="shared" si="20"/>
        <v>130.65000000000006</v>
      </c>
      <c r="AE48" s="68">
        <f t="shared" si="21"/>
        <v>112.3460000000001</v>
      </c>
      <c r="AF48" s="68">
        <f t="shared" si="22"/>
        <v>127.72160493827144</v>
      </c>
      <c r="AG48" s="68">
        <f t="shared" si="23"/>
        <v>125.8178419753086</v>
      </c>
      <c r="AH48" s="68">
        <f t="shared" si="24"/>
        <v>122.59640329218099</v>
      </c>
      <c r="AI48" s="87">
        <f t="shared" si="25"/>
        <v>0</v>
      </c>
      <c r="AJ48" s="87">
        <f t="shared" si="26"/>
        <v>0</v>
      </c>
      <c r="AM48" s="399" t="e">
        <f>CIF!$X$5+VLOOKUP($AM$5&amp;$E48,OCEAN!$E:$J,5,FALSE)</f>
        <v>#N/A</v>
      </c>
      <c r="AN48" s="68">
        <f>CIF!$X$6+VLOOKUP($AN$5&amp;$E48,OCEAN!$E:$J,5,FALSE)</f>
        <v>743.06426332288402</v>
      </c>
      <c r="AO48" s="68">
        <f>CIF!$X$7+VLOOKUP($AO$5&amp;$E48,OCEAN!$E:$J,5,FALSE)</f>
        <v>743.06426332288402</v>
      </c>
      <c r="AP48" s="68">
        <f>CIF!$X$8+VLOOKUP($AP$5&amp;$E48,OCEAN!$E:$J,5,FALSE)</f>
        <v>1085.8181818181818</v>
      </c>
      <c r="AQ48" s="68" t="e">
        <f>CIF!$X$9+VLOOKUP($AQ$5&amp;$E48,OCEAN!$E:$J,5,FALSE)</f>
        <v>#VALUE!</v>
      </c>
      <c r="AR48" s="68" t="e">
        <f t="shared" si="27"/>
        <v>#VALUE!</v>
      </c>
      <c r="AS48" s="68" t="e">
        <f t="shared" si="28"/>
        <v>#VALUE!</v>
      </c>
      <c r="AV48" s="68"/>
      <c r="AW48" s="540"/>
      <c r="AX48" s="68">
        <f>COSTS!C23+COSTS!D23+COSTS!E23</f>
        <v>14.735199999999999</v>
      </c>
      <c r="AY48" s="68">
        <f>COSTS!C23+COSTS!D23+COSTS!E23</f>
        <v>14.735199999999999</v>
      </c>
      <c r="AZ48" s="68">
        <f>COSTS!C23+COSTS!D23+COSTS!E23</f>
        <v>14.735199999999999</v>
      </c>
      <c r="BA48" s="68">
        <f>COSTS!C23+COSTS!D23+COSTS!E23</f>
        <v>14.735199999999999</v>
      </c>
      <c r="BB48" s="68">
        <f>COSTS!C23+COSTS!D23+COSTS!E23</f>
        <v>14.735199999999999</v>
      </c>
      <c r="BC48" s="68">
        <f>COSTS!C23+COSTS!D23+COSTS!E23</f>
        <v>14.735199999999999</v>
      </c>
      <c r="BD48" s="68">
        <f>COSTS!C23+COSTS!D23+COSTS!E23</f>
        <v>14.735199999999999</v>
      </c>
      <c r="BE48" s="68">
        <f>COSTS!C23+COSTS!D23+COSTS!E23</f>
        <v>14.735199999999999</v>
      </c>
      <c r="BF48" s="68">
        <f>COSTS!C23+COSTS!D23+COSTS!E23</f>
        <v>14.735199999999999</v>
      </c>
      <c r="BH48" s="66"/>
      <c r="BI48" s="399">
        <f>COSTS!F23+COSTS!G23+COSTS!H23</f>
        <v>97.452054794520549</v>
      </c>
      <c r="BJ48" s="68">
        <f>COSTS!F23+COSTS!G23+COSTS!H23</f>
        <v>97.452054794520549</v>
      </c>
      <c r="BK48" s="68">
        <f>COSTS!F23+COSTS!G23+COSTS!H23</f>
        <v>97.452054794520549</v>
      </c>
      <c r="BL48" s="68">
        <f>COSTS!F23+COSTS!G23+COSTS!H23</f>
        <v>97.452054794520549</v>
      </c>
      <c r="BM48" s="68">
        <f>COSTS!F23+COSTS!G23+COSTS!H23</f>
        <v>97.452054794520549</v>
      </c>
      <c r="BN48" s="68">
        <f>COSTS!F23+COSTS!G23+COSTS!H23</f>
        <v>97.452054794520549</v>
      </c>
      <c r="BO48" s="68">
        <f>COSTS!F23+COSTS!G23+COSTS!H23</f>
        <v>97.452054794520549</v>
      </c>
      <c r="BP48" s="68">
        <f>COSTS!F23+COSTS!G23+COSTS!H23</f>
        <v>97.452054794520549</v>
      </c>
      <c r="BQ48" s="68">
        <f>COSTS!F23+COSTS!G23+COSTS!H23</f>
        <v>97.452054794520549</v>
      </c>
      <c r="BS48" s="87"/>
      <c r="BT48" s="399" t="e">
        <f t="shared" si="52"/>
        <v>#N/A</v>
      </c>
      <c r="BU48" s="68">
        <f t="shared" si="53"/>
        <v>1589.1891843727178</v>
      </c>
      <c r="BV48" s="68">
        <f t="shared" si="54"/>
        <v>1644.1747388302804</v>
      </c>
      <c r="BW48" s="68">
        <f t="shared" si="55"/>
        <v>1629.57016388543</v>
      </c>
      <c r="BX48" s="68" t="e">
        <f t="shared" si="56"/>
        <v>#VALUE!</v>
      </c>
      <c r="BY48" s="68" t="e">
        <f t="shared" si="57"/>
        <v>#VALUE!</v>
      </c>
      <c r="BZ48" s="68" t="e">
        <f t="shared" si="58"/>
        <v>#VALUE!</v>
      </c>
      <c r="CA48" s="68">
        <f t="shared" si="59"/>
        <v>112.18725479452056</v>
      </c>
      <c r="CB48" s="68">
        <f t="shared" si="60"/>
        <v>112.18725479452056</v>
      </c>
      <c r="CC48" s="68"/>
      <c r="CD48" s="68"/>
      <c r="CE48" s="399" t="e">
        <f t="shared" si="43"/>
        <v>#N/A</v>
      </c>
      <c r="CF48" s="68">
        <f t="shared" si="44"/>
        <v>363.05438709346777</v>
      </c>
      <c r="CG48" s="68">
        <f t="shared" si="45"/>
        <v>359.61394822199418</v>
      </c>
      <c r="CH48" s="68">
        <f t="shared" si="46"/>
        <v>707.96739649785604</v>
      </c>
      <c r="CI48" s="68" t="e">
        <f t="shared" si="47"/>
        <v>#VALUE!</v>
      </c>
      <c r="CJ48" s="68" t="e">
        <f t="shared" si="48"/>
        <v>#VALUE!</v>
      </c>
      <c r="CK48" s="68" t="e">
        <f t="shared" si="49"/>
        <v>#VALUE!</v>
      </c>
      <c r="CN48" s="38"/>
      <c r="CO48" s="120"/>
    </row>
    <row r="49" spans="1:93" ht="12.5" thickBot="1">
      <c r="A49" s="95" t="s">
        <v>1686</v>
      </c>
      <c r="B49" s="394" t="s">
        <v>1687</v>
      </c>
      <c r="C49" s="474"/>
      <c r="D49" s="475">
        <v>14</v>
      </c>
      <c r="E49" s="106" t="s">
        <v>1855</v>
      </c>
      <c r="F49" s="399">
        <f t="shared" si="4"/>
        <v>307.52023809523791</v>
      </c>
      <c r="G49" s="68">
        <f t="shared" si="5"/>
        <v>308.68205128205102</v>
      </c>
      <c r="H49" s="68">
        <f t="shared" si="6"/>
        <v>452.33045977011483</v>
      </c>
      <c r="I49" s="68">
        <f t="shared" si="7"/>
        <v>106.65000000000011</v>
      </c>
      <c r="J49" s="68">
        <f t="shared" si="8"/>
        <v>63.672812667740246</v>
      </c>
      <c r="K49" s="68">
        <f t="shared" si="9"/>
        <v>198.76926464016665</v>
      </c>
      <c r="L49" s="68">
        <f t="shared" si="10"/>
        <v>77.998541778493532</v>
      </c>
      <c r="P49" s="66"/>
      <c r="Q49" s="399">
        <f t="shared" si="11"/>
        <v>192.33065953654184</v>
      </c>
      <c r="R49" s="68">
        <f t="shared" si="12"/>
        <v>294.60561497326216</v>
      </c>
      <c r="S49" s="68">
        <f t="shared" si="13"/>
        <v>205.94276094276094</v>
      </c>
      <c r="T49" s="68">
        <f t="shared" si="14"/>
        <v>212.56872727272739</v>
      </c>
      <c r="U49" s="68">
        <f t="shared" si="15"/>
        <v>222.95738525155809</v>
      </c>
      <c r="V49" s="68">
        <f t="shared" si="16"/>
        <v>211.35138365102929</v>
      </c>
      <c r="W49" s="68">
        <f t="shared" si="17"/>
        <v>219.49449925861452</v>
      </c>
      <c r="AA49" s="66"/>
      <c r="AB49" s="399">
        <f t="shared" si="18"/>
        <v>130.64999999999989</v>
      </c>
      <c r="AC49" s="68">
        <f t="shared" si="19"/>
        <v>130.64999999999989</v>
      </c>
      <c r="AD49" s="68">
        <f t="shared" si="20"/>
        <v>130.65000000000006</v>
      </c>
      <c r="AE49" s="68">
        <f t="shared" si="21"/>
        <v>112.3460000000001</v>
      </c>
      <c r="AF49" s="68">
        <f t="shared" si="22"/>
        <v>127.72160493827144</v>
      </c>
      <c r="AG49" s="68">
        <f t="shared" si="23"/>
        <v>125.8178419753086</v>
      </c>
      <c r="AH49" s="68">
        <f t="shared" si="24"/>
        <v>122.59640329218099</v>
      </c>
      <c r="AI49" s="87">
        <f t="shared" si="25"/>
        <v>0</v>
      </c>
      <c r="AJ49" s="87">
        <f t="shared" si="26"/>
        <v>0</v>
      </c>
      <c r="AM49" s="399" t="e">
        <f>CIF!$X$5+VLOOKUP($AM$5&amp;$E49,OCEAN!$E:$J,5,FALSE)</f>
        <v>#N/A</v>
      </c>
      <c r="AN49" s="68">
        <f>CIF!$X$6+VLOOKUP($AN$5&amp;$E49,OCEAN!$E:$J,5,FALSE)</f>
        <v>581.70062695924776</v>
      </c>
      <c r="AO49" s="68">
        <f>CIF!$X$7+VLOOKUP($AO$5&amp;$E49,OCEAN!$E:$J,5,FALSE)</f>
        <v>581.70062695924776</v>
      </c>
      <c r="AP49" s="68">
        <f>CIF!$X$8+VLOOKUP($AP$5&amp;$E49,OCEAN!$E:$J,5,FALSE)</f>
        <v>781.0454545454545</v>
      </c>
      <c r="AQ49" s="68">
        <f>CIF!$X$9+VLOOKUP($AQ$5&amp;$E49,OCEAN!$E:$J,5,FALSE)</f>
        <v>540.22727272727275</v>
      </c>
      <c r="AR49" s="68" t="e">
        <f t="shared" si="27"/>
        <v>#VALUE!</v>
      </c>
      <c r="AS49" s="68">
        <f t="shared" si="28"/>
        <v>660.63636363636363</v>
      </c>
      <c r="AV49" s="68"/>
      <c r="AW49" s="540"/>
      <c r="AX49" s="68">
        <f>COSTS!C24+COSTS!D24+COSTS!E24</f>
        <v>14.735199999999999</v>
      </c>
      <c r="AY49" s="68">
        <f>COSTS!C24+COSTS!D24+COSTS!E24</f>
        <v>14.735199999999999</v>
      </c>
      <c r="AZ49" s="68">
        <f>COSTS!C24+COSTS!D24+COSTS!E24</f>
        <v>14.735199999999999</v>
      </c>
      <c r="BA49" s="68">
        <f>COSTS!C24+COSTS!D24+COSTS!E24</f>
        <v>14.735199999999999</v>
      </c>
      <c r="BB49" s="68">
        <f>COSTS!C24+COSTS!D24+COSTS!E24</f>
        <v>14.735199999999999</v>
      </c>
      <c r="BC49" s="68">
        <f>COSTS!C24+COSTS!D24+COSTS!E24</f>
        <v>14.735199999999999</v>
      </c>
      <c r="BD49" s="68">
        <f>COSTS!C24+COSTS!D24+COSTS!E24</f>
        <v>14.735199999999999</v>
      </c>
      <c r="BE49" s="68">
        <f>COSTS!C24+COSTS!D24+COSTS!E24</f>
        <v>14.735199999999999</v>
      </c>
      <c r="BF49" s="68">
        <f>COSTS!C24+COSTS!D24+COSTS!E24</f>
        <v>14.735199999999999</v>
      </c>
      <c r="BH49" s="66"/>
      <c r="BI49" s="399">
        <f>COSTS!F24+COSTS!G24+COSTS!H24</f>
        <v>97.452054794520549</v>
      </c>
      <c r="BJ49" s="68">
        <f>COSTS!F24+COSTS!G24+COSTS!H24</f>
        <v>97.452054794520549</v>
      </c>
      <c r="BK49" s="68">
        <f>COSTS!F24+COSTS!G24+COSTS!H24</f>
        <v>97.452054794520549</v>
      </c>
      <c r="BL49" s="68">
        <f>COSTS!F24+COSTS!G24+COSTS!H24</f>
        <v>97.452054794520549</v>
      </c>
      <c r="BM49" s="68">
        <f>COSTS!F24+COSTS!G24+COSTS!H24</f>
        <v>97.452054794520549</v>
      </c>
      <c r="BN49" s="68">
        <f>COSTS!F24+COSTS!G24+COSTS!H24</f>
        <v>97.452054794520549</v>
      </c>
      <c r="BO49" s="68">
        <f>COSTS!F24+COSTS!G24+COSTS!H24</f>
        <v>97.452054794520549</v>
      </c>
      <c r="BP49" s="68">
        <f>COSTS!F24+COSTS!G24+COSTS!H24</f>
        <v>97.452054794520549</v>
      </c>
      <c r="BQ49" s="68">
        <f>COSTS!F24+COSTS!G24+COSTS!H24</f>
        <v>97.452054794520549</v>
      </c>
      <c r="BS49" s="87"/>
      <c r="BT49" s="399" t="e">
        <f t="shared" si="52"/>
        <v>#N/A</v>
      </c>
      <c r="BU49" s="68">
        <f t="shared" si="53"/>
        <v>1427.8255480090813</v>
      </c>
      <c r="BV49" s="68">
        <f t="shared" si="54"/>
        <v>1482.8111024666443</v>
      </c>
      <c r="BW49" s="68">
        <f t="shared" si="55"/>
        <v>1324.7974366127028</v>
      </c>
      <c r="BX49" s="68">
        <f t="shared" si="56"/>
        <v>1066.7663303793629</v>
      </c>
      <c r="BY49" s="68" t="e">
        <f t="shared" si="57"/>
        <v>#VALUE!</v>
      </c>
      <c r="BZ49" s="68">
        <f t="shared" si="58"/>
        <v>1192.9130627601733</v>
      </c>
      <c r="CA49" s="68">
        <f t="shared" si="59"/>
        <v>112.18725479452056</v>
      </c>
      <c r="CB49" s="68">
        <f t="shared" si="60"/>
        <v>112.18725479452056</v>
      </c>
      <c r="CC49" s="68"/>
      <c r="CD49" s="68"/>
      <c r="CE49" s="399" t="e">
        <f t="shared" si="43"/>
        <v>#N/A</v>
      </c>
      <c r="CF49" s="68">
        <f t="shared" si="44"/>
        <v>201.69075072983128</v>
      </c>
      <c r="CG49" s="68">
        <f t="shared" si="45"/>
        <v>198.25031185835815</v>
      </c>
      <c r="CH49" s="68">
        <f t="shared" si="46"/>
        <v>403.19466922512879</v>
      </c>
      <c r="CI49" s="68">
        <f t="shared" si="47"/>
        <v>273.85376013421956</v>
      </c>
      <c r="CJ49" s="68" t="e">
        <f t="shared" si="48"/>
        <v>#VALUE!</v>
      </c>
      <c r="CK49" s="68">
        <f t="shared" si="49"/>
        <v>339.30830558876517</v>
      </c>
      <c r="CN49" s="38"/>
      <c r="CO49" s="120"/>
    </row>
    <row r="50" spans="1:93" ht="12.5" thickBot="1">
      <c r="A50" s="479"/>
      <c r="B50" s="460"/>
      <c r="C50" s="91"/>
      <c r="D50" s="91"/>
      <c r="E50" s="461" t="s">
        <v>1832</v>
      </c>
      <c r="F50" s="399">
        <f t="shared" si="4"/>
        <v>307.52023809523791</v>
      </c>
      <c r="G50" s="68">
        <f t="shared" si="5"/>
        <v>308.68205128205102</v>
      </c>
      <c r="H50" s="68">
        <f t="shared" si="6"/>
        <v>452.33045977011483</v>
      </c>
      <c r="I50" s="68">
        <f t="shared" si="7"/>
        <v>106.65000000000011</v>
      </c>
      <c r="J50" s="68">
        <f t="shared" si="8"/>
        <v>63.672812667740246</v>
      </c>
      <c r="K50" s="68">
        <f t="shared" si="9"/>
        <v>198.76926464016665</v>
      </c>
      <c r="L50" s="68">
        <f t="shared" si="10"/>
        <v>77.998541778493532</v>
      </c>
      <c r="P50" s="66"/>
      <c r="Q50" s="399">
        <f t="shared" si="11"/>
        <v>192.33065953654184</v>
      </c>
      <c r="R50" s="68">
        <f t="shared" si="12"/>
        <v>294.60561497326216</v>
      </c>
      <c r="S50" s="68">
        <f t="shared" si="13"/>
        <v>205.94276094276094</v>
      </c>
      <c r="T50" s="68">
        <f t="shared" si="14"/>
        <v>212.56872727272739</v>
      </c>
      <c r="U50" s="68">
        <f t="shared" si="15"/>
        <v>222.95738525155809</v>
      </c>
      <c r="V50" s="68">
        <f t="shared" si="16"/>
        <v>211.35138365102929</v>
      </c>
      <c r="W50" s="68">
        <f t="shared" si="17"/>
        <v>219.49449925861452</v>
      </c>
      <c r="AA50" s="66"/>
      <c r="AB50" s="399">
        <f t="shared" si="18"/>
        <v>130.64999999999989</v>
      </c>
      <c r="AC50" s="68">
        <f t="shared" si="19"/>
        <v>130.64999999999989</v>
      </c>
      <c r="AD50" s="68">
        <f t="shared" si="20"/>
        <v>130.65000000000006</v>
      </c>
      <c r="AE50" s="68">
        <f t="shared" si="21"/>
        <v>112.3460000000001</v>
      </c>
      <c r="AF50" s="68">
        <f t="shared" si="22"/>
        <v>127.72160493827144</v>
      </c>
      <c r="AG50" s="68">
        <f t="shared" si="23"/>
        <v>125.8178419753086</v>
      </c>
      <c r="AH50" s="68">
        <f t="shared" si="24"/>
        <v>122.59640329218099</v>
      </c>
      <c r="AI50" s="87">
        <f t="shared" si="25"/>
        <v>0</v>
      </c>
      <c r="AJ50" s="87">
        <f t="shared" si="26"/>
        <v>0</v>
      </c>
      <c r="AM50" s="399" t="e">
        <f>CIF!$X$5+VLOOKUP($AM$5&amp;$E50,OCEAN!$E:$J,5,FALSE)</f>
        <v>#N/A</v>
      </c>
      <c r="AN50" s="68">
        <f>CIF!$X$6+VLOOKUP($AN$5&amp;$E50,OCEAN!$E:$J,5,FALSE)</f>
        <v>704.4278996865205</v>
      </c>
      <c r="AO50" s="68">
        <f>CIF!$X$7+VLOOKUP($AO$5&amp;$E50,OCEAN!$E:$J,5,FALSE)</f>
        <v>704.4278996865205</v>
      </c>
      <c r="AP50" s="68">
        <f>CIF!$X$8+VLOOKUP($AP$5&amp;$E50,OCEAN!$E:$J,5,FALSE)</f>
        <v>650.36363636363637</v>
      </c>
      <c r="AQ50" s="68">
        <f>CIF!$X$9+VLOOKUP($AQ$5&amp;$E50,OCEAN!$E:$J,5,FALSE)</f>
        <v>468.40909090909099</v>
      </c>
      <c r="AR50" s="68" t="e">
        <f t="shared" si="27"/>
        <v>#VALUE!</v>
      </c>
      <c r="AS50" s="68">
        <f t="shared" si="28"/>
        <v>559.38636363636374</v>
      </c>
      <c r="AV50" s="68"/>
      <c r="AW50" s="540"/>
      <c r="AX50" s="68">
        <f>COSTS!C24+COSTS!D24+COSTS!E24</f>
        <v>14.735199999999999</v>
      </c>
      <c r="AY50" s="68">
        <f>COSTS!C24+COSTS!D24+COSTS!E24</f>
        <v>14.735199999999999</v>
      </c>
      <c r="AZ50" s="68">
        <f>COSTS!C24+COSTS!D24+COSTS!E24</f>
        <v>14.735199999999999</v>
      </c>
      <c r="BA50" s="68">
        <f>COSTS!C24+COSTS!D24+COSTS!E24</f>
        <v>14.735199999999999</v>
      </c>
      <c r="BB50" s="68">
        <f>COSTS!C24+COSTS!D24+COSTS!E24</f>
        <v>14.735199999999999</v>
      </c>
      <c r="BC50" s="68">
        <f>COSTS!C24+COSTS!D24+COSTS!E24</f>
        <v>14.735199999999999</v>
      </c>
      <c r="BD50" s="68">
        <f>COSTS!C24+COSTS!D24+COSTS!E24</f>
        <v>14.735199999999999</v>
      </c>
      <c r="BE50" s="68">
        <f>COSTS!C24+COSTS!D24+COSTS!E24</f>
        <v>14.735199999999999</v>
      </c>
      <c r="BF50" s="68">
        <f>COSTS!C24+COSTS!D24+COSTS!E24</f>
        <v>14.735199999999999</v>
      </c>
      <c r="BH50" s="66"/>
      <c r="BI50" s="399">
        <f>COSTS!F24+COSTS!G24+COSTS!H24</f>
        <v>97.452054794520549</v>
      </c>
      <c r="BJ50" s="68">
        <f>COSTS!F24+COSTS!G24+COSTS!H24</f>
        <v>97.452054794520549</v>
      </c>
      <c r="BK50" s="68">
        <f>COSTS!F24+COSTS!G24+COSTS!H24</f>
        <v>97.452054794520549</v>
      </c>
      <c r="BL50" s="68">
        <f>COSTS!F24+COSTS!G24+COSTS!H24</f>
        <v>97.452054794520549</v>
      </c>
      <c r="BM50" s="68">
        <f>COSTS!F24+COSTS!G24+COSTS!H24</f>
        <v>97.452054794520549</v>
      </c>
      <c r="BN50" s="68">
        <f>COSTS!F24+COSTS!G24+COSTS!H24</f>
        <v>97.452054794520549</v>
      </c>
      <c r="BO50" s="68">
        <f>COSTS!F24+COSTS!G24+COSTS!H24</f>
        <v>97.452054794520549</v>
      </c>
      <c r="BP50" s="68">
        <f>COSTS!F24+COSTS!G24+COSTS!H24</f>
        <v>97.452054794520549</v>
      </c>
      <c r="BQ50" s="68">
        <f>COSTS!F24+COSTS!G24+COSTS!H24</f>
        <v>97.452054794520549</v>
      </c>
      <c r="BS50" s="87"/>
      <c r="BT50" s="399" t="e">
        <f t="shared" si="52"/>
        <v>#N/A</v>
      </c>
      <c r="BU50" s="68">
        <f t="shared" si="53"/>
        <v>1550.5528207363543</v>
      </c>
      <c r="BV50" s="68">
        <f t="shared" si="54"/>
        <v>1605.5383751939169</v>
      </c>
      <c r="BW50" s="68">
        <f t="shared" si="55"/>
        <v>1194.1156184308845</v>
      </c>
      <c r="BX50" s="68">
        <f t="shared" si="56"/>
        <v>994.94814856118126</v>
      </c>
      <c r="BY50" s="68" t="e">
        <f t="shared" si="57"/>
        <v>#VALUE!</v>
      </c>
      <c r="BZ50" s="68">
        <f t="shared" si="58"/>
        <v>1091.6630627601733</v>
      </c>
      <c r="CA50" s="68">
        <f t="shared" si="59"/>
        <v>112.18725479452056</v>
      </c>
      <c r="CB50" s="68">
        <f t="shared" si="60"/>
        <v>112.18725479452056</v>
      </c>
      <c r="CC50" s="68"/>
      <c r="CD50" s="68"/>
      <c r="CE50" s="399" t="e">
        <f t="shared" si="43"/>
        <v>#N/A</v>
      </c>
      <c r="CF50" s="68">
        <f t="shared" si="44"/>
        <v>324.41802345710425</v>
      </c>
      <c r="CG50" s="68">
        <f t="shared" si="45"/>
        <v>320.97758458563067</v>
      </c>
      <c r="CH50" s="68">
        <f t="shared" si="46"/>
        <v>272.51285104331055</v>
      </c>
      <c r="CI50" s="68">
        <f t="shared" si="47"/>
        <v>202.03557831603791</v>
      </c>
      <c r="CJ50" s="68" t="e">
        <f t="shared" si="48"/>
        <v>#VALUE!</v>
      </c>
      <c r="CK50" s="68">
        <f t="shared" si="49"/>
        <v>238.05830558876517</v>
      </c>
      <c r="CN50" s="38"/>
      <c r="CO50" s="120"/>
    </row>
    <row r="51" spans="1:93" ht="12.5" thickBot="1">
      <c r="B51" s="134"/>
      <c r="C51" s="87"/>
      <c r="D51" s="87"/>
      <c r="F51" s="399"/>
      <c r="G51" s="68"/>
      <c r="H51" s="68"/>
      <c r="I51" s="68"/>
      <c r="J51" s="68"/>
      <c r="K51" s="68"/>
      <c r="L51" s="68"/>
      <c r="P51" s="66"/>
      <c r="Q51" s="399"/>
      <c r="R51" s="68"/>
      <c r="S51" s="68"/>
      <c r="T51" s="68"/>
      <c r="U51" s="68"/>
      <c r="V51" s="68"/>
      <c r="W51" s="68"/>
      <c r="AA51" s="66"/>
      <c r="AB51" s="399"/>
      <c r="AC51" s="68"/>
      <c r="AD51" s="68"/>
      <c r="AE51" s="68"/>
      <c r="AF51" s="68"/>
      <c r="AG51" s="68"/>
      <c r="AH51" s="68"/>
      <c r="AI51" s="87"/>
      <c r="AJ51" s="87"/>
      <c r="AM51" s="399"/>
      <c r="AN51" s="68"/>
      <c r="AO51" s="68"/>
      <c r="AP51" s="68"/>
      <c r="AQ51" s="68"/>
      <c r="AR51" s="68"/>
      <c r="AV51" s="68"/>
      <c r="AW51" s="540"/>
      <c r="BH51" s="66"/>
      <c r="BI51" s="64"/>
      <c r="BS51" s="87"/>
      <c r="BT51" s="399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12"/>
      <c r="CJ51" s="68"/>
      <c r="CN51" s="38"/>
      <c r="CO51" s="38"/>
    </row>
    <row r="52" spans="1:93" ht="12.5" thickBot="1">
      <c r="A52" s="480" t="s">
        <v>1689</v>
      </c>
      <c r="B52" s="547" t="s">
        <v>1690</v>
      </c>
      <c r="C52" s="481" t="s">
        <v>2119</v>
      </c>
      <c r="D52" s="481" t="s">
        <v>2119</v>
      </c>
      <c r="E52" s="548" t="s">
        <v>1759</v>
      </c>
      <c r="F52" s="613">
        <f t="shared" si="4"/>
        <v>307.52023809523791</v>
      </c>
      <c r="G52" s="545">
        <f t="shared" si="5"/>
        <v>308.68205128205102</v>
      </c>
      <c r="H52" s="545">
        <f t="shared" si="6"/>
        <v>452.33045977011483</v>
      </c>
      <c r="I52" s="545">
        <f t="shared" si="7"/>
        <v>106.65000000000011</v>
      </c>
      <c r="J52" s="545">
        <f t="shared" si="8"/>
        <v>63.672812667740246</v>
      </c>
      <c r="K52" s="545">
        <f t="shared" si="9"/>
        <v>198.76926464016665</v>
      </c>
      <c r="L52" s="545">
        <f t="shared" si="10"/>
        <v>77.998541778493532</v>
      </c>
      <c r="M52" s="546"/>
      <c r="N52" s="546"/>
      <c r="O52" s="546"/>
      <c r="P52" s="546"/>
      <c r="Q52" s="545">
        <f t="shared" si="11"/>
        <v>192.33065953654184</v>
      </c>
      <c r="R52" s="545">
        <f t="shared" si="12"/>
        <v>294.60561497326216</v>
      </c>
      <c r="S52" s="545">
        <f t="shared" si="13"/>
        <v>205.94276094276094</v>
      </c>
      <c r="T52" s="545">
        <f t="shared" si="14"/>
        <v>212.56872727272739</v>
      </c>
      <c r="U52" s="545">
        <f t="shared" si="15"/>
        <v>222.95738525155809</v>
      </c>
      <c r="V52" s="545">
        <f t="shared" si="16"/>
        <v>211.35138365102929</v>
      </c>
      <c r="W52" s="545">
        <f t="shared" si="17"/>
        <v>219.49449925861452</v>
      </c>
      <c r="X52" s="546"/>
      <c r="Y52" s="546"/>
      <c r="Z52" s="546"/>
      <c r="AA52" s="546"/>
      <c r="AB52" s="545">
        <f t="shared" si="18"/>
        <v>130.64999999999989</v>
      </c>
      <c r="AC52" s="545">
        <f t="shared" si="19"/>
        <v>130.64999999999989</v>
      </c>
      <c r="AD52" s="545">
        <f t="shared" si="20"/>
        <v>130.65000000000006</v>
      </c>
      <c r="AE52" s="545">
        <f t="shared" si="21"/>
        <v>112.3460000000001</v>
      </c>
      <c r="AF52" s="545">
        <f t="shared" si="22"/>
        <v>127.72160493827144</v>
      </c>
      <c r="AG52" s="545">
        <f t="shared" si="23"/>
        <v>125.8178419753086</v>
      </c>
      <c r="AH52" s="545">
        <f t="shared" si="24"/>
        <v>122.59640329218099</v>
      </c>
      <c r="AI52" s="46">
        <f t="shared" si="25"/>
        <v>0</v>
      </c>
      <c r="AJ52" s="46">
        <f t="shared" si="26"/>
        <v>0</v>
      </c>
      <c r="AK52" s="546"/>
      <c r="AL52" s="546"/>
      <c r="AM52" s="545">
        <f>CIF!$X$5+VLOOKUP($AM$5&amp;$E52,OCEAN!$E:$J,5,FALSE)</f>
        <v>476.13636363636363</v>
      </c>
      <c r="AN52" s="545">
        <f>CIF!$X$6+VLOOKUP($AN$5&amp;$E52,OCEAN!$E:$J,5,FALSE)</f>
        <v>392.60971786833858</v>
      </c>
      <c r="AO52" s="545">
        <f>CIF!$X$7+VLOOKUP($AO$5&amp;$E52,OCEAN!$E:$J,5,FALSE)</f>
        <v>392.60971786833858</v>
      </c>
      <c r="AP52" s="545">
        <f>CIF!$X$8+VLOOKUP($AP$5&amp;$E52,OCEAN!$E:$J,5,FALSE)</f>
        <v>473.31818181818176</v>
      </c>
      <c r="AQ52" s="545">
        <f>CIF!$X$9+VLOOKUP($AQ$5&amp;$E52,OCEAN!$E:$J,5,FALSE)</f>
        <v>325.68181818181824</v>
      </c>
      <c r="AR52" s="545">
        <f t="shared" si="27"/>
        <v>416.93652037617557</v>
      </c>
      <c r="AS52" s="546"/>
      <c r="AT52" s="546"/>
      <c r="AU52" s="546"/>
      <c r="AV52" s="545">
        <f>CIF!$X$16+VLOOKUP($AV$6&amp;$E52,OCEAN!$E:$J,5,FALSE)</f>
        <v>76.204300099791354</v>
      </c>
      <c r="AW52" s="545" t="e">
        <f>CIF!$X$17+VLOOKUP($AW$6&amp;$E52,OCEAN!$E:$J,5,FALSE)</f>
        <v>#N/A</v>
      </c>
      <c r="AX52" s="546"/>
      <c r="AY52" s="546"/>
      <c r="AZ52" s="546"/>
      <c r="BA52" s="546"/>
      <c r="BB52" s="546"/>
      <c r="BC52" s="546"/>
      <c r="BD52" s="546"/>
      <c r="BE52" s="546"/>
      <c r="BF52" s="546"/>
      <c r="BG52" s="546"/>
      <c r="BH52" s="546"/>
      <c r="BI52" s="546"/>
      <c r="BJ52" s="546"/>
      <c r="BK52" s="546"/>
      <c r="BL52" s="546"/>
      <c r="BM52" s="546"/>
      <c r="BN52" s="546"/>
      <c r="BO52" s="546"/>
      <c r="BP52" s="546"/>
      <c r="BQ52" s="546"/>
      <c r="BR52" s="546"/>
      <c r="BS52" s="546"/>
      <c r="BT52" s="545">
        <f t="shared" si="52"/>
        <v>1106.6372612681432</v>
      </c>
      <c r="BU52" s="545">
        <f t="shared" si="53"/>
        <v>1126.5473841236517</v>
      </c>
      <c r="BV52" s="545">
        <f t="shared" si="54"/>
        <v>1181.5329385812145</v>
      </c>
      <c r="BW52" s="545">
        <f t="shared" si="55"/>
        <v>904.88290909090938</v>
      </c>
      <c r="BX52" s="545">
        <f t="shared" si="56"/>
        <v>740.03362103938798</v>
      </c>
      <c r="BY52" s="545">
        <f t="shared" si="57"/>
        <v>952.87501064268008</v>
      </c>
      <c r="BZ52" s="545">
        <f t="shared" si="58"/>
        <v>420.08944432928905</v>
      </c>
      <c r="CA52" s="545">
        <f t="shared" si="59"/>
        <v>0</v>
      </c>
      <c r="CB52" s="545">
        <f t="shared" si="60"/>
        <v>0</v>
      </c>
      <c r="CC52" s="545">
        <f t="shared" ref="CC52" si="79">O52+Z52+AK52+AV52+BG52+BR52</f>
        <v>76.204300099791354</v>
      </c>
      <c r="CD52" s="545" t="e">
        <f t="shared" si="61"/>
        <v>#N/A</v>
      </c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5"/>
    </row>
    <row r="53" spans="1:93">
      <c r="B53" s="134"/>
      <c r="C53" s="87"/>
      <c r="D53" s="87"/>
    </row>
    <row r="54" spans="1:93" ht="12.5" thickBot="1">
      <c r="B54" s="134"/>
      <c r="C54" s="87"/>
      <c r="D54" s="87"/>
      <c r="AT54" s="567" t="s">
        <v>2186</v>
      </c>
      <c r="AU54" s="568" t="s">
        <v>2187</v>
      </c>
      <c r="CA54" s="567" t="s">
        <v>2186</v>
      </c>
      <c r="CB54" s="568" t="s">
        <v>2187</v>
      </c>
      <c r="CL54" s="567" t="s">
        <v>2186</v>
      </c>
      <c r="CM54" s="568" t="s">
        <v>2187</v>
      </c>
    </row>
    <row r="55" spans="1:93" ht="12.5" thickBot="1">
      <c r="A55" s="482" t="s">
        <v>2120</v>
      </c>
      <c r="B55" s="483" t="s">
        <v>2121</v>
      </c>
      <c r="C55" s="46"/>
      <c r="D55" s="48"/>
      <c r="E55" s="106" t="s">
        <v>1887</v>
      </c>
      <c r="F55" s="398">
        <f>$F$7</f>
        <v>307.52023809523791</v>
      </c>
      <c r="G55" s="401">
        <f>$G$7</f>
        <v>308.68205128205102</v>
      </c>
      <c r="H55" s="401">
        <f>H7</f>
        <v>452.33045977011483</v>
      </c>
      <c r="I55" s="401">
        <f>I7</f>
        <v>106.65000000000011</v>
      </c>
      <c r="J55" s="401">
        <f>J7</f>
        <v>63.672812667740246</v>
      </c>
      <c r="K55" s="401">
        <f>K7</f>
        <v>198.76926464016665</v>
      </c>
      <c r="L55" s="401">
        <f>L7</f>
        <v>77.998541778493532</v>
      </c>
      <c r="M55" s="71"/>
      <c r="N55" s="71"/>
      <c r="O55" s="71"/>
      <c r="P55" s="59"/>
      <c r="Q55" s="57"/>
      <c r="R55" s="71"/>
      <c r="S55" s="71"/>
      <c r="T55" s="401" cm="1">
        <f t="array" ref="T55">AVERAGE(_xlfn._xlws.FILTER(PTS!AX:AX, (PTS!$E:$E="Memphis Rule 5") * ISNUMBER(PTS!AX:AX)))</f>
        <v>466.61157024793374</v>
      </c>
      <c r="U55" s="401" cm="1">
        <f t="array" ref="U55">AVERAGE(_xlfn._xlws.FILTER(PTS!AX:AX, (PTS!$E:$E="Ga 30 Day") * ISNUMBER(PTS!AX:AX)))</f>
        <v>298.76598011363637</v>
      </c>
      <c r="V55" s="401"/>
      <c r="W55" s="401">
        <f>AVERAGE(T55,U55)</f>
        <v>382.68877518078506</v>
      </c>
      <c r="X55" s="71"/>
      <c r="Y55" s="71"/>
      <c r="Z55" s="71"/>
      <c r="AA55" s="59"/>
      <c r="AB55" s="398"/>
      <c r="AC55" s="71"/>
      <c r="AD55" s="71"/>
      <c r="AE55" s="401">
        <f>((COSTS!AA22+COSTS!AC22)*20)</f>
        <v>59.414000000000009</v>
      </c>
      <c r="AF55" s="401">
        <f>((COSTS!AA22+COSTS!AC22)*20)</f>
        <v>59.414000000000009</v>
      </c>
      <c r="AG55" s="401"/>
      <c r="AH55" s="401">
        <f>((COSTS!AA22+COSTS!AC22)*20)</f>
        <v>59.414000000000009</v>
      </c>
      <c r="AI55" s="71"/>
      <c r="AJ55" s="71"/>
      <c r="AK55" s="71"/>
      <c r="AL55" s="59"/>
      <c r="AM55" s="57"/>
      <c r="AN55" s="71"/>
      <c r="AO55" s="71"/>
      <c r="AP55" s="71"/>
      <c r="AQ55" s="71"/>
      <c r="AR55" s="71"/>
      <c r="AS55" s="71"/>
      <c r="AT55" s="71"/>
      <c r="AU55" s="71"/>
      <c r="AV55" s="71"/>
      <c r="AW55" s="59"/>
      <c r="AX55" s="57"/>
      <c r="AY55" s="71"/>
      <c r="AZ55" s="71"/>
      <c r="BA55" s="118">
        <v>8</v>
      </c>
      <c r="BB55" s="118">
        <v>8</v>
      </c>
      <c r="BC55" s="118"/>
      <c r="BD55" s="118">
        <v>8</v>
      </c>
      <c r="BE55" s="71"/>
      <c r="BF55" s="71"/>
      <c r="BG55" s="71"/>
      <c r="BH55" s="59"/>
      <c r="BI55" s="57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57"/>
      <c r="BU55" s="71"/>
      <c r="BV55" s="71"/>
      <c r="BW55" s="401">
        <f t="shared" ref="BW55:BZ63" si="80">I55+T55+AE55+AP55+BA55+BL55</f>
        <v>640.67557024793382</v>
      </c>
      <c r="BX55" s="401">
        <f t="shared" si="80"/>
        <v>429.85279278137659</v>
      </c>
      <c r="BY55" s="401"/>
      <c r="BZ55" s="401">
        <f t="shared" si="80"/>
        <v>528.10131695927862</v>
      </c>
      <c r="CA55" s="71"/>
      <c r="CB55" s="71"/>
      <c r="CC55" s="71"/>
      <c r="CD55" s="71"/>
      <c r="CE55" s="57"/>
      <c r="CF55" s="71"/>
      <c r="CG55" s="71"/>
      <c r="CH55" s="401">
        <f>BW55-$BW$7</f>
        <v>-280.92719713964016</v>
      </c>
      <c r="CI55" s="401">
        <f>BX55-$BX$7</f>
        <v>-363.05977746376675</v>
      </c>
      <c r="CJ55" s="71"/>
      <c r="CK55" s="71"/>
      <c r="CL55" s="71"/>
      <c r="CM55" s="71"/>
      <c r="CN55" s="71"/>
      <c r="CO55" s="59"/>
    </row>
    <row r="56" spans="1:93">
      <c r="B56" s="134" t="s">
        <v>2122</v>
      </c>
      <c r="C56" s="87"/>
      <c r="D56" s="199"/>
      <c r="E56" s="67" t="s">
        <v>1868</v>
      </c>
      <c r="F56" s="399">
        <f t="shared" ref="F56:F63" si="81">$F$7</f>
        <v>307.52023809523791</v>
      </c>
      <c r="G56" s="68">
        <f t="shared" ref="G56:G63" si="82">$G$7</f>
        <v>308.68205128205102</v>
      </c>
      <c r="H56" s="68">
        <f t="shared" ref="H56:L56" si="83">H8</f>
        <v>452.33045977011483</v>
      </c>
      <c r="I56" s="68">
        <f t="shared" si="83"/>
        <v>106.65000000000011</v>
      </c>
      <c r="J56" s="68">
        <f t="shared" si="83"/>
        <v>63.672812667740246</v>
      </c>
      <c r="K56" s="68">
        <f t="shared" si="83"/>
        <v>198.76926464016665</v>
      </c>
      <c r="L56" s="68">
        <f t="shared" si="83"/>
        <v>77.998541778493532</v>
      </c>
      <c r="P56" s="66"/>
      <c r="Q56" s="64"/>
      <c r="T56" s="68">
        <f>T55</f>
        <v>466.61157024793374</v>
      </c>
      <c r="U56" s="68">
        <f>U55</f>
        <v>298.76598011363637</v>
      </c>
      <c r="V56" s="68"/>
      <c r="W56" s="68">
        <f>W55</f>
        <v>382.68877518078506</v>
      </c>
      <c r="AA56" s="66"/>
      <c r="AB56" s="64"/>
      <c r="AE56" s="68">
        <f>AE55</f>
        <v>59.414000000000009</v>
      </c>
      <c r="AF56" s="68">
        <f>AF55</f>
        <v>59.414000000000009</v>
      </c>
      <c r="AG56" s="68"/>
      <c r="AH56" s="68">
        <f>AH55</f>
        <v>59.414000000000009</v>
      </c>
      <c r="AL56" s="66"/>
      <c r="AM56" s="64"/>
      <c r="AW56" s="66"/>
      <c r="AX56" s="64"/>
      <c r="BA56" s="87">
        <v>8</v>
      </c>
      <c r="BB56" s="87">
        <v>8</v>
      </c>
      <c r="BC56" s="87"/>
      <c r="BD56" s="87">
        <v>8</v>
      </c>
      <c r="BH56" s="66"/>
      <c r="BI56" s="64"/>
      <c r="BT56" s="64"/>
      <c r="BW56" s="68">
        <f t="shared" si="80"/>
        <v>640.67557024793382</v>
      </c>
      <c r="BX56" s="68">
        <f t="shared" si="80"/>
        <v>429.85279278137659</v>
      </c>
      <c r="BY56" s="68"/>
      <c r="BZ56" s="68">
        <f t="shared" si="80"/>
        <v>528.10131695927862</v>
      </c>
      <c r="CE56" s="64"/>
      <c r="CH56" s="68">
        <f t="shared" ref="CH56:CH63" si="84">BW56-$BW$7</f>
        <v>-280.92719713964016</v>
      </c>
      <c r="CI56" s="68">
        <f t="shared" ref="CI56:CI63" si="85">BX56-$BX$7</f>
        <v>-363.05977746376675</v>
      </c>
      <c r="CO56" s="66"/>
    </row>
    <row r="57" spans="1:93">
      <c r="B57" s="134" t="s">
        <v>2121</v>
      </c>
      <c r="C57" s="87"/>
      <c r="D57" s="199"/>
      <c r="E57" s="67" t="s">
        <v>1888</v>
      </c>
      <c r="F57" s="399">
        <f t="shared" si="81"/>
        <v>307.52023809523791</v>
      </c>
      <c r="G57" s="68">
        <f t="shared" si="82"/>
        <v>308.68205128205102</v>
      </c>
      <c r="H57" s="68">
        <f t="shared" ref="H57:L57" si="86">H9</f>
        <v>452.33045977011483</v>
      </c>
      <c r="I57" s="68">
        <f t="shared" si="86"/>
        <v>106.65000000000011</v>
      </c>
      <c r="J57" s="68">
        <f t="shared" si="86"/>
        <v>63.672812667740246</v>
      </c>
      <c r="K57" s="68">
        <f t="shared" si="86"/>
        <v>198.76926464016665</v>
      </c>
      <c r="L57" s="68">
        <f t="shared" si="86"/>
        <v>77.998541778493532</v>
      </c>
      <c r="P57" s="66"/>
      <c r="Q57" s="64"/>
      <c r="T57" s="68">
        <f t="shared" ref="T57:T63" si="87">T56</f>
        <v>466.61157024793374</v>
      </c>
      <c r="U57" s="68">
        <f t="shared" ref="U57:U63" si="88">U56</f>
        <v>298.76598011363637</v>
      </c>
      <c r="V57" s="68"/>
      <c r="W57" s="68">
        <f t="shared" ref="W57:W63" si="89">W56</f>
        <v>382.68877518078506</v>
      </c>
      <c r="AA57" s="66"/>
      <c r="AB57" s="64"/>
      <c r="AE57" s="68">
        <f t="shared" ref="AE57:AE63" si="90">AE56</f>
        <v>59.414000000000009</v>
      </c>
      <c r="AF57" s="68">
        <f t="shared" ref="AF57:AF63" si="91">AF56</f>
        <v>59.414000000000009</v>
      </c>
      <c r="AG57" s="68"/>
      <c r="AH57" s="68">
        <f t="shared" ref="AH57:AH63" si="92">AH56</f>
        <v>59.414000000000009</v>
      </c>
      <c r="AL57" s="66"/>
      <c r="AM57" s="64"/>
      <c r="AT57" s="1" t="s">
        <v>2192</v>
      </c>
      <c r="AW57" s="66"/>
      <c r="AX57" s="64"/>
      <c r="BA57" s="87">
        <v>8</v>
      </c>
      <c r="BB57" s="87">
        <v>8</v>
      </c>
      <c r="BC57" s="87"/>
      <c r="BD57" s="87">
        <v>8</v>
      </c>
      <c r="BH57" s="66"/>
      <c r="BI57" s="64"/>
      <c r="BT57" s="64"/>
      <c r="BW57" s="68">
        <f t="shared" si="80"/>
        <v>640.67557024793382</v>
      </c>
      <c r="BX57" s="68">
        <f t="shared" si="80"/>
        <v>429.85279278137659</v>
      </c>
      <c r="BY57" s="68"/>
      <c r="BZ57" s="68">
        <f t="shared" si="80"/>
        <v>528.10131695927862</v>
      </c>
      <c r="CE57" s="64"/>
      <c r="CH57" s="68">
        <f t="shared" si="84"/>
        <v>-280.92719713964016</v>
      </c>
      <c r="CI57" s="68">
        <f t="shared" si="85"/>
        <v>-363.05977746376675</v>
      </c>
      <c r="CO57" s="66"/>
    </row>
    <row r="58" spans="1:93">
      <c r="B58" s="134" t="s">
        <v>2121</v>
      </c>
      <c r="C58" s="87"/>
      <c r="D58" s="199"/>
      <c r="E58" s="67" t="s">
        <v>1886</v>
      </c>
      <c r="F58" s="399">
        <f t="shared" si="81"/>
        <v>307.52023809523791</v>
      </c>
      <c r="G58" s="68">
        <f t="shared" si="82"/>
        <v>308.68205128205102</v>
      </c>
      <c r="H58" s="68">
        <f t="shared" ref="H58:L58" si="93">H10</f>
        <v>452.33045977011483</v>
      </c>
      <c r="I58" s="68">
        <f t="shared" si="93"/>
        <v>106.65000000000011</v>
      </c>
      <c r="J58" s="68">
        <f t="shared" si="93"/>
        <v>63.672812667740246</v>
      </c>
      <c r="K58" s="68">
        <f t="shared" si="93"/>
        <v>198.76926464016665</v>
      </c>
      <c r="L58" s="68">
        <f t="shared" si="93"/>
        <v>77.998541778493532</v>
      </c>
      <c r="P58" s="66"/>
      <c r="Q58" s="64"/>
      <c r="T58" s="68">
        <f t="shared" si="87"/>
        <v>466.61157024793374</v>
      </c>
      <c r="U58" s="68">
        <f t="shared" si="88"/>
        <v>298.76598011363637</v>
      </c>
      <c r="V58" s="68"/>
      <c r="W58" s="68">
        <f t="shared" si="89"/>
        <v>382.68877518078506</v>
      </c>
      <c r="AA58" s="66"/>
      <c r="AB58" s="64"/>
      <c r="AE58" s="68">
        <f t="shared" si="90"/>
        <v>59.414000000000009</v>
      </c>
      <c r="AF58" s="68">
        <f t="shared" si="91"/>
        <v>59.414000000000009</v>
      </c>
      <c r="AG58" s="68"/>
      <c r="AH58" s="68">
        <f t="shared" si="92"/>
        <v>59.414000000000009</v>
      </c>
      <c r="AL58" s="66"/>
      <c r="AM58" s="64"/>
      <c r="AN58" s="1" t="s">
        <v>2191</v>
      </c>
      <c r="AW58" s="66"/>
      <c r="AX58" s="64"/>
      <c r="BA58" s="87">
        <v>8</v>
      </c>
      <c r="BB58" s="87">
        <v>8</v>
      </c>
      <c r="BC58" s="87"/>
      <c r="BD58" s="87">
        <v>8</v>
      </c>
      <c r="BH58" s="66"/>
      <c r="BI58" s="64"/>
      <c r="BT58" s="64"/>
      <c r="BW58" s="68">
        <f t="shared" si="80"/>
        <v>640.67557024793382</v>
      </c>
      <c r="BX58" s="68">
        <f t="shared" si="80"/>
        <v>429.85279278137659</v>
      </c>
      <c r="BY58" s="68"/>
      <c r="BZ58" s="68">
        <f t="shared" si="80"/>
        <v>528.10131695927862</v>
      </c>
      <c r="CE58" s="64"/>
      <c r="CH58" s="68">
        <f t="shared" si="84"/>
        <v>-280.92719713964016</v>
      </c>
      <c r="CI58" s="68">
        <f t="shared" si="85"/>
        <v>-363.05977746376675</v>
      </c>
      <c r="CO58" s="66"/>
    </row>
    <row r="59" spans="1:93">
      <c r="B59" s="134" t="s">
        <v>2123</v>
      </c>
      <c r="C59" s="87"/>
      <c r="D59" s="199"/>
      <c r="E59" s="67" t="s">
        <v>202</v>
      </c>
      <c r="F59" s="399">
        <f t="shared" si="81"/>
        <v>307.52023809523791</v>
      </c>
      <c r="G59" s="68">
        <f t="shared" si="82"/>
        <v>308.68205128205102</v>
      </c>
      <c r="H59" s="68">
        <f t="shared" ref="H59:L59" si="94">H11</f>
        <v>452.33045977011483</v>
      </c>
      <c r="I59" s="68">
        <f t="shared" si="94"/>
        <v>106.65000000000011</v>
      </c>
      <c r="J59" s="68">
        <f t="shared" si="94"/>
        <v>63.672812667740246</v>
      </c>
      <c r="K59" s="68">
        <f t="shared" si="94"/>
        <v>198.76926464016665</v>
      </c>
      <c r="L59" s="68">
        <f t="shared" si="94"/>
        <v>77.998541778493532</v>
      </c>
      <c r="P59" s="66"/>
      <c r="Q59" s="64"/>
      <c r="T59" s="68">
        <f t="shared" si="87"/>
        <v>466.61157024793374</v>
      </c>
      <c r="U59" s="68">
        <f t="shared" si="88"/>
        <v>298.76598011363637</v>
      </c>
      <c r="V59" s="68"/>
      <c r="W59" s="68">
        <f t="shared" si="89"/>
        <v>382.68877518078506</v>
      </c>
      <c r="AA59" s="66"/>
      <c r="AB59" s="64"/>
      <c r="AE59" s="68">
        <f t="shared" si="90"/>
        <v>59.414000000000009</v>
      </c>
      <c r="AF59" s="68">
        <f t="shared" si="91"/>
        <v>59.414000000000009</v>
      </c>
      <c r="AG59" s="68"/>
      <c r="AH59" s="68">
        <f t="shared" si="92"/>
        <v>59.414000000000009</v>
      </c>
      <c r="AL59" s="66"/>
      <c r="AM59" s="64"/>
      <c r="AW59" s="66"/>
      <c r="AX59" s="64"/>
      <c r="BA59" s="87">
        <v>8</v>
      </c>
      <c r="BB59" s="87">
        <v>8</v>
      </c>
      <c r="BC59" s="87"/>
      <c r="BD59" s="87">
        <v>8</v>
      </c>
      <c r="BH59" s="66"/>
      <c r="BI59" s="64"/>
      <c r="BT59" s="64"/>
      <c r="BW59" s="68">
        <f t="shared" si="80"/>
        <v>640.67557024793382</v>
      </c>
      <c r="BX59" s="68">
        <f t="shared" si="80"/>
        <v>429.85279278137659</v>
      </c>
      <c r="BY59" s="68"/>
      <c r="BZ59" s="68">
        <f t="shared" si="80"/>
        <v>528.10131695927862</v>
      </c>
      <c r="CE59" s="64"/>
      <c r="CH59" s="68">
        <f t="shared" si="84"/>
        <v>-280.92719713964016</v>
      </c>
      <c r="CI59" s="68">
        <f t="shared" si="85"/>
        <v>-363.05977746376675</v>
      </c>
      <c r="CO59" s="66"/>
    </row>
    <row r="60" spans="1:93">
      <c r="B60" s="134" t="s">
        <v>2122</v>
      </c>
      <c r="C60" s="87"/>
      <c r="D60" s="199"/>
      <c r="E60" s="67" t="s">
        <v>1819</v>
      </c>
      <c r="F60" s="399">
        <f t="shared" si="81"/>
        <v>307.52023809523791</v>
      </c>
      <c r="G60" s="68">
        <f t="shared" si="82"/>
        <v>308.68205128205102</v>
      </c>
      <c r="H60" s="68">
        <f t="shared" ref="H60:L60" si="95">H12</f>
        <v>452.33045977011483</v>
      </c>
      <c r="I60" s="68">
        <f t="shared" si="95"/>
        <v>106.65000000000011</v>
      </c>
      <c r="J60" s="68">
        <f t="shared" si="95"/>
        <v>63.672812667740246</v>
      </c>
      <c r="K60" s="68">
        <f t="shared" si="95"/>
        <v>198.76926464016665</v>
      </c>
      <c r="L60" s="68">
        <f t="shared" si="95"/>
        <v>77.998541778493532</v>
      </c>
      <c r="P60" s="66"/>
      <c r="Q60" s="64"/>
      <c r="T60" s="68">
        <f t="shared" si="87"/>
        <v>466.61157024793374</v>
      </c>
      <c r="U60" s="68">
        <f t="shared" si="88"/>
        <v>298.76598011363637</v>
      </c>
      <c r="V60" s="68"/>
      <c r="W60" s="68">
        <f t="shared" si="89"/>
        <v>382.68877518078506</v>
      </c>
      <c r="AA60" s="66"/>
      <c r="AB60" s="64"/>
      <c r="AE60" s="68">
        <f t="shared" si="90"/>
        <v>59.414000000000009</v>
      </c>
      <c r="AF60" s="68">
        <f t="shared" si="91"/>
        <v>59.414000000000009</v>
      </c>
      <c r="AG60" s="68"/>
      <c r="AH60" s="68">
        <f t="shared" si="92"/>
        <v>59.414000000000009</v>
      </c>
      <c r="AL60" s="66"/>
      <c r="AM60" s="64"/>
      <c r="AW60" s="66"/>
      <c r="AX60" s="64"/>
      <c r="BA60" s="87">
        <v>8</v>
      </c>
      <c r="BB60" s="87">
        <v>8</v>
      </c>
      <c r="BC60" s="87"/>
      <c r="BD60" s="87">
        <v>8</v>
      </c>
      <c r="BH60" s="66"/>
      <c r="BI60" s="64"/>
      <c r="BT60" s="64"/>
      <c r="BW60" s="68">
        <f t="shared" si="80"/>
        <v>640.67557024793382</v>
      </c>
      <c r="BX60" s="68">
        <f t="shared" si="80"/>
        <v>429.85279278137659</v>
      </c>
      <c r="BY60" s="68"/>
      <c r="BZ60" s="68">
        <f t="shared" si="80"/>
        <v>528.10131695927862</v>
      </c>
      <c r="CE60" s="64"/>
      <c r="CH60" s="68">
        <f t="shared" si="84"/>
        <v>-280.92719713964016</v>
      </c>
      <c r="CI60" s="68">
        <f t="shared" si="85"/>
        <v>-363.05977746376675</v>
      </c>
      <c r="CO60" s="66"/>
    </row>
    <row r="61" spans="1:93">
      <c r="B61" s="134" t="s">
        <v>2124</v>
      </c>
      <c r="C61" s="87"/>
      <c r="D61" s="199"/>
      <c r="E61" s="67" t="s">
        <v>1897</v>
      </c>
      <c r="F61" s="399">
        <f t="shared" si="81"/>
        <v>307.52023809523791</v>
      </c>
      <c r="G61" s="68">
        <f t="shared" si="82"/>
        <v>308.68205128205102</v>
      </c>
      <c r="H61" s="68">
        <f t="shared" ref="H61:L61" si="96">H13</f>
        <v>452.33045977011483</v>
      </c>
      <c r="I61" s="68">
        <f t="shared" si="96"/>
        <v>106.65000000000011</v>
      </c>
      <c r="J61" s="68">
        <f t="shared" si="96"/>
        <v>63.672812667740246</v>
      </c>
      <c r="K61" s="68">
        <f t="shared" si="96"/>
        <v>198.76926464016665</v>
      </c>
      <c r="L61" s="68">
        <f t="shared" si="96"/>
        <v>77.998541778493532</v>
      </c>
      <c r="P61" s="66"/>
      <c r="Q61" s="64"/>
      <c r="T61" s="68">
        <f t="shared" si="87"/>
        <v>466.61157024793374</v>
      </c>
      <c r="U61" s="68">
        <f t="shared" si="88"/>
        <v>298.76598011363637</v>
      </c>
      <c r="V61" s="68"/>
      <c r="W61" s="68">
        <f t="shared" si="89"/>
        <v>382.68877518078506</v>
      </c>
      <c r="AA61" s="66"/>
      <c r="AB61" s="64"/>
      <c r="AE61" s="68">
        <f t="shared" si="90"/>
        <v>59.414000000000009</v>
      </c>
      <c r="AF61" s="68">
        <f t="shared" si="91"/>
        <v>59.414000000000009</v>
      </c>
      <c r="AG61" s="68"/>
      <c r="AH61" s="68">
        <f t="shared" si="92"/>
        <v>59.414000000000009</v>
      </c>
      <c r="AL61" s="66"/>
      <c r="AM61" s="64"/>
      <c r="AW61" s="66"/>
      <c r="AX61" s="64"/>
      <c r="BA61" s="87">
        <v>8</v>
      </c>
      <c r="BB61" s="87">
        <v>8</v>
      </c>
      <c r="BC61" s="87"/>
      <c r="BD61" s="87">
        <v>8</v>
      </c>
      <c r="BH61" s="66"/>
      <c r="BI61" s="64"/>
      <c r="BT61" s="64"/>
      <c r="BW61" s="68">
        <f t="shared" si="80"/>
        <v>640.67557024793382</v>
      </c>
      <c r="BX61" s="68">
        <f t="shared" si="80"/>
        <v>429.85279278137659</v>
      </c>
      <c r="BY61" s="68"/>
      <c r="BZ61" s="68">
        <f t="shared" si="80"/>
        <v>528.10131695927862</v>
      </c>
      <c r="CE61" s="64"/>
      <c r="CH61" s="68">
        <f t="shared" si="84"/>
        <v>-280.92719713964016</v>
      </c>
      <c r="CI61" s="68">
        <f t="shared" si="85"/>
        <v>-363.05977746376675</v>
      </c>
      <c r="CO61" s="66"/>
    </row>
    <row r="62" spans="1:93">
      <c r="B62" s="134" t="s">
        <v>2124</v>
      </c>
      <c r="C62" s="87"/>
      <c r="D62" s="199"/>
      <c r="E62" s="67" t="s">
        <v>1893</v>
      </c>
      <c r="F62" s="399">
        <f t="shared" si="81"/>
        <v>307.52023809523791</v>
      </c>
      <c r="G62" s="68">
        <f t="shared" si="82"/>
        <v>308.68205128205102</v>
      </c>
      <c r="H62" s="68">
        <f t="shared" ref="H62:L62" si="97">H14</f>
        <v>452.33045977011483</v>
      </c>
      <c r="I62" s="68">
        <f t="shared" si="97"/>
        <v>106.65000000000011</v>
      </c>
      <c r="J62" s="68">
        <f t="shared" si="97"/>
        <v>63.672812667740246</v>
      </c>
      <c r="K62" s="68">
        <f t="shared" si="97"/>
        <v>198.76926464016665</v>
      </c>
      <c r="L62" s="68">
        <f t="shared" si="97"/>
        <v>77.998541778493532</v>
      </c>
      <c r="P62" s="66"/>
      <c r="Q62" s="64"/>
      <c r="T62" s="68">
        <f t="shared" si="87"/>
        <v>466.61157024793374</v>
      </c>
      <c r="U62" s="68">
        <f t="shared" si="88"/>
        <v>298.76598011363637</v>
      </c>
      <c r="V62" s="68"/>
      <c r="W62" s="68">
        <f t="shared" si="89"/>
        <v>382.68877518078506</v>
      </c>
      <c r="AA62" s="66"/>
      <c r="AB62" s="64"/>
      <c r="AE62" s="68">
        <f t="shared" si="90"/>
        <v>59.414000000000009</v>
      </c>
      <c r="AF62" s="68">
        <f t="shared" si="91"/>
        <v>59.414000000000009</v>
      </c>
      <c r="AG62" s="68"/>
      <c r="AH62" s="68">
        <f t="shared" si="92"/>
        <v>59.414000000000009</v>
      </c>
      <c r="AL62" s="66"/>
      <c r="AM62" s="64"/>
      <c r="AW62" s="66"/>
      <c r="AX62" s="64"/>
      <c r="BA62" s="87">
        <v>8</v>
      </c>
      <c r="BB62" s="87">
        <v>8</v>
      </c>
      <c r="BC62" s="87"/>
      <c r="BD62" s="87">
        <v>8</v>
      </c>
      <c r="BH62" s="66"/>
      <c r="BI62" s="64"/>
      <c r="BT62" s="64"/>
      <c r="BW62" s="68">
        <f t="shared" si="80"/>
        <v>640.67557024793382</v>
      </c>
      <c r="BX62" s="68">
        <f t="shared" si="80"/>
        <v>429.85279278137659</v>
      </c>
      <c r="BY62" s="68"/>
      <c r="BZ62" s="68">
        <f t="shared" si="80"/>
        <v>528.10131695927862</v>
      </c>
      <c r="CE62" s="64"/>
      <c r="CH62" s="68">
        <f t="shared" si="84"/>
        <v>-280.92719713964016</v>
      </c>
      <c r="CI62" s="68">
        <f t="shared" si="85"/>
        <v>-363.05977746376675</v>
      </c>
      <c r="CO62" s="66"/>
    </row>
    <row r="63" spans="1:93" ht="12.5" thickBot="1">
      <c r="B63" s="134" t="s">
        <v>2125</v>
      </c>
      <c r="C63" s="87"/>
      <c r="D63" s="199"/>
      <c r="E63" s="80" t="s">
        <v>1896</v>
      </c>
      <c r="F63" s="400">
        <f t="shared" si="81"/>
        <v>307.52023809523791</v>
      </c>
      <c r="G63" s="81">
        <f t="shared" si="82"/>
        <v>308.68205128205102</v>
      </c>
      <c r="H63" s="81">
        <f t="shared" ref="H63:L63" si="98">H15</f>
        <v>452.33045977011483</v>
      </c>
      <c r="I63" s="81">
        <f t="shared" si="98"/>
        <v>106.65000000000011</v>
      </c>
      <c r="J63" s="81">
        <f t="shared" si="98"/>
        <v>63.672812667740246</v>
      </c>
      <c r="K63" s="81">
        <f t="shared" si="98"/>
        <v>198.76926464016665</v>
      </c>
      <c r="L63" s="81">
        <f t="shared" si="98"/>
        <v>77.998541778493532</v>
      </c>
      <c r="M63" s="74"/>
      <c r="N63" s="74"/>
      <c r="O63" s="74"/>
      <c r="P63" s="75"/>
      <c r="Q63" s="73"/>
      <c r="R63" s="74"/>
      <c r="S63" s="74"/>
      <c r="T63" s="81">
        <f t="shared" si="87"/>
        <v>466.61157024793374</v>
      </c>
      <c r="U63" s="81">
        <f t="shared" si="88"/>
        <v>298.76598011363637</v>
      </c>
      <c r="V63" s="81"/>
      <c r="W63" s="81">
        <f t="shared" si="89"/>
        <v>382.68877518078506</v>
      </c>
      <c r="X63" s="74"/>
      <c r="Y63" s="74"/>
      <c r="Z63" s="74"/>
      <c r="AA63" s="75"/>
      <c r="AB63" s="73"/>
      <c r="AC63" s="74"/>
      <c r="AD63" s="74"/>
      <c r="AE63" s="81">
        <f t="shared" si="90"/>
        <v>59.414000000000009</v>
      </c>
      <c r="AF63" s="81">
        <f t="shared" si="91"/>
        <v>59.414000000000009</v>
      </c>
      <c r="AG63" s="81"/>
      <c r="AH63" s="81">
        <f t="shared" si="92"/>
        <v>59.414000000000009</v>
      </c>
      <c r="AI63" s="74"/>
      <c r="AJ63" s="74"/>
      <c r="AK63" s="74"/>
      <c r="AL63" s="75"/>
      <c r="AM63" s="73"/>
      <c r="AN63" s="74"/>
      <c r="AO63" s="74"/>
      <c r="AP63" s="74"/>
      <c r="AQ63" s="74"/>
      <c r="AR63" s="74"/>
      <c r="AS63" s="74"/>
      <c r="AT63" s="74"/>
      <c r="AU63" s="74"/>
      <c r="AV63" s="74"/>
      <c r="AW63" s="75"/>
      <c r="AX63" s="73"/>
      <c r="AY63" s="74"/>
      <c r="AZ63" s="74"/>
      <c r="BA63" s="91">
        <v>8</v>
      </c>
      <c r="BB63" s="91">
        <v>8</v>
      </c>
      <c r="BC63" s="91"/>
      <c r="BD63" s="91">
        <v>8</v>
      </c>
      <c r="BE63" s="74"/>
      <c r="BF63" s="74"/>
      <c r="BG63" s="74"/>
      <c r="BH63" s="75"/>
      <c r="BI63" s="73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3"/>
      <c r="BU63" s="74"/>
      <c r="BV63" s="74"/>
      <c r="BW63" s="81">
        <f t="shared" si="80"/>
        <v>640.67557024793382</v>
      </c>
      <c r="BX63" s="81">
        <f t="shared" si="80"/>
        <v>429.85279278137659</v>
      </c>
      <c r="BY63" s="81"/>
      <c r="BZ63" s="81">
        <f t="shared" si="80"/>
        <v>528.10131695927862</v>
      </c>
      <c r="CA63" s="74"/>
      <c r="CB63" s="74"/>
      <c r="CC63" s="74"/>
      <c r="CD63" s="74"/>
      <c r="CE63" s="73"/>
      <c r="CF63" s="74"/>
      <c r="CG63" s="74"/>
      <c r="CH63" s="81">
        <f t="shared" si="84"/>
        <v>-280.92719713964016</v>
      </c>
      <c r="CI63" s="81">
        <f t="shared" si="85"/>
        <v>-363.05977746376675</v>
      </c>
      <c r="CJ63" s="74"/>
      <c r="CK63" s="74"/>
      <c r="CL63" s="74"/>
      <c r="CM63" s="74"/>
      <c r="CN63" s="74"/>
      <c r="CO63" s="75"/>
    </row>
  </sheetData>
  <mergeCells count="16">
    <mergeCell ref="CE2:CO2"/>
    <mergeCell ref="AX3:BH3"/>
    <mergeCell ref="BI3:BS3"/>
    <mergeCell ref="BT3:CD3"/>
    <mergeCell ref="CE3:CO3"/>
    <mergeCell ref="AX2:BH2"/>
    <mergeCell ref="BI2:BS2"/>
    <mergeCell ref="BT2:CD2"/>
    <mergeCell ref="F2:P2"/>
    <mergeCell ref="Q2:AA2"/>
    <mergeCell ref="AB2:AL2"/>
    <mergeCell ref="AM2:AW2"/>
    <mergeCell ref="F3:P3"/>
    <mergeCell ref="Q3:AA3"/>
    <mergeCell ref="AB3:AL3"/>
    <mergeCell ref="AM3:AW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4EEB-B9FD-48F3-9054-2DB0CE7F7604}">
  <sheetPr>
    <tabColor rgb="FFCCFF66"/>
  </sheetPr>
  <dimension ref="A1:P52"/>
  <sheetViews>
    <sheetView showGridLines="0" zoomScale="90" zoomScaleNormal="90" workbookViewId="0">
      <selection activeCell="E7" sqref="E7:E50"/>
    </sheetView>
  </sheetViews>
  <sheetFormatPr defaultRowHeight="14.5"/>
  <cols>
    <col min="1" max="1" width="9.54296875" bestFit="1" customWidth="1"/>
    <col min="2" max="2" width="7.26953125" bestFit="1" customWidth="1"/>
    <col min="3" max="3" width="3" bestFit="1" customWidth="1"/>
    <col min="4" max="4" width="3.54296875" bestFit="1" customWidth="1"/>
    <col min="5" max="5" width="14.54296875" bestFit="1" customWidth="1"/>
    <col min="6" max="6" width="4.81640625" bestFit="1" customWidth="1"/>
    <col min="7" max="7" width="5.453125" bestFit="1" customWidth="1"/>
    <col min="8" max="8" width="4" bestFit="1" customWidth="1"/>
    <col min="9" max="12" width="7.453125" bestFit="1" customWidth="1"/>
    <col min="13" max="13" width="4.7265625" bestFit="1" customWidth="1"/>
    <col min="14" max="14" width="4" bestFit="1" customWidth="1"/>
    <col min="15" max="15" width="3.81640625" bestFit="1" customWidth="1"/>
    <col min="16" max="16" width="4.1796875" bestFit="1" customWidth="1"/>
  </cols>
  <sheetData>
    <row r="1" spans="1:16" ht="9.75" customHeight="1"/>
    <row r="2" spans="1:16" ht="10.5" customHeight="1"/>
    <row r="3" spans="1:16">
      <c r="B3" s="582" t="s">
        <v>2188</v>
      </c>
    </row>
    <row r="4" spans="1:16" ht="13.5" customHeight="1" thickBot="1">
      <c r="F4" s="199"/>
      <c r="G4" s="1"/>
      <c r="H4" s="1"/>
      <c r="I4" s="1"/>
      <c r="J4" s="1"/>
      <c r="K4" s="1"/>
      <c r="L4" s="1"/>
      <c r="M4" s="1"/>
      <c r="N4" s="199"/>
      <c r="O4" s="199"/>
      <c r="P4" s="199"/>
    </row>
    <row r="5" spans="1:16" ht="15" thickBot="1">
      <c r="F5" s="669" t="s">
        <v>2130</v>
      </c>
      <c r="G5" s="670"/>
      <c r="H5" s="670"/>
      <c r="I5" s="670"/>
      <c r="J5" s="670"/>
      <c r="K5" s="670"/>
      <c r="L5" s="670"/>
      <c r="M5" s="670"/>
      <c r="N5" s="670"/>
      <c r="O5" s="670"/>
      <c r="P5" s="671"/>
    </row>
    <row r="6" spans="1:16" ht="15" thickBot="1">
      <c r="A6" s="1"/>
      <c r="B6" s="134"/>
      <c r="C6" s="304" t="s">
        <v>2052</v>
      </c>
      <c r="D6" s="371" t="s">
        <v>2053</v>
      </c>
      <c r="E6" s="1"/>
      <c r="F6" s="199" t="s">
        <v>2066</v>
      </c>
      <c r="G6" s="199" t="s">
        <v>2067</v>
      </c>
      <c r="H6" s="199" t="s">
        <v>2091</v>
      </c>
      <c r="I6" s="199" t="s">
        <v>2090</v>
      </c>
      <c r="J6" s="199" t="s">
        <v>2092</v>
      </c>
      <c r="K6" s="199" t="s">
        <v>2131</v>
      </c>
      <c r="L6" s="199" t="s">
        <v>2132</v>
      </c>
      <c r="M6" s="199" t="s">
        <v>2133</v>
      </c>
      <c r="N6" s="199" t="s">
        <v>2134</v>
      </c>
      <c r="O6" s="484" t="s">
        <v>1753</v>
      </c>
      <c r="P6" s="485" t="s">
        <v>1724</v>
      </c>
    </row>
    <row r="7" spans="1:16" ht="15" thickBot="1">
      <c r="A7" s="489" t="s">
        <v>1912</v>
      </c>
      <c r="B7" s="490"/>
      <c r="C7" s="491"/>
      <c r="D7" s="491"/>
      <c r="E7" s="492" t="s">
        <v>1635</v>
      </c>
      <c r="F7" s="507">
        <f>EXPORT!CE7</f>
        <v>0</v>
      </c>
      <c r="G7" s="507">
        <f>EXPORT!CF7</f>
        <v>0</v>
      </c>
      <c r="H7" s="507">
        <f>EXPORT!CG7</f>
        <v>0</v>
      </c>
      <c r="I7" s="507">
        <f>EXPORT!CH7</f>
        <v>0</v>
      </c>
      <c r="J7" s="507">
        <f>EXPORT!CI7</f>
        <v>0</v>
      </c>
      <c r="K7" s="507">
        <f>EXPORT!CJ7</f>
        <v>0</v>
      </c>
      <c r="L7" s="507">
        <f>EXPORT!CK7</f>
        <v>0</v>
      </c>
      <c r="M7" s="507">
        <f>EXPORT!CL7</f>
        <v>0</v>
      </c>
      <c r="N7" s="507">
        <f>EXPORT!CM7</f>
        <v>0</v>
      </c>
      <c r="O7" s="492"/>
      <c r="P7" s="570"/>
    </row>
    <row r="8" spans="1:16" ht="15" thickBot="1">
      <c r="A8" s="457" t="s">
        <v>1637</v>
      </c>
      <c r="B8" s="388" t="s">
        <v>1638</v>
      </c>
      <c r="C8" s="573">
        <v>38</v>
      </c>
      <c r="D8" s="574">
        <v>18</v>
      </c>
      <c r="E8" s="466" t="s">
        <v>1729</v>
      </c>
      <c r="F8" s="315">
        <f>EXPORT!CE8</f>
        <v>0</v>
      </c>
      <c r="G8" s="315">
        <f>EXPORT!CF8</f>
        <v>1.0188087774295127</v>
      </c>
      <c r="H8" s="315">
        <f>EXPORT!CG8</f>
        <v>-2.4216300940438487</v>
      </c>
      <c r="I8" s="315">
        <f>EXPORT!CH8</f>
        <v>-1.5681818181818699</v>
      </c>
      <c r="J8" s="315">
        <f>EXPORT!CI8</f>
        <v>0</v>
      </c>
      <c r="K8" s="315">
        <f>EXPORT!CJ8</f>
        <v>0</v>
      </c>
      <c r="L8" s="315">
        <f>EXPORT!CK8</f>
        <v>0</v>
      </c>
      <c r="M8" s="315">
        <f>EXPORT!CL8</f>
        <v>0</v>
      </c>
      <c r="N8" s="315">
        <f>EXPORT!CM8</f>
        <v>0</v>
      </c>
      <c r="O8" s="571"/>
      <c r="P8" s="410"/>
    </row>
    <row r="9" spans="1:16">
      <c r="A9" s="67"/>
      <c r="B9" s="131"/>
      <c r="C9" s="87"/>
      <c r="D9" s="87"/>
      <c r="E9" s="83" t="s">
        <v>1733</v>
      </c>
      <c r="F9" s="362">
        <f>EXPORT!CE9</f>
        <v>-52.272727272727934</v>
      </c>
      <c r="G9" s="362">
        <f>EXPORT!CF9</f>
        <v>-26.481191222570487</v>
      </c>
      <c r="H9" s="362">
        <f>EXPORT!CG9</f>
        <v>-29.921630094043849</v>
      </c>
      <c r="I9" s="362">
        <f>EXPORT!CH9</f>
        <v>-36.56818181818187</v>
      </c>
      <c r="J9" s="362">
        <f>EXPORT!CI9</f>
        <v>40.909090909090878</v>
      </c>
      <c r="K9" s="362">
        <f>EXPORT!CJ9</f>
        <v>-18.465909090909008</v>
      </c>
      <c r="L9" s="362">
        <f>EXPORT!CK9</f>
        <v>2.9545454545454959</v>
      </c>
      <c r="M9" s="362">
        <f>EXPORT!CL9</f>
        <v>0</v>
      </c>
      <c r="N9" s="362">
        <f>EXPORT!CM9</f>
        <v>0</v>
      </c>
      <c r="P9" s="179"/>
    </row>
    <row r="10" spans="1:16" ht="15" thickBot="1">
      <c r="A10" s="80"/>
      <c r="B10" s="460"/>
      <c r="C10" s="91"/>
      <c r="D10" s="91"/>
      <c r="E10" s="461" t="s">
        <v>1768</v>
      </c>
      <c r="F10" s="438">
        <f>EXPORT!CE10</f>
        <v>129.54545454545405</v>
      </c>
      <c r="G10" s="438">
        <f>EXPORT!CF10</f>
        <v>7.8369905956112689</v>
      </c>
      <c r="H10" s="438">
        <f>EXPORT!CG10</f>
        <v>4.3965517241379075</v>
      </c>
      <c r="I10" s="438">
        <f>EXPORT!CH10</f>
        <v>72.522727272727138</v>
      </c>
      <c r="J10" s="438">
        <f>EXPORT!CI10</f>
        <v>54.545454545454504</v>
      </c>
      <c r="K10" s="438">
        <f>EXPORT!CJ10</f>
        <v>66.249999999999886</v>
      </c>
      <c r="L10" s="438">
        <f>EXPORT!CK10</f>
        <v>64.318181818181756</v>
      </c>
      <c r="M10" s="438">
        <f>EXPORT!CL10</f>
        <v>0</v>
      </c>
      <c r="N10" s="438">
        <f>EXPORT!CM10</f>
        <v>0</v>
      </c>
      <c r="O10" s="572"/>
      <c r="P10" s="411"/>
    </row>
    <row r="11" spans="1:16" ht="15" thickBot="1">
      <c r="A11" s="389" t="s">
        <v>1640</v>
      </c>
      <c r="B11" s="389" t="s">
        <v>1641</v>
      </c>
      <c r="C11" s="462">
        <v>50</v>
      </c>
      <c r="D11" s="463">
        <v>14</v>
      </c>
      <c r="E11" s="466" t="s">
        <v>1801</v>
      </c>
      <c r="F11" s="315">
        <f>EXPORT!CE11</f>
        <v>30.942996502254118</v>
      </c>
      <c r="G11" s="315">
        <f>EXPORT!CF11</f>
        <v>40.370896188775077</v>
      </c>
      <c r="H11" s="315">
        <f>EXPORT!CG11</f>
        <v>36.930457317301716</v>
      </c>
      <c r="I11" s="315">
        <f>EXPORT!CH11</f>
        <v>92.102087411345565</v>
      </c>
      <c r="J11" s="315">
        <f>EXPORT!CI11</f>
        <v>51.852087411345565</v>
      </c>
      <c r="K11" s="315">
        <f>EXPORT!CJ11</f>
        <v>84.839693471951591</v>
      </c>
      <c r="L11" s="315">
        <f>EXPORT!CK11</f>
        <v>123.08939384555072</v>
      </c>
      <c r="M11" s="315">
        <f>EXPORT!CL11</f>
        <v>0</v>
      </c>
      <c r="N11" s="315">
        <f>EXPORT!CM11</f>
        <v>0</v>
      </c>
      <c r="O11" s="571"/>
      <c r="P11" s="410"/>
    </row>
    <row r="12" spans="1:16">
      <c r="A12" s="67"/>
      <c r="B12" s="131"/>
      <c r="C12" s="87"/>
      <c r="D12" s="87"/>
      <c r="E12" s="83" t="s">
        <v>1803</v>
      </c>
      <c r="F12" s="362">
        <f>EXPORT!CE12</f>
        <v>143.67026922952664</v>
      </c>
      <c r="G12" s="362">
        <f>EXPORT!CF12</f>
        <v>117.18907800695683</v>
      </c>
      <c r="H12" s="362">
        <f>EXPORT!CG12</f>
        <v>113.7486391354837</v>
      </c>
      <c r="I12" s="362">
        <f>EXPORT!CH12</f>
        <v>173.46572377498183</v>
      </c>
      <c r="J12" s="362">
        <f>EXPORT!CI12</f>
        <v>109.80663286589095</v>
      </c>
      <c r="K12" s="362">
        <f>EXPORT!CJ12</f>
        <v>167.0556025628606</v>
      </c>
      <c r="L12" s="362">
        <f>EXPORT!CK12</f>
        <v>192.74848475464148</v>
      </c>
      <c r="M12" s="362">
        <f>EXPORT!CL12</f>
        <v>0</v>
      </c>
      <c r="N12" s="362">
        <f>EXPORT!CM12</f>
        <v>0</v>
      </c>
      <c r="P12" s="179"/>
    </row>
    <row r="13" spans="1:16" ht="15" thickBot="1">
      <c r="A13" s="80"/>
      <c r="B13" s="460"/>
      <c r="C13" s="91"/>
      <c r="D13" s="91"/>
      <c r="E13" s="461" t="s">
        <v>1740</v>
      </c>
      <c r="F13" s="438">
        <f>EXPORT!CE13</f>
        <v>25.261178320435874</v>
      </c>
      <c r="G13" s="438">
        <f>EXPORT!CF13</f>
        <v>26.279987097866069</v>
      </c>
      <c r="H13" s="438">
        <f>EXPORT!CG13</f>
        <v>22.839548226392708</v>
      </c>
      <c r="I13" s="438">
        <f>EXPORT!CH13</f>
        <v>86.192996502254573</v>
      </c>
      <c r="J13" s="438">
        <f>EXPORT!CI13</f>
        <v>49.806632865891061</v>
      </c>
      <c r="K13" s="438">
        <f>EXPORT!CJ13</f>
        <v>77.907875290133347</v>
      </c>
      <c r="L13" s="438">
        <f>EXPORT!CK13</f>
        <v>119.11212111827797</v>
      </c>
      <c r="M13" s="438">
        <f>EXPORT!CL13</f>
        <v>0</v>
      </c>
      <c r="N13" s="438">
        <f>EXPORT!CM13</f>
        <v>0</v>
      </c>
      <c r="O13" s="572"/>
      <c r="P13" s="411"/>
    </row>
    <row r="14" spans="1:16" ht="15" thickBot="1">
      <c r="A14" s="389" t="s">
        <v>1644</v>
      </c>
      <c r="B14" s="389" t="s">
        <v>1645</v>
      </c>
      <c r="C14" s="462">
        <v>46</v>
      </c>
      <c r="D14" s="463">
        <v>18</v>
      </c>
      <c r="E14" s="466" t="s">
        <v>1736</v>
      </c>
      <c r="F14" s="315">
        <f>EXPORT!CE14</f>
        <v>-36.714030606353617</v>
      </c>
      <c r="G14" s="315">
        <f>EXPORT!CF14</f>
        <v>-44.331585465287162</v>
      </c>
      <c r="H14" s="315">
        <f>EXPORT!CG14</f>
        <v>-47.772024336760524</v>
      </c>
      <c r="I14" s="315">
        <f>EXPORT!CH14</f>
        <v>-6.4640306063530488</v>
      </c>
      <c r="J14" s="315">
        <f>EXPORT!CI14</f>
        <v>-28.759485151807553</v>
      </c>
      <c r="K14" s="315">
        <f>EXPORT!CJ14</f>
        <v>32.79139363607112</v>
      </c>
      <c r="L14" s="315">
        <f>EXPORT!CK14</f>
        <v>64.33654855512475</v>
      </c>
      <c r="M14" s="315">
        <f>EXPORT!CL14</f>
        <v>0</v>
      </c>
      <c r="N14" s="315">
        <f>EXPORT!CM14</f>
        <v>0</v>
      </c>
      <c r="O14" s="571"/>
      <c r="P14" s="410"/>
    </row>
    <row r="15" spans="1:16" ht="15" thickBot="1">
      <c r="A15" s="67"/>
      <c r="B15" s="460"/>
      <c r="C15" s="91"/>
      <c r="D15" s="91"/>
      <c r="E15" s="461" t="s">
        <v>1737</v>
      </c>
      <c r="F15" s="438">
        <f>EXPORT!CE15</f>
        <v>24.65245104770861</v>
      </c>
      <c r="G15" s="438">
        <f>EXPORT!CF15</f>
        <v>38.168414534712838</v>
      </c>
      <c r="H15" s="438">
        <f>EXPORT!CG15</f>
        <v>34.727975663239476</v>
      </c>
      <c r="I15" s="438">
        <f>EXPORT!CH15</f>
        <v>56.035969393646951</v>
      </c>
      <c r="J15" s="438">
        <f>EXPORT!CI15</f>
        <v>47.831423939101455</v>
      </c>
      <c r="K15" s="438">
        <f>EXPORT!CJ15</f>
        <v>103.87093909061662</v>
      </c>
      <c r="L15" s="438">
        <f>EXPORT!CK15</f>
        <v>133.88200310057925</v>
      </c>
      <c r="M15" s="438">
        <f>EXPORT!CL15</f>
        <v>0</v>
      </c>
      <c r="N15" s="438">
        <f>EXPORT!CM15</f>
        <v>0</v>
      </c>
      <c r="O15" s="572"/>
      <c r="P15" s="411"/>
    </row>
    <row r="16" spans="1:16" ht="15" thickBot="1">
      <c r="A16" s="389" t="s">
        <v>1646</v>
      </c>
      <c r="B16" s="389" t="s">
        <v>1647</v>
      </c>
      <c r="C16" s="462">
        <v>43</v>
      </c>
      <c r="D16" s="463">
        <v>14</v>
      </c>
      <c r="E16" s="466" t="s">
        <v>1796</v>
      </c>
      <c r="F16" s="315">
        <f>EXPORT!CE16</f>
        <v>-3.1020306503387474</v>
      </c>
      <c r="G16" s="315">
        <f>EXPORT!CF16</f>
        <v>46.780414490727935</v>
      </c>
      <c r="H16" s="315">
        <f>EXPORT!CG16</f>
        <v>43.339975619254574</v>
      </c>
      <c r="I16" s="315">
        <f>EXPORT!CH16</f>
        <v>59.420696622389073</v>
      </c>
      <c r="J16" s="315">
        <f>EXPORT!CI16</f>
        <v>75.307060258752699</v>
      </c>
      <c r="K16" s="315">
        <f>EXPORT!CJ16</f>
        <v>116.73887844057083</v>
      </c>
      <c r="L16" s="315">
        <f>EXPORT!CK16</f>
        <v>159.5908515414427</v>
      </c>
      <c r="M16" s="315">
        <f>EXPORT!CL16</f>
        <v>0</v>
      </c>
      <c r="N16" s="315">
        <f>EXPORT!CM16</f>
        <v>0</v>
      </c>
      <c r="O16" s="571"/>
      <c r="P16" s="410"/>
    </row>
    <row r="17" spans="1:16">
      <c r="A17" s="67"/>
      <c r="B17" s="131"/>
      <c r="C17" s="87"/>
      <c r="D17" s="87"/>
      <c r="E17" s="83" t="s">
        <v>1749</v>
      </c>
      <c r="F17" s="362">
        <f>EXPORT!CE17</f>
        <v>-47.192939741247756</v>
      </c>
      <c r="G17" s="362">
        <f>EXPORT!CF17</f>
        <v>-10.037767327454048</v>
      </c>
      <c r="H17" s="362">
        <f>EXPORT!CG17</f>
        <v>-13.47820619892741</v>
      </c>
      <c r="I17" s="362">
        <f>EXPORT!CH17</f>
        <v>59.420696622389073</v>
      </c>
      <c r="J17" s="362">
        <f>EXPORT!CI17</f>
        <v>-9.238394286701805</v>
      </c>
      <c r="K17" s="362">
        <f>EXPORT!CJ17</f>
        <v>70.375242076934569</v>
      </c>
      <c r="L17" s="362">
        <f>EXPORT!CK17</f>
        <v>117.31812426871545</v>
      </c>
      <c r="M17" s="362">
        <f>EXPORT!CL17</f>
        <v>0</v>
      </c>
      <c r="N17" s="362">
        <f>EXPORT!CM17</f>
        <v>0</v>
      </c>
      <c r="P17" s="179"/>
    </row>
    <row r="18" spans="1:16" ht="15" thickBot="1">
      <c r="A18" s="80"/>
      <c r="B18" s="460"/>
      <c r="C18" s="91"/>
      <c r="D18" s="91"/>
      <c r="E18" s="461" t="s">
        <v>1787</v>
      </c>
      <c r="F18" s="438">
        <f>EXPORT!CE18</f>
        <v>-47.192939741247756</v>
      </c>
      <c r="G18" s="438">
        <f>EXPORT!CF18</f>
        <v>-10.037767327454048</v>
      </c>
      <c r="H18" s="438">
        <f>EXPORT!CG18</f>
        <v>-13.47820619892741</v>
      </c>
      <c r="I18" s="438">
        <f>EXPORT!CH18</f>
        <v>59.420696622389073</v>
      </c>
      <c r="J18" s="438">
        <f>EXPORT!CI18</f>
        <v>-9.6929397412473008</v>
      </c>
      <c r="K18" s="438">
        <f>EXPORT!CJ18</f>
        <v>70.261605713298081</v>
      </c>
      <c r="L18" s="438">
        <f>EXPORT!CK18</f>
        <v>117.0908515414427</v>
      </c>
      <c r="M18" s="438">
        <f>EXPORT!CL18</f>
        <v>0</v>
      </c>
      <c r="N18" s="438">
        <f>EXPORT!CM18</f>
        <v>0</v>
      </c>
      <c r="O18" s="572"/>
      <c r="P18" s="411"/>
    </row>
    <row r="19" spans="1:16" ht="15" thickBot="1">
      <c r="A19" s="389" t="s">
        <v>1648</v>
      </c>
      <c r="B19" s="389" t="s">
        <v>1649</v>
      </c>
      <c r="C19" s="462">
        <v>40</v>
      </c>
      <c r="D19" s="463">
        <v>14</v>
      </c>
      <c r="E19" s="466" t="s">
        <v>1775</v>
      </c>
      <c r="F19" s="315">
        <f>EXPORT!CE19</f>
        <v>189.6822922117758</v>
      </c>
      <c r="G19" s="315">
        <f>EXPORT!CF19</f>
        <v>77.519282807387981</v>
      </c>
      <c r="H19" s="315">
        <f>EXPORT!CG19</f>
        <v>74.07884393591462</v>
      </c>
      <c r="I19" s="315">
        <f>EXPORT!CH19</f>
        <v>125.38683766632175</v>
      </c>
      <c r="J19" s="315">
        <f>EXPORT!CI19</f>
        <v>83.773201302685607</v>
      </c>
      <c r="K19" s="315">
        <f>EXPORT!CJ19</f>
        <v>119.2277467572311</v>
      </c>
      <c r="L19" s="315">
        <f>EXPORT!CK19</f>
        <v>105.36411039359473</v>
      </c>
      <c r="M19" s="315">
        <f>EXPORT!CL19</f>
        <v>0</v>
      </c>
      <c r="N19" s="315">
        <f>EXPORT!CM19</f>
        <v>0</v>
      </c>
      <c r="O19" s="571"/>
      <c r="P19" s="410"/>
    </row>
    <row r="20" spans="1:16">
      <c r="A20" s="67"/>
      <c r="B20" s="131"/>
      <c r="C20" s="87"/>
      <c r="D20" s="87"/>
      <c r="E20" s="83" t="s">
        <v>1786</v>
      </c>
      <c r="F20" s="362">
        <f>EXPORT!CE20</f>
        <v>-20.999525970042214</v>
      </c>
      <c r="G20" s="362">
        <f>EXPORT!CF20</f>
        <v>105.47382826193348</v>
      </c>
      <c r="H20" s="362">
        <f>EXPORT!CG20</f>
        <v>102.03338939045989</v>
      </c>
      <c r="I20" s="362">
        <f>EXPORT!CH20</f>
        <v>158.34138312086725</v>
      </c>
      <c r="J20" s="362">
        <f>EXPORT!CI20</f>
        <v>41.500474029958355</v>
      </c>
      <c r="K20" s="362">
        <f>EXPORT!CJ20</f>
        <v>71.216383120867363</v>
      </c>
      <c r="L20" s="362">
        <f>EXPORT!CK20</f>
        <v>100.70501948450374</v>
      </c>
      <c r="M20" s="362">
        <f>EXPORT!CL20</f>
        <v>0</v>
      </c>
      <c r="N20" s="362">
        <f>EXPORT!CM20</f>
        <v>0</v>
      </c>
      <c r="P20" s="179"/>
    </row>
    <row r="21" spans="1:16" ht="15" thickBot="1">
      <c r="A21" s="67"/>
      <c r="B21" s="460"/>
      <c r="C21" s="91"/>
      <c r="D21" s="91"/>
      <c r="E21" s="461" t="s">
        <v>1742</v>
      </c>
      <c r="F21" s="438">
        <f>EXPORT!CE21</f>
        <v>-34.635889606405726</v>
      </c>
      <c r="G21" s="438">
        <f>EXPORT!CF21</f>
        <v>-5.207989919884767</v>
      </c>
      <c r="H21" s="438">
        <f>EXPORT!CG21</f>
        <v>-8.6484287913581284</v>
      </c>
      <c r="I21" s="438">
        <f>EXPORT!CH21</f>
        <v>60.614110393594729</v>
      </c>
      <c r="J21" s="438">
        <f>EXPORT!CI21</f>
        <v>19.682292211776598</v>
      </c>
      <c r="K21" s="438">
        <f>EXPORT!CJ21</f>
        <v>10.250474029958355</v>
      </c>
      <c r="L21" s="438">
        <f>EXPORT!CK21</f>
        <v>40.932292211776485</v>
      </c>
      <c r="M21" s="438">
        <f>EXPORT!CL21</f>
        <v>0</v>
      </c>
      <c r="N21" s="438">
        <f>EXPORT!CM21</f>
        <v>0</v>
      </c>
      <c r="O21" s="572"/>
      <c r="P21" s="411"/>
    </row>
    <row r="22" spans="1:16" ht="15" thickBot="1">
      <c r="A22" s="389" t="s">
        <v>1652</v>
      </c>
      <c r="B22" s="389" t="s">
        <v>1653</v>
      </c>
      <c r="C22" s="462">
        <v>45</v>
      </c>
      <c r="D22" s="463">
        <v>21</v>
      </c>
      <c r="E22" s="466" t="s">
        <v>1752</v>
      </c>
      <c r="F22" s="315">
        <f>EXPORT!CE22</f>
        <v>-20.8126534156861</v>
      </c>
      <c r="G22" s="315">
        <f>EXPORT!CF22</f>
        <v>-40.475662820074149</v>
      </c>
      <c r="H22" s="315">
        <f>EXPORT!CG22</f>
        <v>-43.91610169154751</v>
      </c>
      <c r="I22" s="315">
        <f>EXPORT!CH22</f>
        <v>85.573710220678095</v>
      </c>
      <c r="J22" s="315">
        <f>EXPORT!CI22</f>
        <v>28.505528402496338</v>
      </c>
      <c r="K22" s="315">
        <f>EXPORT!CJ22</f>
        <v>13.335073857041721</v>
      </c>
      <c r="L22" s="315">
        <f>EXPORT!CK22</f>
        <v>57.823710220678095</v>
      </c>
      <c r="M22" s="315">
        <f>EXPORT!CL22</f>
        <v>0</v>
      </c>
      <c r="N22" s="315">
        <f>EXPORT!CM22</f>
        <v>0</v>
      </c>
      <c r="O22" s="571"/>
      <c r="P22" s="410"/>
    </row>
    <row r="23" spans="1:16">
      <c r="A23" s="67"/>
      <c r="B23" s="131"/>
      <c r="C23" s="87"/>
      <c r="D23" s="87"/>
      <c r="E23" s="83" t="s">
        <v>1781</v>
      </c>
      <c r="F23" s="362">
        <f>EXPORT!CE23</f>
        <v>-9.6762897793225875</v>
      </c>
      <c r="G23" s="362">
        <f>EXPORT!CF23</f>
        <v>-63.202935547346897</v>
      </c>
      <c r="H23" s="362">
        <f>EXPORT!CG23</f>
        <v>-66.643374418820258</v>
      </c>
      <c r="I23" s="362">
        <f>EXPORT!CH23</f>
        <v>64.437346584314469</v>
      </c>
      <c r="J23" s="362">
        <f>EXPORT!CI23</f>
        <v>-5.5853806884127835</v>
      </c>
      <c r="K23" s="362">
        <f>EXPORT!CJ23</f>
        <v>-3.3694715975036615</v>
      </c>
      <c r="L23" s="362">
        <f>EXPORT!CK23</f>
        <v>30.210073857041834</v>
      </c>
      <c r="M23" s="362">
        <f>EXPORT!CL23</f>
        <v>0</v>
      </c>
      <c r="N23" s="362">
        <f>EXPORT!CM23</f>
        <v>0</v>
      </c>
      <c r="P23" s="179"/>
    </row>
    <row r="24" spans="1:16">
      <c r="A24" s="67"/>
      <c r="B24" s="131"/>
      <c r="C24" s="87"/>
      <c r="D24" s="87"/>
      <c r="E24" s="83" t="s">
        <v>1780</v>
      </c>
      <c r="F24" s="362">
        <f>EXPORT!CE24</f>
        <v>-33.539926142958848</v>
      </c>
      <c r="G24" s="362">
        <f>EXPORT!CF24</f>
        <v>-74.566571910983157</v>
      </c>
      <c r="H24" s="362">
        <f>EXPORT!CG24</f>
        <v>-78.007010782456518</v>
      </c>
      <c r="I24" s="362">
        <f>EXPORT!CH24</f>
        <v>-3.2899261429582793</v>
      </c>
      <c r="J24" s="362">
        <f>EXPORT!CI24</f>
        <v>-16.949017052049157</v>
      </c>
      <c r="K24" s="362">
        <f>EXPORT!CJ24</f>
        <v>-31.949017052049044</v>
      </c>
      <c r="L24" s="362">
        <f>EXPORT!CK24</f>
        <v>-9.3353806884127835</v>
      </c>
      <c r="M24" s="362">
        <f>EXPORT!CL24</f>
        <v>0</v>
      </c>
      <c r="N24" s="362">
        <f>EXPORT!CM24</f>
        <v>0</v>
      </c>
      <c r="P24" s="179"/>
    </row>
    <row r="25" spans="1:16" ht="15" thickBot="1">
      <c r="A25" s="80"/>
      <c r="B25" s="460"/>
      <c r="C25" s="91"/>
      <c r="D25" s="91"/>
      <c r="E25" s="461" t="s">
        <v>1798</v>
      </c>
      <c r="F25" s="438">
        <f>EXPORT!CE25</f>
        <v>1.9146193115866481</v>
      </c>
      <c r="G25" s="438">
        <f>EXPORT!CF25</f>
        <v>27.706155361744095</v>
      </c>
      <c r="H25" s="438">
        <f>EXPORT!CG25</f>
        <v>24.265716490270734</v>
      </c>
      <c r="I25" s="438">
        <f>EXPORT!CH25</f>
        <v>108.52825567522336</v>
      </c>
      <c r="J25" s="438">
        <f>EXPORT!CI25</f>
        <v>32.141892038859964</v>
      </c>
      <c r="K25" s="438">
        <f>EXPORT!CJ25</f>
        <v>42.710073857041721</v>
      </c>
      <c r="L25" s="438">
        <f>EXPORT!CK25</f>
        <v>71.119164766132599</v>
      </c>
      <c r="M25" s="438">
        <f>EXPORT!CL25</f>
        <v>0</v>
      </c>
      <c r="N25" s="438">
        <f>EXPORT!CM25</f>
        <v>0</v>
      </c>
      <c r="O25" s="572"/>
      <c r="P25" s="411"/>
    </row>
    <row r="26" spans="1:16" ht="15" thickBot="1">
      <c r="A26" s="389" t="s">
        <v>1658</v>
      </c>
      <c r="B26" s="389" t="s">
        <v>1659</v>
      </c>
      <c r="C26" s="462">
        <v>38</v>
      </c>
      <c r="D26" s="463">
        <v>14</v>
      </c>
      <c r="E26" s="466" t="s">
        <v>1746</v>
      </c>
      <c r="F26" s="315">
        <f>EXPORT!CE26</f>
        <v>32.903126654360221</v>
      </c>
      <c r="G26" s="315">
        <f>EXPORT!CF26</f>
        <v>65.96738997724492</v>
      </c>
      <c r="H26" s="315">
        <f>EXPORT!CG26</f>
        <v>62.526951105771559</v>
      </c>
      <c r="I26" s="315">
        <f>EXPORT!CH26</f>
        <v>127.01676301799716</v>
      </c>
      <c r="J26" s="315">
        <f>EXPORT!CI26</f>
        <v>104.94858119981541</v>
      </c>
      <c r="K26" s="315">
        <f>EXPORT!CJ26</f>
        <v>82.846308472542773</v>
      </c>
      <c r="L26" s="315">
        <f>EXPORT!CK26</f>
        <v>116.76676301799728</v>
      </c>
      <c r="M26" s="315">
        <f>EXPORT!CL26</f>
        <v>0</v>
      </c>
      <c r="N26" s="315">
        <f>EXPORT!CM26</f>
        <v>0</v>
      </c>
      <c r="O26" s="571"/>
      <c r="P26" s="410"/>
    </row>
    <row r="27" spans="1:16">
      <c r="A27" s="67"/>
      <c r="B27" s="131"/>
      <c r="C27" s="87"/>
      <c r="D27" s="87"/>
      <c r="E27" s="83" t="s">
        <v>1747</v>
      </c>
      <c r="F27" s="362">
        <f>EXPORT!CE27</f>
        <v>98.584944836178238</v>
      </c>
      <c r="G27" s="362">
        <f>EXPORT!CF27</f>
        <v>65.96738997724492</v>
      </c>
      <c r="H27" s="362">
        <f>EXPORT!CG27</f>
        <v>62.526951105771559</v>
      </c>
      <c r="I27" s="362">
        <f>EXPORT!CH27</f>
        <v>127.01676301799716</v>
      </c>
      <c r="J27" s="362">
        <f>EXPORT!CI27</f>
        <v>145.8576721089064</v>
      </c>
      <c r="K27" s="362">
        <f>EXPORT!CJ27</f>
        <v>109.4940357452698</v>
      </c>
      <c r="L27" s="362">
        <f>EXPORT!CK27</f>
        <v>137.22130847254277</v>
      </c>
      <c r="M27" s="362">
        <f>EXPORT!CL27</f>
        <v>0</v>
      </c>
      <c r="N27" s="362">
        <f>EXPORT!CM27</f>
        <v>0</v>
      </c>
      <c r="P27" s="179"/>
    </row>
    <row r="28" spans="1:16">
      <c r="A28" s="67"/>
      <c r="B28" s="131"/>
      <c r="C28" s="87"/>
      <c r="D28" s="87"/>
      <c r="E28" s="83" t="s">
        <v>1774</v>
      </c>
      <c r="F28" s="362">
        <f>EXPORT!CE28</f>
        <v>144.03949029072373</v>
      </c>
      <c r="G28" s="362">
        <f>EXPORT!CF28</f>
        <v>285.96738997724492</v>
      </c>
      <c r="H28" s="362">
        <f>EXPORT!CG28</f>
        <v>282.52695110577156</v>
      </c>
      <c r="I28" s="362">
        <f>EXPORT!CH28</f>
        <v>239.28949029072419</v>
      </c>
      <c r="J28" s="362">
        <f>EXPORT!CI28</f>
        <v>192.22130847254266</v>
      </c>
      <c r="K28" s="362">
        <f>EXPORT!CJ28</f>
        <v>215.51676301799705</v>
      </c>
      <c r="L28" s="362">
        <f>EXPORT!CK28</f>
        <v>216.53949029072453</v>
      </c>
      <c r="M28" s="362">
        <f>EXPORT!CL28</f>
        <v>0</v>
      </c>
      <c r="N28" s="362">
        <f>EXPORT!CM28</f>
        <v>0</v>
      </c>
      <c r="P28" s="179"/>
    </row>
    <row r="29" spans="1:16" ht="15" thickBot="1">
      <c r="A29" s="80"/>
      <c r="B29" s="460"/>
      <c r="C29" s="91"/>
      <c r="D29" s="91"/>
      <c r="E29" s="461" t="s">
        <v>1748</v>
      </c>
      <c r="F29" s="438">
        <f>EXPORT!CE29</f>
        <v>98.584944836178238</v>
      </c>
      <c r="G29" s="438">
        <f>EXPORT!CF29</f>
        <v>65.96738997724492</v>
      </c>
      <c r="H29" s="438">
        <f>EXPORT!CG29</f>
        <v>62.526951105771559</v>
      </c>
      <c r="I29" s="438">
        <f>EXPORT!CH29</f>
        <v>127.01676301799716</v>
      </c>
      <c r="J29" s="438">
        <f>EXPORT!CI29</f>
        <v>108.81221756345178</v>
      </c>
      <c r="K29" s="438">
        <f>EXPORT!CJ29</f>
        <v>100.23267210890629</v>
      </c>
      <c r="L29" s="438">
        <f>EXPORT!CK29</f>
        <v>118.69858119981541</v>
      </c>
      <c r="M29" s="438">
        <f>EXPORT!CL29</f>
        <v>0</v>
      </c>
      <c r="N29" s="438">
        <f>EXPORT!CM29</f>
        <v>0</v>
      </c>
      <c r="O29" s="572"/>
      <c r="P29" s="411"/>
    </row>
    <row r="30" spans="1:16" ht="15" thickBot="1">
      <c r="A30" s="389" t="s">
        <v>1660</v>
      </c>
      <c r="B30" s="389" t="s">
        <v>1661</v>
      </c>
      <c r="C30" s="462">
        <v>45</v>
      </c>
      <c r="D30" s="463">
        <v>14</v>
      </c>
      <c r="E30" s="466" t="s">
        <v>1743</v>
      </c>
      <c r="F30" s="315">
        <f>EXPORT!CE30</f>
        <v>-2.0173687313210849</v>
      </c>
      <c r="G30" s="315">
        <f>EXPORT!CF30</f>
        <v>26.046894591563614</v>
      </c>
      <c r="H30" s="315">
        <f>EXPORT!CG30</f>
        <v>22.606455720090253</v>
      </c>
      <c r="I30" s="315">
        <f>EXPORT!CH30</f>
        <v>119.59626763231586</v>
      </c>
      <c r="J30" s="315">
        <f>EXPORT!CI30</f>
        <v>1.618994905043337</v>
      </c>
      <c r="K30" s="315">
        <f>EXPORT!CJ30</f>
        <v>36.448540359588947</v>
      </c>
      <c r="L30" s="315">
        <f>EXPORT!CK30</f>
        <v>61.391722177770589</v>
      </c>
      <c r="M30" s="315">
        <f>EXPORT!CL30</f>
        <v>0</v>
      </c>
      <c r="N30" s="315">
        <f>EXPORT!CM30</f>
        <v>0</v>
      </c>
      <c r="O30" s="571"/>
      <c r="P30" s="410"/>
    </row>
    <row r="31" spans="1:16">
      <c r="A31" s="67"/>
      <c r="B31" s="131"/>
      <c r="C31" s="87"/>
      <c r="D31" s="87"/>
      <c r="E31" s="83" t="s">
        <v>1745</v>
      </c>
      <c r="F31" s="362">
        <f>EXPORT!CE31</f>
        <v>-2.0173687313210849</v>
      </c>
      <c r="G31" s="362">
        <f>EXPORT!CF31</f>
        <v>12.410530955200102</v>
      </c>
      <c r="H31" s="362">
        <f>EXPORT!CG31</f>
        <v>8.9700920837267404</v>
      </c>
      <c r="I31" s="362">
        <f>EXPORT!CH31</f>
        <v>43.232631268679597</v>
      </c>
      <c r="J31" s="362">
        <f>EXPORT!CI31</f>
        <v>15.028085814134329</v>
      </c>
      <c r="K31" s="362">
        <f>EXPORT!CJ31</f>
        <v>17.300813086861467</v>
      </c>
      <c r="L31" s="362">
        <f>EXPORT!CK31</f>
        <v>29.914449450497955</v>
      </c>
      <c r="M31" s="362">
        <f>EXPORT!CL31</f>
        <v>0</v>
      </c>
      <c r="N31" s="362">
        <f>EXPORT!CM31</f>
        <v>0</v>
      </c>
      <c r="P31" s="179"/>
    </row>
    <row r="32" spans="1:16" ht="15" thickBot="1">
      <c r="A32" s="460"/>
      <c r="B32" s="460"/>
      <c r="C32" s="91"/>
      <c r="D32" s="91"/>
      <c r="E32" s="461" t="s">
        <v>1744</v>
      </c>
      <c r="F32" s="438">
        <f>EXPORT!CE32</f>
        <v>9.3462676323154028</v>
      </c>
      <c r="G32" s="438">
        <f>EXPORT!CF32</f>
        <v>49.455985500654606</v>
      </c>
      <c r="H32" s="438">
        <f>EXPORT!CG32</f>
        <v>46.015546629181244</v>
      </c>
      <c r="I32" s="438">
        <f>EXPORT!CH32</f>
        <v>81.868994905043337</v>
      </c>
      <c r="J32" s="438">
        <f>EXPORT!CI32</f>
        <v>5.7099039959524589</v>
      </c>
      <c r="K32" s="438">
        <f>EXPORT!CJ32</f>
        <v>36.732631268679711</v>
      </c>
      <c r="L32" s="438">
        <f>EXPORT!CK32</f>
        <v>44.573540359588833</v>
      </c>
      <c r="M32" s="438">
        <f>EXPORT!CL32</f>
        <v>0</v>
      </c>
      <c r="N32" s="438">
        <f>EXPORT!CM32</f>
        <v>0</v>
      </c>
      <c r="O32" s="572"/>
      <c r="P32" s="411"/>
    </row>
    <row r="33" spans="1:16" ht="15" thickBot="1">
      <c r="A33" s="391" t="s">
        <v>1664</v>
      </c>
      <c r="B33" s="390" t="s">
        <v>1665</v>
      </c>
      <c r="C33" s="468">
        <v>52</v>
      </c>
      <c r="D33" s="469">
        <v>14</v>
      </c>
      <c r="E33" s="478" t="s">
        <v>1735</v>
      </c>
      <c r="F33" s="579">
        <f>EXPORT!CE33</f>
        <v>437.45734267100852</v>
      </c>
      <c r="G33" s="579">
        <f>EXPORT!CF33</f>
        <v>395.06706053934772</v>
      </c>
      <c r="H33" s="579">
        <f>EXPORT!CG33</f>
        <v>391.62662166787459</v>
      </c>
      <c r="I33" s="579">
        <f>EXPORT!CH33</f>
        <v>419.07097903464546</v>
      </c>
      <c r="J33" s="579">
        <f>EXPORT!CI33</f>
        <v>424.27552448919096</v>
      </c>
      <c r="K33" s="579">
        <f>EXPORT!CJ33</f>
        <v>419.10506994373634</v>
      </c>
      <c r="L33" s="579">
        <f>EXPORT!CK33</f>
        <v>422.45734267100909</v>
      </c>
      <c r="M33" s="579">
        <f>EXPORT!CL33</f>
        <v>0</v>
      </c>
      <c r="N33" s="579">
        <f>EXPORT!CM33</f>
        <v>0</v>
      </c>
      <c r="O33" s="576"/>
      <c r="P33" s="577"/>
    </row>
    <row r="34" spans="1:16" ht="15" thickBot="1">
      <c r="A34" s="391" t="s">
        <v>1666</v>
      </c>
      <c r="B34" s="391" t="s">
        <v>1667</v>
      </c>
      <c r="C34" s="470">
        <v>45</v>
      </c>
      <c r="D34" s="471">
        <v>14</v>
      </c>
      <c r="E34" s="137" t="s">
        <v>1738</v>
      </c>
      <c r="F34" s="579">
        <f>EXPORT!CE34</f>
        <v>616.22212768801137</v>
      </c>
      <c r="G34" s="579">
        <f>EXPORT!CF34</f>
        <v>456.10457282907805</v>
      </c>
      <c r="H34" s="579">
        <f>EXPORT!CG34</f>
        <v>452.66413395760492</v>
      </c>
      <c r="I34" s="579">
        <f>EXPORT!CH34</f>
        <v>393.29030950619381</v>
      </c>
      <c r="J34" s="579">
        <f>EXPORT!CI34</f>
        <v>345.54030950619403</v>
      </c>
      <c r="K34" s="579">
        <f>EXPORT!CJ34</f>
        <v>452.92667314255766</v>
      </c>
      <c r="L34" s="579">
        <f>EXPORT!CK34</f>
        <v>370.19940041528469</v>
      </c>
      <c r="M34" s="579">
        <f>EXPORT!CL34</f>
        <v>0</v>
      </c>
      <c r="N34" s="579">
        <f>EXPORT!CM34</f>
        <v>0</v>
      </c>
      <c r="O34" s="576"/>
      <c r="P34" s="577"/>
    </row>
    <row r="35" spans="1:16" ht="15" thickBot="1">
      <c r="A35" s="391" t="s">
        <v>1668</v>
      </c>
      <c r="B35" s="391" t="s">
        <v>1669</v>
      </c>
      <c r="C35" s="470">
        <v>50</v>
      </c>
      <c r="D35" s="470">
        <v>14</v>
      </c>
      <c r="E35" s="106" t="s">
        <v>1726</v>
      </c>
      <c r="F35" s="315">
        <f>EXPORT!CE35</f>
        <v>323.89402258133396</v>
      </c>
      <c r="G35" s="315">
        <f>EXPORT!CF35</f>
        <v>261.27646772240018</v>
      </c>
      <c r="H35" s="315">
        <f>EXPORT!CG35</f>
        <v>257.83602885092705</v>
      </c>
      <c r="I35" s="315">
        <f>EXPORT!CH35</f>
        <v>173.46220439951617</v>
      </c>
      <c r="J35" s="315">
        <f>EXPORT!CI35</f>
        <v>141.16674985406178</v>
      </c>
      <c r="K35" s="315">
        <f>EXPORT!CJ35</f>
        <v>225.08720439951628</v>
      </c>
      <c r="L35" s="315">
        <f>EXPORT!CK35</f>
        <v>158.09856803587991</v>
      </c>
      <c r="M35" s="315">
        <f>EXPORT!CL35</f>
        <v>0</v>
      </c>
      <c r="N35" s="315">
        <f>EXPORT!CM35</f>
        <v>0</v>
      </c>
      <c r="O35" s="571"/>
      <c r="P35" s="410"/>
    </row>
    <row r="36" spans="1:16">
      <c r="A36" s="67"/>
      <c r="B36" s="131"/>
      <c r="C36" s="87"/>
      <c r="D36" s="87"/>
      <c r="E36" s="67" t="s">
        <v>1727</v>
      </c>
      <c r="F36" s="362">
        <f>EXPORT!CE36</f>
        <v>115.71220439951549</v>
      </c>
      <c r="G36" s="362">
        <f>EXPORT!CF36</f>
        <v>260.82192226785469</v>
      </c>
      <c r="H36" s="362">
        <f>EXPORT!CG36</f>
        <v>257.38148339638155</v>
      </c>
      <c r="I36" s="362">
        <f>EXPORT!CH36</f>
        <v>284.82584076315243</v>
      </c>
      <c r="J36" s="362">
        <f>EXPORT!CI36</f>
        <v>294.12129530860716</v>
      </c>
      <c r="K36" s="362">
        <f>EXPORT!CJ36</f>
        <v>239.00765894497079</v>
      </c>
      <c r="L36" s="362">
        <f>EXPORT!CK36</f>
        <v>290.25765894497056</v>
      </c>
      <c r="M36" s="362">
        <f>EXPORT!CL36</f>
        <v>0</v>
      </c>
      <c r="N36" s="362">
        <f>EXPORT!CM36</f>
        <v>0</v>
      </c>
      <c r="P36" s="179"/>
    </row>
    <row r="37" spans="1:16" ht="15" thickBot="1">
      <c r="A37" s="67"/>
      <c r="B37" s="131"/>
      <c r="C37" s="87"/>
      <c r="D37" s="87"/>
      <c r="E37" s="80" t="s">
        <v>1725</v>
      </c>
      <c r="F37" s="438">
        <f>EXPORT!CE37</f>
        <v>88.439477126788461</v>
      </c>
      <c r="G37" s="438">
        <f>EXPORT!CF37</f>
        <v>187.64010408603667</v>
      </c>
      <c r="H37" s="438">
        <f>EXPORT!CG37</f>
        <v>184.19966521456331</v>
      </c>
      <c r="I37" s="438">
        <f>EXPORT!CH37</f>
        <v>173.46220439951617</v>
      </c>
      <c r="J37" s="438">
        <f>EXPORT!CI37</f>
        <v>141.16674985406178</v>
      </c>
      <c r="K37" s="438">
        <f>EXPORT!CJ37</f>
        <v>147.81447712678903</v>
      </c>
      <c r="L37" s="438">
        <f>EXPORT!CK37</f>
        <v>158.09856803587991</v>
      </c>
      <c r="M37" s="438">
        <f>EXPORT!CL37</f>
        <v>0</v>
      </c>
      <c r="N37" s="438">
        <f>EXPORT!CM37</f>
        <v>0</v>
      </c>
      <c r="O37" s="572"/>
      <c r="P37" s="411"/>
    </row>
    <row r="38" spans="1:16" ht="15" thickBot="1">
      <c r="A38" s="392" t="s">
        <v>1670</v>
      </c>
      <c r="B38" s="392" t="s">
        <v>1671</v>
      </c>
      <c r="C38" s="542">
        <v>37</v>
      </c>
      <c r="D38" s="542">
        <v>14</v>
      </c>
      <c r="E38" s="106" t="s">
        <v>1750</v>
      </c>
      <c r="F38" s="315">
        <f>EXPORT!CE38</f>
        <v>407.13420281192589</v>
      </c>
      <c r="G38" s="315">
        <f>EXPORT!CF38</f>
        <v>358.15301158935608</v>
      </c>
      <c r="H38" s="315">
        <f>EXPORT!CG38</f>
        <v>354.71257271788295</v>
      </c>
      <c r="I38" s="315">
        <f>EXPORT!CH38</f>
        <v>292.15693008465382</v>
      </c>
      <c r="J38" s="315">
        <f>EXPORT!CI38</f>
        <v>210.08874826647218</v>
      </c>
      <c r="K38" s="315">
        <f>EXPORT!CJ38</f>
        <v>317.0205664482902</v>
      </c>
      <c r="L38" s="315">
        <f>EXPORT!CK38</f>
        <v>251.90693008465394</v>
      </c>
      <c r="M38" s="315">
        <f>EXPORT!CL38</f>
        <v>0</v>
      </c>
      <c r="N38" s="315">
        <f>EXPORT!CM38</f>
        <v>0</v>
      </c>
      <c r="O38" s="571"/>
      <c r="P38" s="410"/>
    </row>
    <row r="39" spans="1:16">
      <c r="A39" s="67"/>
      <c r="B39" s="131"/>
      <c r="C39" s="87"/>
      <c r="D39" s="87"/>
      <c r="E39" s="67" t="s">
        <v>1751</v>
      </c>
      <c r="F39" s="362">
        <f>EXPORT!CE39</f>
        <v>702.36147553919841</v>
      </c>
      <c r="G39" s="362">
        <f>EXPORT!CF39</f>
        <v>365.65301158935608</v>
      </c>
      <c r="H39" s="362">
        <f>EXPORT!CG39</f>
        <v>362.21257271788295</v>
      </c>
      <c r="I39" s="362">
        <f>EXPORT!CH39</f>
        <v>330.56602099374481</v>
      </c>
      <c r="J39" s="362">
        <f>EXPORT!CI39</f>
        <v>300.99783917556306</v>
      </c>
      <c r="K39" s="362">
        <f>EXPORT!CJ39</f>
        <v>425.03193008465371</v>
      </c>
      <c r="L39" s="362">
        <f>EXPORT!CK39</f>
        <v>316.56602099374493</v>
      </c>
      <c r="M39" s="362">
        <f>EXPORT!CL39</f>
        <v>0</v>
      </c>
      <c r="N39" s="362">
        <f>EXPORT!CM39</f>
        <v>0</v>
      </c>
      <c r="P39" s="179"/>
    </row>
    <row r="40" spans="1:16" ht="15" thickBot="1">
      <c r="A40" s="80"/>
      <c r="B40" s="460"/>
      <c r="C40" s="91"/>
      <c r="D40" s="91"/>
      <c r="E40" s="80" t="s">
        <v>1783</v>
      </c>
      <c r="F40" s="438">
        <f>EXPORT!CE40</f>
        <v>703.04329372101688</v>
      </c>
      <c r="G40" s="438">
        <f>EXPORT!CF40</f>
        <v>327.01664795299257</v>
      </c>
      <c r="H40" s="438">
        <f>EXPORT!CG40</f>
        <v>323.57620908151944</v>
      </c>
      <c r="I40" s="438">
        <f>EXPORT!CH40</f>
        <v>355.11147553919932</v>
      </c>
      <c r="J40" s="438">
        <f>EXPORT!CI40</f>
        <v>307.36147553919932</v>
      </c>
      <c r="K40" s="438">
        <f>EXPORT!CJ40</f>
        <v>423.2705664482902</v>
      </c>
      <c r="L40" s="438">
        <f>EXPORT!CK40</f>
        <v>332.02056644829042</v>
      </c>
      <c r="M40" s="438">
        <f>EXPORT!CL40</f>
        <v>0</v>
      </c>
      <c r="N40" s="438">
        <f>EXPORT!CM40</f>
        <v>0</v>
      </c>
      <c r="O40" s="572"/>
      <c r="P40" s="411"/>
    </row>
    <row r="41" spans="1:16" ht="15" thickBot="1">
      <c r="A41" s="394" t="s">
        <v>821</v>
      </c>
      <c r="B41" s="393" t="s">
        <v>1674</v>
      </c>
      <c r="C41" s="472"/>
      <c r="D41" s="472" t="s">
        <v>1889</v>
      </c>
      <c r="E41" s="106" t="s">
        <v>1879</v>
      </c>
      <c r="F41" s="315">
        <f>EXPORT!CE41</f>
        <v>274.37944393805833</v>
      </c>
      <c r="G41" s="315">
        <f>EXPORT!CF41</f>
        <v>272.64038022589284</v>
      </c>
      <c r="H41" s="315">
        <f>EXPORT!CG41</f>
        <v>275.97139928102456</v>
      </c>
      <c r="I41" s="315">
        <f>EXPORT!CH41</f>
        <v>497.21693446577046</v>
      </c>
      <c r="J41" s="315">
        <f>EXPORT!CI41</f>
        <v>595.07126186358209</v>
      </c>
      <c r="K41" s="315">
        <f>EXPORT!CJ41</f>
        <v>408.27977172429235</v>
      </c>
      <c r="L41" s="315">
        <f>EXPORT!CK41</f>
        <v>542.63414525425026</v>
      </c>
      <c r="M41" s="315">
        <f>EXPORT!CL41</f>
        <v>0</v>
      </c>
      <c r="N41" s="315">
        <f>EXPORT!CM41</f>
        <v>0</v>
      </c>
      <c r="O41" s="571"/>
      <c r="P41" s="410"/>
    </row>
    <row r="42" spans="1:16">
      <c r="A42" s="67"/>
      <c r="B42" s="575" t="s">
        <v>6</v>
      </c>
      <c r="C42" s="87"/>
      <c r="D42" s="87"/>
      <c r="E42" s="67" t="s">
        <v>1872</v>
      </c>
      <c r="F42" s="362">
        <f>EXPORT!CE42</f>
        <v>86.87944393805833</v>
      </c>
      <c r="G42" s="362">
        <f>EXPORT!CF42</f>
        <v>85.140380225892841</v>
      </c>
      <c r="H42" s="362">
        <f>EXPORT!CG42</f>
        <v>88.47139928102456</v>
      </c>
      <c r="I42" s="362">
        <f>EXPORT!CH42</f>
        <v>309.71693446577046</v>
      </c>
      <c r="J42" s="362">
        <f>EXPORT!CI42</f>
        <v>407.57126186358209</v>
      </c>
      <c r="K42" s="362">
        <f>EXPORT!CJ42</f>
        <v>220.77977172429235</v>
      </c>
      <c r="L42" s="362">
        <f>EXPORT!CK42</f>
        <v>355.13414525425026</v>
      </c>
      <c r="M42" s="362">
        <f>EXPORT!CL42</f>
        <v>0</v>
      </c>
      <c r="N42" s="362">
        <f>EXPORT!CM42</f>
        <v>0</v>
      </c>
      <c r="P42" s="179"/>
    </row>
    <row r="43" spans="1:16" ht="15" thickBot="1">
      <c r="A43" s="80"/>
      <c r="B43" s="131"/>
      <c r="C43" s="87"/>
      <c r="D43" s="87"/>
      <c r="E43" s="80" t="s">
        <v>1867</v>
      </c>
      <c r="F43" s="438">
        <f>EXPORT!CE43</f>
        <v>69.833989392603826</v>
      </c>
      <c r="G43" s="438">
        <f>EXPORT!CF43</f>
        <v>68.094925680438337</v>
      </c>
      <c r="H43" s="438">
        <f>EXPORT!CG43</f>
        <v>71.425944735570056</v>
      </c>
      <c r="I43" s="438">
        <f>EXPORT!CH43</f>
        <v>292.67147992031596</v>
      </c>
      <c r="J43" s="438">
        <f>EXPORT!CI43</f>
        <v>390.52580731812759</v>
      </c>
      <c r="K43" s="438">
        <f>EXPORT!CJ43</f>
        <v>203.73431717883784</v>
      </c>
      <c r="L43" s="438">
        <f>EXPORT!CK43</f>
        <v>338.08869070879575</v>
      </c>
      <c r="M43" s="438">
        <f>EXPORT!CL43</f>
        <v>0</v>
      </c>
      <c r="N43" s="438">
        <f>EXPORT!CM43</f>
        <v>0</v>
      </c>
      <c r="O43" s="572"/>
      <c r="P43" s="411"/>
    </row>
    <row r="44" spans="1:16" ht="15" thickBot="1">
      <c r="A44" s="394" t="s">
        <v>1677</v>
      </c>
      <c r="B44" s="394" t="s">
        <v>1678</v>
      </c>
      <c r="C44" s="474">
        <v>11</v>
      </c>
      <c r="D44" s="475">
        <v>18</v>
      </c>
      <c r="E44" s="581" t="s">
        <v>1851</v>
      </c>
      <c r="F44" s="579" t="e">
        <f>EXPORT!CE44</f>
        <v>#N/A</v>
      </c>
      <c r="G44" s="579">
        <f>EXPORT!CF44</f>
        <v>105.19324138985621</v>
      </c>
      <c r="H44" s="579">
        <f>EXPORT!CG44</f>
        <v>101.75280251838285</v>
      </c>
      <c r="I44" s="579">
        <f>EXPORT!CH44</f>
        <v>208.74261443060823</v>
      </c>
      <c r="J44" s="579">
        <f>EXPORT!CI44</f>
        <v>155.3107962487901</v>
      </c>
      <c r="K44" s="579" t="e">
        <f>EXPORT!CJ44</f>
        <v>#VALUE!</v>
      </c>
      <c r="L44" s="579">
        <f>EXPORT!CK44</f>
        <v>182.81079624878987</v>
      </c>
      <c r="M44" s="579">
        <f>EXPORT!CL44</f>
        <v>0</v>
      </c>
      <c r="N44" s="579">
        <f>EXPORT!CM44</f>
        <v>0</v>
      </c>
      <c r="O44" s="576"/>
      <c r="P44" s="577"/>
    </row>
    <row r="45" spans="1:16" ht="15" thickBot="1">
      <c r="A45" s="394" t="s">
        <v>1679</v>
      </c>
      <c r="B45" s="394" t="s">
        <v>1680</v>
      </c>
      <c r="C45" s="474">
        <v>8</v>
      </c>
      <c r="D45" s="474">
        <v>21</v>
      </c>
      <c r="E45" s="106" t="s">
        <v>1857</v>
      </c>
      <c r="F45" s="315" t="e">
        <f>EXPORT!CE45</f>
        <v>#N/A</v>
      </c>
      <c r="G45" s="315">
        <f>EXPORT!CF45</f>
        <v>432.35588891197949</v>
      </c>
      <c r="H45" s="315">
        <f>EXPORT!CG45</f>
        <v>428.9154500405059</v>
      </c>
      <c r="I45" s="315">
        <f>EXPORT!CH45</f>
        <v>779.08708013454952</v>
      </c>
      <c r="J45" s="315">
        <f>EXPORT!CI45</f>
        <v>674.51889831636799</v>
      </c>
      <c r="K45" s="315" t="e">
        <f>EXPORT!CJ45</f>
        <v>#VALUE!</v>
      </c>
      <c r="L45" s="315">
        <f>EXPORT!CK45</f>
        <v>727.58708013454964</v>
      </c>
      <c r="M45" s="315">
        <f>EXPORT!CL45</f>
        <v>0</v>
      </c>
      <c r="N45" s="315">
        <f>EXPORT!CM45</f>
        <v>0</v>
      </c>
      <c r="O45" s="571"/>
      <c r="P45" s="410"/>
    </row>
    <row r="46" spans="1:16" ht="15" thickBot="1">
      <c r="A46" s="460"/>
      <c r="B46" s="460"/>
      <c r="C46" s="91"/>
      <c r="D46" s="91"/>
      <c r="E46" s="80" t="s">
        <v>1837</v>
      </c>
      <c r="F46" s="438" t="e">
        <f>EXPORT!CE46</f>
        <v>#N/A</v>
      </c>
      <c r="G46" s="438">
        <f>EXPORT!CF46</f>
        <v>398.03770709379751</v>
      </c>
      <c r="H46" s="438">
        <f>EXPORT!CG46</f>
        <v>394.59726822232437</v>
      </c>
      <c r="I46" s="438">
        <f>EXPORT!CH46</f>
        <v>801.81435286182227</v>
      </c>
      <c r="J46" s="438">
        <f>EXPORT!CI46</f>
        <v>697.24617104364052</v>
      </c>
      <c r="K46" s="438" t="e">
        <f>EXPORT!CJ46</f>
        <v>#VALUE!</v>
      </c>
      <c r="L46" s="438">
        <f>EXPORT!CK46</f>
        <v>750.31435286182239</v>
      </c>
      <c r="M46" s="438">
        <f>EXPORT!CL46</f>
        <v>0</v>
      </c>
      <c r="N46" s="438">
        <f>EXPORT!CM46</f>
        <v>0</v>
      </c>
      <c r="O46" s="572"/>
      <c r="P46" s="411"/>
    </row>
    <row r="47" spans="1:16" ht="15" thickBot="1">
      <c r="A47" s="394" t="s">
        <v>1681</v>
      </c>
      <c r="B47" s="394" t="s">
        <v>1682</v>
      </c>
      <c r="C47" s="474">
        <v>11</v>
      </c>
      <c r="D47" s="475">
        <v>18</v>
      </c>
      <c r="E47" s="478" t="s">
        <v>1862</v>
      </c>
      <c r="F47" s="579" t="e">
        <f>EXPORT!CE47</f>
        <v>#N/A</v>
      </c>
      <c r="G47" s="579">
        <f>EXPORT!CF47</f>
        <v>408.492252548343</v>
      </c>
      <c r="H47" s="579">
        <f>EXPORT!CG47</f>
        <v>405.05181367686987</v>
      </c>
      <c r="I47" s="579" t="e">
        <f>EXPORT!CH47</f>
        <v>#VALUE!</v>
      </c>
      <c r="J47" s="579" t="e">
        <f>EXPORT!CI47</f>
        <v>#VALUE!</v>
      </c>
      <c r="K47" s="579" t="e">
        <f>EXPORT!CJ47</f>
        <v>#VALUE!</v>
      </c>
      <c r="L47" s="579" t="e">
        <f>EXPORT!CK47</f>
        <v>#VALUE!</v>
      </c>
      <c r="M47" s="579">
        <f>EXPORT!CL47</f>
        <v>0</v>
      </c>
      <c r="N47" s="579">
        <f>EXPORT!CM47</f>
        <v>0</v>
      </c>
      <c r="O47" s="576"/>
      <c r="P47" s="577"/>
    </row>
    <row r="48" spans="1:16" ht="15" thickBot="1">
      <c r="A48" s="394" t="s">
        <v>1683</v>
      </c>
      <c r="B48" s="394" t="s">
        <v>1684</v>
      </c>
      <c r="C48" s="474"/>
      <c r="D48" s="475">
        <v>14</v>
      </c>
      <c r="E48" s="478" t="s">
        <v>1861</v>
      </c>
      <c r="F48" s="579" t="e">
        <f>EXPORT!CE48</f>
        <v>#N/A</v>
      </c>
      <c r="G48" s="579">
        <f>EXPORT!CF48</f>
        <v>363.05438709346777</v>
      </c>
      <c r="H48" s="579">
        <f>EXPORT!CG48</f>
        <v>359.61394822199418</v>
      </c>
      <c r="I48" s="579">
        <f>EXPORT!CH48</f>
        <v>707.96739649785604</v>
      </c>
      <c r="J48" s="579" t="e">
        <f>EXPORT!CI48</f>
        <v>#VALUE!</v>
      </c>
      <c r="K48" s="579" t="e">
        <f>EXPORT!CJ48</f>
        <v>#VALUE!</v>
      </c>
      <c r="L48" s="579" t="e">
        <f>EXPORT!CK48</f>
        <v>#VALUE!</v>
      </c>
      <c r="M48" s="579">
        <f>EXPORT!CL48</f>
        <v>0</v>
      </c>
      <c r="N48" s="579">
        <f>EXPORT!CM48</f>
        <v>0</v>
      </c>
      <c r="O48" s="576"/>
      <c r="P48" s="577"/>
    </row>
    <row r="49" spans="1:16" ht="15" thickBot="1">
      <c r="A49" s="394" t="s">
        <v>1686</v>
      </c>
      <c r="B49" s="394" t="s">
        <v>1687</v>
      </c>
      <c r="C49" s="474"/>
      <c r="D49" s="474">
        <v>14</v>
      </c>
      <c r="E49" s="106" t="s">
        <v>1855</v>
      </c>
      <c r="F49" s="315" t="e">
        <f>EXPORT!CE49</f>
        <v>#N/A</v>
      </c>
      <c r="G49" s="315">
        <f>EXPORT!CF49</f>
        <v>201.69075072983128</v>
      </c>
      <c r="H49" s="315">
        <f>EXPORT!CG49</f>
        <v>198.25031185835815</v>
      </c>
      <c r="I49" s="315">
        <f>EXPORT!CH49</f>
        <v>403.19466922512879</v>
      </c>
      <c r="J49" s="315">
        <f>EXPORT!CI49</f>
        <v>273.85376013421956</v>
      </c>
      <c r="K49" s="315" t="e">
        <f>EXPORT!CJ49</f>
        <v>#VALUE!</v>
      </c>
      <c r="L49" s="315">
        <f>EXPORT!CK49</f>
        <v>339.30830558876517</v>
      </c>
      <c r="M49" s="315">
        <f>EXPORT!CL49</f>
        <v>0</v>
      </c>
      <c r="N49" s="315">
        <f>EXPORT!CM49</f>
        <v>0</v>
      </c>
      <c r="O49" s="571"/>
      <c r="P49" s="410"/>
    </row>
    <row r="50" spans="1:16" ht="15" thickBot="1">
      <c r="A50" s="478"/>
      <c r="B50" s="460"/>
      <c r="C50" s="91"/>
      <c r="D50" s="91"/>
      <c r="E50" s="80" t="s">
        <v>1832</v>
      </c>
      <c r="F50" s="438" t="e">
        <f>EXPORT!CE50</f>
        <v>#N/A</v>
      </c>
      <c r="G50" s="438">
        <f>EXPORT!CF50</f>
        <v>324.41802345710425</v>
      </c>
      <c r="H50" s="438">
        <f>EXPORT!CG50</f>
        <v>320.97758458563067</v>
      </c>
      <c r="I50" s="438">
        <f>EXPORT!CH50</f>
        <v>272.51285104331055</v>
      </c>
      <c r="J50" s="438">
        <f>EXPORT!CI50</f>
        <v>202.03557831603791</v>
      </c>
      <c r="K50" s="438" t="e">
        <f>EXPORT!CJ50</f>
        <v>#VALUE!</v>
      </c>
      <c r="L50" s="438">
        <f>EXPORT!CK50</f>
        <v>238.05830558876517</v>
      </c>
      <c r="M50" s="438">
        <f>EXPORT!CL50</f>
        <v>0</v>
      </c>
      <c r="N50" s="438">
        <f>EXPORT!CM50</f>
        <v>0</v>
      </c>
      <c r="O50" s="572"/>
      <c r="P50" s="411"/>
    </row>
    <row r="51" spans="1:16" ht="15" thickBot="1">
      <c r="A51" s="1"/>
      <c r="B51" s="134"/>
      <c r="C51" s="87"/>
      <c r="D51" s="87"/>
      <c r="E51" s="1"/>
      <c r="F51" s="362"/>
    </row>
    <row r="52" spans="1:16" ht="15" thickBot="1">
      <c r="A52" s="480" t="s">
        <v>1689</v>
      </c>
      <c r="B52" s="395" t="s">
        <v>1690</v>
      </c>
      <c r="C52" s="481" t="s">
        <v>2119</v>
      </c>
      <c r="D52" s="481" t="s">
        <v>2119</v>
      </c>
      <c r="E52" s="578" t="s">
        <v>1759</v>
      </c>
      <c r="F52" s="579">
        <f>EXPORT!CE52</f>
        <v>0</v>
      </c>
      <c r="G52" s="579">
        <f>EXPORT!CF52</f>
        <v>0</v>
      </c>
      <c r="H52" s="579">
        <f>EXPORT!CG52</f>
        <v>0</v>
      </c>
      <c r="I52" s="579">
        <f>EXPORT!CH52</f>
        <v>0</v>
      </c>
      <c r="J52" s="579">
        <f>EXPORT!CI52</f>
        <v>0</v>
      </c>
      <c r="K52" s="579">
        <f>EXPORT!CJ52</f>
        <v>0</v>
      </c>
      <c r="L52" s="579">
        <f>EXPORT!CK52</f>
        <v>0</v>
      </c>
      <c r="M52" s="579">
        <f>EXPORT!CL52</f>
        <v>0</v>
      </c>
      <c r="N52" s="579">
        <f>EXPORT!CM52</f>
        <v>0</v>
      </c>
      <c r="O52" s="579">
        <f>EXPORT!CN52</f>
        <v>0</v>
      </c>
      <c r="P52" s="580">
        <f>EXPORT!CO52</f>
        <v>0</v>
      </c>
    </row>
  </sheetData>
  <mergeCells count="1">
    <mergeCell ref="F5:P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23B6-7F88-4423-B371-643033C2BF21}">
  <sheetPr>
    <tabColor rgb="FFCCFF66"/>
  </sheetPr>
  <dimension ref="A1:AS244"/>
  <sheetViews>
    <sheetView zoomScale="70" zoomScaleNormal="70" workbookViewId="0">
      <pane xSplit="2" ySplit="2" topLeftCell="C200" activePane="bottomRight" state="frozen"/>
      <selection pane="topRight" activeCell="C1" sqref="C1"/>
      <selection pane="bottomLeft" activeCell="A3" sqref="A3"/>
      <selection pane="bottomRight" activeCell="BE221" sqref="BE221"/>
    </sheetView>
  </sheetViews>
  <sheetFormatPr defaultColWidth="9.1796875" defaultRowHeight="13" outlineLevelCol="1"/>
  <cols>
    <col min="1" max="1" width="15.453125" style="32" bestFit="1" customWidth="1"/>
    <col min="2" max="2" width="5.453125" style="319" bestFit="1" customWidth="1"/>
    <col min="3" max="3" width="12.54296875" style="319" bestFit="1" customWidth="1"/>
    <col min="4" max="7" width="9.1796875" style="10" hidden="1" customWidth="1" outlineLevel="1"/>
    <col min="8" max="8" width="9.453125" style="10" hidden="1" customWidth="1" outlineLevel="1"/>
    <col min="9" max="9" width="9.1796875" style="10" hidden="1" customWidth="1" outlineLevel="1"/>
    <col min="10" max="10" width="10.453125" style="10" hidden="1" customWidth="1" outlineLevel="1"/>
    <col min="11" max="13" width="9.1796875" style="10" hidden="1" customWidth="1" outlineLevel="1"/>
    <col min="14" max="14" width="15" style="10" bestFit="1" customWidth="1" collapsed="1"/>
    <col min="15" max="18" width="9.1796875" style="10" hidden="1" customWidth="1" outlineLevel="1"/>
    <col min="19" max="19" width="15" style="10" bestFit="1" customWidth="1" collapsed="1"/>
    <col min="20" max="23" width="9.1796875" style="10" hidden="1" customWidth="1" outlineLevel="1"/>
    <col min="24" max="24" width="15.81640625" style="10" bestFit="1" customWidth="1" collapsed="1"/>
    <col min="25" max="27" width="9.1796875" style="10" hidden="1" customWidth="1" outlineLevel="1"/>
    <col min="28" max="28" width="13.1796875" style="10" bestFit="1" customWidth="1" collapsed="1"/>
    <col min="29" max="33" width="9.1796875" style="10" hidden="1" customWidth="1" outlineLevel="1"/>
    <col min="34" max="34" width="13.453125" style="10" bestFit="1" customWidth="1" collapsed="1"/>
    <col min="35" max="39" width="9.1796875" style="10" hidden="1" customWidth="1" outlineLevel="1"/>
    <col min="40" max="40" width="13" style="10" bestFit="1" customWidth="1" collapsed="1"/>
    <col min="41" max="43" width="0" style="10" hidden="1" customWidth="1" outlineLevel="1"/>
    <col min="44" max="44" width="9.1796875" style="10" collapsed="1"/>
    <col min="45" max="16384" width="9.1796875" style="10"/>
  </cols>
  <sheetData>
    <row r="1" spans="1:45" ht="13.5" thickBot="1">
      <c r="D1" s="620" t="s">
        <v>0</v>
      </c>
      <c r="E1" s="621"/>
      <c r="F1" s="621"/>
      <c r="G1" s="621"/>
      <c r="H1" s="621"/>
      <c r="I1" s="621"/>
      <c r="J1" s="621"/>
      <c r="K1" s="621"/>
      <c r="L1" s="621"/>
      <c r="M1" s="621"/>
      <c r="N1" s="622"/>
      <c r="O1" s="623" t="s">
        <v>1</v>
      </c>
      <c r="P1" s="624"/>
      <c r="Q1" s="624"/>
      <c r="R1" s="624"/>
      <c r="S1" s="625"/>
      <c r="T1" s="626" t="s">
        <v>2</v>
      </c>
      <c r="U1" s="627"/>
      <c r="V1" s="627"/>
      <c r="W1" s="627"/>
      <c r="X1" s="627"/>
      <c r="Y1" s="628" t="s">
        <v>3</v>
      </c>
      <c r="Z1" s="629"/>
      <c r="AA1" s="629"/>
      <c r="AB1" s="630"/>
      <c r="AC1" s="631" t="s">
        <v>4</v>
      </c>
      <c r="AD1" s="631"/>
      <c r="AE1" s="631"/>
      <c r="AF1" s="631"/>
      <c r="AG1" s="631"/>
      <c r="AH1" s="632"/>
      <c r="AI1" s="614" t="s">
        <v>5</v>
      </c>
      <c r="AJ1" s="615"/>
      <c r="AK1" s="615"/>
      <c r="AL1" s="615"/>
      <c r="AM1" s="615"/>
      <c r="AN1" s="615"/>
      <c r="AO1" s="617" t="s">
        <v>2059</v>
      </c>
      <c r="AP1" s="645"/>
      <c r="AQ1" s="646"/>
      <c r="AR1" s="633" t="s">
        <v>2065</v>
      </c>
      <c r="AS1" s="634"/>
    </row>
    <row r="2" spans="1:45" ht="13.5" thickBot="1">
      <c r="A2" s="418" t="s">
        <v>9</v>
      </c>
      <c r="B2" s="181" t="s">
        <v>10</v>
      </c>
      <c r="C2" s="181" t="s">
        <v>2167</v>
      </c>
      <c r="D2" s="513" t="s">
        <v>14</v>
      </c>
      <c r="E2" s="513" t="s">
        <v>15</v>
      </c>
      <c r="F2" s="513" t="s">
        <v>16</v>
      </c>
      <c r="G2" s="513" t="s">
        <v>17</v>
      </c>
      <c r="H2" s="513" t="s">
        <v>18</v>
      </c>
      <c r="I2" s="513" t="s">
        <v>19</v>
      </c>
      <c r="J2" s="513" t="s">
        <v>20</v>
      </c>
      <c r="K2" s="513" t="s">
        <v>28</v>
      </c>
      <c r="L2" s="513" t="s">
        <v>1650</v>
      </c>
      <c r="M2" s="528" t="s">
        <v>2102</v>
      </c>
      <c r="N2" s="310" t="s">
        <v>22</v>
      </c>
      <c r="O2" s="514" t="s">
        <v>23</v>
      </c>
      <c r="P2" s="514" t="s">
        <v>2096</v>
      </c>
      <c r="Q2" s="524" t="s">
        <v>25</v>
      </c>
      <c r="R2" s="514"/>
      <c r="S2" s="525" t="s">
        <v>2060</v>
      </c>
      <c r="T2" s="515" t="s">
        <v>27</v>
      </c>
      <c r="U2" s="515" t="s">
        <v>20</v>
      </c>
      <c r="V2" s="515" t="s">
        <v>28</v>
      </c>
      <c r="W2" s="515"/>
      <c r="X2" s="510" t="s">
        <v>29</v>
      </c>
      <c r="Y2" s="526" t="s">
        <v>30</v>
      </c>
      <c r="Z2" s="526" t="s">
        <v>31</v>
      </c>
      <c r="AA2" s="526"/>
      <c r="AB2" s="527" t="s">
        <v>32</v>
      </c>
      <c r="AC2" s="517" t="s">
        <v>33</v>
      </c>
      <c r="AD2" s="518" t="s">
        <v>34</v>
      </c>
      <c r="AE2" s="518" t="s">
        <v>35</v>
      </c>
      <c r="AF2" s="518" t="s">
        <v>36</v>
      </c>
      <c r="AG2" s="518"/>
      <c r="AH2" s="512" t="s">
        <v>37</v>
      </c>
      <c r="AI2" s="519" t="s">
        <v>2061</v>
      </c>
      <c r="AJ2" s="520" t="s">
        <v>2062</v>
      </c>
      <c r="AK2" s="520" t="s">
        <v>39</v>
      </c>
      <c r="AL2" s="520" t="s">
        <v>28</v>
      </c>
      <c r="AM2" s="520"/>
      <c r="AN2" s="521" t="s">
        <v>40</v>
      </c>
      <c r="AO2" s="522" t="s">
        <v>1688</v>
      </c>
      <c r="AP2" s="523" t="s">
        <v>2063</v>
      </c>
      <c r="AQ2" s="326" t="s">
        <v>2064</v>
      </c>
      <c r="AR2" s="529" t="s">
        <v>826</v>
      </c>
      <c r="AS2" s="530" t="s">
        <v>827</v>
      </c>
    </row>
    <row r="3" spans="1:45">
      <c r="A3" s="32" t="s">
        <v>454</v>
      </c>
      <c r="B3" s="319" t="s">
        <v>136</v>
      </c>
      <c r="C3" s="319" t="str">
        <f t="shared" ref="C3:C66" si="0">A3&amp;B3</f>
        <v>JacksonNC</v>
      </c>
      <c r="D3" s="10">
        <f>VLOOKUP(A:A,PTS!C:R,6,FALSE)</f>
        <v>1</v>
      </c>
      <c r="E3" s="531" cm="1">
        <f t="array" ref="E3">AVERAGE(_xlfn._xlws.FILTER(PTS!I:I, (PTS!$C:$C=A3) * ISNUMBER(PTS!I:I)))</f>
        <v>25</v>
      </c>
      <c r="F3" s="10" cm="1">
        <f t="array" ref="F3">AVERAGE(_xlfn._xlws.FILTER(PTS!J:J, (PTS!$C:$C=A3) * ISNUMBER(PTS!J:J)))</f>
        <v>212.33333333333334</v>
      </c>
      <c r="G3" s="531" cm="1">
        <f t="array" ref="G3">AVERAGE(_xlfn._xlws.FILTER(PTS!K:K, (PTS!$C:$C=A3) * ISNUMBER(PTS!K:K)))</f>
        <v>0</v>
      </c>
      <c r="H3" s="531" cm="1">
        <f t="array" ref="H3">AVERAGE(_xlfn._xlws.FILTER(PTS!L:L, (PTS!$C:$C=A3) * ISNUMBER(PTS!L:L)))</f>
        <v>40.333333333333336</v>
      </c>
      <c r="I3" s="531" cm="1">
        <f t="array" ref="I3">AVERAGE(_xlfn._xlws.FILTER(PTS!M:M, (PTS!$C:$C=A3) * ISNUMBER(PTS!M:M)))</f>
        <v>1.6666666666666667</v>
      </c>
      <c r="J3" s="531" cm="1">
        <f t="array" ref="J3">AVERAGE(_xlfn._xlws.FILTER(PTS!N:N, (PTS!$C:$C=A3) * ISNUMBER(PTS!N:N)))</f>
        <v>67.333333333333329</v>
      </c>
      <c r="K3" s="531" cm="1">
        <f t="array" ref="K3">AVERAGE(_xlfn._xlws.FILTER(PTS!O:O, (PTS!$C:$C=A3) * ISNUMBER(PTS!O:O)))</f>
        <v>37.916666666666671</v>
      </c>
      <c r="L3" s="10" cm="1">
        <f t="array" ref="L3">AVERAGE(_xlfn._xlws.FILTER(PTS!P:P, (PTS!$C:$C=A3) * ISNUMBER(PTS!P:P)))</f>
        <v>0</v>
      </c>
      <c r="M3" s="531">
        <f t="shared" ref="M3:M66" si="1">E3+F3+G3+H3+I3+J3+K3+L3</f>
        <v>384.58333333333337</v>
      </c>
      <c r="N3" s="531">
        <f t="shared" ref="N3:N66" si="2">IF(D3=1,SUM(J3),IF(D3=2,SUM(G3,J3),IF(D3=3,SUM(F3,G3,H3,J3),IF(D3=4,SUM(H3),"ERROR"))))+K3</f>
        <v>105.25</v>
      </c>
      <c r="O3" s="531" cm="1">
        <f t="array" ref="O3">AVERAGE(_xlfn._xlws.FILTER(PTS!S:S, (PTS!$C:$C=A3) * ISNUMBER(PTS!S:S)))</f>
        <v>0</v>
      </c>
      <c r="P3" s="531" cm="1">
        <f t="array" ref="P3">AVERAGE(_xlfn._xlws.FILTER(PTS!T:T, (PTS!$C:$C=A3) * ISNUMBER(PTS!T:T)))</f>
        <v>0</v>
      </c>
      <c r="Q3" s="531" cm="1">
        <f t="array" ref="Q3">AVERAGE(_xlfn._xlws.FILTER(PTS!U:U, (PTS!$C:$C=A3) * ISNUMBER(PTS!U:U)))</f>
        <v>316.36420454545458</v>
      </c>
      <c r="S3" s="531">
        <f t="shared" ref="S3:S66" si="3">O3+P3+Q3+R3</f>
        <v>316.36420454545458</v>
      </c>
      <c r="T3" s="531" cm="1">
        <f t="array" ref="T3">AVERAGE(_xlfn._xlws.FILTER(PTS!X:X, (PTS!$C:$C=A3) * ISNUMBER(PTS!X:X)))</f>
        <v>50.666666666666664</v>
      </c>
      <c r="U3" s="531" cm="1">
        <f t="array" ref="U3">AVERAGE(_xlfn._xlws.FILTER(PTS!Y:Y, (PTS!$C:$C=A3) * ISNUMBER(PTS!Y:Y)))</f>
        <v>39.199999999999996</v>
      </c>
      <c r="V3" s="531" cm="1">
        <f t="array" ref="V3">AVERAGE(_xlfn._xlws.FILTER(PTS!Z:Z, (PTS!$C:$C=A3) * ISNUMBER(PTS!Z:Z)))</f>
        <v>26.25</v>
      </c>
      <c r="X3" s="531">
        <f t="shared" ref="X3:X66" si="4">T3+U3+V3+W3</f>
        <v>116.11666666666666</v>
      </c>
      <c r="Y3" s="531" cm="1">
        <f t="array" ref="Y3">AVERAGE(_xlfn._xlws.FILTER(PTS!AC:AC, (PTS!$C:$C=A3) * ISNUMBER(PTS!AC:AC)))</f>
        <v>134.09090909090909</v>
      </c>
      <c r="Z3" s="531" cm="1">
        <f t="array" ref="Z3">AVERAGE(_xlfn._xlws.FILTER(PTS!AD:AD, (PTS!$C:$C=A3) * ISNUMBER(PTS!AD:AD)))</f>
        <v>157.50000000000003</v>
      </c>
      <c r="AB3" s="531">
        <f t="shared" ref="AB3:AB66" si="5">Y3+Z3+AA3</f>
        <v>291.59090909090912</v>
      </c>
      <c r="AC3" s="10" cm="1">
        <f t="array" ref="AC3">AVERAGE(_xlfn._xlws.FILTER(PTS!AG:AG, (PTS!$C:$C=A3) * ISNUMBER(PTS!AG:AG)))</f>
        <v>28.814300000000003</v>
      </c>
      <c r="AD3" s="531" cm="1">
        <f t="array" ref="AD3">AVERAGE(_xlfn._xlws.FILTER(PTS!AH:AH, (PTS!$C:$C=A3) * ISNUMBER(PTS!AH:AH)))</f>
        <v>6.9731404958677699</v>
      </c>
      <c r="AE3" s="531" cm="1">
        <f t="array" ref="AE3">AVERAGE(_xlfn._xlws.FILTER(PTS!AI:AI, (PTS!$C:$C=A3) * ISNUMBER(PTS!AI:AI)))</f>
        <v>12.587317427197677</v>
      </c>
      <c r="AF3" s="531" cm="1">
        <f t="array" ref="AF3">AVERAGE(_xlfn._xlws.FILTER(PTS!AJ:AJ, (PTS!$C:$C=A3) * ISNUMBER(PTS!AJ:AJ)))</f>
        <v>6.7351999999999999</v>
      </c>
      <c r="AH3" s="531">
        <f t="shared" ref="AH3:AH66" si="6">AC3+AD3+AE3+AF3+AG3</f>
        <v>55.109957923065444</v>
      </c>
      <c r="AI3" s="10" cm="1">
        <f t="array" ref="AI3">AVERAGE(_xlfn._xlws.FILTER(PTS!AM:AM, (PTS!$C:$C=A3) * ISNUMBER(PTS!AM:AM)))</f>
        <v>79.999999999999986</v>
      </c>
      <c r="AJ3" s="10" cm="1">
        <f t="array" ref="AJ3">AVERAGE(_xlfn._xlws.FILTER(PTS!AN:AN, (PTS!$C:$C=A3) * ISNUMBER(PTS!AN:AN)))</f>
        <v>26.17808219178082</v>
      </c>
      <c r="AK3" s="10" cm="1">
        <f t="array" ref="AK3">AVERAGE(_xlfn._xlws.FILTER(PTS!AO:AO, (PTS!$C:$C=A3) * ISNUMBER(PTS!AO:AO)))</f>
        <v>0</v>
      </c>
      <c r="AN3" s="10">
        <f t="shared" ref="AN3:AN66" si="7">AI3+AJ3+AK3+AL3+AM3</f>
        <v>106.1780821917808</v>
      </c>
      <c r="AR3" s="531">
        <f t="shared" ref="AR3:AR66" si="8">N3+S3+X3+AB3+AH3+AN3</f>
        <v>990.60982041787656</v>
      </c>
      <c r="AS3" s="531">
        <f t="shared" ref="AS3:AS66" si="9">M3+S3+X3+AB3+AH3+AN3</f>
        <v>1269.9431537512098</v>
      </c>
    </row>
    <row r="4" spans="1:45">
      <c r="A4" s="32" t="s">
        <v>454</v>
      </c>
      <c r="B4" s="319" t="s">
        <v>168</v>
      </c>
      <c r="C4" s="319" t="str">
        <f t="shared" si="0"/>
        <v>JacksonTN</v>
      </c>
      <c r="D4" s="10">
        <f>VLOOKUP(A:A,PTS!C:R,6,FALSE)</f>
        <v>1</v>
      </c>
      <c r="E4" s="531" cm="1">
        <f t="array" ref="E4">AVERAGE(_xlfn._xlws.FILTER(PTS!I:I, (PTS!$C:$C=A4) * ISNUMBER(PTS!I:I)))</f>
        <v>25</v>
      </c>
      <c r="F4" s="10" cm="1">
        <f t="array" ref="F4">AVERAGE(_xlfn._xlws.FILTER(PTS!J:J, (PTS!$C:$C=A4) * ISNUMBER(PTS!J:J)))</f>
        <v>212.33333333333334</v>
      </c>
      <c r="G4" s="531" cm="1">
        <f t="array" ref="G4">AVERAGE(_xlfn._xlws.FILTER(PTS!K:K, (PTS!$C:$C=A4) * ISNUMBER(PTS!K:K)))</f>
        <v>0</v>
      </c>
      <c r="H4" s="531" cm="1">
        <f t="array" ref="H4">AVERAGE(_xlfn._xlws.FILTER(PTS!L:L, (PTS!$C:$C=A4) * ISNUMBER(PTS!L:L)))</f>
        <v>40.333333333333336</v>
      </c>
      <c r="I4" s="531" cm="1">
        <f t="array" ref="I4">AVERAGE(_xlfn._xlws.FILTER(PTS!M:M, (PTS!$C:$C=A4) * ISNUMBER(PTS!M:M)))</f>
        <v>1.6666666666666667</v>
      </c>
      <c r="J4" s="531" cm="1">
        <f t="array" ref="J4">AVERAGE(_xlfn._xlws.FILTER(PTS!N:N, (PTS!$C:$C=A4) * ISNUMBER(PTS!N:N)))</f>
        <v>67.333333333333329</v>
      </c>
      <c r="K4" s="531" cm="1">
        <f t="array" ref="K4">AVERAGE(_xlfn._xlws.FILTER(PTS!O:O, (PTS!$C:$C=A4) * ISNUMBER(PTS!O:O)))</f>
        <v>37.916666666666671</v>
      </c>
      <c r="L4" s="10" cm="1">
        <f t="array" ref="L4">AVERAGE(_xlfn._xlws.FILTER(PTS!P:P, (PTS!$C:$C=A4) * ISNUMBER(PTS!P:P)))</f>
        <v>0</v>
      </c>
      <c r="M4" s="531">
        <f t="shared" si="1"/>
        <v>384.58333333333337</v>
      </c>
      <c r="N4" s="531">
        <f t="shared" si="2"/>
        <v>105.25</v>
      </c>
      <c r="O4" s="531" cm="1">
        <f t="array" ref="O4">AVERAGE(_xlfn._xlws.FILTER(PTS!S:S, (PTS!$C:$C=A4) * ISNUMBER(PTS!S:S)))</f>
        <v>0</v>
      </c>
      <c r="P4" s="531" cm="1">
        <f t="array" ref="P4">AVERAGE(_xlfn._xlws.FILTER(PTS!T:T, (PTS!$C:$C=A4) * ISNUMBER(PTS!T:T)))</f>
        <v>0</v>
      </c>
      <c r="Q4" s="531" cm="1">
        <f t="array" ref="Q4">AVERAGE(_xlfn._xlws.FILTER(PTS!U:U, (PTS!$C:$C=A4) * ISNUMBER(PTS!U:U)))</f>
        <v>316.36420454545458</v>
      </c>
      <c r="S4" s="531">
        <f t="shared" si="3"/>
        <v>316.36420454545458</v>
      </c>
      <c r="T4" s="531" cm="1">
        <f t="array" ref="T4">AVERAGE(_xlfn._xlws.FILTER(PTS!X:X, (PTS!$C:$C=A4) * ISNUMBER(PTS!X:X)))</f>
        <v>50.666666666666664</v>
      </c>
      <c r="U4" s="531" cm="1">
        <f t="array" ref="U4">AVERAGE(_xlfn._xlws.FILTER(PTS!Y:Y, (PTS!$C:$C=A4) * ISNUMBER(PTS!Y:Y)))</f>
        <v>39.199999999999996</v>
      </c>
      <c r="V4" s="531" cm="1">
        <f t="array" ref="V4">AVERAGE(_xlfn._xlws.FILTER(PTS!Z:Z, (PTS!$C:$C=A4) * ISNUMBER(PTS!Z:Z)))</f>
        <v>26.25</v>
      </c>
      <c r="X4" s="531">
        <f t="shared" si="4"/>
        <v>116.11666666666666</v>
      </c>
      <c r="Y4" s="531" cm="1">
        <f t="array" ref="Y4">AVERAGE(_xlfn._xlws.FILTER(PTS!AC:AC, (PTS!$C:$C=A4) * ISNUMBER(PTS!AC:AC)))</f>
        <v>134.09090909090909</v>
      </c>
      <c r="Z4" s="531" cm="1">
        <f t="array" ref="Z4">AVERAGE(_xlfn._xlws.FILTER(PTS!AD:AD, (PTS!$C:$C=A4) * ISNUMBER(PTS!AD:AD)))</f>
        <v>157.50000000000003</v>
      </c>
      <c r="AB4" s="531">
        <f t="shared" si="5"/>
        <v>291.59090909090912</v>
      </c>
      <c r="AC4" s="10" cm="1">
        <f t="array" ref="AC4">AVERAGE(_xlfn._xlws.FILTER(PTS!AG:AG, (PTS!$C:$C=A4) * ISNUMBER(PTS!AG:AG)))</f>
        <v>28.814300000000003</v>
      </c>
      <c r="AD4" s="531" cm="1">
        <f t="array" ref="AD4">AVERAGE(_xlfn._xlws.FILTER(PTS!AH:AH, (PTS!$C:$C=A4) * ISNUMBER(PTS!AH:AH)))</f>
        <v>6.9731404958677699</v>
      </c>
      <c r="AE4" s="531" cm="1">
        <f t="array" ref="AE4">AVERAGE(_xlfn._xlws.FILTER(PTS!AI:AI, (PTS!$C:$C=A4) * ISNUMBER(PTS!AI:AI)))</f>
        <v>12.587317427197677</v>
      </c>
      <c r="AF4" s="531" cm="1">
        <f t="array" ref="AF4">AVERAGE(_xlfn._xlws.FILTER(PTS!AJ:AJ, (PTS!$C:$C=A4) * ISNUMBER(PTS!AJ:AJ)))</f>
        <v>6.7351999999999999</v>
      </c>
      <c r="AH4" s="531">
        <f t="shared" si="6"/>
        <v>55.109957923065444</v>
      </c>
      <c r="AI4" s="10" cm="1">
        <f t="array" ref="AI4">AVERAGE(_xlfn._xlws.FILTER(PTS!AM:AM, (PTS!$C:$C=A4) * ISNUMBER(PTS!AM:AM)))</f>
        <v>79.999999999999986</v>
      </c>
      <c r="AJ4" s="10" cm="1">
        <f t="array" ref="AJ4">AVERAGE(_xlfn._xlws.FILTER(PTS!AN:AN, (PTS!$C:$C=A4) * ISNUMBER(PTS!AN:AN)))</f>
        <v>26.17808219178082</v>
      </c>
      <c r="AK4" s="10" cm="1">
        <f t="array" ref="AK4">AVERAGE(_xlfn._xlws.FILTER(PTS!AO:AO, (PTS!$C:$C=A4) * ISNUMBER(PTS!AO:AO)))</f>
        <v>0</v>
      </c>
      <c r="AN4" s="10">
        <f t="shared" si="7"/>
        <v>106.1780821917808</v>
      </c>
      <c r="AR4" s="531">
        <f t="shared" si="8"/>
        <v>990.60982041787656</v>
      </c>
      <c r="AS4" s="531">
        <f t="shared" si="9"/>
        <v>1269.9431537512098</v>
      </c>
    </row>
    <row r="5" spans="1:45">
      <c r="A5" s="32" t="s">
        <v>644</v>
      </c>
      <c r="B5" s="319" t="s">
        <v>149</v>
      </c>
      <c r="C5" s="319" t="str">
        <f t="shared" si="0"/>
        <v>PortlandAR</v>
      </c>
      <c r="D5" s="10">
        <f>VLOOKUP(A:A,PTS!C:R,6,FALSE)</f>
        <v>1</v>
      </c>
      <c r="E5" s="531" cm="1">
        <f t="array" ref="E5">AVERAGE(_xlfn._xlws.FILTER(PTS!I:I, (PTS!$C:$C=A5) * ISNUMBER(PTS!I:I)))</f>
        <v>99</v>
      </c>
      <c r="F5" s="10" cm="1">
        <f t="array" ref="F5">AVERAGE(_xlfn._xlws.FILTER(PTS!J:J, (PTS!$C:$C=A5) * ISNUMBER(PTS!J:J)))</f>
        <v>230</v>
      </c>
      <c r="G5" s="531" cm="1">
        <f t="array" ref="G5">AVERAGE(_xlfn._xlws.FILTER(PTS!K:K, (PTS!$C:$C=A5) * ISNUMBER(PTS!K:K)))</f>
        <v>135</v>
      </c>
      <c r="H5" s="531" cm="1">
        <f t="array" ref="H5">AVERAGE(_xlfn._xlws.FILTER(PTS!L:L, (PTS!$C:$C=A5) * ISNUMBER(PTS!L:L)))</f>
        <v>0</v>
      </c>
      <c r="I5" s="531" cm="1">
        <f t="array" ref="I5">AVERAGE(_xlfn._xlws.FILTER(PTS!M:M, (PTS!$C:$C=A5) * ISNUMBER(PTS!M:M)))</f>
        <v>0</v>
      </c>
      <c r="J5" s="531" cm="1">
        <f t="array" ref="J5">AVERAGE(_xlfn._xlws.FILTER(PTS!N:N, (PTS!$C:$C=A5) * ISNUMBER(PTS!N:N)))</f>
        <v>70</v>
      </c>
      <c r="K5" s="531" cm="1">
        <f t="array" ref="K5">AVERAGE(_xlfn._xlws.FILTER(PTS!O:O, (PTS!$C:$C=A5) * ISNUMBER(PTS!O:O)))</f>
        <v>37.916666666666671</v>
      </c>
      <c r="L5" s="10" cm="1">
        <f t="array" ref="L5">AVERAGE(_xlfn._xlws.FILTER(PTS!P:P, (PTS!$C:$C=A5) * ISNUMBER(PTS!P:P)))</f>
        <v>0</v>
      </c>
      <c r="M5" s="531">
        <f t="shared" si="1"/>
        <v>571.91666666666663</v>
      </c>
      <c r="N5" s="531">
        <f t="shared" si="2"/>
        <v>107.91666666666667</v>
      </c>
      <c r="O5" s="531" cm="1">
        <f t="array" ref="O5">AVERAGE(_xlfn._xlws.FILTER(PTS!S:S, (PTS!$C:$C=A5) * ISNUMBER(PTS!S:S)))</f>
        <v>5</v>
      </c>
      <c r="P5" s="531" cm="1">
        <f t="array" ref="P5">AVERAGE(_xlfn._xlws.FILTER(PTS!T:T, (PTS!$C:$C=A5) * ISNUMBER(PTS!T:T)))</f>
        <v>0</v>
      </c>
      <c r="Q5" s="531" cm="1">
        <f t="array" ref="Q5">AVERAGE(_xlfn._xlws.FILTER(PTS!U:U, (PTS!$C:$C=A5) * ISNUMBER(PTS!U:U)))</f>
        <v>293.03977272727275</v>
      </c>
      <c r="S5" s="531">
        <f t="shared" si="3"/>
        <v>298.03977272727275</v>
      </c>
      <c r="T5" s="531" cm="1">
        <f t="array" ref="T5">AVERAGE(_xlfn._xlws.FILTER(PTS!X:X, (PTS!$C:$C=A5) * ISNUMBER(PTS!X:X)))</f>
        <v>51</v>
      </c>
      <c r="U5" s="531" cm="1">
        <f t="array" ref="U5">AVERAGE(_xlfn._xlws.FILTER(PTS!Y:Y, (PTS!$C:$C=A5) * ISNUMBER(PTS!Y:Y)))</f>
        <v>37.800000000000004</v>
      </c>
      <c r="V5" s="531" cm="1">
        <f t="array" ref="V5">AVERAGE(_xlfn._xlws.FILTER(PTS!Z:Z, (PTS!$C:$C=A5) * ISNUMBER(PTS!Z:Z)))</f>
        <v>26.25</v>
      </c>
      <c r="X5" s="531">
        <f t="shared" si="4"/>
        <v>115.05000000000001</v>
      </c>
      <c r="Y5" s="531" cm="1">
        <f t="array" ref="Y5">AVERAGE(_xlfn._xlws.FILTER(PTS!AC:AC, (PTS!$C:$C=A5) * ISNUMBER(PTS!AC:AC)))</f>
        <v>142.75568181818181</v>
      </c>
      <c r="Z5" s="531" cm="1">
        <f t="array" ref="Z5">AVERAGE(_xlfn._xlws.FILTER(PTS!AD:AD, (PTS!$C:$C=A5) * ISNUMBER(PTS!AD:AD)))</f>
        <v>186.53409090909093</v>
      </c>
      <c r="AB5" s="531">
        <f t="shared" si="5"/>
        <v>329.28977272727275</v>
      </c>
      <c r="AC5" s="10" cm="1">
        <f t="array" ref="AC5">AVERAGE(_xlfn._xlws.FILTER(PTS!AG:AG, (PTS!$C:$C=A5) * ISNUMBER(PTS!AG:AG)))</f>
        <v>28.814300000000003</v>
      </c>
      <c r="AD5" s="531" cm="1">
        <f t="array" ref="AD5">AVERAGE(_xlfn._xlws.FILTER(PTS!AH:AH, (PTS!$C:$C=A5) * ISNUMBER(PTS!AH:AH)))</f>
        <v>6.973140495867769</v>
      </c>
      <c r="AE5" s="531" cm="1">
        <f t="array" ref="AE5">AVERAGE(_xlfn._xlws.FILTER(PTS!AI:AI, (PTS!$C:$C=A5) * ISNUMBER(PTS!AI:AI)))</f>
        <v>12.587317427197677</v>
      </c>
      <c r="AF5" s="531" cm="1">
        <f t="array" ref="AF5">AVERAGE(_xlfn._xlws.FILTER(PTS!AJ:AJ, (PTS!$C:$C=A5) * ISNUMBER(PTS!AJ:AJ)))</f>
        <v>6.7351999999999999</v>
      </c>
      <c r="AH5" s="531">
        <f t="shared" si="6"/>
        <v>55.109957923065444</v>
      </c>
      <c r="AI5" s="10" cm="1">
        <f t="array" ref="AI5">AVERAGE(_xlfn._xlws.FILTER(PTS!AM:AM, (PTS!$C:$C=A5) * ISNUMBER(PTS!AM:AM)))</f>
        <v>79.999999999999986</v>
      </c>
      <c r="AJ5" s="10" cm="1">
        <f t="array" ref="AJ5">AVERAGE(_xlfn._xlws.FILTER(PTS!AN:AN, (PTS!$C:$C=A5) * ISNUMBER(PTS!AN:AN)))</f>
        <v>26.17808219178082</v>
      </c>
      <c r="AK5" s="10" cm="1">
        <f t="array" ref="AK5">AVERAGE(_xlfn._xlws.FILTER(PTS!AO:AO, (PTS!$C:$C=A5) * ISNUMBER(PTS!AO:AO)))</f>
        <v>0</v>
      </c>
      <c r="AN5" s="10">
        <f t="shared" si="7"/>
        <v>106.1780821917808</v>
      </c>
      <c r="AR5" s="531">
        <f t="shared" si="8"/>
        <v>1011.5842522360584</v>
      </c>
      <c r="AS5" s="531">
        <f t="shared" si="9"/>
        <v>1475.5842522360583</v>
      </c>
    </row>
    <row r="6" spans="1:45">
      <c r="A6" s="32" t="s">
        <v>644</v>
      </c>
      <c r="B6" s="319" t="s">
        <v>71</v>
      </c>
      <c r="C6" s="319" t="str">
        <f t="shared" si="0"/>
        <v>PortlandTX</v>
      </c>
      <c r="D6" s="10">
        <f>VLOOKUP(A:A,PTS!C:R,6,FALSE)</f>
        <v>1</v>
      </c>
      <c r="E6" s="531" cm="1">
        <f t="array" ref="E6">AVERAGE(_xlfn._xlws.FILTER(PTS!I:I, (PTS!$C:$C=A6) * ISNUMBER(PTS!I:I)))</f>
        <v>99</v>
      </c>
      <c r="F6" s="10" cm="1">
        <f t="array" ref="F6">AVERAGE(_xlfn._xlws.FILTER(PTS!J:J, (PTS!$C:$C=A6) * ISNUMBER(PTS!J:J)))</f>
        <v>230</v>
      </c>
      <c r="G6" s="531" cm="1">
        <f t="array" ref="G6">AVERAGE(_xlfn._xlws.FILTER(PTS!K:K, (PTS!$C:$C=A6) * ISNUMBER(PTS!K:K)))</f>
        <v>135</v>
      </c>
      <c r="H6" s="531" cm="1">
        <f t="array" ref="H6">AVERAGE(_xlfn._xlws.FILTER(PTS!L:L, (PTS!$C:$C=A6) * ISNUMBER(PTS!L:L)))</f>
        <v>0</v>
      </c>
      <c r="I6" s="531" cm="1">
        <f t="array" ref="I6">AVERAGE(_xlfn._xlws.FILTER(PTS!M:M, (PTS!$C:$C=A6) * ISNUMBER(PTS!M:M)))</f>
        <v>0</v>
      </c>
      <c r="J6" s="531" cm="1">
        <f t="array" ref="J6">AVERAGE(_xlfn._xlws.FILTER(PTS!N:N, (PTS!$C:$C=A6) * ISNUMBER(PTS!N:N)))</f>
        <v>70</v>
      </c>
      <c r="K6" s="531" cm="1">
        <f t="array" ref="K6">AVERAGE(_xlfn._xlws.FILTER(PTS!O:O, (PTS!$C:$C=A6) * ISNUMBER(PTS!O:O)))</f>
        <v>37.916666666666671</v>
      </c>
      <c r="L6" s="10" cm="1">
        <f t="array" ref="L6">AVERAGE(_xlfn._xlws.FILTER(PTS!P:P, (PTS!$C:$C=A6) * ISNUMBER(PTS!P:P)))</f>
        <v>0</v>
      </c>
      <c r="M6" s="531">
        <f t="shared" si="1"/>
        <v>571.91666666666663</v>
      </c>
      <c r="N6" s="531">
        <f t="shared" si="2"/>
        <v>107.91666666666667</v>
      </c>
      <c r="O6" s="531" cm="1">
        <f t="array" ref="O6">AVERAGE(_xlfn._xlws.FILTER(PTS!S:S, (PTS!$C:$C=A6) * ISNUMBER(PTS!S:S)))</f>
        <v>5</v>
      </c>
      <c r="P6" s="531" cm="1">
        <f t="array" ref="P6">AVERAGE(_xlfn._xlws.FILTER(PTS!T:T, (PTS!$C:$C=A6) * ISNUMBER(PTS!T:T)))</f>
        <v>0</v>
      </c>
      <c r="Q6" s="531" cm="1">
        <f t="array" ref="Q6">AVERAGE(_xlfn._xlws.FILTER(PTS!U:U, (PTS!$C:$C=A6) * ISNUMBER(PTS!U:U)))</f>
        <v>293.03977272727275</v>
      </c>
      <c r="S6" s="531">
        <f t="shared" si="3"/>
        <v>298.03977272727275</v>
      </c>
      <c r="T6" s="531" cm="1">
        <f t="array" ref="T6">AVERAGE(_xlfn._xlws.FILTER(PTS!X:X, (PTS!$C:$C=A6) * ISNUMBER(PTS!X:X)))</f>
        <v>51</v>
      </c>
      <c r="U6" s="531" cm="1">
        <f t="array" ref="U6">AVERAGE(_xlfn._xlws.FILTER(PTS!Y:Y, (PTS!$C:$C=A6) * ISNUMBER(PTS!Y:Y)))</f>
        <v>37.800000000000004</v>
      </c>
      <c r="V6" s="531" cm="1">
        <f t="array" ref="V6">AVERAGE(_xlfn._xlws.FILTER(PTS!Z:Z, (PTS!$C:$C=A6) * ISNUMBER(PTS!Z:Z)))</f>
        <v>26.25</v>
      </c>
      <c r="X6" s="531">
        <f t="shared" si="4"/>
        <v>115.05000000000001</v>
      </c>
      <c r="Y6" s="531" cm="1">
        <f t="array" ref="Y6">AVERAGE(_xlfn._xlws.FILTER(PTS!AC:AC, (PTS!$C:$C=A6) * ISNUMBER(PTS!AC:AC)))</f>
        <v>142.75568181818181</v>
      </c>
      <c r="Z6" s="531" cm="1">
        <f t="array" ref="Z6">AVERAGE(_xlfn._xlws.FILTER(PTS!AD:AD, (PTS!$C:$C=A6) * ISNUMBER(PTS!AD:AD)))</f>
        <v>186.53409090909093</v>
      </c>
      <c r="AB6" s="531">
        <f t="shared" si="5"/>
        <v>329.28977272727275</v>
      </c>
      <c r="AC6" s="10" cm="1">
        <f t="array" ref="AC6">AVERAGE(_xlfn._xlws.FILTER(PTS!AG:AG, (PTS!$C:$C=A6) * ISNUMBER(PTS!AG:AG)))</f>
        <v>28.814300000000003</v>
      </c>
      <c r="AD6" s="531" cm="1">
        <f t="array" ref="AD6">AVERAGE(_xlfn._xlws.FILTER(PTS!AH:AH, (PTS!$C:$C=A6) * ISNUMBER(PTS!AH:AH)))</f>
        <v>6.973140495867769</v>
      </c>
      <c r="AE6" s="531" cm="1">
        <f t="array" ref="AE6">AVERAGE(_xlfn._xlws.FILTER(PTS!AI:AI, (PTS!$C:$C=A6) * ISNUMBER(PTS!AI:AI)))</f>
        <v>12.587317427197677</v>
      </c>
      <c r="AF6" s="531" cm="1">
        <f t="array" ref="AF6">AVERAGE(_xlfn._xlws.FILTER(PTS!AJ:AJ, (PTS!$C:$C=A6) * ISNUMBER(PTS!AJ:AJ)))</f>
        <v>6.7351999999999999</v>
      </c>
      <c r="AH6" s="531">
        <f t="shared" si="6"/>
        <v>55.109957923065444</v>
      </c>
      <c r="AI6" s="10" cm="1">
        <f t="array" ref="AI6">AVERAGE(_xlfn._xlws.FILTER(PTS!AM:AM, (PTS!$C:$C=A6) * ISNUMBER(PTS!AM:AM)))</f>
        <v>79.999999999999986</v>
      </c>
      <c r="AJ6" s="10" cm="1">
        <f t="array" ref="AJ6">AVERAGE(_xlfn._xlws.FILTER(PTS!AN:AN, (PTS!$C:$C=A6) * ISNUMBER(PTS!AN:AN)))</f>
        <v>26.17808219178082</v>
      </c>
      <c r="AK6" s="10" cm="1">
        <f t="array" ref="AK6">AVERAGE(_xlfn._xlws.FILTER(PTS!AO:AO, (PTS!$C:$C=A6) * ISNUMBER(PTS!AO:AO)))</f>
        <v>0</v>
      </c>
      <c r="AN6" s="10">
        <f t="shared" si="7"/>
        <v>106.1780821917808</v>
      </c>
      <c r="AR6" s="531">
        <f t="shared" si="8"/>
        <v>1011.5842522360584</v>
      </c>
      <c r="AS6" s="531">
        <f t="shared" si="9"/>
        <v>1475.5842522360583</v>
      </c>
    </row>
    <row r="7" spans="1:45">
      <c r="A7" s="32" t="s">
        <v>64</v>
      </c>
      <c r="B7" s="319" t="s">
        <v>65</v>
      </c>
      <c r="C7" s="319" t="str">
        <f t="shared" si="0"/>
        <v>AbbevilleAL</v>
      </c>
      <c r="D7" s="10">
        <f>VLOOKUP(A:A,PTS!C:R,6,FALSE)</f>
        <v>1</v>
      </c>
      <c r="E7" s="10" cm="1">
        <f t="array" ref="E7">AVERAGE(_xlfn._xlws.FILTER(PTS!I:I, (PTS!$C:$C=A7) * ISNUMBER(PTS!I:I)))</f>
        <v>0</v>
      </c>
      <c r="F7" s="10" cm="1">
        <f t="array" ref="F7">AVERAGE(_xlfn._xlws.FILTER(PTS!J:J, (PTS!$C:$C=A7) * ISNUMBER(PTS!J:J)))</f>
        <v>140</v>
      </c>
      <c r="G7" s="531" cm="1">
        <f t="array" ref="G7">AVERAGE(_xlfn._xlws.FILTER(PTS!K:K, (PTS!$C:$C=A7) * ISNUMBER(PTS!K:K)))</f>
        <v>0</v>
      </c>
      <c r="H7" s="531" cm="1">
        <f t="array" ref="H7">AVERAGE(_xlfn._xlws.FILTER(PTS!L:L, (PTS!$C:$C=A7) * ISNUMBER(PTS!L:L)))</f>
        <v>0</v>
      </c>
      <c r="I7" s="531" cm="1">
        <f t="array" ref="I7">AVERAGE(_xlfn._xlws.FILTER(PTS!M:M, (PTS!$C:$C=A7) * ISNUMBER(PTS!M:M)))</f>
        <v>10</v>
      </c>
      <c r="J7" s="531" cm="1">
        <f t="array" ref="J7">AVERAGE(_xlfn._xlws.FILTER(PTS!N:N, (PTS!$C:$C=A7) * ISNUMBER(PTS!N:N)))</f>
        <v>70</v>
      </c>
      <c r="K7" s="531" cm="1">
        <f t="array" ref="K7">AVERAGE(_xlfn._xlws.FILTER(PTS!O:O, (PTS!$C:$C=A7) * ISNUMBER(PTS!O:O)))</f>
        <v>37.916666666666671</v>
      </c>
      <c r="L7" s="10" cm="1">
        <f t="array" ref="L7">AVERAGE(_xlfn._xlws.FILTER(PTS!P:P, (PTS!$C:$C=A7) * ISNUMBER(PTS!P:P)))</f>
        <v>0</v>
      </c>
      <c r="M7" s="531">
        <f t="shared" si="1"/>
        <v>257.91666666666669</v>
      </c>
      <c r="N7" s="531">
        <f t="shared" si="2"/>
        <v>107.91666666666667</v>
      </c>
      <c r="O7" s="531" cm="1">
        <f t="array" ref="O7">AVERAGE(_xlfn._xlws.FILTER(PTS!S:S, (PTS!$C:$C=A7) * ISNUMBER(PTS!S:S)))</f>
        <v>0</v>
      </c>
      <c r="P7" s="531" cm="1">
        <f t="array" ref="P7">AVERAGE(_xlfn._xlws.FILTER(PTS!T:T, (PTS!$C:$C=A7) * ISNUMBER(PTS!T:T)))</f>
        <v>0</v>
      </c>
      <c r="Q7" s="531" cm="1">
        <f t="array" ref="Q7">AVERAGE(_xlfn._xlws.FILTER(PTS!U:U, (PTS!$C:$C=A7) * ISNUMBER(PTS!U:U)))</f>
        <v>271.8931818181818</v>
      </c>
      <c r="S7" s="531">
        <f t="shared" si="3"/>
        <v>271.8931818181818</v>
      </c>
      <c r="T7" s="531" cm="1">
        <f t="array" ref="T7">AVERAGE(_xlfn._xlws.FILTER(PTS!X:X, (PTS!$C:$C=A7) * ISNUMBER(PTS!X:X)))</f>
        <v>52</v>
      </c>
      <c r="U7" s="531" cm="1">
        <f t="array" ref="U7">AVERAGE(_xlfn._xlws.FILTER(PTS!Y:Y, (PTS!$C:$C=A7) * ISNUMBER(PTS!Y:Y)))</f>
        <v>50.4</v>
      </c>
      <c r="V7" s="531" cm="1">
        <f t="array" ref="V7">AVERAGE(_xlfn._xlws.FILTER(PTS!Z:Z, (PTS!$C:$C=A7) * ISNUMBER(PTS!Z:Z)))</f>
        <v>26.25</v>
      </c>
      <c r="X7" s="531">
        <f t="shared" si="4"/>
        <v>128.65</v>
      </c>
      <c r="Y7" s="531" cm="1">
        <f t="array" ref="Y7">AVERAGE(_xlfn._xlws.FILTER(PTS!AC:AC, (PTS!$C:$C=A7) * ISNUMBER(PTS!AC:AC)))</f>
        <v>110.22727272727273</v>
      </c>
      <c r="Z7" s="531" cm="1">
        <f t="array" ref="Z7">AVERAGE(_xlfn._xlws.FILTER(PTS!AD:AD, (PTS!$C:$C=A7) * ISNUMBER(PTS!AD:AD)))</f>
        <v>107.04545454545455</v>
      </c>
      <c r="AB7" s="531">
        <f t="shared" si="5"/>
        <v>217.27272727272728</v>
      </c>
      <c r="AC7" s="10" cm="1">
        <f t="array" ref="AC7">AVERAGE(_xlfn._xlws.FILTER(PTS!AG:AG, (PTS!$C:$C=A7) * ISNUMBER(PTS!AG:AG)))</f>
        <v>28.814300000000003</v>
      </c>
      <c r="AD7" s="531" cm="1">
        <f t="array" ref="AD7">AVERAGE(_xlfn._xlws.FILTER(PTS!AH:AH, (PTS!$C:$C=A7) * ISNUMBER(PTS!AH:AH)))</f>
        <v>6.973140495867769</v>
      </c>
      <c r="AE7" s="531" cm="1">
        <f t="array" ref="AE7">AVERAGE(_xlfn._xlws.FILTER(PTS!AI:AI, (PTS!$C:$C=A7) * ISNUMBER(PTS!AI:AI)))</f>
        <v>12.587317427197677</v>
      </c>
      <c r="AF7" s="531" cm="1">
        <f t="array" ref="AF7">AVERAGE(_xlfn._xlws.FILTER(PTS!AJ:AJ, (PTS!$C:$C=A7) * ISNUMBER(PTS!AJ:AJ)))</f>
        <v>6.7351999999999999</v>
      </c>
      <c r="AH7" s="531">
        <f t="shared" si="6"/>
        <v>55.109957923065444</v>
      </c>
      <c r="AI7" s="10" cm="1">
        <f t="array" ref="AI7">AVERAGE(_xlfn._xlws.FILTER(PTS!AM:AM, (PTS!$C:$C=A7) * ISNUMBER(PTS!AM:AM)))</f>
        <v>79.999999999999986</v>
      </c>
      <c r="AJ7" s="10" cm="1">
        <f t="array" ref="AJ7">AVERAGE(_xlfn._xlws.FILTER(PTS!AN:AN, (PTS!$C:$C=A7) * ISNUMBER(PTS!AN:AN)))</f>
        <v>26.17808219178082</v>
      </c>
      <c r="AK7" s="10" cm="1">
        <f t="array" ref="AK7">AVERAGE(_xlfn._xlws.FILTER(PTS!AO:AO, (PTS!$C:$C=A7) * ISNUMBER(PTS!AO:AO)))</f>
        <v>0</v>
      </c>
      <c r="AN7" s="10">
        <f t="shared" si="7"/>
        <v>106.1780821917808</v>
      </c>
      <c r="AR7" s="531">
        <f t="shared" si="8"/>
        <v>887.02061587242201</v>
      </c>
      <c r="AS7" s="531">
        <f t="shared" si="9"/>
        <v>1037.020615872422</v>
      </c>
    </row>
    <row r="8" spans="1:45">
      <c r="A8" s="32" t="s">
        <v>500</v>
      </c>
      <c r="B8" s="319" t="s">
        <v>71</v>
      </c>
      <c r="C8" s="319" t="str">
        <f t="shared" si="0"/>
        <v>LubbockTX</v>
      </c>
      <c r="D8" s="10">
        <f>VLOOKUP(A:A,PTS!C:R,6,FALSE)</f>
        <v>2</v>
      </c>
      <c r="E8" s="531" cm="1">
        <f t="array" ref="E8">AVERAGE(_xlfn._xlws.FILTER(PTS!I:I, (PTS!$C:$C=A8) * ISNUMBER(PTS!I:I)))</f>
        <v>87.428571428571431</v>
      </c>
      <c r="F8" s="10" cm="1">
        <f t="array" ref="F8">AVERAGE(_xlfn._xlws.FILTER(PTS!J:J, (PTS!$C:$C=A8) * ISNUMBER(PTS!J:J)))</f>
        <v>112</v>
      </c>
      <c r="G8" s="531" cm="1">
        <f t="array" ref="G8">AVERAGE(_xlfn._xlws.FILTER(PTS!K:K, (PTS!$C:$C=A8) * ISNUMBER(PTS!K:K)))</f>
        <v>220.71428571428572</v>
      </c>
      <c r="H8" s="531" cm="1">
        <f t="array" ref="H8">AVERAGE(_xlfn._xlws.FILTER(PTS!L:L, (PTS!$C:$C=A8) * ISNUMBER(PTS!L:L)))</f>
        <v>0</v>
      </c>
      <c r="I8" s="531" cm="1">
        <f t="array" ref="I8">AVERAGE(_xlfn._xlws.FILTER(PTS!M:M, (PTS!$C:$C=A8) * ISNUMBER(PTS!M:M)))</f>
        <v>4.2857142857142856</v>
      </c>
      <c r="J8" s="531" cm="1">
        <f t="array" ref="J8">AVERAGE(_xlfn._xlws.FILTER(PTS!N:N, (PTS!$C:$C=A8) * ISNUMBER(PTS!N:N)))</f>
        <v>45.857142857142854</v>
      </c>
      <c r="K8" s="531" cm="1">
        <f t="array" ref="K8">AVERAGE(_xlfn._xlws.FILTER(PTS!O:O, (PTS!$C:$C=A8) * ISNUMBER(PTS!O:O)))</f>
        <v>37.916666666666679</v>
      </c>
      <c r="L8" s="10" cm="1">
        <f t="array" ref="L8">AVERAGE(_xlfn._xlws.FILTER(PTS!P:P, (PTS!$C:$C=A8) * ISNUMBER(PTS!P:P)))</f>
        <v>0</v>
      </c>
      <c r="M8" s="531">
        <f t="shared" si="1"/>
        <v>508.20238095238096</v>
      </c>
      <c r="N8" s="531">
        <f t="shared" si="2"/>
        <v>304.48809523809524</v>
      </c>
      <c r="O8" s="531" cm="1">
        <f t="array" ref="O8">AVERAGE(_xlfn._xlws.FILTER(PTS!S:S, (PTS!$C:$C=A8) * ISNUMBER(PTS!S:S)))</f>
        <v>14.285714285714286</v>
      </c>
      <c r="P8" s="531" cm="1">
        <f t="array" ref="P8">AVERAGE(_xlfn._xlws.FILTER(PTS!T:T, (PTS!$C:$C=A8) * ISNUMBER(PTS!T:T)))</f>
        <v>3.5714285714285716</v>
      </c>
      <c r="Q8" s="531" cm="1">
        <f t="array" ref="Q8">AVERAGE(_xlfn._xlws.FILTER(PTS!U:U, (PTS!$C:$C=A8) * ISNUMBER(PTS!U:U)))</f>
        <v>226.1363636363636</v>
      </c>
      <c r="S8" s="531">
        <f t="shared" si="3"/>
        <v>243.99350649350646</v>
      </c>
      <c r="T8" s="531" cm="1">
        <f t="array" ref="T8">AVERAGE(_xlfn._xlws.FILTER(PTS!X:X, (PTS!$C:$C=A8) * ISNUMBER(PTS!X:X)))</f>
        <v>54</v>
      </c>
      <c r="U8" s="531" cm="1">
        <f t="array" ref="U8">AVERAGE(_xlfn._xlws.FILTER(PTS!Y:Y, (PTS!$C:$C=A8) * ISNUMBER(PTS!Y:Y)))</f>
        <v>50.399999999999984</v>
      </c>
      <c r="V8" s="531" cm="1">
        <f t="array" ref="V8">AVERAGE(_xlfn._xlws.FILTER(PTS!Z:Z, (PTS!$C:$C=A8) * ISNUMBER(PTS!Z:Z)))</f>
        <v>26.25</v>
      </c>
      <c r="X8" s="531">
        <f t="shared" si="4"/>
        <v>130.64999999999998</v>
      </c>
      <c r="Y8" s="531" cm="1">
        <f t="array" ref="Y8">AVERAGE(_xlfn._xlws.FILTER(PTS!AC:AC, (PTS!$C:$C=A8) * ISNUMBER(PTS!AC:AC)))</f>
        <v>147.72727272727272</v>
      </c>
      <c r="Z8" s="531" cm="1">
        <f t="array" ref="Z8">AVERAGE(_xlfn._xlws.FILTER(PTS!AD:AD, (PTS!$C:$C=A8) * ISNUMBER(PTS!AD:AD)))</f>
        <v>233.06818181818181</v>
      </c>
      <c r="AB8" s="531">
        <f t="shared" si="5"/>
        <v>380.7954545454545</v>
      </c>
      <c r="AC8" s="10" cm="1">
        <f t="array" ref="AC8">AVERAGE(_xlfn._xlws.FILTER(PTS!AG:AG, (PTS!$C:$C=A8) * ISNUMBER(PTS!AG:AG)))</f>
        <v>28.814300000000003</v>
      </c>
      <c r="AD8" s="531" cm="1">
        <f t="array" ref="AD8">AVERAGE(_xlfn._xlws.FILTER(PTS!AH:AH, (PTS!$C:$C=A8) * ISNUMBER(PTS!AH:AH)))</f>
        <v>6.9731404958677681</v>
      </c>
      <c r="AE8" s="531" cm="1">
        <f t="array" ref="AE8">AVERAGE(_xlfn._xlws.FILTER(PTS!AI:AI, (PTS!$C:$C=A8) * ISNUMBER(PTS!AI:AI)))</f>
        <v>12.587317427197679</v>
      </c>
      <c r="AF8" s="531" cm="1">
        <f t="array" ref="AF8">AVERAGE(_xlfn._xlws.FILTER(PTS!AJ:AJ, (PTS!$C:$C=A8) * ISNUMBER(PTS!AJ:AJ)))</f>
        <v>6.7352000000000016</v>
      </c>
      <c r="AH8" s="531">
        <f t="shared" si="6"/>
        <v>55.109957923065444</v>
      </c>
      <c r="AI8" s="10" cm="1">
        <f t="array" ref="AI8">AVERAGE(_xlfn._xlws.FILTER(PTS!AM:AM, (PTS!$C:$C=A8) * ISNUMBER(PTS!AM:AM)))</f>
        <v>79.999999999999986</v>
      </c>
      <c r="AJ8" s="10" cm="1">
        <f t="array" ref="AJ8">AVERAGE(_xlfn._xlws.FILTER(PTS!AN:AN, (PTS!$C:$C=A8) * ISNUMBER(PTS!AN:AN)))</f>
        <v>26.178082191780828</v>
      </c>
      <c r="AK8" s="10" cm="1">
        <f t="array" ref="AK8">AVERAGE(_xlfn._xlws.FILTER(PTS!AO:AO, (PTS!$C:$C=A8) * ISNUMBER(PTS!AO:AO)))</f>
        <v>0</v>
      </c>
      <c r="AN8" s="10">
        <f t="shared" si="7"/>
        <v>106.17808219178082</v>
      </c>
      <c r="AR8" s="531">
        <f t="shared" si="8"/>
        <v>1221.2150963919023</v>
      </c>
      <c r="AS8" s="531">
        <f t="shared" si="9"/>
        <v>1424.9293821061881</v>
      </c>
    </row>
    <row r="9" spans="1:45">
      <c r="A9" s="32" t="s">
        <v>70</v>
      </c>
      <c r="B9" s="319" t="s">
        <v>71</v>
      </c>
      <c r="C9" s="319" t="str">
        <f t="shared" si="0"/>
        <v>AbernathyTX</v>
      </c>
      <c r="D9" s="10">
        <f>VLOOKUP(A:A,PTS!C:R,6,FALSE)</f>
        <v>2</v>
      </c>
      <c r="E9" s="531" cm="1">
        <f t="array" ref="E9">AVERAGE(_xlfn._xlws.FILTER(PTS!I:I, (PTS!$C:$C=A9) * ISNUMBER(PTS!I:I)))</f>
        <v>95</v>
      </c>
      <c r="F9" s="10" cm="1">
        <f t="array" ref="F9">AVERAGE(_xlfn._xlws.FILTER(PTS!J:J, (PTS!$C:$C=A9) * ISNUMBER(PTS!J:J)))</f>
        <v>120</v>
      </c>
      <c r="G9" s="531" cm="1">
        <f t="array" ref="G9">AVERAGE(_xlfn._xlws.FILTER(PTS!K:K, (PTS!$C:$C=A9) * ISNUMBER(PTS!K:K)))</f>
        <v>200</v>
      </c>
      <c r="H9" s="531" cm="1">
        <f t="array" ref="H9">AVERAGE(_xlfn._xlws.FILTER(PTS!L:L, (PTS!$C:$C=A9) * ISNUMBER(PTS!L:L)))</f>
        <v>0</v>
      </c>
      <c r="I9" s="531" cm="1">
        <f t="array" ref="I9">AVERAGE(_xlfn._xlws.FILTER(PTS!M:M, (PTS!$C:$C=A9) * ISNUMBER(PTS!M:M)))</f>
        <v>0</v>
      </c>
      <c r="J9" s="531" cm="1">
        <f t="array" ref="J9">AVERAGE(_xlfn._xlws.FILTER(PTS!N:N, (PTS!$C:$C=A9) * ISNUMBER(PTS!N:N)))</f>
        <v>50</v>
      </c>
      <c r="K9" s="531" cm="1">
        <f t="array" ref="K9">AVERAGE(_xlfn._xlws.FILTER(PTS!O:O, (PTS!$C:$C=A9) * ISNUMBER(PTS!O:O)))</f>
        <v>37.916666666666671</v>
      </c>
      <c r="L9" s="10" cm="1">
        <f t="array" ref="L9">AVERAGE(_xlfn._xlws.FILTER(PTS!P:P, (PTS!$C:$C=A9) * ISNUMBER(PTS!P:P)))</f>
        <v>0</v>
      </c>
      <c r="M9" s="531">
        <f t="shared" si="1"/>
        <v>502.91666666666669</v>
      </c>
      <c r="N9" s="531">
        <f t="shared" si="2"/>
        <v>287.91666666666669</v>
      </c>
      <c r="O9" s="531" cm="1">
        <f t="array" ref="O9">AVERAGE(_xlfn._xlws.FILTER(PTS!S:S, (PTS!$C:$C=A9) * ISNUMBER(PTS!S:S)))</f>
        <v>0</v>
      </c>
      <c r="P9" s="531" cm="1">
        <f t="array" ref="P9">AVERAGE(_xlfn._xlws.FILTER(PTS!T:T, (PTS!$C:$C=A9) * ISNUMBER(PTS!T:T)))</f>
        <v>0</v>
      </c>
      <c r="Q9" s="531" cm="1">
        <f t="array" ref="Q9">AVERAGE(_xlfn._xlws.FILTER(PTS!U:U, (PTS!$C:$C=A9) * ISNUMBER(PTS!U:U)))</f>
        <v>248.29545454545456</v>
      </c>
      <c r="S9" s="531">
        <f t="shared" si="3"/>
        <v>248.29545454545456</v>
      </c>
      <c r="T9" s="531" cm="1">
        <f t="array" ref="T9">AVERAGE(_xlfn._xlws.FILTER(PTS!X:X, (PTS!$C:$C=A9) * ISNUMBER(PTS!X:X)))</f>
        <v>54</v>
      </c>
      <c r="U9" s="531" cm="1">
        <f t="array" ref="U9">AVERAGE(_xlfn._xlws.FILTER(PTS!Y:Y, (PTS!$C:$C=A9) * ISNUMBER(PTS!Y:Y)))</f>
        <v>50.4</v>
      </c>
      <c r="V9" s="531" cm="1">
        <f t="array" ref="V9">AVERAGE(_xlfn._xlws.FILTER(PTS!Z:Z, (PTS!$C:$C=A9) * ISNUMBER(PTS!Z:Z)))</f>
        <v>26.25</v>
      </c>
      <c r="X9" s="531">
        <f t="shared" si="4"/>
        <v>130.65</v>
      </c>
      <c r="Y9" s="531" cm="1">
        <f t="array" ref="Y9">AVERAGE(_xlfn._xlws.FILTER(PTS!AC:AC, (PTS!$C:$C=A9) * ISNUMBER(PTS!AC:AC)))</f>
        <v>147.72727272727272</v>
      </c>
      <c r="Z9" s="531" cm="1">
        <f t="array" ref="Z9">AVERAGE(_xlfn._xlws.FILTER(PTS!AD:AD, (PTS!$C:$C=A9) * ISNUMBER(PTS!AD:AD)))</f>
        <v>233.06818181818181</v>
      </c>
      <c r="AB9" s="531">
        <f t="shared" si="5"/>
        <v>380.7954545454545</v>
      </c>
      <c r="AC9" s="10" cm="1">
        <f t="array" ref="AC9">AVERAGE(_xlfn._xlws.FILTER(PTS!AG:AG, (PTS!$C:$C=A9) * ISNUMBER(PTS!AG:AG)))</f>
        <v>28.814300000000003</v>
      </c>
      <c r="AD9" s="531" cm="1">
        <f t="array" ref="AD9">AVERAGE(_xlfn._xlws.FILTER(PTS!AH:AH, (PTS!$C:$C=A9) * ISNUMBER(PTS!AH:AH)))</f>
        <v>6.973140495867769</v>
      </c>
      <c r="AE9" s="531" cm="1">
        <f t="array" ref="AE9">AVERAGE(_xlfn._xlws.FILTER(PTS!AI:AI, (PTS!$C:$C=A9) * ISNUMBER(PTS!AI:AI)))</f>
        <v>12.587317427197677</v>
      </c>
      <c r="AF9" s="531" cm="1">
        <f t="array" ref="AF9">AVERAGE(_xlfn._xlws.FILTER(PTS!AJ:AJ, (PTS!$C:$C=A9) * ISNUMBER(PTS!AJ:AJ)))</f>
        <v>6.7351999999999999</v>
      </c>
      <c r="AH9" s="531">
        <f t="shared" si="6"/>
        <v>55.109957923065444</v>
      </c>
      <c r="AI9" s="10" cm="1">
        <f t="array" ref="AI9">AVERAGE(_xlfn._xlws.FILTER(PTS!AM:AM, (PTS!$C:$C=A9) * ISNUMBER(PTS!AM:AM)))</f>
        <v>79.999999999999986</v>
      </c>
      <c r="AJ9" s="10" cm="1">
        <f t="array" ref="AJ9">AVERAGE(_xlfn._xlws.FILTER(PTS!AN:AN, (PTS!$C:$C=A9) * ISNUMBER(PTS!AN:AN)))</f>
        <v>26.17808219178082</v>
      </c>
      <c r="AK9" s="10" cm="1">
        <f t="array" ref="AK9">AVERAGE(_xlfn._xlws.FILTER(PTS!AO:AO, (PTS!$C:$C=A9) * ISNUMBER(PTS!AO:AO)))</f>
        <v>0</v>
      </c>
      <c r="AN9" s="10">
        <f t="shared" si="7"/>
        <v>106.1780821917808</v>
      </c>
      <c r="AR9" s="531">
        <f t="shared" si="8"/>
        <v>1208.9456158724217</v>
      </c>
      <c r="AS9" s="531">
        <f t="shared" si="9"/>
        <v>1423.9456158724217</v>
      </c>
    </row>
    <row r="10" spans="1:45">
      <c r="A10" s="32" t="s">
        <v>75</v>
      </c>
      <c r="B10" s="319" t="s">
        <v>76</v>
      </c>
      <c r="C10" s="319" t="str">
        <f t="shared" si="0"/>
        <v>AlbanyGA</v>
      </c>
      <c r="D10" s="10">
        <f>VLOOKUP(A:A,PTS!C:R,6,FALSE)</f>
        <v>4</v>
      </c>
      <c r="E10" s="531" cm="1">
        <f t="array" ref="E10">AVERAGE(_xlfn._xlws.FILTER(PTS!I:I, (PTS!$C:$C=A10) * ISNUMBER(PTS!I:I)))</f>
        <v>70</v>
      </c>
      <c r="F10" s="10" cm="1">
        <f t="array" ref="F10">AVERAGE(_xlfn._xlws.FILTER(PTS!J:J, (PTS!$C:$C=A10) * ISNUMBER(PTS!J:J)))</f>
        <v>130</v>
      </c>
      <c r="G10" s="531" cm="1">
        <f t="array" ref="G10">AVERAGE(_xlfn._xlws.FILTER(PTS!K:K, (PTS!$C:$C=A10) * ISNUMBER(PTS!K:K)))</f>
        <v>0</v>
      </c>
      <c r="H10" s="531" cm="1">
        <f t="array" ref="H10">AVERAGE(_xlfn._xlws.FILTER(PTS!L:L, (PTS!$C:$C=A10) * ISNUMBER(PTS!L:L)))</f>
        <v>0</v>
      </c>
      <c r="I10" s="531" cm="1">
        <f t="array" ref="I10">AVERAGE(_xlfn._xlws.FILTER(PTS!M:M, (PTS!$C:$C=A10) * ISNUMBER(PTS!M:M)))</f>
        <v>0</v>
      </c>
      <c r="J10" s="531" cm="1">
        <f t="array" ref="J10">AVERAGE(_xlfn._xlws.FILTER(PTS!N:N, (PTS!$C:$C=A10) * ISNUMBER(PTS!N:N)))</f>
        <v>55</v>
      </c>
      <c r="K10" s="531" cm="1">
        <f t="array" ref="K10">AVERAGE(_xlfn._xlws.FILTER(PTS!O:O, (PTS!$C:$C=A10) * ISNUMBER(PTS!O:O)))</f>
        <v>37.916666666666671</v>
      </c>
      <c r="L10" s="10" cm="1">
        <f t="array" ref="L10">AVERAGE(_xlfn._xlws.FILTER(PTS!P:P, (PTS!$C:$C=A10) * ISNUMBER(PTS!P:P)))</f>
        <v>0</v>
      </c>
      <c r="M10" s="531">
        <f t="shared" si="1"/>
        <v>292.91666666666669</v>
      </c>
      <c r="N10" s="531">
        <f t="shared" si="2"/>
        <v>37.916666666666671</v>
      </c>
      <c r="O10" s="531" cm="1">
        <f t="array" ref="O10">AVERAGE(_xlfn._xlws.FILTER(PTS!S:S, (PTS!$C:$C=A10) * ISNUMBER(PTS!S:S)))</f>
        <v>0</v>
      </c>
      <c r="P10" s="531" cm="1">
        <f t="array" ref="P10">AVERAGE(_xlfn._xlws.FILTER(PTS!T:T, (PTS!$C:$C=A10) * ISNUMBER(PTS!T:T)))</f>
        <v>0</v>
      </c>
      <c r="Q10" s="531" cm="1">
        <f t="array" ref="Q10">AVERAGE(_xlfn._xlws.FILTER(PTS!U:U, (PTS!$C:$C=A10) * ISNUMBER(PTS!U:U)))</f>
        <v>227.66363636363636</v>
      </c>
      <c r="S10" s="531">
        <f t="shared" si="3"/>
        <v>227.66363636363636</v>
      </c>
      <c r="T10" s="531" cm="1">
        <f t="array" ref="T10">AVERAGE(_xlfn._xlws.FILTER(PTS!X:X, (PTS!$C:$C=A10) * ISNUMBER(PTS!X:X)))</f>
        <v>52</v>
      </c>
      <c r="U10" s="531" cm="1">
        <f t="array" ref="U10">AVERAGE(_xlfn._xlws.FILTER(PTS!Y:Y, (PTS!$C:$C=A10) * ISNUMBER(PTS!Y:Y)))</f>
        <v>50.4</v>
      </c>
      <c r="V10" s="531" cm="1">
        <f t="array" ref="V10">AVERAGE(_xlfn._xlws.FILTER(PTS!Z:Z, (PTS!$C:$C=A10) * ISNUMBER(PTS!Z:Z)))</f>
        <v>26.25</v>
      </c>
      <c r="X10" s="531">
        <f t="shared" si="4"/>
        <v>128.65</v>
      </c>
      <c r="Y10" s="531" cm="1">
        <f t="array" ref="Y10">AVERAGE(_xlfn._xlws.FILTER(PTS!AC:AC, (PTS!$C:$C=A10) * ISNUMBER(PTS!AC:AC)))</f>
        <v>110.22727272727273</v>
      </c>
      <c r="Z10" s="531" cm="1">
        <f t="array" ref="Z10">AVERAGE(_xlfn._xlws.FILTER(PTS!AD:AD, (PTS!$C:$C=A10) * ISNUMBER(PTS!AD:AD)))</f>
        <v>107.04545454545455</v>
      </c>
      <c r="AB10" s="531">
        <f t="shared" si="5"/>
        <v>217.27272727272728</v>
      </c>
      <c r="AC10" s="10" cm="1">
        <f t="array" ref="AC10">AVERAGE(_xlfn._xlws.FILTER(PTS!AG:AG, (PTS!$C:$C=A10) * ISNUMBER(PTS!AG:AG)))</f>
        <v>28.814300000000003</v>
      </c>
      <c r="AD10" s="531" cm="1">
        <f t="array" ref="AD10">AVERAGE(_xlfn._xlws.FILTER(PTS!AH:AH, (PTS!$C:$C=A10) * ISNUMBER(PTS!AH:AH)))</f>
        <v>6.973140495867769</v>
      </c>
      <c r="AE10" s="531" cm="1">
        <f t="array" ref="AE10">AVERAGE(_xlfn._xlws.FILTER(PTS!AI:AI, (PTS!$C:$C=A10) * ISNUMBER(PTS!AI:AI)))</f>
        <v>12.587317427197677</v>
      </c>
      <c r="AF10" s="531" cm="1">
        <f t="array" ref="AF10">AVERAGE(_xlfn._xlws.FILTER(PTS!AJ:AJ, (PTS!$C:$C=A10) * ISNUMBER(PTS!AJ:AJ)))</f>
        <v>6.7351999999999999</v>
      </c>
      <c r="AH10" s="531">
        <f t="shared" si="6"/>
        <v>55.109957923065444</v>
      </c>
      <c r="AI10" s="10" cm="1">
        <f t="array" ref="AI10">AVERAGE(_xlfn._xlws.FILTER(PTS!AM:AM, (PTS!$C:$C=A10) * ISNUMBER(PTS!AM:AM)))</f>
        <v>79.999999999999986</v>
      </c>
      <c r="AJ10" s="10" cm="1">
        <f t="array" ref="AJ10">AVERAGE(_xlfn._xlws.FILTER(PTS!AN:AN, (PTS!$C:$C=A10) * ISNUMBER(PTS!AN:AN)))</f>
        <v>26.17808219178082</v>
      </c>
      <c r="AK10" s="10" cm="1">
        <f t="array" ref="AK10">AVERAGE(_xlfn._xlws.FILTER(PTS!AO:AO, (PTS!$C:$C=A10) * ISNUMBER(PTS!AO:AO)))</f>
        <v>0</v>
      </c>
      <c r="AN10" s="10">
        <f t="shared" si="7"/>
        <v>106.1780821917808</v>
      </c>
      <c r="AR10" s="531">
        <f t="shared" si="8"/>
        <v>772.79107041787654</v>
      </c>
      <c r="AS10" s="531">
        <f t="shared" si="9"/>
        <v>1027.7910704178764</v>
      </c>
    </row>
    <row r="11" spans="1:45">
      <c r="A11" s="32" t="s">
        <v>79</v>
      </c>
      <c r="B11" s="319" t="s">
        <v>80</v>
      </c>
      <c r="C11" s="319" t="str">
        <f t="shared" si="0"/>
        <v>AlexandriaLA</v>
      </c>
      <c r="D11" s="10">
        <f>VLOOKUP(A:A,PTS!C:R,6,FALSE)</f>
        <v>1</v>
      </c>
      <c r="E11" s="531" cm="1">
        <f t="array" ref="E11">AVERAGE(_xlfn._xlws.FILTER(PTS!I:I, (PTS!$C:$C=A11) * ISNUMBER(PTS!I:I)))</f>
        <v>107</v>
      </c>
      <c r="F11" s="10" cm="1">
        <f t="array" ref="F11">AVERAGE(_xlfn._xlws.FILTER(PTS!J:J, (PTS!$C:$C=A11) * ISNUMBER(PTS!J:J)))</f>
        <v>180</v>
      </c>
      <c r="G11" s="531" cm="1">
        <f t="array" ref="G11">AVERAGE(_xlfn._xlws.FILTER(PTS!K:K, (PTS!$C:$C=A11) * ISNUMBER(PTS!K:K)))</f>
        <v>170</v>
      </c>
      <c r="H11" s="531" cm="1">
        <f t="array" ref="H11">AVERAGE(_xlfn._xlws.FILTER(PTS!L:L, (PTS!$C:$C=A11) * ISNUMBER(PTS!L:L)))</f>
        <v>0</v>
      </c>
      <c r="I11" s="531" cm="1">
        <f t="array" ref="I11">AVERAGE(_xlfn._xlws.FILTER(PTS!M:M, (PTS!$C:$C=A11) * ISNUMBER(PTS!M:M)))</f>
        <v>0</v>
      </c>
      <c r="J11" s="531" cm="1">
        <f t="array" ref="J11">AVERAGE(_xlfn._xlws.FILTER(PTS!N:N, (PTS!$C:$C=A11) * ISNUMBER(PTS!N:N)))</f>
        <v>70</v>
      </c>
      <c r="K11" s="531" cm="1">
        <f t="array" ref="K11">AVERAGE(_xlfn._xlws.FILTER(PTS!O:O, (PTS!$C:$C=A11) * ISNUMBER(PTS!O:O)))</f>
        <v>37.916666666666671</v>
      </c>
      <c r="L11" s="10" cm="1">
        <f t="array" ref="L11">AVERAGE(_xlfn._xlws.FILTER(PTS!P:P, (PTS!$C:$C=A11) * ISNUMBER(PTS!P:P)))</f>
        <v>0</v>
      </c>
      <c r="M11" s="531">
        <f t="shared" si="1"/>
        <v>564.91666666666663</v>
      </c>
      <c r="N11" s="531">
        <f t="shared" si="2"/>
        <v>107.91666666666667</v>
      </c>
      <c r="O11" s="531" cm="1">
        <f t="array" ref="O11">AVERAGE(_xlfn._xlws.FILTER(PTS!S:S, (PTS!$C:$C=A11) * ISNUMBER(PTS!S:S)))</f>
        <v>0</v>
      </c>
      <c r="P11" s="531" cm="1">
        <f t="array" ref="P11">AVERAGE(_xlfn._xlws.FILTER(PTS!T:T, (PTS!$C:$C=A11) * ISNUMBER(PTS!T:T)))</f>
        <v>0</v>
      </c>
      <c r="Q11" s="531" cm="1">
        <f t="array" ref="Q11">AVERAGE(_xlfn._xlws.FILTER(PTS!U:U, (PTS!$C:$C=A11) * ISNUMBER(PTS!U:U)))</f>
        <v>659.09090909090901</v>
      </c>
      <c r="S11" s="531">
        <f t="shared" si="3"/>
        <v>659.09090909090901</v>
      </c>
      <c r="T11" s="531" cm="1">
        <f t="array" ref="T11">AVERAGE(_xlfn._xlws.FILTER(PTS!X:X, (PTS!$C:$C=A11) * ISNUMBER(PTS!X:X)))</f>
        <v>54</v>
      </c>
      <c r="U11" s="531" cm="1">
        <f t="array" ref="U11">AVERAGE(_xlfn._xlws.FILTER(PTS!Y:Y, (PTS!$C:$C=A11) * ISNUMBER(PTS!Y:Y)))</f>
        <v>50.4</v>
      </c>
      <c r="V11" s="531" cm="1">
        <f t="array" ref="V11">AVERAGE(_xlfn._xlws.FILTER(PTS!Z:Z, (PTS!$C:$C=A11) * ISNUMBER(PTS!Z:Z)))</f>
        <v>26.25</v>
      </c>
      <c r="X11" s="531">
        <f t="shared" si="4"/>
        <v>130.65</v>
      </c>
      <c r="Y11" s="531" cm="1">
        <f t="array" ref="Y11">AVERAGE(_xlfn._xlws.FILTER(PTS!AC:AC, (PTS!$C:$C=A11) * ISNUMBER(PTS!AC:AC)))</f>
        <v>132.95454545454544</v>
      </c>
      <c r="Z11" s="531" cm="1">
        <f t="array" ref="Z11">AVERAGE(_xlfn._xlws.FILTER(PTS!AD:AD, (PTS!$C:$C=A11) * ISNUMBER(PTS!AD:AD)))</f>
        <v>197.95454545454547</v>
      </c>
      <c r="AB11" s="531">
        <f t="shared" si="5"/>
        <v>330.90909090909088</v>
      </c>
      <c r="AC11" s="10" cm="1">
        <f t="array" ref="AC11">AVERAGE(_xlfn._xlws.FILTER(PTS!AG:AG, (PTS!$C:$C=A11) * ISNUMBER(PTS!AG:AG)))</f>
        <v>28.814300000000003</v>
      </c>
      <c r="AD11" s="531" cm="1">
        <f t="array" ref="AD11">AVERAGE(_xlfn._xlws.FILTER(PTS!AH:AH, (PTS!$C:$C=A11) * ISNUMBER(PTS!AH:AH)))</f>
        <v>6.973140495867769</v>
      </c>
      <c r="AE11" s="531" cm="1">
        <f t="array" ref="AE11">AVERAGE(_xlfn._xlws.FILTER(PTS!AI:AI, (PTS!$C:$C=A11) * ISNUMBER(PTS!AI:AI)))</f>
        <v>12.587317427197677</v>
      </c>
      <c r="AF11" s="531" cm="1">
        <f t="array" ref="AF11">AVERAGE(_xlfn._xlws.FILTER(PTS!AJ:AJ, (PTS!$C:$C=A11) * ISNUMBER(PTS!AJ:AJ)))</f>
        <v>6.7351999999999999</v>
      </c>
      <c r="AH11" s="531">
        <f t="shared" si="6"/>
        <v>55.109957923065444</v>
      </c>
      <c r="AI11" s="10" cm="1">
        <f t="array" ref="AI11">AVERAGE(_xlfn._xlws.FILTER(PTS!AM:AM, (PTS!$C:$C=A11) * ISNUMBER(PTS!AM:AM)))</f>
        <v>79.999999999999986</v>
      </c>
      <c r="AJ11" s="10" cm="1">
        <f t="array" ref="AJ11">AVERAGE(_xlfn._xlws.FILTER(PTS!AN:AN, (PTS!$C:$C=A11) * ISNUMBER(PTS!AN:AN)))</f>
        <v>26.17808219178082</v>
      </c>
      <c r="AK11" s="10" cm="1">
        <f t="array" ref="AK11">AVERAGE(_xlfn._xlws.FILTER(PTS!AO:AO, (PTS!$C:$C=A11) * ISNUMBER(PTS!AO:AO)))</f>
        <v>0</v>
      </c>
      <c r="AN11" s="10">
        <f t="shared" si="7"/>
        <v>106.1780821917808</v>
      </c>
      <c r="AR11" s="531">
        <f t="shared" si="8"/>
        <v>1389.8547067815127</v>
      </c>
      <c r="AS11" s="531">
        <f t="shared" si="9"/>
        <v>1846.8547067815127</v>
      </c>
    </row>
    <row r="12" spans="1:45">
      <c r="A12" s="32" t="s">
        <v>84</v>
      </c>
      <c r="B12" s="319" t="s">
        <v>85</v>
      </c>
      <c r="C12" s="319" t="str">
        <f t="shared" si="0"/>
        <v>AltusOK</v>
      </c>
      <c r="D12" s="10">
        <f>VLOOKUP(A:A,PTS!C:R,6,FALSE)</f>
        <v>2</v>
      </c>
      <c r="E12" s="531" cm="1">
        <f t="array" ref="E12">AVERAGE(_xlfn._xlws.FILTER(PTS!I:I, (PTS!$C:$C=A12) * ISNUMBER(PTS!I:I)))</f>
        <v>103</v>
      </c>
      <c r="F12" s="10" cm="1">
        <f t="array" ref="F12">AVERAGE(_xlfn._xlws.FILTER(PTS!J:J, (PTS!$C:$C=A12) * ISNUMBER(PTS!J:J)))</f>
        <v>125</v>
      </c>
      <c r="G12" s="531" cm="1">
        <f t="array" ref="G12">AVERAGE(_xlfn._xlws.FILTER(PTS!K:K, (PTS!$C:$C=A12) * ISNUMBER(PTS!K:K)))</f>
        <v>240</v>
      </c>
      <c r="H12" s="531" cm="1">
        <f t="array" ref="H12">AVERAGE(_xlfn._xlws.FILTER(PTS!L:L, (PTS!$C:$C=A12) * ISNUMBER(PTS!L:L)))</f>
        <v>0</v>
      </c>
      <c r="I12" s="531" cm="1">
        <f t="array" ref="I12">AVERAGE(_xlfn._xlws.FILTER(PTS!M:M, (PTS!$C:$C=A12) * ISNUMBER(PTS!M:M)))</f>
        <v>0</v>
      </c>
      <c r="J12" s="531" cm="1">
        <f t="array" ref="J12">AVERAGE(_xlfn._xlws.FILTER(PTS!N:N, (PTS!$C:$C=A12) * ISNUMBER(PTS!N:N)))</f>
        <v>39</v>
      </c>
      <c r="K12" s="531" cm="1">
        <f t="array" ref="K12">AVERAGE(_xlfn._xlws.FILTER(PTS!O:O, (PTS!$C:$C=A12) * ISNUMBER(PTS!O:O)))</f>
        <v>37.916666666666671</v>
      </c>
      <c r="L12" s="10" cm="1">
        <f t="array" ref="L12">AVERAGE(_xlfn._xlws.FILTER(PTS!P:P, (PTS!$C:$C=A12) * ISNUMBER(PTS!P:P)))</f>
        <v>0</v>
      </c>
      <c r="M12" s="531">
        <f t="shared" si="1"/>
        <v>544.91666666666663</v>
      </c>
      <c r="N12" s="531">
        <f t="shared" si="2"/>
        <v>316.91666666666669</v>
      </c>
      <c r="O12" s="531" cm="1">
        <f t="array" ref="O12">AVERAGE(_xlfn._xlws.FILTER(PTS!S:S, (PTS!$C:$C=A12) * ISNUMBER(PTS!S:S)))</f>
        <v>20</v>
      </c>
      <c r="P12" s="531" cm="1">
        <f t="array" ref="P12">AVERAGE(_xlfn._xlws.FILTER(PTS!T:T, (PTS!$C:$C=A12) * ISNUMBER(PTS!T:T)))</f>
        <v>5</v>
      </c>
      <c r="Q12" s="531" cm="1">
        <f t="array" ref="Q12">AVERAGE(_xlfn._xlws.FILTER(PTS!U:U, (PTS!$C:$C=A12) * ISNUMBER(PTS!U:U)))</f>
        <v>259.375</v>
      </c>
      <c r="S12" s="531">
        <f t="shared" si="3"/>
        <v>284.375</v>
      </c>
      <c r="T12" s="531" cm="1">
        <f t="array" ref="T12">AVERAGE(_xlfn._xlws.FILTER(PTS!X:X, (PTS!$C:$C=A12) * ISNUMBER(PTS!X:X)))</f>
        <v>54</v>
      </c>
      <c r="U12" s="531" cm="1">
        <f t="array" ref="U12">AVERAGE(_xlfn._xlws.FILTER(PTS!Y:Y, (PTS!$C:$C=A12) * ISNUMBER(PTS!Y:Y)))</f>
        <v>50.4</v>
      </c>
      <c r="V12" s="531" cm="1">
        <f t="array" ref="V12">AVERAGE(_xlfn._xlws.FILTER(PTS!Z:Z, (PTS!$C:$C=A12) * ISNUMBER(PTS!Z:Z)))</f>
        <v>26.25</v>
      </c>
      <c r="X12" s="531">
        <f t="shared" si="4"/>
        <v>130.65</v>
      </c>
      <c r="Y12" s="531" cm="1">
        <f t="array" ref="Y12">AVERAGE(_xlfn._xlws.FILTER(PTS!AC:AC, (PTS!$C:$C=A12) * ISNUMBER(PTS!AC:AC)))</f>
        <v>147.72727272727272</v>
      </c>
      <c r="Z12" s="531" cm="1">
        <f t="array" ref="Z12">AVERAGE(_xlfn._xlws.FILTER(PTS!AD:AD, (PTS!$C:$C=A12) * ISNUMBER(PTS!AD:AD)))</f>
        <v>233.06818181818181</v>
      </c>
      <c r="AB12" s="531">
        <f t="shared" si="5"/>
        <v>380.7954545454545</v>
      </c>
      <c r="AC12" s="10" cm="1">
        <f t="array" ref="AC12">AVERAGE(_xlfn._xlws.FILTER(PTS!AG:AG, (PTS!$C:$C=A12) * ISNUMBER(PTS!AG:AG)))</f>
        <v>28.814300000000003</v>
      </c>
      <c r="AD12" s="531" cm="1">
        <f t="array" ref="AD12">AVERAGE(_xlfn._xlws.FILTER(PTS!AH:AH, (PTS!$C:$C=A12) * ISNUMBER(PTS!AH:AH)))</f>
        <v>6.973140495867769</v>
      </c>
      <c r="AE12" s="531" cm="1">
        <f t="array" ref="AE12">AVERAGE(_xlfn._xlws.FILTER(PTS!AI:AI, (PTS!$C:$C=A12) * ISNUMBER(PTS!AI:AI)))</f>
        <v>12.587317427197677</v>
      </c>
      <c r="AF12" s="531" cm="1">
        <f t="array" ref="AF12">AVERAGE(_xlfn._xlws.FILTER(PTS!AJ:AJ, (PTS!$C:$C=A12) * ISNUMBER(PTS!AJ:AJ)))</f>
        <v>6.7351999999999999</v>
      </c>
      <c r="AH12" s="531">
        <f t="shared" si="6"/>
        <v>55.109957923065444</v>
      </c>
      <c r="AI12" s="10" cm="1">
        <f t="array" ref="AI12">AVERAGE(_xlfn._xlws.FILTER(PTS!AM:AM, (PTS!$C:$C=A12) * ISNUMBER(PTS!AM:AM)))</f>
        <v>79.999999999999986</v>
      </c>
      <c r="AJ12" s="10" cm="1">
        <f t="array" ref="AJ12">AVERAGE(_xlfn._xlws.FILTER(PTS!AN:AN, (PTS!$C:$C=A12) * ISNUMBER(PTS!AN:AN)))</f>
        <v>26.17808219178082</v>
      </c>
      <c r="AK12" s="10" cm="1">
        <f t="array" ref="AK12">AVERAGE(_xlfn._xlws.FILTER(PTS!AO:AO, (PTS!$C:$C=A12) * ISNUMBER(PTS!AO:AO)))</f>
        <v>0</v>
      </c>
      <c r="AN12" s="10">
        <f t="shared" si="7"/>
        <v>106.1780821917808</v>
      </c>
      <c r="AR12" s="531">
        <f t="shared" si="8"/>
        <v>1274.0251613269672</v>
      </c>
      <c r="AS12" s="531">
        <f t="shared" si="9"/>
        <v>1502.0251613269672</v>
      </c>
    </row>
    <row r="13" spans="1:45">
      <c r="A13" s="32" t="s">
        <v>88</v>
      </c>
      <c r="B13" s="319" t="s">
        <v>71</v>
      </c>
      <c r="C13" s="319" t="str">
        <f t="shared" si="0"/>
        <v>AmarilloTX</v>
      </c>
      <c r="D13" s="10">
        <f>VLOOKUP(A:A,PTS!C:R,6,FALSE)</f>
        <v>2</v>
      </c>
      <c r="E13" s="531" cm="1">
        <f t="array" ref="E13">AVERAGE(_xlfn._xlws.FILTER(PTS!I:I, (PTS!$C:$C=A13) * ISNUMBER(PTS!I:I)))</f>
        <v>97.4</v>
      </c>
      <c r="F13" s="10" cm="1">
        <f t="array" ref="F13">AVERAGE(_xlfn._xlws.FILTER(PTS!J:J, (PTS!$C:$C=A13) * ISNUMBER(PTS!J:J)))</f>
        <v>123</v>
      </c>
      <c r="G13" s="531" cm="1">
        <f t="array" ref="G13">AVERAGE(_xlfn._xlws.FILTER(PTS!K:K, (PTS!$C:$C=A13) * ISNUMBER(PTS!K:K)))</f>
        <v>209</v>
      </c>
      <c r="H13" s="531" cm="1">
        <f t="array" ref="H13">AVERAGE(_xlfn._xlws.FILTER(PTS!L:L, (PTS!$C:$C=A13) * ISNUMBER(PTS!L:L)))</f>
        <v>0</v>
      </c>
      <c r="I13" s="531" cm="1">
        <f t="array" ref="I13">AVERAGE(_xlfn._xlws.FILTER(PTS!M:M, (PTS!$C:$C=A13) * ISNUMBER(PTS!M:M)))</f>
        <v>0</v>
      </c>
      <c r="J13" s="531" cm="1">
        <f t="array" ref="J13">AVERAGE(_xlfn._xlws.FILTER(PTS!N:N, (PTS!$C:$C=A13) * ISNUMBER(PTS!N:N)))</f>
        <v>47.4</v>
      </c>
      <c r="K13" s="531" cm="1">
        <f t="array" ref="K13">AVERAGE(_xlfn._xlws.FILTER(PTS!O:O, (PTS!$C:$C=A13) * ISNUMBER(PTS!O:O)))</f>
        <v>37.916666666666679</v>
      </c>
      <c r="L13" s="10" cm="1">
        <f t="array" ref="L13">AVERAGE(_xlfn._xlws.FILTER(PTS!P:P, (PTS!$C:$C=A13) * ISNUMBER(PTS!P:P)))</f>
        <v>0</v>
      </c>
      <c r="M13" s="531">
        <f t="shared" si="1"/>
        <v>514.71666666666658</v>
      </c>
      <c r="N13" s="531">
        <f t="shared" si="2"/>
        <v>294.31666666666666</v>
      </c>
      <c r="O13" s="531" cm="1">
        <f t="array" ref="O13">AVERAGE(_xlfn._xlws.FILTER(PTS!S:S, (PTS!$C:$C=A13) * ISNUMBER(PTS!S:S)))</f>
        <v>4</v>
      </c>
      <c r="P13" s="531" cm="1">
        <f t="array" ref="P13">AVERAGE(_xlfn._xlws.FILTER(PTS!T:T, (PTS!$C:$C=A13) * ISNUMBER(PTS!T:T)))</f>
        <v>1</v>
      </c>
      <c r="Q13" s="531" cm="1">
        <f t="array" ref="Q13">AVERAGE(_xlfn._xlws.FILTER(PTS!U:U, (PTS!$C:$C=A13) * ISNUMBER(PTS!U:U)))</f>
        <v>260.22727272727269</v>
      </c>
      <c r="S13" s="531">
        <f t="shared" si="3"/>
        <v>265.22727272727269</v>
      </c>
      <c r="T13" s="531" cm="1">
        <f t="array" ref="T13">AVERAGE(_xlfn._xlws.FILTER(PTS!X:X, (PTS!$C:$C=A13) * ISNUMBER(PTS!X:X)))</f>
        <v>54</v>
      </c>
      <c r="U13" s="531" cm="1">
        <f t="array" ref="U13">AVERAGE(_xlfn._xlws.FILTER(PTS!Y:Y, (PTS!$C:$C=A13) * ISNUMBER(PTS!Y:Y)))</f>
        <v>50.399999999999991</v>
      </c>
      <c r="V13" s="531" cm="1">
        <f t="array" ref="V13">AVERAGE(_xlfn._xlws.FILTER(PTS!Z:Z, (PTS!$C:$C=A13) * ISNUMBER(PTS!Z:Z)))</f>
        <v>26.25</v>
      </c>
      <c r="X13" s="531">
        <f t="shared" si="4"/>
        <v>130.64999999999998</v>
      </c>
      <c r="Y13" s="531" cm="1">
        <f t="array" ref="Y13">AVERAGE(_xlfn._xlws.FILTER(PTS!AC:AC, (PTS!$C:$C=A13) * ISNUMBER(PTS!AC:AC)))</f>
        <v>147.72727272727272</v>
      </c>
      <c r="Z13" s="531" cm="1">
        <f t="array" ref="Z13">AVERAGE(_xlfn._xlws.FILTER(PTS!AD:AD, (PTS!$C:$C=A13) * ISNUMBER(PTS!AD:AD)))</f>
        <v>233.06818181818184</v>
      </c>
      <c r="AB13" s="531">
        <f t="shared" si="5"/>
        <v>380.79545454545456</v>
      </c>
      <c r="AC13" s="10" cm="1">
        <f t="array" ref="AC13">AVERAGE(_xlfn._xlws.FILTER(PTS!AG:AG, (PTS!$C:$C=A13) * ISNUMBER(PTS!AG:AG)))</f>
        <v>28.814300000000003</v>
      </c>
      <c r="AD13" s="531" cm="1">
        <f t="array" ref="AD13">AVERAGE(_xlfn._xlws.FILTER(PTS!AH:AH, (PTS!$C:$C=A13) * ISNUMBER(PTS!AH:AH)))</f>
        <v>6.973140495867769</v>
      </c>
      <c r="AE13" s="531" cm="1">
        <f t="array" ref="AE13">AVERAGE(_xlfn._xlws.FILTER(PTS!AI:AI, (PTS!$C:$C=A13) * ISNUMBER(PTS!AI:AI)))</f>
        <v>12.587317427197677</v>
      </c>
      <c r="AF13" s="531" cm="1">
        <f t="array" ref="AF13">AVERAGE(_xlfn._xlws.FILTER(PTS!AJ:AJ, (PTS!$C:$C=A13) * ISNUMBER(PTS!AJ:AJ)))</f>
        <v>6.7352000000000007</v>
      </c>
      <c r="AH13" s="531">
        <f t="shared" si="6"/>
        <v>55.109957923065444</v>
      </c>
      <c r="AI13" s="10" cm="1">
        <f t="array" ref="AI13">AVERAGE(_xlfn._xlws.FILTER(PTS!AM:AM, (PTS!$C:$C=A13) * ISNUMBER(PTS!AM:AM)))</f>
        <v>79.999999999999986</v>
      </c>
      <c r="AJ13" s="10" cm="1">
        <f t="array" ref="AJ13">AVERAGE(_xlfn._xlws.FILTER(PTS!AN:AN, (PTS!$C:$C=A13) * ISNUMBER(PTS!AN:AN)))</f>
        <v>26.178082191780824</v>
      </c>
      <c r="AK13" s="10" cm="1">
        <f t="array" ref="AK13">AVERAGE(_xlfn._xlws.FILTER(PTS!AO:AO, (PTS!$C:$C=A13) * ISNUMBER(PTS!AO:AO)))</f>
        <v>0</v>
      </c>
      <c r="AN13" s="10">
        <f t="shared" si="7"/>
        <v>106.17808219178082</v>
      </c>
      <c r="AR13" s="531">
        <f t="shared" si="8"/>
        <v>1232.2774340542401</v>
      </c>
      <c r="AS13" s="531">
        <f t="shared" si="9"/>
        <v>1452.6774340542399</v>
      </c>
    </row>
    <row r="14" spans="1:45">
      <c r="A14" s="32" t="s">
        <v>92</v>
      </c>
      <c r="B14" s="319" t="s">
        <v>76</v>
      </c>
      <c r="C14" s="319" t="str">
        <f t="shared" si="0"/>
        <v>AmericusGA</v>
      </c>
      <c r="D14" s="10">
        <f>VLOOKUP(A:A,PTS!C:R,6,FALSE)</f>
        <v>4</v>
      </c>
      <c r="E14" s="531" cm="1">
        <f t="array" ref="E14">AVERAGE(_xlfn._xlws.FILTER(PTS!I:I, (PTS!$C:$C=A14) * ISNUMBER(PTS!I:I)))</f>
        <v>70</v>
      </c>
      <c r="F14" s="10" cm="1">
        <f t="array" ref="F14">AVERAGE(_xlfn._xlws.FILTER(PTS!J:J, (PTS!$C:$C=A14) * ISNUMBER(PTS!J:J)))</f>
        <v>100</v>
      </c>
      <c r="G14" s="531" cm="1">
        <f t="array" ref="G14">AVERAGE(_xlfn._xlws.FILTER(PTS!K:K, (PTS!$C:$C=A14) * ISNUMBER(PTS!K:K)))</f>
        <v>0</v>
      </c>
      <c r="H14" s="531" cm="1">
        <f t="array" ref="H14">AVERAGE(_xlfn._xlws.FILTER(PTS!L:L, (PTS!$C:$C=A14) * ISNUMBER(PTS!L:L)))</f>
        <v>0</v>
      </c>
      <c r="I14" s="531" cm="1">
        <f t="array" ref="I14">AVERAGE(_xlfn._xlws.FILTER(PTS!M:M, (PTS!$C:$C=A14) * ISNUMBER(PTS!M:M)))</f>
        <v>10</v>
      </c>
      <c r="J14" s="531" cm="1">
        <f t="array" ref="J14">AVERAGE(_xlfn._xlws.FILTER(PTS!N:N, (PTS!$C:$C=A14) * ISNUMBER(PTS!N:N)))</f>
        <v>40</v>
      </c>
      <c r="K14" s="531" cm="1">
        <f t="array" ref="K14">AVERAGE(_xlfn._xlws.FILTER(PTS!O:O, (PTS!$C:$C=A14) * ISNUMBER(PTS!O:O)))</f>
        <v>37.916666666666671</v>
      </c>
      <c r="L14" s="10" cm="1">
        <f t="array" ref="L14">AVERAGE(_xlfn._xlws.FILTER(PTS!P:P, (PTS!$C:$C=A14) * ISNUMBER(PTS!P:P)))</f>
        <v>0</v>
      </c>
      <c r="M14" s="531">
        <f t="shared" si="1"/>
        <v>257.91666666666669</v>
      </c>
      <c r="N14" s="531">
        <f t="shared" si="2"/>
        <v>37.916666666666671</v>
      </c>
      <c r="O14" s="531" cm="1">
        <f t="array" ref="O14">AVERAGE(_xlfn._xlws.FILTER(PTS!S:S, (PTS!$C:$C=A14) * ISNUMBER(PTS!S:S)))</f>
        <v>0</v>
      </c>
      <c r="P14" s="531" cm="1">
        <f t="array" ref="P14">AVERAGE(_xlfn._xlws.FILTER(PTS!T:T, (PTS!$C:$C=A14) * ISNUMBER(PTS!T:T)))</f>
        <v>0</v>
      </c>
      <c r="Q14" s="531" cm="1">
        <f t="array" ref="Q14">AVERAGE(_xlfn._xlws.FILTER(PTS!U:U, (PTS!$C:$C=A14) * ISNUMBER(PTS!U:U)))</f>
        <v>225.95909090909092</v>
      </c>
      <c r="S14" s="531">
        <f t="shared" si="3"/>
        <v>225.95909090909092</v>
      </c>
      <c r="T14" s="531" cm="1">
        <f t="array" ref="T14">AVERAGE(_xlfn._xlws.FILTER(PTS!X:X, (PTS!$C:$C=A14) * ISNUMBER(PTS!X:X)))</f>
        <v>52</v>
      </c>
      <c r="U14" s="531" cm="1">
        <f t="array" ref="U14">AVERAGE(_xlfn._xlws.FILTER(PTS!Y:Y, (PTS!$C:$C=A14) * ISNUMBER(PTS!Y:Y)))</f>
        <v>50.4</v>
      </c>
      <c r="V14" s="531" cm="1">
        <f t="array" ref="V14">AVERAGE(_xlfn._xlws.FILTER(PTS!Z:Z, (PTS!$C:$C=A14) * ISNUMBER(PTS!Z:Z)))</f>
        <v>26.25</v>
      </c>
      <c r="X14" s="531">
        <f t="shared" si="4"/>
        <v>128.65</v>
      </c>
      <c r="Y14" s="531" cm="1">
        <f t="array" ref="Y14">AVERAGE(_xlfn._xlws.FILTER(PTS!AC:AC, (PTS!$C:$C=A14) * ISNUMBER(PTS!AC:AC)))</f>
        <v>110.22727272727273</v>
      </c>
      <c r="Z14" s="531" cm="1">
        <f t="array" ref="Z14">AVERAGE(_xlfn._xlws.FILTER(PTS!AD:AD, (PTS!$C:$C=A14) * ISNUMBER(PTS!AD:AD)))</f>
        <v>107.04545454545455</v>
      </c>
      <c r="AB14" s="531">
        <f t="shared" si="5"/>
        <v>217.27272727272728</v>
      </c>
      <c r="AC14" s="10" cm="1">
        <f t="array" ref="AC14">AVERAGE(_xlfn._xlws.FILTER(PTS!AG:AG, (PTS!$C:$C=A14) * ISNUMBER(PTS!AG:AG)))</f>
        <v>28.814300000000003</v>
      </c>
      <c r="AD14" s="531" cm="1">
        <f t="array" ref="AD14">AVERAGE(_xlfn._xlws.FILTER(PTS!AH:AH, (PTS!$C:$C=A14) * ISNUMBER(PTS!AH:AH)))</f>
        <v>6.973140495867769</v>
      </c>
      <c r="AE14" s="531" cm="1">
        <f t="array" ref="AE14">AVERAGE(_xlfn._xlws.FILTER(PTS!AI:AI, (PTS!$C:$C=A14) * ISNUMBER(PTS!AI:AI)))</f>
        <v>12.587317427197677</v>
      </c>
      <c r="AF14" s="531" cm="1">
        <f t="array" ref="AF14">AVERAGE(_xlfn._xlws.FILTER(PTS!AJ:AJ, (PTS!$C:$C=A14) * ISNUMBER(PTS!AJ:AJ)))</f>
        <v>6.7351999999999999</v>
      </c>
      <c r="AH14" s="531">
        <f t="shared" si="6"/>
        <v>55.109957923065444</v>
      </c>
      <c r="AI14" s="10" cm="1">
        <f t="array" ref="AI14">AVERAGE(_xlfn._xlws.FILTER(PTS!AM:AM, (PTS!$C:$C=A14) * ISNUMBER(PTS!AM:AM)))</f>
        <v>79.999999999999986</v>
      </c>
      <c r="AJ14" s="10" cm="1">
        <f t="array" ref="AJ14">AVERAGE(_xlfn._xlws.FILTER(PTS!AN:AN, (PTS!$C:$C=A14) * ISNUMBER(PTS!AN:AN)))</f>
        <v>26.17808219178082</v>
      </c>
      <c r="AK14" s="10" cm="1">
        <f t="array" ref="AK14">AVERAGE(_xlfn._xlws.FILTER(PTS!AO:AO, (PTS!$C:$C=A14) * ISNUMBER(PTS!AO:AO)))</f>
        <v>0</v>
      </c>
      <c r="AN14" s="10">
        <f t="shared" si="7"/>
        <v>106.1780821917808</v>
      </c>
      <c r="AR14" s="531">
        <f t="shared" si="8"/>
        <v>771.08652496333104</v>
      </c>
      <c r="AS14" s="531">
        <f t="shared" si="9"/>
        <v>991.08652496333104</v>
      </c>
    </row>
    <row r="15" spans="1:45">
      <c r="A15" s="32" t="s">
        <v>95</v>
      </c>
      <c r="B15" s="319" t="s">
        <v>65</v>
      </c>
      <c r="C15" s="319" t="str">
        <f t="shared" si="0"/>
        <v>AndalusiaAL</v>
      </c>
      <c r="D15" s="10">
        <f>VLOOKUP(A:A,PTS!C:R,6,FALSE)</f>
        <v>1</v>
      </c>
      <c r="E15" s="531" cm="1">
        <f t="array" ref="E15">AVERAGE(_xlfn._xlws.FILTER(PTS!I:I, (PTS!$C:$C=A15) * ISNUMBER(PTS!I:I)))</f>
        <v>0</v>
      </c>
      <c r="F15" s="10" cm="1">
        <f t="array" ref="F15">AVERAGE(_xlfn._xlws.FILTER(PTS!J:J, (PTS!$C:$C=A15) * ISNUMBER(PTS!J:J)))</f>
        <v>0</v>
      </c>
      <c r="G15" s="531" cm="1">
        <f t="array" ref="G15">AVERAGE(_xlfn._xlws.FILTER(PTS!K:K, (PTS!$C:$C=A15) * ISNUMBER(PTS!K:K)))</f>
        <v>0</v>
      </c>
      <c r="H15" s="531" cm="1">
        <f t="array" ref="H15">AVERAGE(_xlfn._xlws.FILTER(PTS!L:L, (PTS!$C:$C=A15) * ISNUMBER(PTS!L:L)))</f>
        <v>0</v>
      </c>
      <c r="I15" s="531" cm="1">
        <f t="array" ref="I15">AVERAGE(_xlfn._xlws.FILTER(PTS!M:M, (PTS!$C:$C=A15) * ISNUMBER(PTS!M:M)))</f>
        <v>0</v>
      </c>
      <c r="J15" s="531" cm="1">
        <f t="array" ref="J15">AVERAGE(_xlfn._xlws.FILTER(PTS!N:N, (PTS!$C:$C=A15) * ISNUMBER(PTS!N:N)))</f>
        <v>50</v>
      </c>
      <c r="K15" s="531" cm="1">
        <f t="array" ref="K15">AVERAGE(_xlfn._xlws.FILTER(PTS!O:O, (PTS!$C:$C=A15) * ISNUMBER(PTS!O:O)))</f>
        <v>37.916666666666671</v>
      </c>
      <c r="L15" s="10" cm="1">
        <f t="array" ref="L15">AVERAGE(_xlfn._xlws.FILTER(PTS!P:P, (PTS!$C:$C=A15) * ISNUMBER(PTS!P:P)))</f>
        <v>0</v>
      </c>
      <c r="M15" s="531">
        <f t="shared" si="1"/>
        <v>87.916666666666671</v>
      </c>
      <c r="N15" s="531">
        <f t="shared" si="2"/>
        <v>87.916666666666671</v>
      </c>
      <c r="O15" s="531" cm="1">
        <f t="array" ref="O15">AVERAGE(_xlfn._xlws.FILTER(PTS!S:S, (PTS!$C:$C=A15) * ISNUMBER(PTS!S:S)))</f>
        <v>0</v>
      </c>
      <c r="P15" s="531" cm="1">
        <f t="array" ref="P15">AVERAGE(_xlfn._xlws.FILTER(PTS!T:T, (PTS!$C:$C=A15) * ISNUMBER(PTS!T:T)))</f>
        <v>0</v>
      </c>
      <c r="Q15" s="531" cm="1">
        <f t="array" ref="Q15">AVERAGE(_xlfn._xlws.FILTER(PTS!U:U, (PTS!$C:$C=A15) * ISNUMBER(PTS!U:U)))</f>
        <v>316.69034090909088</v>
      </c>
      <c r="S15" s="531">
        <f t="shared" si="3"/>
        <v>316.69034090909088</v>
      </c>
      <c r="T15" s="531" cm="1">
        <f t="array" ref="T15">AVERAGE(_xlfn._xlws.FILTER(PTS!X:X, (PTS!$C:$C=A15) * ISNUMBER(PTS!X:X)))</f>
        <v>52</v>
      </c>
      <c r="U15" s="531" cm="1">
        <f t="array" ref="U15">AVERAGE(_xlfn._xlws.FILTER(PTS!Y:Y, (PTS!$C:$C=A15) * ISNUMBER(PTS!Y:Y)))</f>
        <v>50.4</v>
      </c>
      <c r="V15" s="531" cm="1">
        <f t="array" ref="V15">AVERAGE(_xlfn._xlws.FILTER(PTS!Z:Z, (PTS!$C:$C=A15) * ISNUMBER(PTS!Z:Z)))</f>
        <v>26.25</v>
      </c>
      <c r="X15" s="531">
        <f t="shared" si="4"/>
        <v>128.65</v>
      </c>
      <c r="Y15" s="531" cm="1">
        <f t="array" ref="Y15">AVERAGE(_xlfn._xlws.FILTER(PTS!AC:AC, (PTS!$C:$C=A15) * ISNUMBER(PTS!AC:AC)))</f>
        <v>110.22727272727273</v>
      </c>
      <c r="Z15" s="531" cm="1">
        <f t="array" ref="Z15">AVERAGE(_xlfn._xlws.FILTER(PTS!AD:AD, (PTS!$C:$C=A15) * ISNUMBER(PTS!AD:AD)))</f>
        <v>107.04545454545455</v>
      </c>
      <c r="AB15" s="531">
        <f t="shared" si="5"/>
        <v>217.27272727272728</v>
      </c>
      <c r="AC15" s="10" cm="1">
        <f t="array" ref="AC15">AVERAGE(_xlfn._xlws.FILTER(PTS!AG:AG, (PTS!$C:$C=A15) * ISNUMBER(PTS!AG:AG)))</f>
        <v>28.814300000000003</v>
      </c>
      <c r="AD15" s="531" cm="1">
        <f t="array" ref="AD15">AVERAGE(_xlfn._xlws.FILTER(PTS!AH:AH, (PTS!$C:$C=A15) * ISNUMBER(PTS!AH:AH)))</f>
        <v>6.973140495867769</v>
      </c>
      <c r="AE15" s="531" cm="1">
        <f t="array" ref="AE15">AVERAGE(_xlfn._xlws.FILTER(PTS!AI:AI, (PTS!$C:$C=A15) * ISNUMBER(PTS!AI:AI)))</f>
        <v>12.587317427197677</v>
      </c>
      <c r="AF15" s="531" cm="1">
        <f t="array" ref="AF15">AVERAGE(_xlfn._xlws.FILTER(PTS!AJ:AJ, (PTS!$C:$C=A15) * ISNUMBER(PTS!AJ:AJ)))</f>
        <v>6.7351999999999999</v>
      </c>
      <c r="AH15" s="531">
        <f t="shared" si="6"/>
        <v>55.109957923065444</v>
      </c>
      <c r="AI15" s="10" cm="1">
        <f t="array" ref="AI15">AVERAGE(_xlfn._xlws.FILTER(PTS!AM:AM, (PTS!$C:$C=A15) * ISNUMBER(PTS!AM:AM)))</f>
        <v>79.999999999999986</v>
      </c>
      <c r="AJ15" s="10" cm="1">
        <f t="array" ref="AJ15">AVERAGE(_xlfn._xlws.FILTER(PTS!AN:AN, (PTS!$C:$C=A15) * ISNUMBER(PTS!AN:AN)))</f>
        <v>26.17808219178082</v>
      </c>
      <c r="AK15" s="10" cm="1">
        <f t="array" ref="AK15">AVERAGE(_xlfn._xlws.FILTER(PTS!AO:AO, (PTS!$C:$C=A15) * ISNUMBER(PTS!AO:AO)))</f>
        <v>0</v>
      </c>
      <c r="AN15" s="10">
        <f t="shared" si="7"/>
        <v>106.1780821917808</v>
      </c>
      <c r="AR15" s="531">
        <f t="shared" si="8"/>
        <v>911.81777496333109</v>
      </c>
      <c r="AS15" s="531">
        <f t="shared" si="9"/>
        <v>911.81777496333109</v>
      </c>
    </row>
    <row r="16" spans="1:45">
      <c r="A16" s="32" t="s">
        <v>98</v>
      </c>
      <c r="B16" s="319" t="s">
        <v>76</v>
      </c>
      <c r="C16" s="319" t="str">
        <f t="shared" si="0"/>
        <v>ArlingtonGA</v>
      </c>
      <c r="D16" s="10">
        <f>VLOOKUP(A:A,PTS!C:R,6,FALSE)</f>
        <v>4</v>
      </c>
      <c r="E16" s="531" cm="1">
        <f t="array" ref="E16">AVERAGE(_xlfn._xlws.FILTER(PTS!I:I, (PTS!$C:$C=A16) * ISNUMBER(PTS!I:I)))</f>
        <v>65</v>
      </c>
      <c r="F16" s="10" cm="1">
        <f t="array" ref="F16">AVERAGE(_xlfn._xlws.FILTER(PTS!J:J, (PTS!$C:$C=A16) * ISNUMBER(PTS!J:J)))</f>
        <v>110</v>
      </c>
      <c r="G16" s="531" cm="1">
        <f t="array" ref="G16">AVERAGE(_xlfn._xlws.FILTER(PTS!K:K, (PTS!$C:$C=A16) * ISNUMBER(PTS!K:K)))</f>
        <v>0</v>
      </c>
      <c r="H16" s="531" cm="1">
        <f t="array" ref="H16">AVERAGE(_xlfn._xlws.FILTER(PTS!L:L, (PTS!$C:$C=A16) * ISNUMBER(PTS!L:L)))</f>
        <v>0</v>
      </c>
      <c r="I16" s="531" cm="1">
        <f t="array" ref="I16">AVERAGE(_xlfn._xlws.FILTER(PTS!M:M, (PTS!$C:$C=A16) * ISNUMBER(PTS!M:M)))</f>
        <v>0</v>
      </c>
      <c r="J16" s="531" cm="1">
        <f t="array" ref="J16">AVERAGE(_xlfn._xlws.FILTER(PTS!N:N, (PTS!$C:$C=A16) * ISNUMBER(PTS!N:N)))</f>
        <v>60</v>
      </c>
      <c r="K16" s="531" cm="1">
        <f t="array" ref="K16">AVERAGE(_xlfn._xlws.FILTER(PTS!O:O, (PTS!$C:$C=A16) * ISNUMBER(PTS!O:O)))</f>
        <v>37.916666666666671</v>
      </c>
      <c r="L16" s="10" cm="1">
        <f t="array" ref="L16">AVERAGE(_xlfn._xlws.FILTER(PTS!P:P, (PTS!$C:$C=A16) * ISNUMBER(PTS!P:P)))</f>
        <v>0</v>
      </c>
      <c r="M16" s="531">
        <f t="shared" si="1"/>
        <v>272.91666666666669</v>
      </c>
      <c r="N16" s="531">
        <f t="shared" si="2"/>
        <v>37.916666666666671</v>
      </c>
      <c r="O16" s="531" cm="1">
        <f t="array" ref="O16">AVERAGE(_xlfn._xlws.FILTER(PTS!S:S, (PTS!$C:$C=A16) * ISNUMBER(PTS!S:S)))</f>
        <v>0</v>
      </c>
      <c r="P16" s="531" cm="1">
        <f t="array" ref="P16">AVERAGE(_xlfn._xlws.FILTER(PTS!T:T, (PTS!$C:$C=A16) * ISNUMBER(PTS!T:T)))</f>
        <v>0</v>
      </c>
      <c r="Q16" s="531" cm="1">
        <f t="array" ref="Q16">AVERAGE(_xlfn._xlws.FILTER(PTS!U:U, (PTS!$C:$C=A16) * ISNUMBER(PTS!U:U)))</f>
        <v>264.0181818181818</v>
      </c>
      <c r="S16" s="531">
        <f t="shared" si="3"/>
        <v>264.0181818181818</v>
      </c>
      <c r="T16" s="531" cm="1">
        <f t="array" ref="T16">AVERAGE(_xlfn._xlws.FILTER(PTS!X:X, (PTS!$C:$C=A16) * ISNUMBER(PTS!X:X)))</f>
        <v>52</v>
      </c>
      <c r="U16" s="531" cm="1">
        <f t="array" ref="U16">AVERAGE(_xlfn._xlws.FILTER(PTS!Y:Y, (PTS!$C:$C=A16) * ISNUMBER(PTS!Y:Y)))</f>
        <v>50.4</v>
      </c>
      <c r="V16" s="531" cm="1">
        <f t="array" ref="V16">AVERAGE(_xlfn._xlws.FILTER(PTS!Z:Z, (PTS!$C:$C=A16) * ISNUMBER(PTS!Z:Z)))</f>
        <v>26.25</v>
      </c>
      <c r="X16" s="531">
        <f t="shared" si="4"/>
        <v>128.65</v>
      </c>
      <c r="Y16" s="531" cm="1">
        <f t="array" ref="Y16">AVERAGE(_xlfn._xlws.FILTER(PTS!AC:AC, (PTS!$C:$C=A16) * ISNUMBER(PTS!AC:AC)))</f>
        <v>110.22727272727273</v>
      </c>
      <c r="Z16" s="531" cm="1">
        <f t="array" ref="Z16">AVERAGE(_xlfn._xlws.FILTER(PTS!AD:AD, (PTS!$C:$C=A16) * ISNUMBER(PTS!AD:AD)))</f>
        <v>107.04545454545455</v>
      </c>
      <c r="AB16" s="531">
        <f t="shared" si="5"/>
        <v>217.27272727272728</v>
      </c>
      <c r="AC16" s="10" cm="1">
        <f t="array" ref="AC16">AVERAGE(_xlfn._xlws.FILTER(PTS!AG:AG, (PTS!$C:$C=A16) * ISNUMBER(PTS!AG:AG)))</f>
        <v>28.814300000000003</v>
      </c>
      <c r="AD16" s="531" cm="1">
        <f t="array" ref="AD16">AVERAGE(_xlfn._xlws.FILTER(PTS!AH:AH, (PTS!$C:$C=A16) * ISNUMBER(PTS!AH:AH)))</f>
        <v>6.973140495867769</v>
      </c>
      <c r="AE16" s="531" cm="1">
        <f t="array" ref="AE16">AVERAGE(_xlfn._xlws.FILTER(PTS!AI:AI, (PTS!$C:$C=A16) * ISNUMBER(PTS!AI:AI)))</f>
        <v>12.587317427197677</v>
      </c>
      <c r="AF16" s="531" cm="1">
        <f t="array" ref="AF16">AVERAGE(_xlfn._xlws.FILTER(PTS!AJ:AJ, (PTS!$C:$C=A16) * ISNUMBER(PTS!AJ:AJ)))</f>
        <v>6.7351999999999999</v>
      </c>
      <c r="AH16" s="531">
        <f t="shared" si="6"/>
        <v>55.109957923065444</v>
      </c>
      <c r="AI16" s="10" cm="1">
        <f t="array" ref="AI16">AVERAGE(_xlfn._xlws.FILTER(PTS!AM:AM, (PTS!$C:$C=A16) * ISNUMBER(PTS!AM:AM)))</f>
        <v>79.999999999999986</v>
      </c>
      <c r="AJ16" s="10" cm="1">
        <f t="array" ref="AJ16">AVERAGE(_xlfn._xlws.FILTER(PTS!AN:AN, (PTS!$C:$C=A16) * ISNUMBER(PTS!AN:AN)))</f>
        <v>26.17808219178082</v>
      </c>
      <c r="AK16" s="10" cm="1">
        <f t="array" ref="AK16">AVERAGE(_xlfn._xlws.FILTER(PTS!AO:AO, (PTS!$C:$C=A16) * ISNUMBER(PTS!AO:AO)))</f>
        <v>0</v>
      </c>
      <c r="AN16" s="10">
        <f t="shared" si="7"/>
        <v>106.1780821917808</v>
      </c>
      <c r="AR16" s="531">
        <f t="shared" si="8"/>
        <v>809.14561587242201</v>
      </c>
      <c r="AS16" s="531">
        <f t="shared" si="9"/>
        <v>1044.145615872422</v>
      </c>
    </row>
    <row r="17" spans="1:45">
      <c r="A17" s="32" t="s">
        <v>101</v>
      </c>
      <c r="B17" s="319" t="s">
        <v>65</v>
      </c>
      <c r="C17" s="319" t="str">
        <f t="shared" si="0"/>
        <v>AthensAL</v>
      </c>
      <c r="D17" s="10">
        <f>VLOOKUP(A:A,PTS!C:R,6,FALSE)</f>
        <v>1</v>
      </c>
      <c r="E17" s="531" cm="1">
        <f t="array" ref="E17">AVERAGE(_xlfn._xlws.FILTER(PTS!I:I, (PTS!$C:$C=A17) * ISNUMBER(PTS!I:I)))</f>
        <v>43</v>
      </c>
      <c r="F17" s="10" cm="1">
        <f t="array" ref="F17">AVERAGE(_xlfn._xlws.FILTER(PTS!J:J, (PTS!$C:$C=A17) * ISNUMBER(PTS!J:J)))</f>
        <v>120</v>
      </c>
      <c r="G17" s="531" cm="1">
        <f t="array" ref="G17">AVERAGE(_xlfn._xlws.FILTER(PTS!K:K, (PTS!$C:$C=A17) * ISNUMBER(PTS!K:K)))</f>
        <v>150</v>
      </c>
      <c r="H17" s="531" cm="1">
        <f t="array" ref="H17">AVERAGE(_xlfn._xlws.FILTER(PTS!L:L, (PTS!$C:$C=A17) * ISNUMBER(PTS!L:L)))</f>
        <v>0</v>
      </c>
      <c r="I17" s="531" cm="1">
        <f t="array" ref="I17">AVERAGE(_xlfn._xlws.FILTER(PTS!M:M, (PTS!$C:$C=A17) * ISNUMBER(PTS!M:M)))</f>
        <v>10</v>
      </c>
      <c r="J17" s="531" cm="1">
        <f t="array" ref="J17">AVERAGE(_xlfn._xlws.FILTER(PTS!N:N, (PTS!$C:$C=A17) * ISNUMBER(PTS!N:N)))</f>
        <v>60</v>
      </c>
      <c r="K17" s="531" cm="1">
        <f t="array" ref="K17">AVERAGE(_xlfn._xlws.FILTER(PTS!O:O, (PTS!$C:$C=A17) * ISNUMBER(PTS!O:O)))</f>
        <v>37.916666666666671</v>
      </c>
      <c r="L17" s="10" cm="1">
        <f t="array" ref="L17">AVERAGE(_xlfn._xlws.FILTER(PTS!P:P, (PTS!$C:$C=A17) * ISNUMBER(PTS!P:P)))</f>
        <v>0</v>
      </c>
      <c r="M17" s="531">
        <f t="shared" si="1"/>
        <v>420.91666666666669</v>
      </c>
      <c r="N17" s="531">
        <f t="shared" si="2"/>
        <v>97.916666666666671</v>
      </c>
      <c r="O17" s="531" cm="1">
        <f t="array" ref="O17">AVERAGE(_xlfn._xlws.FILTER(PTS!S:S, (PTS!$C:$C=A17) * ISNUMBER(PTS!S:S)))</f>
        <v>0</v>
      </c>
      <c r="P17" s="531" cm="1">
        <f t="array" ref="P17">AVERAGE(_xlfn._xlws.FILTER(PTS!T:T, (PTS!$C:$C=A17) * ISNUMBER(PTS!T:T)))</f>
        <v>0</v>
      </c>
      <c r="Q17" s="531" cm="1">
        <f t="array" ref="Q17">AVERAGE(_xlfn._xlws.FILTER(PTS!U:U, (PTS!$C:$C=A17) * ISNUMBER(PTS!U:U)))</f>
        <v>331.92556818181822</v>
      </c>
      <c r="S17" s="531">
        <f t="shared" si="3"/>
        <v>331.92556818181822</v>
      </c>
      <c r="T17" s="531" cm="1">
        <f t="array" ref="T17">AVERAGE(_xlfn._xlws.FILTER(PTS!X:X, (PTS!$C:$C=A17) * ISNUMBER(PTS!X:X)))</f>
        <v>52</v>
      </c>
      <c r="U17" s="531" cm="1">
        <f t="array" ref="U17">AVERAGE(_xlfn._xlws.FILTER(PTS!Y:Y, (PTS!$C:$C=A17) * ISNUMBER(PTS!Y:Y)))</f>
        <v>50.4</v>
      </c>
      <c r="V17" s="531" cm="1">
        <f t="array" ref="V17">AVERAGE(_xlfn._xlws.FILTER(PTS!Z:Z, (PTS!$C:$C=A17) * ISNUMBER(PTS!Z:Z)))</f>
        <v>26.25</v>
      </c>
      <c r="X17" s="531">
        <f t="shared" si="4"/>
        <v>128.65</v>
      </c>
      <c r="Y17" s="531" cm="1">
        <f t="array" ref="Y17">AVERAGE(_xlfn._xlws.FILTER(PTS!AC:AC, (PTS!$C:$C=A17) * ISNUMBER(PTS!AC:AC)))</f>
        <v>110.22727272727273</v>
      </c>
      <c r="Z17" s="531" cm="1">
        <f t="array" ref="Z17">AVERAGE(_xlfn._xlws.FILTER(PTS!AD:AD, (PTS!$C:$C=A17) * ISNUMBER(PTS!AD:AD)))</f>
        <v>107.04545454545455</v>
      </c>
      <c r="AB17" s="531">
        <f t="shared" si="5"/>
        <v>217.27272727272728</v>
      </c>
      <c r="AC17" s="10" cm="1">
        <f t="array" ref="AC17">AVERAGE(_xlfn._xlws.FILTER(PTS!AG:AG, (PTS!$C:$C=A17) * ISNUMBER(PTS!AG:AG)))</f>
        <v>28.814300000000003</v>
      </c>
      <c r="AD17" s="531" cm="1">
        <f t="array" ref="AD17">AVERAGE(_xlfn._xlws.FILTER(PTS!AH:AH, (PTS!$C:$C=A17) * ISNUMBER(PTS!AH:AH)))</f>
        <v>6.973140495867769</v>
      </c>
      <c r="AE17" s="531" cm="1">
        <f t="array" ref="AE17">AVERAGE(_xlfn._xlws.FILTER(PTS!AI:AI, (PTS!$C:$C=A17) * ISNUMBER(PTS!AI:AI)))</f>
        <v>12.587317427197677</v>
      </c>
      <c r="AF17" s="531" cm="1">
        <f t="array" ref="AF17">AVERAGE(_xlfn._xlws.FILTER(PTS!AJ:AJ, (PTS!$C:$C=A17) * ISNUMBER(PTS!AJ:AJ)))</f>
        <v>6.7351999999999999</v>
      </c>
      <c r="AH17" s="531">
        <f t="shared" si="6"/>
        <v>55.109957923065444</v>
      </c>
      <c r="AI17" s="10" cm="1">
        <f t="array" ref="AI17">AVERAGE(_xlfn._xlws.FILTER(PTS!AM:AM, (PTS!$C:$C=A17) * ISNUMBER(PTS!AM:AM)))</f>
        <v>79.999999999999986</v>
      </c>
      <c r="AJ17" s="10" cm="1">
        <f t="array" ref="AJ17">AVERAGE(_xlfn._xlws.FILTER(PTS!AN:AN, (PTS!$C:$C=A17) * ISNUMBER(PTS!AN:AN)))</f>
        <v>26.17808219178082</v>
      </c>
      <c r="AK17" s="10" cm="1">
        <f t="array" ref="AK17">AVERAGE(_xlfn._xlws.FILTER(PTS!AO:AO, (PTS!$C:$C=A17) * ISNUMBER(PTS!AO:AO)))</f>
        <v>0</v>
      </c>
      <c r="AN17" s="10">
        <f t="shared" si="7"/>
        <v>106.1780821917808</v>
      </c>
      <c r="AR17" s="531">
        <f t="shared" si="8"/>
        <v>937.05300223605843</v>
      </c>
      <c r="AS17" s="531">
        <f t="shared" si="9"/>
        <v>1260.0530022360583</v>
      </c>
    </row>
    <row r="18" spans="1:45">
      <c r="A18" s="32" t="s">
        <v>104</v>
      </c>
      <c r="B18" s="319" t="s">
        <v>76</v>
      </c>
      <c r="C18" s="319" t="str">
        <f t="shared" si="0"/>
        <v>BainbridgeGA</v>
      </c>
      <c r="D18" s="10">
        <f>VLOOKUP(A:A,PTS!C:R,6,FALSE)</f>
        <v>4</v>
      </c>
      <c r="E18" s="531" cm="1">
        <f t="array" ref="E18">AVERAGE(_xlfn._xlws.FILTER(PTS!I:I, (PTS!$C:$C=A18) * ISNUMBER(PTS!I:I)))</f>
        <v>0</v>
      </c>
      <c r="F18" s="10" cm="1">
        <f t="array" ref="F18">AVERAGE(_xlfn._xlws.FILTER(PTS!J:J, (PTS!$C:$C=A18) * ISNUMBER(PTS!J:J)))</f>
        <v>0</v>
      </c>
      <c r="G18" s="531" cm="1">
        <f t="array" ref="G18">AVERAGE(_xlfn._xlws.FILTER(PTS!K:K, (PTS!$C:$C=A18) * ISNUMBER(PTS!K:K)))</f>
        <v>0</v>
      </c>
      <c r="H18" s="531" cm="1">
        <f t="array" ref="H18">AVERAGE(_xlfn._xlws.FILTER(PTS!L:L, (PTS!$C:$C=A18) * ISNUMBER(PTS!L:L)))</f>
        <v>0</v>
      </c>
      <c r="I18" s="531" cm="1">
        <f t="array" ref="I18">AVERAGE(_xlfn._xlws.FILTER(PTS!M:M, (PTS!$C:$C=A18) * ISNUMBER(PTS!M:M)))</f>
        <v>0</v>
      </c>
      <c r="J18" s="531" cm="1">
        <f t="array" ref="J18">AVERAGE(_xlfn._xlws.FILTER(PTS!N:N, (PTS!$C:$C=A18) * ISNUMBER(PTS!N:N)))</f>
        <v>50</v>
      </c>
      <c r="K18" s="531" cm="1">
        <f t="array" ref="K18">AVERAGE(_xlfn._xlws.FILTER(PTS!O:O, (PTS!$C:$C=A18) * ISNUMBER(PTS!O:O)))</f>
        <v>37.916666666666671</v>
      </c>
      <c r="L18" s="10" cm="1">
        <f t="array" ref="L18">AVERAGE(_xlfn._xlws.FILTER(PTS!P:P, (PTS!$C:$C=A18) * ISNUMBER(PTS!P:P)))</f>
        <v>0</v>
      </c>
      <c r="M18" s="531">
        <f t="shared" si="1"/>
        <v>87.916666666666671</v>
      </c>
      <c r="N18" s="531">
        <f t="shared" si="2"/>
        <v>37.916666666666671</v>
      </c>
      <c r="O18" s="531" cm="1">
        <f t="array" ref="O18">AVERAGE(_xlfn._xlws.FILTER(PTS!S:S, (PTS!$C:$C=A18) * ISNUMBER(PTS!S:S)))</f>
        <v>0</v>
      </c>
      <c r="P18" s="531" cm="1">
        <f t="array" ref="P18">AVERAGE(_xlfn._xlws.FILTER(PTS!T:T, (PTS!$C:$C=A18) * ISNUMBER(PTS!T:T)))</f>
        <v>0</v>
      </c>
      <c r="Q18" s="531" cm="1">
        <f t="array" ref="Q18">AVERAGE(_xlfn._xlws.FILTER(PTS!U:U, (PTS!$C:$C=A18) * ISNUMBER(PTS!U:U)))</f>
        <v>263.5977272727273</v>
      </c>
      <c r="S18" s="531">
        <f t="shared" si="3"/>
        <v>263.5977272727273</v>
      </c>
      <c r="T18" s="531" cm="1">
        <f t="array" ref="T18">AVERAGE(_xlfn._xlws.FILTER(PTS!X:X, (PTS!$C:$C=A18) * ISNUMBER(PTS!X:X)))</f>
        <v>52</v>
      </c>
      <c r="U18" s="531" cm="1">
        <f t="array" ref="U18">AVERAGE(_xlfn._xlws.FILTER(PTS!Y:Y, (PTS!$C:$C=A18) * ISNUMBER(PTS!Y:Y)))</f>
        <v>50.4</v>
      </c>
      <c r="V18" s="531" cm="1">
        <f t="array" ref="V18">AVERAGE(_xlfn._xlws.FILTER(PTS!Z:Z, (PTS!$C:$C=A18) * ISNUMBER(PTS!Z:Z)))</f>
        <v>26.25</v>
      </c>
      <c r="X18" s="531">
        <f t="shared" si="4"/>
        <v>128.65</v>
      </c>
      <c r="Y18" s="531" cm="1">
        <f t="array" ref="Y18">AVERAGE(_xlfn._xlws.FILTER(PTS!AC:AC, (PTS!$C:$C=A18) * ISNUMBER(PTS!AC:AC)))</f>
        <v>110.22727272727273</v>
      </c>
      <c r="Z18" s="531" cm="1">
        <f t="array" ref="Z18">AVERAGE(_xlfn._xlws.FILTER(PTS!AD:AD, (PTS!$C:$C=A18) * ISNUMBER(PTS!AD:AD)))</f>
        <v>107.04545454545455</v>
      </c>
      <c r="AB18" s="531">
        <f t="shared" si="5"/>
        <v>217.27272727272728</v>
      </c>
      <c r="AC18" s="10" cm="1">
        <f t="array" ref="AC18">AVERAGE(_xlfn._xlws.FILTER(PTS!AG:AG, (PTS!$C:$C=A18) * ISNUMBER(PTS!AG:AG)))</f>
        <v>28.814300000000003</v>
      </c>
      <c r="AD18" s="531" cm="1">
        <f t="array" ref="AD18">AVERAGE(_xlfn._xlws.FILTER(PTS!AH:AH, (PTS!$C:$C=A18) * ISNUMBER(PTS!AH:AH)))</f>
        <v>6.973140495867769</v>
      </c>
      <c r="AE18" s="531" cm="1">
        <f t="array" ref="AE18">AVERAGE(_xlfn._xlws.FILTER(PTS!AI:AI, (PTS!$C:$C=A18) * ISNUMBER(PTS!AI:AI)))</f>
        <v>12.587317427197677</v>
      </c>
      <c r="AF18" s="531" cm="1">
        <f t="array" ref="AF18">AVERAGE(_xlfn._xlws.FILTER(PTS!AJ:AJ, (PTS!$C:$C=A18) * ISNUMBER(PTS!AJ:AJ)))</f>
        <v>6.7351999999999999</v>
      </c>
      <c r="AH18" s="531">
        <f t="shared" si="6"/>
        <v>55.109957923065444</v>
      </c>
      <c r="AI18" s="10" cm="1">
        <f t="array" ref="AI18">AVERAGE(_xlfn._xlws.FILTER(PTS!AM:AM, (PTS!$C:$C=A18) * ISNUMBER(PTS!AM:AM)))</f>
        <v>79.999999999999986</v>
      </c>
      <c r="AJ18" s="10" cm="1">
        <f t="array" ref="AJ18">AVERAGE(_xlfn._xlws.FILTER(PTS!AN:AN, (PTS!$C:$C=A18) * ISNUMBER(PTS!AN:AN)))</f>
        <v>26.17808219178082</v>
      </c>
      <c r="AK18" s="10" cm="1">
        <f t="array" ref="AK18">AVERAGE(_xlfn._xlws.FILTER(PTS!AO:AO, (PTS!$C:$C=A18) * ISNUMBER(PTS!AO:AO)))</f>
        <v>0</v>
      </c>
      <c r="AN18" s="10">
        <f t="shared" si="7"/>
        <v>106.1780821917808</v>
      </c>
      <c r="AR18" s="531">
        <f t="shared" si="8"/>
        <v>808.72516132696751</v>
      </c>
      <c r="AS18" s="531">
        <f t="shared" si="9"/>
        <v>858.72516132696751</v>
      </c>
    </row>
    <row r="19" spans="1:45">
      <c r="A19" s="32" t="s">
        <v>107</v>
      </c>
      <c r="B19" s="319" t="s">
        <v>108</v>
      </c>
      <c r="C19" s="319" t="str">
        <f t="shared" si="0"/>
        <v>BakersfieldCA</v>
      </c>
      <c r="D19" s="10">
        <f>VLOOKUP(A:A,PTS!C:R,6,FALSE)</f>
        <v>5</v>
      </c>
      <c r="E19" s="531" cm="1">
        <f t="array" ref="E19">AVERAGE(_xlfn._xlws.FILTER(PTS!I:I, (PTS!$C:$C=A19) * ISNUMBER(PTS!I:I)))</f>
        <v>26.666666666666668</v>
      </c>
      <c r="F19" s="10" cm="1">
        <f t="array" ref="F19">AVERAGE(_xlfn._xlws.FILTER(PTS!J:J, (PTS!$C:$C=A19) * ISNUMBER(PTS!J:J)))</f>
        <v>190</v>
      </c>
      <c r="G19" s="531" cm="1">
        <f t="array" ref="G19">AVERAGE(_xlfn._xlws.FILTER(PTS!K:K, (PTS!$C:$C=A19) * ISNUMBER(PTS!K:K)))</f>
        <v>63.333333333333336</v>
      </c>
      <c r="H19" s="531" cm="1">
        <f t="array" ref="H19">AVERAGE(_xlfn._xlws.FILTER(PTS!L:L, (PTS!$C:$C=A19) * ISNUMBER(PTS!L:L)))</f>
        <v>0</v>
      </c>
      <c r="I19" s="531" cm="1">
        <f t="array" ref="I19">AVERAGE(_xlfn._xlws.FILTER(PTS!M:M, (PTS!$C:$C=A19) * ISNUMBER(PTS!M:M)))</f>
        <v>10</v>
      </c>
      <c r="J19" s="531" cm="1">
        <f t="array" ref="J19">AVERAGE(_xlfn._xlws.FILTER(PTS!N:N, (PTS!$C:$C=A19) * ISNUMBER(PTS!N:N)))</f>
        <v>98</v>
      </c>
      <c r="K19" s="531" cm="1">
        <f t="array" ref="K19">AVERAGE(_xlfn._xlws.FILTER(PTS!O:O, (PTS!$C:$C=A19) * ISNUMBER(PTS!O:O)))</f>
        <v>37.916666666666671</v>
      </c>
      <c r="L19" s="10" t="e" cm="1" vm="1">
        <f t="array" ref="L19">AVERAGE(_xlfn._xlws.FILTER(PTS!P:P, (PTS!$C:$C=A19) * ISNUMBER(PTS!P:P)))</f>
        <v>#VALUE!</v>
      </c>
      <c r="M19" s="531" t="e" vm="2">
        <f t="shared" si="1"/>
        <v>#VALUE!</v>
      </c>
      <c r="N19" s="531" t="e">
        <f t="shared" si="2"/>
        <v>#VALUE!</v>
      </c>
      <c r="O19" s="531" cm="1">
        <f t="array" ref="O19">AVERAGE(_xlfn._xlws.FILTER(PTS!S:S, (PTS!$C:$C=A19) * ISNUMBER(PTS!S:S)))</f>
        <v>0</v>
      </c>
      <c r="P19" s="531" cm="1">
        <f t="array" ref="P19">AVERAGE(_xlfn._xlws.FILTER(PTS!T:T, (PTS!$C:$C=A19) * ISNUMBER(PTS!T:T)))</f>
        <v>0</v>
      </c>
      <c r="Q19" s="531" t="e" cm="1" vm="1">
        <f t="array" ref="Q19">AVERAGE(_xlfn._xlws.FILTER(PTS!U:U, (PTS!$C:$C=A19) * ISNUMBER(PTS!U:U)))</f>
        <v>#VALUE!</v>
      </c>
      <c r="S19" s="531" t="e" vm="2">
        <f t="shared" si="3"/>
        <v>#VALUE!</v>
      </c>
      <c r="T19" s="531" t="e" cm="1" vm="1">
        <f t="array" ref="T19">AVERAGE(_xlfn._xlws.FILTER(PTS!X:X, (PTS!$C:$C=A19) * ISNUMBER(PTS!X:X)))</f>
        <v>#VALUE!</v>
      </c>
      <c r="U19" s="531" t="e" cm="1" vm="1">
        <f t="array" ref="U19">AVERAGE(_xlfn._xlws.FILTER(PTS!Y:Y, (PTS!$C:$C=A19) * ISNUMBER(PTS!Y:Y)))</f>
        <v>#VALUE!</v>
      </c>
      <c r="V19" s="531" cm="1">
        <f t="array" ref="V19">AVERAGE(_xlfn._xlws.FILTER(PTS!Z:Z, (PTS!$C:$C=A19) * ISNUMBER(PTS!Z:Z)))</f>
        <v>26.25</v>
      </c>
      <c r="X19" s="531" t="e" vm="2">
        <f t="shared" si="4"/>
        <v>#VALUE!</v>
      </c>
      <c r="Y19" s="531" t="e" cm="1" vm="1">
        <f t="array" ref="Y19">AVERAGE(_xlfn._xlws.FILTER(PTS!AC:AC, (PTS!$C:$C=A19) * ISNUMBER(PTS!AC:AC)))</f>
        <v>#VALUE!</v>
      </c>
      <c r="Z19" s="531" t="e" cm="1" vm="1">
        <f t="array" ref="Z19">AVERAGE(_xlfn._xlws.FILTER(PTS!AD:AD, (PTS!$C:$C=A19) * ISNUMBER(PTS!AD:AD)))</f>
        <v>#VALUE!</v>
      </c>
      <c r="AB19" s="531" t="e" vm="2">
        <f t="shared" si="5"/>
        <v>#VALUE!</v>
      </c>
      <c r="AC19" s="10" cm="1">
        <f t="array" ref="AC19">AVERAGE(_xlfn._xlws.FILTER(PTS!AG:AG, (PTS!$C:$C=A19) * ISNUMBER(PTS!AG:AG)))</f>
        <v>28.814300000000003</v>
      </c>
      <c r="AD19" s="531" cm="1">
        <f t="array" ref="AD19">AVERAGE(_xlfn._xlws.FILTER(PTS!AH:AH, (PTS!$C:$C=A19) * ISNUMBER(PTS!AH:AH)))</f>
        <v>6.9731404958677699</v>
      </c>
      <c r="AE19" s="531" cm="1">
        <f t="array" ref="AE19">AVERAGE(_xlfn._xlws.FILTER(PTS!AI:AI, (PTS!$C:$C=A19) * ISNUMBER(PTS!AI:AI)))</f>
        <v>12.587317427197677</v>
      </c>
      <c r="AF19" s="531" cm="1">
        <f t="array" ref="AF19">AVERAGE(_xlfn._xlws.FILTER(PTS!AJ:AJ, (PTS!$C:$C=A19) * ISNUMBER(PTS!AJ:AJ)))</f>
        <v>6.7351999999999999</v>
      </c>
      <c r="AH19" s="531">
        <f t="shared" si="6"/>
        <v>55.109957923065444</v>
      </c>
      <c r="AI19" s="10" cm="1">
        <f t="array" ref="AI19">AVERAGE(_xlfn._xlws.FILTER(PTS!AM:AM, (PTS!$C:$C=A19) * ISNUMBER(PTS!AM:AM)))</f>
        <v>79.999999999999986</v>
      </c>
      <c r="AJ19" s="10" cm="1">
        <f t="array" ref="AJ19">AVERAGE(_xlfn._xlws.FILTER(PTS!AN:AN, (PTS!$C:$C=A19) * ISNUMBER(PTS!AN:AN)))</f>
        <v>26.17808219178082</v>
      </c>
      <c r="AK19" s="10" cm="1">
        <f t="array" ref="AK19">AVERAGE(_xlfn._xlws.FILTER(PTS!AO:AO, (PTS!$C:$C=A19) * ISNUMBER(PTS!AO:AO)))</f>
        <v>0</v>
      </c>
      <c r="AN19" s="10">
        <f t="shared" si="7"/>
        <v>106.1780821917808</v>
      </c>
      <c r="AR19" s="531" t="e">
        <f t="shared" si="8"/>
        <v>#VALUE!</v>
      </c>
      <c r="AS19" s="531" t="e" vm="2">
        <f t="shared" si="9"/>
        <v>#VALUE!</v>
      </c>
    </row>
    <row r="20" spans="1:45">
      <c r="A20" s="32" t="s">
        <v>113</v>
      </c>
      <c r="B20" s="319" t="s">
        <v>71</v>
      </c>
      <c r="C20" s="319" t="str">
        <f t="shared" si="0"/>
        <v>BallingerTX</v>
      </c>
      <c r="D20" s="10">
        <f>VLOOKUP(A:A,PTS!C:R,6,FALSE)</f>
        <v>2</v>
      </c>
      <c r="E20" s="531" cm="1">
        <f t="array" ref="E20">AVERAGE(_xlfn._xlws.FILTER(PTS!I:I, (PTS!$C:$C=A20) * ISNUMBER(PTS!I:I)))</f>
        <v>102</v>
      </c>
      <c r="F20" s="10" cm="1">
        <f t="array" ref="F20">AVERAGE(_xlfn._xlws.FILTER(PTS!J:J, (PTS!$C:$C=A20) * ISNUMBER(PTS!J:J)))</f>
        <v>125</v>
      </c>
      <c r="G20" s="531" cm="1">
        <f t="array" ref="G20">AVERAGE(_xlfn._xlws.FILTER(PTS!K:K, (PTS!$C:$C=A20) * ISNUMBER(PTS!K:K)))</f>
        <v>240</v>
      </c>
      <c r="H20" s="531" cm="1">
        <f t="array" ref="H20">AVERAGE(_xlfn._xlws.FILTER(PTS!L:L, (PTS!$C:$C=A20) * ISNUMBER(PTS!L:L)))</f>
        <v>0</v>
      </c>
      <c r="I20" s="531" cm="1">
        <f t="array" ref="I20">AVERAGE(_xlfn._xlws.FILTER(PTS!M:M, (PTS!$C:$C=A20) * ISNUMBER(PTS!M:M)))</f>
        <v>0</v>
      </c>
      <c r="J20" s="531" cm="1">
        <f t="array" ref="J20">AVERAGE(_xlfn._xlws.FILTER(PTS!N:N, (PTS!$C:$C=A20) * ISNUMBER(PTS!N:N)))</f>
        <v>57</v>
      </c>
      <c r="K20" s="531" cm="1">
        <f t="array" ref="K20">AVERAGE(_xlfn._xlws.FILTER(PTS!O:O, (PTS!$C:$C=A20) * ISNUMBER(PTS!O:O)))</f>
        <v>37.916666666666671</v>
      </c>
      <c r="L20" s="10" cm="1">
        <f t="array" ref="L20">AVERAGE(_xlfn._xlws.FILTER(PTS!P:P, (PTS!$C:$C=A20) * ISNUMBER(PTS!P:P)))</f>
        <v>0</v>
      </c>
      <c r="M20" s="531">
        <f t="shared" si="1"/>
        <v>561.91666666666663</v>
      </c>
      <c r="N20" s="531">
        <f t="shared" si="2"/>
        <v>334.91666666666669</v>
      </c>
      <c r="O20" s="531" cm="1">
        <f t="array" ref="O20">AVERAGE(_xlfn._xlws.FILTER(PTS!S:S, (PTS!$C:$C=A20) * ISNUMBER(PTS!S:S)))</f>
        <v>0</v>
      </c>
      <c r="P20" s="531" cm="1">
        <f t="array" ref="P20">AVERAGE(_xlfn._xlws.FILTER(PTS!T:T, (PTS!$C:$C=A20) * ISNUMBER(PTS!T:T)))</f>
        <v>0</v>
      </c>
      <c r="Q20" s="531" cm="1">
        <f t="array" ref="Q20">AVERAGE(_xlfn._xlws.FILTER(PTS!U:U, (PTS!$C:$C=A20) * ISNUMBER(PTS!U:U)))</f>
        <v>238.92045454545456</v>
      </c>
      <c r="S20" s="531">
        <f t="shared" si="3"/>
        <v>238.92045454545456</v>
      </c>
      <c r="T20" s="531" cm="1">
        <f t="array" ref="T20">AVERAGE(_xlfn._xlws.FILTER(PTS!X:X, (PTS!$C:$C=A20) * ISNUMBER(PTS!X:X)))</f>
        <v>54</v>
      </c>
      <c r="U20" s="531" cm="1">
        <f t="array" ref="U20">AVERAGE(_xlfn._xlws.FILTER(PTS!Y:Y, (PTS!$C:$C=A20) * ISNUMBER(PTS!Y:Y)))</f>
        <v>50.4</v>
      </c>
      <c r="V20" s="531" cm="1">
        <f t="array" ref="V20">AVERAGE(_xlfn._xlws.FILTER(PTS!Z:Z, (PTS!$C:$C=A20) * ISNUMBER(PTS!Z:Z)))</f>
        <v>26.25</v>
      </c>
      <c r="X20" s="531">
        <f t="shared" si="4"/>
        <v>130.65</v>
      </c>
      <c r="Y20" s="531" cm="1">
        <f t="array" ref="Y20">AVERAGE(_xlfn._xlws.FILTER(PTS!AC:AC, (PTS!$C:$C=A20) * ISNUMBER(PTS!AC:AC)))</f>
        <v>147.72727272727272</v>
      </c>
      <c r="Z20" s="531" cm="1">
        <f t="array" ref="Z20">AVERAGE(_xlfn._xlws.FILTER(PTS!AD:AD, (PTS!$C:$C=A20) * ISNUMBER(PTS!AD:AD)))</f>
        <v>233.06818181818181</v>
      </c>
      <c r="AB20" s="531">
        <f t="shared" si="5"/>
        <v>380.7954545454545</v>
      </c>
      <c r="AC20" s="10" cm="1">
        <f t="array" ref="AC20">AVERAGE(_xlfn._xlws.FILTER(PTS!AG:AG, (PTS!$C:$C=A20) * ISNUMBER(PTS!AG:AG)))</f>
        <v>28.814300000000003</v>
      </c>
      <c r="AD20" s="531" cm="1">
        <f t="array" ref="AD20">AVERAGE(_xlfn._xlws.FILTER(PTS!AH:AH, (PTS!$C:$C=A20) * ISNUMBER(PTS!AH:AH)))</f>
        <v>6.973140495867769</v>
      </c>
      <c r="AE20" s="531" cm="1">
        <f t="array" ref="AE20">AVERAGE(_xlfn._xlws.FILTER(PTS!AI:AI, (PTS!$C:$C=A20) * ISNUMBER(PTS!AI:AI)))</f>
        <v>12.587317427197677</v>
      </c>
      <c r="AF20" s="531" cm="1">
        <f t="array" ref="AF20">AVERAGE(_xlfn._xlws.FILTER(PTS!AJ:AJ, (PTS!$C:$C=A20) * ISNUMBER(PTS!AJ:AJ)))</f>
        <v>6.7351999999999999</v>
      </c>
      <c r="AH20" s="531">
        <f t="shared" si="6"/>
        <v>55.109957923065444</v>
      </c>
      <c r="AI20" s="10" cm="1">
        <f t="array" ref="AI20">AVERAGE(_xlfn._xlws.FILTER(PTS!AM:AM, (PTS!$C:$C=A20) * ISNUMBER(PTS!AM:AM)))</f>
        <v>79.999999999999986</v>
      </c>
      <c r="AJ20" s="10" cm="1">
        <f t="array" ref="AJ20">AVERAGE(_xlfn._xlws.FILTER(PTS!AN:AN, (PTS!$C:$C=A20) * ISNUMBER(PTS!AN:AN)))</f>
        <v>26.17808219178082</v>
      </c>
      <c r="AK20" s="10" cm="1">
        <f t="array" ref="AK20">AVERAGE(_xlfn._xlws.FILTER(PTS!AO:AO, (PTS!$C:$C=A20) * ISNUMBER(PTS!AO:AO)))</f>
        <v>0</v>
      </c>
      <c r="AN20" s="10">
        <f t="shared" si="7"/>
        <v>106.1780821917808</v>
      </c>
      <c r="AR20" s="531">
        <f t="shared" si="8"/>
        <v>1246.5706158724217</v>
      </c>
      <c r="AS20" s="531">
        <f t="shared" si="9"/>
        <v>1473.5706158724217</v>
      </c>
    </row>
    <row r="21" spans="1:45">
      <c r="A21" s="32" t="s">
        <v>116</v>
      </c>
      <c r="B21" s="319" t="s">
        <v>76</v>
      </c>
      <c r="C21" s="319" t="str">
        <f t="shared" si="0"/>
        <v>BartowGA</v>
      </c>
      <c r="D21" s="10">
        <f>VLOOKUP(A:A,PTS!C:R,6,FALSE)</f>
        <v>4</v>
      </c>
      <c r="E21" s="531" cm="1">
        <f t="array" ref="E21">AVERAGE(_xlfn._xlws.FILTER(PTS!I:I, (PTS!$C:$C=A21) * ISNUMBER(PTS!I:I)))</f>
        <v>60</v>
      </c>
      <c r="F21" s="10" cm="1">
        <f t="array" ref="F21">AVERAGE(_xlfn._xlws.FILTER(PTS!J:J, (PTS!$C:$C=A21) * ISNUMBER(PTS!J:J)))</f>
        <v>90</v>
      </c>
      <c r="G21" s="531" cm="1">
        <f t="array" ref="G21">AVERAGE(_xlfn._xlws.FILTER(PTS!K:K, (PTS!$C:$C=A21) * ISNUMBER(PTS!K:K)))</f>
        <v>0</v>
      </c>
      <c r="H21" s="531" cm="1">
        <f t="array" ref="H21">AVERAGE(_xlfn._xlws.FILTER(PTS!L:L, (PTS!$C:$C=A21) * ISNUMBER(PTS!L:L)))</f>
        <v>0</v>
      </c>
      <c r="I21" s="531" cm="1">
        <f t="array" ref="I21">AVERAGE(_xlfn._xlws.FILTER(PTS!M:M, (PTS!$C:$C=A21) * ISNUMBER(PTS!M:M)))</f>
        <v>0</v>
      </c>
      <c r="J21" s="531" cm="1">
        <f t="array" ref="J21">AVERAGE(_xlfn._xlws.FILTER(PTS!N:N, (PTS!$C:$C=A21) * ISNUMBER(PTS!N:N)))</f>
        <v>40</v>
      </c>
      <c r="K21" s="531" cm="1">
        <f t="array" ref="K21">AVERAGE(_xlfn._xlws.FILTER(PTS!O:O, (PTS!$C:$C=A21) * ISNUMBER(PTS!O:O)))</f>
        <v>37.916666666666671</v>
      </c>
      <c r="L21" s="10" cm="1">
        <f t="array" ref="L21">AVERAGE(_xlfn._xlws.FILTER(PTS!P:P, (PTS!$C:$C=A21) * ISNUMBER(PTS!P:P)))</f>
        <v>0</v>
      </c>
      <c r="M21" s="531">
        <f t="shared" si="1"/>
        <v>227.91666666666669</v>
      </c>
      <c r="N21" s="531">
        <f t="shared" si="2"/>
        <v>37.916666666666671</v>
      </c>
      <c r="O21" s="531" cm="1">
        <f t="array" ref="O21">AVERAGE(_xlfn._xlws.FILTER(PTS!S:S, (PTS!$C:$C=A21) * ISNUMBER(PTS!S:S)))</f>
        <v>0</v>
      </c>
      <c r="P21" s="531" cm="1">
        <f t="array" ref="P21">AVERAGE(_xlfn._xlws.FILTER(PTS!T:T, (PTS!$C:$C=A21) * ISNUMBER(PTS!T:T)))</f>
        <v>0</v>
      </c>
      <c r="Q21" s="531" cm="1">
        <f t="array" ref="Q21">AVERAGE(_xlfn._xlws.FILTER(PTS!U:U, (PTS!$C:$C=A21) * ISNUMBER(PTS!U:U)))</f>
        <v>182.74204545454549</v>
      </c>
      <c r="S21" s="531">
        <f t="shared" si="3"/>
        <v>182.74204545454549</v>
      </c>
      <c r="T21" s="531" cm="1">
        <f t="array" ref="T21">AVERAGE(_xlfn._xlws.FILTER(PTS!X:X, (PTS!$C:$C=A21) * ISNUMBER(PTS!X:X)))</f>
        <v>52</v>
      </c>
      <c r="U21" s="531" cm="1">
        <f t="array" ref="U21">AVERAGE(_xlfn._xlws.FILTER(PTS!Y:Y, (PTS!$C:$C=A21) * ISNUMBER(PTS!Y:Y)))</f>
        <v>50.4</v>
      </c>
      <c r="V21" s="531" cm="1">
        <f t="array" ref="V21">AVERAGE(_xlfn._xlws.FILTER(PTS!Z:Z, (PTS!$C:$C=A21) * ISNUMBER(PTS!Z:Z)))</f>
        <v>26.25</v>
      </c>
      <c r="X21" s="531">
        <f t="shared" si="4"/>
        <v>128.65</v>
      </c>
      <c r="Y21" s="531" cm="1">
        <f t="array" ref="Y21">AVERAGE(_xlfn._xlws.FILTER(PTS!AC:AC, (PTS!$C:$C=A21) * ISNUMBER(PTS!AC:AC)))</f>
        <v>110.22727272727273</v>
      </c>
      <c r="Z21" s="531" cm="1">
        <f t="array" ref="Z21">AVERAGE(_xlfn._xlws.FILTER(PTS!AD:AD, (PTS!$C:$C=A21) * ISNUMBER(PTS!AD:AD)))</f>
        <v>107.04545454545455</v>
      </c>
      <c r="AB21" s="531">
        <f t="shared" si="5"/>
        <v>217.27272727272728</v>
      </c>
      <c r="AC21" s="10" cm="1">
        <f t="array" ref="AC21">AVERAGE(_xlfn._xlws.FILTER(PTS!AG:AG, (PTS!$C:$C=A21) * ISNUMBER(PTS!AG:AG)))</f>
        <v>28.814300000000003</v>
      </c>
      <c r="AD21" s="531" cm="1">
        <f t="array" ref="AD21">AVERAGE(_xlfn._xlws.FILTER(PTS!AH:AH, (PTS!$C:$C=A21) * ISNUMBER(PTS!AH:AH)))</f>
        <v>6.973140495867769</v>
      </c>
      <c r="AE21" s="531" cm="1">
        <f t="array" ref="AE21">AVERAGE(_xlfn._xlws.FILTER(PTS!AI:AI, (PTS!$C:$C=A21) * ISNUMBER(PTS!AI:AI)))</f>
        <v>12.587317427197677</v>
      </c>
      <c r="AF21" s="531" cm="1">
        <f t="array" ref="AF21">AVERAGE(_xlfn._xlws.FILTER(PTS!AJ:AJ, (PTS!$C:$C=A21) * ISNUMBER(PTS!AJ:AJ)))</f>
        <v>6.7351999999999999</v>
      </c>
      <c r="AH21" s="531">
        <f t="shared" si="6"/>
        <v>55.109957923065444</v>
      </c>
      <c r="AI21" s="10" cm="1">
        <f t="array" ref="AI21">AVERAGE(_xlfn._xlws.FILTER(PTS!AM:AM, (PTS!$C:$C=A21) * ISNUMBER(PTS!AM:AM)))</f>
        <v>79.999999999999986</v>
      </c>
      <c r="AJ21" s="10" cm="1">
        <f t="array" ref="AJ21">AVERAGE(_xlfn._xlws.FILTER(PTS!AN:AN, (PTS!$C:$C=A21) * ISNUMBER(PTS!AN:AN)))</f>
        <v>26.17808219178082</v>
      </c>
      <c r="AK21" s="10" cm="1">
        <f t="array" ref="AK21">AVERAGE(_xlfn._xlws.FILTER(PTS!AO:AO, (PTS!$C:$C=A21) * ISNUMBER(PTS!AO:AO)))</f>
        <v>0</v>
      </c>
      <c r="AN21" s="10">
        <f t="shared" si="7"/>
        <v>106.1780821917808</v>
      </c>
      <c r="AR21" s="531">
        <f t="shared" si="8"/>
        <v>727.86947950878562</v>
      </c>
      <c r="AS21" s="531">
        <f t="shared" si="9"/>
        <v>917.86947950878562</v>
      </c>
    </row>
    <row r="22" spans="1:45">
      <c r="A22" s="32" t="s">
        <v>119</v>
      </c>
      <c r="B22" s="319" t="s">
        <v>76</v>
      </c>
      <c r="C22" s="319" t="str">
        <f t="shared" si="0"/>
        <v>BaxleyGA</v>
      </c>
      <c r="D22" s="10">
        <f>VLOOKUP(A:A,PTS!C:R,6,FALSE)</f>
        <v>4</v>
      </c>
      <c r="E22" s="531" cm="1">
        <f t="array" ref="E22">AVERAGE(_xlfn._xlws.FILTER(PTS!I:I, (PTS!$C:$C=A22) * ISNUMBER(PTS!I:I)))</f>
        <v>59</v>
      </c>
      <c r="F22" s="10" cm="1">
        <f t="array" ref="F22">AVERAGE(_xlfn._xlws.FILTER(PTS!J:J, (PTS!$C:$C=A22) * ISNUMBER(PTS!J:J)))</f>
        <v>100</v>
      </c>
      <c r="G22" s="531" cm="1">
        <f t="array" ref="G22">AVERAGE(_xlfn._xlws.FILTER(PTS!K:K, (PTS!$C:$C=A22) * ISNUMBER(PTS!K:K)))</f>
        <v>0</v>
      </c>
      <c r="H22" s="531" cm="1">
        <f t="array" ref="H22">AVERAGE(_xlfn._xlws.FILTER(PTS!L:L, (PTS!$C:$C=A22) * ISNUMBER(PTS!L:L)))</f>
        <v>0</v>
      </c>
      <c r="I22" s="531" cm="1">
        <f t="array" ref="I22">AVERAGE(_xlfn._xlws.FILTER(PTS!M:M, (PTS!$C:$C=A22) * ISNUMBER(PTS!M:M)))</f>
        <v>0</v>
      </c>
      <c r="J22" s="531" cm="1">
        <f t="array" ref="J22">AVERAGE(_xlfn._xlws.FILTER(PTS!N:N, (PTS!$C:$C=A22) * ISNUMBER(PTS!N:N)))</f>
        <v>60</v>
      </c>
      <c r="K22" s="531" cm="1">
        <f t="array" ref="K22">AVERAGE(_xlfn._xlws.FILTER(PTS!O:O, (PTS!$C:$C=A22) * ISNUMBER(PTS!O:O)))</f>
        <v>37.916666666666671</v>
      </c>
      <c r="L22" s="10" cm="1">
        <f t="array" ref="L22">AVERAGE(_xlfn._xlws.FILTER(PTS!P:P, (PTS!$C:$C=A22) * ISNUMBER(PTS!P:P)))</f>
        <v>0</v>
      </c>
      <c r="M22" s="531">
        <f t="shared" si="1"/>
        <v>256.91666666666669</v>
      </c>
      <c r="N22" s="531">
        <f t="shared" si="2"/>
        <v>37.916666666666671</v>
      </c>
      <c r="O22" s="531" cm="1">
        <f t="array" ref="O22">AVERAGE(_xlfn._xlws.FILTER(PTS!S:S, (PTS!$C:$C=A22) * ISNUMBER(PTS!S:S)))</f>
        <v>0</v>
      </c>
      <c r="P22" s="531" cm="1">
        <f t="array" ref="P22">AVERAGE(_xlfn._xlws.FILTER(PTS!T:T, (PTS!$C:$C=A22) * ISNUMBER(PTS!T:T)))</f>
        <v>0</v>
      </c>
      <c r="Q22" s="531" cm="1">
        <f t="array" ref="Q22">AVERAGE(_xlfn._xlws.FILTER(PTS!U:U, (PTS!$C:$C=A22) * ISNUMBER(PTS!U:U)))</f>
        <v>173.79318181818181</v>
      </c>
      <c r="S22" s="531">
        <f t="shared" si="3"/>
        <v>173.79318181818181</v>
      </c>
      <c r="T22" s="531" cm="1">
        <f t="array" ref="T22">AVERAGE(_xlfn._xlws.FILTER(PTS!X:X, (PTS!$C:$C=A22) * ISNUMBER(PTS!X:X)))</f>
        <v>52</v>
      </c>
      <c r="U22" s="531" cm="1">
        <f t="array" ref="U22">AVERAGE(_xlfn._xlws.FILTER(PTS!Y:Y, (PTS!$C:$C=A22) * ISNUMBER(PTS!Y:Y)))</f>
        <v>50.4</v>
      </c>
      <c r="V22" s="531" cm="1">
        <f t="array" ref="V22">AVERAGE(_xlfn._xlws.FILTER(PTS!Z:Z, (PTS!$C:$C=A22) * ISNUMBER(PTS!Z:Z)))</f>
        <v>26.25</v>
      </c>
      <c r="X22" s="531">
        <f t="shared" si="4"/>
        <v>128.65</v>
      </c>
      <c r="Y22" s="531" cm="1">
        <f t="array" ref="Y22">AVERAGE(_xlfn._xlws.FILTER(PTS!AC:AC, (PTS!$C:$C=A22) * ISNUMBER(PTS!AC:AC)))</f>
        <v>110.22727272727273</v>
      </c>
      <c r="Z22" s="531" cm="1">
        <f t="array" ref="Z22">AVERAGE(_xlfn._xlws.FILTER(PTS!AD:AD, (PTS!$C:$C=A22) * ISNUMBER(PTS!AD:AD)))</f>
        <v>107.04545454545455</v>
      </c>
      <c r="AB22" s="531">
        <f t="shared" si="5"/>
        <v>217.27272727272728</v>
      </c>
      <c r="AC22" s="10" cm="1">
        <f t="array" ref="AC22">AVERAGE(_xlfn._xlws.FILTER(PTS!AG:AG, (PTS!$C:$C=A22) * ISNUMBER(PTS!AG:AG)))</f>
        <v>28.814300000000003</v>
      </c>
      <c r="AD22" s="531" cm="1">
        <f t="array" ref="AD22">AVERAGE(_xlfn._xlws.FILTER(PTS!AH:AH, (PTS!$C:$C=A22) * ISNUMBER(PTS!AH:AH)))</f>
        <v>6.973140495867769</v>
      </c>
      <c r="AE22" s="531" cm="1">
        <f t="array" ref="AE22">AVERAGE(_xlfn._xlws.FILTER(PTS!AI:AI, (PTS!$C:$C=A22) * ISNUMBER(PTS!AI:AI)))</f>
        <v>12.587317427197677</v>
      </c>
      <c r="AF22" s="531" cm="1">
        <f t="array" ref="AF22">AVERAGE(_xlfn._xlws.FILTER(PTS!AJ:AJ, (PTS!$C:$C=A22) * ISNUMBER(PTS!AJ:AJ)))</f>
        <v>6.7351999999999999</v>
      </c>
      <c r="AH22" s="531">
        <f t="shared" si="6"/>
        <v>55.109957923065444</v>
      </c>
      <c r="AI22" s="10" cm="1">
        <f t="array" ref="AI22">AVERAGE(_xlfn._xlws.FILTER(PTS!AM:AM, (PTS!$C:$C=A22) * ISNUMBER(PTS!AM:AM)))</f>
        <v>79.999999999999986</v>
      </c>
      <c r="AJ22" s="10" cm="1">
        <f t="array" ref="AJ22">AVERAGE(_xlfn._xlws.FILTER(PTS!AN:AN, (PTS!$C:$C=A22) * ISNUMBER(PTS!AN:AN)))</f>
        <v>26.17808219178082</v>
      </c>
      <c r="AK22" s="10" cm="1">
        <f t="array" ref="AK22">AVERAGE(_xlfn._xlws.FILTER(PTS!AO:AO, (PTS!$C:$C=A22) * ISNUMBER(PTS!AO:AO)))</f>
        <v>0</v>
      </c>
      <c r="AN22" s="10">
        <f t="shared" si="7"/>
        <v>106.1780821917808</v>
      </c>
      <c r="AR22" s="531">
        <f t="shared" si="8"/>
        <v>718.92061587242199</v>
      </c>
      <c r="AS22" s="531">
        <f t="shared" si="9"/>
        <v>937.92061587242199</v>
      </c>
    </row>
    <row r="23" spans="1:45">
      <c r="A23" s="32" t="s">
        <v>122</v>
      </c>
      <c r="B23" s="319" t="s">
        <v>71</v>
      </c>
      <c r="C23" s="319" t="str">
        <f t="shared" si="0"/>
        <v>BaytownTX</v>
      </c>
      <c r="D23" s="10">
        <f>VLOOKUP(A:A,PTS!C:R,6,FALSE)</f>
        <v>3</v>
      </c>
      <c r="E23" s="531" cm="1">
        <f t="array" ref="E23">AVERAGE(_xlfn._xlws.FILTER(PTS!I:I, (PTS!$C:$C=A23) * ISNUMBER(PTS!I:I)))</f>
        <v>90</v>
      </c>
      <c r="F23" s="10" cm="1">
        <f t="array" ref="F23">AVERAGE(_xlfn._xlws.FILTER(PTS!J:J, (PTS!$C:$C=A23) * ISNUMBER(PTS!J:J)))</f>
        <v>150</v>
      </c>
      <c r="G23" s="531" cm="1">
        <f t="array" ref="G23">AVERAGE(_xlfn._xlws.FILTER(PTS!K:K, (PTS!$C:$C=A23) * ISNUMBER(PTS!K:K)))</f>
        <v>203</v>
      </c>
      <c r="H23" s="531" cm="1">
        <f t="array" ref="H23">AVERAGE(_xlfn._xlws.FILTER(PTS!L:L, (PTS!$C:$C=A23) * ISNUMBER(PTS!L:L)))</f>
        <v>60</v>
      </c>
      <c r="I23" s="531" cm="1">
        <f t="array" ref="I23">AVERAGE(_xlfn._xlws.FILTER(PTS!M:M, (PTS!$C:$C=A23) * ISNUMBER(PTS!M:M)))</f>
        <v>0</v>
      </c>
      <c r="J23" s="531" cm="1">
        <f t="array" ref="J23">AVERAGE(_xlfn._xlws.FILTER(PTS!N:N, (PTS!$C:$C=A23) * ISNUMBER(PTS!N:N)))</f>
        <v>85</v>
      </c>
      <c r="K23" s="531" cm="1">
        <f t="array" ref="K23">AVERAGE(_xlfn._xlws.FILTER(PTS!O:O, (PTS!$C:$C=A23) * ISNUMBER(PTS!O:O)))</f>
        <v>37.916666666666671</v>
      </c>
      <c r="L23" s="10" cm="1">
        <f t="array" ref="L23">AVERAGE(_xlfn._xlws.FILTER(PTS!P:P, (PTS!$C:$C=A23) * ISNUMBER(PTS!P:P)))</f>
        <v>0</v>
      </c>
      <c r="M23" s="531">
        <f t="shared" si="1"/>
        <v>625.91666666666663</v>
      </c>
      <c r="N23" s="531">
        <f t="shared" si="2"/>
        <v>535.91666666666663</v>
      </c>
      <c r="O23" s="531" cm="1">
        <f t="array" ref="O23">AVERAGE(_xlfn._xlws.FILTER(PTS!S:S, (PTS!$C:$C=A23) * ISNUMBER(PTS!S:S)))</f>
        <v>0</v>
      </c>
      <c r="P23" s="531" cm="1">
        <f t="array" ref="P23">AVERAGE(_xlfn._xlws.FILTER(PTS!T:T, (PTS!$C:$C=A23) * ISNUMBER(PTS!T:T)))</f>
        <v>0</v>
      </c>
      <c r="Q23" s="531" t="e" cm="1" vm="1">
        <f t="array" ref="Q23">AVERAGE(_xlfn._xlws.FILTER(PTS!U:U, (PTS!$C:$C=A23) * ISNUMBER(PTS!U:U)))</f>
        <v>#VALUE!</v>
      </c>
      <c r="S23" s="531" t="e" vm="2">
        <f t="shared" si="3"/>
        <v>#VALUE!</v>
      </c>
      <c r="T23" s="531" cm="1">
        <f t="array" ref="T23">AVERAGE(_xlfn._xlws.FILTER(PTS!X:X, (PTS!$C:$C=A23) * ISNUMBER(PTS!X:X)))</f>
        <v>54</v>
      </c>
      <c r="U23" s="531" cm="1">
        <f t="array" ref="U23">AVERAGE(_xlfn._xlws.FILTER(PTS!Y:Y, (PTS!$C:$C=A23) * ISNUMBER(PTS!Y:Y)))</f>
        <v>50.4</v>
      </c>
      <c r="V23" s="531" cm="1">
        <f t="array" ref="V23">AVERAGE(_xlfn._xlws.FILTER(PTS!Z:Z, (PTS!$C:$C=A23) * ISNUMBER(PTS!Z:Z)))</f>
        <v>26.25</v>
      </c>
      <c r="X23" s="531">
        <f t="shared" si="4"/>
        <v>130.65</v>
      </c>
      <c r="Y23" s="531" cm="1">
        <f t="array" ref="Y23">AVERAGE(_xlfn._xlws.FILTER(PTS!AC:AC, (PTS!$C:$C=A23) * ISNUMBER(PTS!AC:AC)))</f>
        <v>132.95454545454544</v>
      </c>
      <c r="Z23" s="531" cm="1">
        <f t="array" ref="Z23">AVERAGE(_xlfn._xlws.FILTER(PTS!AD:AD, (PTS!$C:$C=A23) * ISNUMBER(PTS!AD:AD)))</f>
        <v>197.95454545454547</v>
      </c>
      <c r="AB23" s="531">
        <f t="shared" si="5"/>
        <v>330.90909090909088</v>
      </c>
      <c r="AC23" s="10" cm="1">
        <f t="array" ref="AC23">AVERAGE(_xlfn._xlws.FILTER(PTS!AG:AG, (PTS!$C:$C=A23) * ISNUMBER(PTS!AG:AG)))</f>
        <v>28.814300000000003</v>
      </c>
      <c r="AD23" s="531" cm="1">
        <f t="array" ref="AD23">AVERAGE(_xlfn._xlws.FILTER(PTS!AH:AH, (PTS!$C:$C=A23) * ISNUMBER(PTS!AH:AH)))</f>
        <v>6.973140495867769</v>
      </c>
      <c r="AE23" s="531" cm="1">
        <f t="array" ref="AE23">AVERAGE(_xlfn._xlws.FILTER(PTS!AI:AI, (PTS!$C:$C=A23) * ISNUMBER(PTS!AI:AI)))</f>
        <v>12.587317427197677</v>
      </c>
      <c r="AF23" s="531" cm="1">
        <f t="array" ref="AF23">AVERAGE(_xlfn._xlws.FILTER(PTS!AJ:AJ, (PTS!$C:$C=A23) * ISNUMBER(PTS!AJ:AJ)))</f>
        <v>6.7351999999999999</v>
      </c>
      <c r="AH23" s="531">
        <f t="shared" si="6"/>
        <v>55.109957923065444</v>
      </c>
      <c r="AI23" s="10" cm="1">
        <f t="array" ref="AI23">AVERAGE(_xlfn._xlws.FILTER(PTS!AM:AM, (PTS!$C:$C=A23) * ISNUMBER(PTS!AM:AM)))</f>
        <v>79.999999999999986</v>
      </c>
      <c r="AJ23" s="10" cm="1">
        <f t="array" ref="AJ23">AVERAGE(_xlfn._xlws.FILTER(PTS!AN:AN, (PTS!$C:$C=A23) * ISNUMBER(PTS!AN:AN)))</f>
        <v>26.17808219178082</v>
      </c>
      <c r="AK23" s="10" cm="1">
        <f t="array" ref="AK23">AVERAGE(_xlfn._xlws.FILTER(PTS!AO:AO, (PTS!$C:$C=A23) * ISNUMBER(PTS!AO:AO)))</f>
        <v>0</v>
      </c>
      <c r="AN23" s="10">
        <f t="shared" si="7"/>
        <v>106.1780821917808</v>
      </c>
      <c r="AR23" s="531" t="e" vm="2">
        <f t="shared" si="8"/>
        <v>#VALUE!</v>
      </c>
      <c r="AS23" s="531" t="e" vm="2">
        <f t="shared" si="9"/>
        <v>#VALUE!</v>
      </c>
    </row>
    <row r="24" spans="1:45">
      <c r="A24" s="32" t="s">
        <v>125</v>
      </c>
      <c r="B24" s="319" t="s">
        <v>65</v>
      </c>
      <c r="C24" s="319" t="str">
        <f t="shared" si="0"/>
        <v>Belle MinaAL</v>
      </c>
      <c r="D24" s="10">
        <f>VLOOKUP(A:A,PTS!C:R,6,FALSE)</f>
        <v>1</v>
      </c>
      <c r="E24" s="531" cm="1">
        <f t="array" ref="E24">AVERAGE(_xlfn._xlws.FILTER(PTS!I:I, (PTS!$C:$C=A24) * ISNUMBER(PTS!I:I)))</f>
        <v>80</v>
      </c>
      <c r="F24" s="10" cm="1">
        <f t="array" ref="F24">AVERAGE(_xlfn._xlws.FILTER(PTS!J:J, (PTS!$C:$C=A24) * ISNUMBER(PTS!J:J)))</f>
        <v>135</v>
      </c>
      <c r="G24" s="531" cm="1">
        <f t="array" ref="G24">AVERAGE(_xlfn._xlws.FILTER(PTS!K:K, (PTS!$C:$C=A24) * ISNUMBER(PTS!K:K)))</f>
        <v>140</v>
      </c>
      <c r="H24" s="531" cm="1">
        <f t="array" ref="H24">AVERAGE(_xlfn._xlws.FILTER(PTS!L:L, (PTS!$C:$C=A24) * ISNUMBER(PTS!L:L)))</f>
        <v>0</v>
      </c>
      <c r="I24" s="531" cm="1">
        <f t="array" ref="I24">AVERAGE(_xlfn._xlws.FILTER(PTS!M:M, (PTS!$C:$C=A24) * ISNUMBER(PTS!M:M)))</f>
        <v>10</v>
      </c>
      <c r="J24" s="531" cm="1">
        <f t="array" ref="J24">AVERAGE(_xlfn._xlws.FILTER(PTS!N:N, (PTS!$C:$C=A24) * ISNUMBER(PTS!N:N)))</f>
        <v>40</v>
      </c>
      <c r="K24" s="531" cm="1">
        <f t="array" ref="K24">AVERAGE(_xlfn._xlws.FILTER(PTS!O:O, (PTS!$C:$C=A24) * ISNUMBER(PTS!O:O)))</f>
        <v>37.916666666666671</v>
      </c>
      <c r="L24" s="10" cm="1">
        <f t="array" ref="L24">AVERAGE(_xlfn._xlws.FILTER(PTS!P:P, (PTS!$C:$C=A24) * ISNUMBER(PTS!P:P)))</f>
        <v>0</v>
      </c>
      <c r="M24" s="531">
        <f t="shared" si="1"/>
        <v>442.91666666666669</v>
      </c>
      <c r="N24" s="531">
        <f t="shared" si="2"/>
        <v>77.916666666666671</v>
      </c>
      <c r="O24" s="531" cm="1">
        <f t="array" ref="O24">AVERAGE(_xlfn._xlws.FILTER(PTS!S:S, (PTS!$C:$C=A24) * ISNUMBER(PTS!S:S)))</f>
        <v>0</v>
      </c>
      <c r="P24" s="531" cm="1">
        <f t="array" ref="P24">AVERAGE(_xlfn._xlws.FILTER(PTS!T:T, (PTS!$C:$C=A24) * ISNUMBER(PTS!T:T)))</f>
        <v>0</v>
      </c>
      <c r="Q24" s="531" cm="1">
        <f t="array" ref="Q24">AVERAGE(_xlfn._xlws.FILTER(PTS!U:U, (PTS!$C:$C=A24) * ISNUMBER(PTS!U:U)))</f>
        <v>228.28068181818182</v>
      </c>
      <c r="S24" s="531">
        <f t="shared" si="3"/>
        <v>228.28068181818182</v>
      </c>
      <c r="T24" s="531" cm="1">
        <f t="array" ref="T24">AVERAGE(_xlfn._xlws.FILTER(PTS!X:X, (PTS!$C:$C=A24) * ISNUMBER(PTS!X:X)))</f>
        <v>50</v>
      </c>
      <c r="U24" s="531" cm="1">
        <f t="array" ref="U24">AVERAGE(_xlfn._xlws.FILTER(PTS!Y:Y, (PTS!$C:$C=A24) * ISNUMBER(PTS!Y:Y)))</f>
        <v>33.6</v>
      </c>
      <c r="V24" s="531" cm="1">
        <f t="array" ref="V24">AVERAGE(_xlfn._xlws.FILTER(PTS!Z:Z, (PTS!$C:$C=A24) * ISNUMBER(PTS!Z:Z)))</f>
        <v>26.25</v>
      </c>
      <c r="X24" s="531">
        <f t="shared" si="4"/>
        <v>109.85</v>
      </c>
      <c r="Y24" s="531" cm="1">
        <f t="array" ref="Y24">AVERAGE(_xlfn._xlws.FILTER(PTS!AC:AC, (PTS!$C:$C=A24) * ISNUMBER(PTS!AC:AC)))</f>
        <v>146.02272727272725</v>
      </c>
      <c r="Z24" s="531" cm="1">
        <f t="array" ref="Z24">AVERAGE(_xlfn._xlws.FILTER(PTS!AD:AD, (PTS!$C:$C=A24) * ISNUMBER(PTS!AD:AD)))</f>
        <v>182.72727272727275</v>
      </c>
      <c r="AB24" s="531">
        <f t="shared" si="5"/>
        <v>328.75</v>
      </c>
      <c r="AC24" s="10" cm="1">
        <f t="array" ref="AC24">AVERAGE(_xlfn._xlws.FILTER(PTS!AG:AG, (PTS!$C:$C=A24) * ISNUMBER(PTS!AG:AG)))</f>
        <v>28.814300000000003</v>
      </c>
      <c r="AD24" s="531" cm="1">
        <f t="array" ref="AD24">AVERAGE(_xlfn._xlws.FILTER(PTS!AH:AH, (PTS!$C:$C=A24) * ISNUMBER(PTS!AH:AH)))</f>
        <v>6.973140495867769</v>
      </c>
      <c r="AE24" s="531" cm="1">
        <f t="array" ref="AE24">AVERAGE(_xlfn._xlws.FILTER(PTS!AI:AI, (PTS!$C:$C=A24) * ISNUMBER(PTS!AI:AI)))</f>
        <v>12.587317427197677</v>
      </c>
      <c r="AF24" s="531" cm="1">
        <f t="array" ref="AF24">AVERAGE(_xlfn._xlws.FILTER(PTS!AJ:AJ, (PTS!$C:$C=A24) * ISNUMBER(PTS!AJ:AJ)))</f>
        <v>6.7351999999999999</v>
      </c>
      <c r="AH24" s="531">
        <f t="shared" si="6"/>
        <v>55.109957923065444</v>
      </c>
      <c r="AI24" s="10" cm="1">
        <f t="array" ref="AI24">AVERAGE(_xlfn._xlws.FILTER(PTS!AM:AM, (PTS!$C:$C=A24) * ISNUMBER(PTS!AM:AM)))</f>
        <v>79.999999999999986</v>
      </c>
      <c r="AJ24" s="10" cm="1">
        <f t="array" ref="AJ24">AVERAGE(_xlfn._xlws.FILTER(PTS!AN:AN, (PTS!$C:$C=A24) * ISNUMBER(PTS!AN:AN)))</f>
        <v>26.17808219178082</v>
      </c>
      <c r="AK24" s="10" cm="1">
        <f t="array" ref="AK24">AVERAGE(_xlfn._xlws.FILTER(PTS!AO:AO, (PTS!$C:$C=A24) * ISNUMBER(PTS!AO:AO)))</f>
        <v>0</v>
      </c>
      <c r="AN24" s="10">
        <f t="shared" si="7"/>
        <v>106.1780821917808</v>
      </c>
      <c r="AR24" s="531">
        <f t="shared" si="8"/>
        <v>906.08538859969474</v>
      </c>
      <c r="AS24" s="531">
        <f t="shared" si="9"/>
        <v>1271.0853885996946</v>
      </c>
    </row>
    <row r="25" spans="1:45">
      <c r="A25" s="32" t="s">
        <v>127</v>
      </c>
      <c r="B25" s="319" t="s">
        <v>128</v>
      </c>
      <c r="C25" s="319" t="str">
        <f t="shared" si="0"/>
        <v>BelzoniMS</v>
      </c>
      <c r="D25" s="10">
        <f>VLOOKUP(A:A,PTS!C:R,6,FALSE)</f>
        <v>1</v>
      </c>
      <c r="E25" s="531" cm="1">
        <f t="array" ref="E25">AVERAGE(_xlfn._xlws.FILTER(PTS!I:I, (PTS!$C:$C=A25) * ISNUMBER(PTS!I:I)))</f>
        <v>30</v>
      </c>
      <c r="F25" s="10" cm="1">
        <f t="array" ref="F25">AVERAGE(_xlfn._xlws.FILTER(PTS!J:J, (PTS!$C:$C=A25) * ISNUMBER(PTS!J:J)))</f>
        <v>75</v>
      </c>
      <c r="G25" s="531" cm="1">
        <f t="array" ref="G25">AVERAGE(_xlfn._xlws.FILTER(PTS!K:K, (PTS!$C:$C=A25) * ISNUMBER(PTS!K:K)))</f>
        <v>160</v>
      </c>
      <c r="H25" s="531" cm="1">
        <f t="array" ref="H25">AVERAGE(_xlfn._xlws.FILTER(PTS!L:L, (PTS!$C:$C=A25) * ISNUMBER(PTS!L:L)))</f>
        <v>61</v>
      </c>
      <c r="I25" s="531" cm="1">
        <f t="array" ref="I25">AVERAGE(_xlfn._xlws.FILTER(PTS!M:M, (PTS!$C:$C=A25) * ISNUMBER(PTS!M:M)))</f>
        <v>10</v>
      </c>
      <c r="J25" s="531" cm="1">
        <f t="array" ref="J25">AVERAGE(_xlfn._xlws.FILTER(PTS!N:N, (PTS!$C:$C=A25) * ISNUMBER(PTS!N:N)))</f>
        <v>63</v>
      </c>
      <c r="K25" s="531" cm="1">
        <f t="array" ref="K25">AVERAGE(_xlfn._xlws.FILTER(PTS!O:O, (PTS!$C:$C=A25) * ISNUMBER(PTS!O:O)))</f>
        <v>37.916666666666671</v>
      </c>
      <c r="L25" s="10" cm="1">
        <f t="array" ref="L25">AVERAGE(_xlfn._xlws.FILTER(PTS!P:P, (PTS!$C:$C=A25) * ISNUMBER(PTS!P:P)))</f>
        <v>0</v>
      </c>
      <c r="M25" s="531">
        <f t="shared" si="1"/>
        <v>436.91666666666669</v>
      </c>
      <c r="N25" s="531">
        <f t="shared" si="2"/>
        <v>100.91666666666667</v>
      </c>
      <c r="O25" s="531" cm="1">
        <f t="array" ref="O25">AVERAGE(_xlfn._xlws.FILTER(PTS!S:S, (PTS!$C:$C=A25) * ISNUMBER(PTS!S:S)))</f>
        <v>0</v>
      </c>
      <c r="P25" s="531" cm="1">
        <f t="array" ref="P25">AVERAGE(_xlfn._xlws.FILTER(PTS!T:T, (PTS!$C:$C=A25) * ISNUMBER(PTS!T:T)))</f>
        <v>0</v>
      </c>
      <c r="Q25" s="531" cm="1">
        <f t="array" ref="Q25">AVERAGE(_xlfn._xlws.FILTER(PTS!U:U, (PTS!$C:$C=A25) * ISNUMBER(PTS!U:U)))</f>
        <v>189.29090909090905</v>
      </c>
      <c r="S25" s="531">
        <f t="shared" si="3"/>
        <v>189.29090909090905</v>
      </c>
      <c r="T25" s="531" cm="1">
        <f t="array" ref="T25">AVERAGE(_xlfn._xlws.FILTER(PTS!X:X, (PTS!$C:$C=A25) * ISNUMBER(PTS!X:X)))</f>
        <v>50</v>
      </c>
      <c r="U25" s="531" cm="1">
        <f t="array" ref="U25">AVERAGE(_xlfn._xlws.FILTER(PTS!Y:Y, (PTS!$C:$C=A25) * ISNUMBER(PTS!Y:Y)))</f>
        <v>33.6</v>
      </c>
      <c r="V25" s="531" cm="1">
        <f t="array" ref="V25">AVERAGE(_xlfn._xlws.FILTER(PTS!Z:Z, (PTS!$C:$C=A25) * ISNUMBER(PTS!Z:Z)))</f>
        <v>26.25</v>
      </c>
      <c r="X25" s="531">
        <f t="shared" si="4"/>
        <v>109.85</v>
      </c>
      <c r="Y25" s="531" cm="1">
        <f t="array" ref="Y25">AVERAGE(_xlfn._xlws.FILTER(PTS!AC:AC, (PTS!$C:$C=A25) * ISNUMBER(PTS!AC:AC)))</f>
        <v>146.02272727272725</v>
      </c>
      <c r="Z25" s="531" cm="1">
        <f t="array" ref="Z25">AVERAGE(_xlfn._xlws.FILTER(PTS!AD:AD, (PTS!$C:$C=A25) * ISNUMBER(PTS!AD:AD)))</f>
        <v>182.72727272727275</v>
      </c>
      <c r="AB25" s="531">
        <f t="shared" si="5"/>
        <v>328.75</v>
      </c>
      <c r="AC25" s="10" cm="1">
        <f t="array" ref="AC25">AVERAGE(_xlfn._xlws.FILTER(PTS!AG:AG, (PTS!$C:$C=A25) * ISNUMBER(PTS!AG:AG)))</f>
        <v>28.814300000000003</v>
      </c>
      <c r="AD25" s="531" cm="1">
        <f t="array" ref="AD25">AVERAGE(_xlfn._xlws.FILTER(PTS!AH:AH, (PTS!$C:$C=A25) * ISNUMBER(PTS!AH:AH)))</f>
        <v>6.973140495867769</v>
      </c>
      <c r="AE25" s="531" cm="1">
        <f t="array" ref="AE25">AVERAGE(_xlfn._xlws.FILTER(PTS!AI:AI, (PTS!$C:$C=A25) * ISNUMBER(PTS!AI:AI)))</f>
        <v>12.587317427197677</v>
      </c>
      <c r="AF25" s="531" cm="1">
        <f t="array" ref="AF25">AVERAGE(_xlfn._xlws.FILTER(PTS!AJ:AJ, (PTS!$C:$C=A25) * ISNUMBER(PTS!AJ:AJ)))</f>
        <v>6.7351999999999999</v>
      </c>
      <c r="AH25" s="531">
        <f t="shared" si="6"/>
        <v>55.109957923065444</v>
      </c>
      <c r="AI25" s="10" cm="1">
        <f t="array" ref="AI25">AVERAGE(_xlfn._xlws.FILTER(PTS!AM:AM, (PTS!$C:$C=A25) * ISNUMBER(PTS!AM:AM)))</f>
        <v>79.999999999999986</v>
      </c>
      <c r="AJ25" s="10" cm="1">
        <f t="array" ref="AJ25">AVERAGE(_xlfn._xlws.FILTER(PTS!AN:AN, (PTS!$C:$C=A25) * ISNUMBER(PTS!AN:AN)))</f>
        <v>26.17808219178082</v>
      </c>
      <c r="AK25" s="10" cm="1">
        <f t="array" ref="AK25">AVERAGE(_xlfn._xlws.FILTER(PTS!AO:AO, (PTS!$C:$C=A25) * ISNUMBER(PTS!AO:AO)))</f>
        <v>0</v>
      </c>
      <c r="AN25" s="10">
        <f t="shared" si="7"/>
        <v>106.1780821917808</v>
      </c>
      <c r="AR25" s="531">
        <f t="shared" si="8"/>
        <v>890.09561587242194</v>
      </c>
      <c r="AS25" s="531">
        <f t="shared" si="9"/>
        <v>1226.0956158724218</v>
      </c>
    </row>
    <row r="26" spans="1:45">
      <c r="A26" s="32" t="s">
        <v>131</v>
      </c>
      <c r="B26" s="319" t="s">
        <v>132</v>
      </c>
      <c r="C26" s="319" t="str">
        <f t="shared" si="0"/>
        <v>BennettsvilleSC</v>
      </c>
      <c r="D26" s="10">
        <f>VLOOKUP(A:A,PTS!C:R,6,FALSE)</f>
        <v>1</v>
      </c>
      <c r="E26" s="531" cm="1">
        <f t="array" ref="E26">AVERAGE(_xlfn._xlws.FILTER(PTS!I:I, (PTS!$C:$C=A26) * ISNUMBER(PTS!I:I)))</f>
        <v>80</v>
      </c>
      <c r="F26" s="10" cm="1">
        <f t="array" ref="F26">AVERAGE(_xlfn._xlws.FILTER(PTS!J:J, (PTS!$C:$C=A26) * ISNUMBER(PTS!J:J)))</f>
        <v>95</v>
      </c>
      <c r="G26" s="531" cm="1">
        <f t="array" ref="G26">AVERAGE(_xlfn._xlws.FILTER(PTS!K:K, (PTS!$C:$C=A26) * ISNUMBER(PTS!K:K)))</f>
        <v>0</v>
      </c>
      <c r="H26" s="531" cm="1">
        <f t="array" ref="H26">AVERAGE(_xlfn._xlws.FILTER(PTS!L:L, (PTS!$C:$C=A26) * ISNUMBER(PTS!L:L)))</f>
        <v>0</v>
      </c>
      <c r="I26" s="531" cm="1">
        <f t="array" ref="I26">AVERAGE(_xlfn._xlws.FILTER(PTS!M:M, (PTS!$C:$C=A26) * ISNUMBER(PTS!M:M)))</f>
        <v>0</v>
      </c>
      <c r="J26" s="531" cm="1">
        <f t="array" ref="J26">AVERAGE(_xlfn._xlws.FILTER(PTS!N:N, (PTS!$C:$C=A26) * ISNUMBER(PTS!N:N)))</f>
        <v>40</v>
      </c>
      <c r="K26" s="531" cm="1">
        <f t="array" ref="K26">AVERAGE(_xlfn._xlws.FILTER(PTS!O:O, (PTS!$C:$C=A26) * ISNUMBER(PTS!O:O)))</f>
        <v>37.916666666666671</v>
      </c>
      <c r="L26" s="10" cm="1">
        <f t="array" ref="L26">AVERAGE(_xlfn._xlws.FILTER(PTS!P:P, (PTS!$C:$C=A26) * ISNUMBER(PTS!P:P)))</f>
        <v>0</v>
      </c>
      <c r="M26" s="531">
        <f t="shared" si="1"/>
        <v>252.91666666666669</v>
      </c>
      <c r="N26" s="531">
        <f t="shared" si="2"/>
        <v>77.916666666666671</v>
      </c>
      <c r="O26" s="531" cm="1">
        <f t="array" ref="O26">AVERAGE(_xlfn._xlws.FILTER(PTS!S:S, (PTS!$C:$C=A26) * ISNUMBER(PTS!S:S)))</f>
        <v>0</v>
      </c>
      <c r="P26" s="531" cm="1">
        <f t="array" ref="P26">AVERAGE(_xlfn._xlws.FILTER(PTS!T:T, (PTS!$C:$C=A26) * ISNUMBER(PTS!T:T)))</f>
        <v>0</v>
      </c>
      <c r="Q26" s="531" cm="1">
        <f t="array" ref="Q26">AVERAGE(_xlfn._xlws.FILTER(PTS!U:U, (PTS!$C:$C=A26) * ISNUMBER(PTS!U:U)))</f>
        <v>239.95000000000002</v>
      </c>
      <c r="S26" s="531">
        <f t="shared" si="3"/>
        <v>239.95000000000002</v>
      </c>
      <c r="T26" s="531" cm="1">
        <f t="array" ref="T26">AVERAGE(_xlfn._xlws.FILTER(PTS!X:X, (PTS!$C:$C=A26) * ISNUMBER(PTS!X:X)))</f>
        <v>52</v>
      </c>
      <c r="U26" s="531" cm="1">
        <f t="array" ref="U26">AVERAGE(_xlfn._xlws.FILTER(PTS!Y:Y, (PTS!$C:$C=A26) * ISNUMBER(PTS!Y:Y)))</f>
        <v>50.4</v>
      </c>
      <c r="V26" s="531" cm="1">
        <f t="array" ref="V26">AVERAGE(_xlfn._xlws.FILTER(PTS!Z:Z, (PTS!$C:$C=A26) * ISNUMBER(PTS!Z:Z)))</f>
        <v>26.25</v>
      </c>
      <c r="X26" s="531">
        <f t="shared" si="4"/>
        <v>128.65</v>
      </c>
      <c r="Y26" s="531" cm="1">
        <f t="array" ref="Y26">AVERAGE(_xlfn._xlws.FILTER(PTS!AC:AC, (PTS!$C:$C=A26) * ISNUMBER(PTS!AC:AC)))</f>
        <v>110.22727272727273</v>
      </c>
      <c r="Z26" s="531" cm="1">
        <f t="array" ref="Z26">AVERAGE(_xlfn._xlws.FILTER(PTS!AD:AD, (PTS!$C:$C=A26) * ISNUMBER(PTS!AD:AD)))</f>
        <v>107.04545454545455</v>
      </c>
      <c r="AB26" s="531">
        <f t="shared" si="5"/>
        <v>217.27272727272728</v>
      </c>
      <c r="AC26" s="10" cm="1">
        <f t="array" ref="AC26">AVERAGE(_xlfn._xlws.FILTER(PTS!AG:AG, (PTS!$C:$C=A26) * ISNUMBER(PTS!AG:AG)))</f>
        <v>28.814300000000003</v>
      </c>
      <c r="AD26" s="531" cm="1">
        <f t="array" ref="AD26">AVERAGE(_xlfn._xlws.FILTER(PTS!AH:AH, (PTS!$C:$C=A26) * ISNUMBER(PTS!AH:AH)))</f>
        <v>6.973140495867769</v>
      </c>
      <c r="AE26" s="531" cm="1">
        <f t="array" ref="AE26">AVERAGE(_xlfn._xlws.FILTER(PTS!AI:AI, (PTS!$C:$C=A26) * ISNUMBER(PTS!AI:AI)))</f>
        <v>12.587317427197677</v>
      </c>
      <c r="AF26" s="531" cm="1">
        <f t="array" ref="AF26">AVERAGE(_xlfn._xlws.FILTER(PTS!AJ:AJ, (PTS!$C:$C=A26) * ISNUMBER(PTS!AJ:AJ)))</f>
        <v>6.7351999999999999</v>
      </c>
      <c r="AH26" s="531">
        <f t="shared" si="6"/>
        <v>55.109957923065444</v>
      </c>
      <c r="AI26" s="10" cm="1">
        <f t="array" ref="AI26">AVERAGE(_xlfn._xlws.FILTER(PTS!AM:AM, (PTS!$C:$C=A26) * ISNUMBER(PTS!AM:AM)))</f>
        <v>79.999999999999986</v>
      </c>
      <c r="AJ26" s="10" cm="1">
        <f t="array" ref="AJ26">AVERAGE(_xlfn._xlws.FILTER(PTS!AN:AN, (PTS!$C:$C=A26) * ISNUMBER(PTS!AN:AN)))</f>
        <v>26.17808219178082</v>
      </c>
      <c r="AK26" s="10" cm="1">
        <f t="array" ref="AK26">AVERAGE(_xlfn._xlws.FILTER(PTS!AO:AO, (PTS!$C:$C=A26) * ISNUMBER(PTS!AO:AO)))</f>
        <v>0</v>
      </c>
      <c r="AN26" s="10">
        <f t="shared" si="7"/>
        <v>106.1780821917808</v>
      </c>
      <c r="AR26" s="531">
        <f t="shared" si="8"/>
        <v>825.07743405424014</v>
      </c>
      <c r="AS26" s="531">
        <f t="shared" si="9"/>
        <v>1000.0774340542401</v>
      </c>
    </row>
    <row r="27" spans="1:45">
      <c r="A27" s="32" t="s">
        <v>135</v>
      </c>
      <c r="B27" s="319" t="s">
        <v>136</v>
      </c>
      <c r="C27" s="319" t="str">
        <f t="shared" si="0"/>
        <v>BethelNC</v>
      </c>
      <c r="D27" s="10">
        <f>VLOOKUP(A:A,PTS!C:R,6,FALSE)</f>
        <v>1</v>
      </c>
      <c r="E27" s="531" cm="1">
        <f t="array" ref="E27">AVERAGE(_xlfn._xlws.FILTER(PTS!I:I, (PTS!$C:$C=A27) * ISNUMBER(PTS!I:I)))</f>
        <v>70</v>
      </c>
      <c r="F27" s="10" cm="1">
        <f t="array" ref="F27">AVERAGE(_xlfn._xlws.FILTER(PTS!J:J, (PTS!$C:$C=A27) * ISNUMBER(PTS!J:J)))</f>
        <v>90</v>
      </c>
      <c r="G27" s="531" cm="1">
        <f t="array" ref="G27">AVERAGE(_xlfn._xlws.FILTER(PTS!K:K, (PTS!$C:$C=A27) * ISNUMBER(PTS!K:K)))</f>
        <v>0</v>
      </c>
      <c r="H27" s="531" cm="1">
        <f t="array" ref="H27">AVERAGE(_xlfn._xlws.FILTER(PTS!L:L, (PTS!$C:$C=A27) * ISNUMBER(PTS!L:L)))</f>
        <v>0</v>
      </c>
      <c r="I27" s="531" cm="1">
        <f t="array" ref="I27">AVERAGE(_xlfn._xlws.FILTER(PTS!M:M, (PTS!$C:$C=A27) * ISNUMBER(PTS!M:M)))</f>
        <v>20</v>
      </c>
      <c r="J27" s="531" cm="1">
        <f t="array" ref="J27">AVERAGE(_xlfn._xlws.FILTER(PTS!N:N, (PTS!$C:$C=A27) * ISNUMBER(PTS!N:N)))</f>
        <v>40</v>
      </c>
      <c r="K27" s="531" cm="1">
        <f t="array" ref="K27">AVERAGE(_xlfn._xlws.FILTER(PTS!O:O, (PTS!$C:$C=A27) * ISNUMBER(PTS!O:O)))</f>
        <v>37.916666666666671</v>
      </c>
      <c r="L27" s="10" cm="1">
        <f t="array" ref="L27">AVERAGE(_xlfn._xlws.FILTER(PTS!P:P, (PTS!$C:$C=A27) * ISNUMBER(PTS!P:P)))</f>
        <v>0</v>
      </c>
      <c r="M27" s="531">
        <f t="shared" si="1"/>
        <v>257.91666666666669</v>
      </c>
      <c r="N27" s="531">
        <f t="shared" si="2"/>
        <v>77.916666666666671</v>
      </c>
      <c r="O27" s="531" cm="1">
        <f t="array" ref="O27">AVERAGE(_xlfn._xlws.FILTER(PTS!S:S, (PTS!$C:$C=A27) * ISNUMBER(PTS!S:S)))</f>
        <v>0</v>
      </c>
      <c r="P27" s="531" cm="1">
        <f t="array" ref="P27">AVERAGE(_xlfn._xlws.FILTER(PTS!T:T, (PTS!$C:$C=A27) * ISNUMBER(PTS!T:T)))</f>
        <v>0</v>
      </c>
      <c r="Q27" s="531" cm="1">
        <f t="array" ref="Q27">AVERAGE(_xlfn._xlws.FILTER(PTS!U:U, (PTS!$C:$C=A27) * ISNUMBER(PTS!U:U)))</f>
        <v>264.27556818181819</v>
      </c>
      <c r="S27" s="531">
        <f t="shared" si="3"/>
        <v>264.27556818181819</v>
      </c>
      <c r="T27" s="531" cm="1">
        <f t="array" ref="T27">AVERAGE(_xlfn._xlws.FILTER(PTS!X:X, (PTS!$C:$C=A27) * ISNUMBER(PTS!X:X)))</f>
        <v>52</v>
      </c>
      <c r="U27" s="531" cm="1">
        <f t="array" ref="U27">AVERAGE(_xlfn._xlws.FILTER(PTS!Y:Y, (PTS!$C:$C=A27) * ISNUMBER(PTS!Y:Y)))</f>
        <v>50.4</v>
      </c>
      <c r="V27" s="531" cm="1">
        <f t="array" ref="V27">AVERAGE(_xlfn._xlws.FILTER(PTS!Z:Z, (PTS!$C:$C=A27) * ISNUMBER(PTS!Z:Z)))</f>
        <v>26.25</v>
      </c>
      <c r="X27" s="531">
        <f t="shared" si="4"/>
        <v>128.65</v>
      </c>
      <c r="Y27" s="531" cm="1">
        <f t="array" ref="Y27">AVERAGE(_xlfn._xlws.FILTER(PTS!AC:AC, (PTS!$C:$C=A27) * ISNUMBER(PTS!AC:AC)))</f>
        <v>110.22727272727273</v>
      </c>
      <c r="Z27" s="531" cm="1">
        <f t="array" ref="Z27">AVERAGE(_xlfn._xlws.FILTER(PTS!AD:AD, (PTS!$C:$C=A27) * ISNUMBER(PTS!AD:AD)))</f>
        <v>107.04545454545455</v>
      </c>
      <c r="AB27" s="531">
        <f t="shared" si="5"/>
        <v>217.27272727272728</v>
      </c>
      <c r="AC27" s="10" cm="1">
        <f t="array" ref="AC27">AVERAGE(_xlfn._xlws.FILTER(PTS!AG:AG, (PTS!$C:$C=A27) * ISNUMBER(PTS!AG:AG)))</f>
        <v>28.814300000000003</v>
      </c>
      <c r="AD27" s="531" cm="1">
        <f t="array" ref="AD27">AVERAGE(_xlfn._xlws.FILTER(PTS!AH:AH, (PTS!$C:$C=A27) * ISNUMBER(PTS!AH:AH)))</f>
        <v>6.973140495867769</v>
      </c>
      <c r="AE27" s="531" cm="1">
        <f t="array" ref="AE27">AVERAGE(_xlfn._xlws.FILTER(PTS!AI:AI, (PTS!$C:$C=A27) * ISNUMBER(PTS!AI:AI)))</f>
        <v>12.587317427197677</v>
      </c>
      <c r="AF27" s="531" cm="1">
        <f t="array" ref="AF27">AVERAGE(_xlfn._xlws.FILTER(PTS!AJ:AJ, (PTS!$C:$C=A27) * ISNUMBER(PTS!AJ:AJ)))</f>
        <v>6.7351999999999999</v>
      </c>
      <c r="AH27" s="531">
        <f t="shared" si="6"/>
        <v>55.109957923065444</v>
      </c>
      <c r="AI27" s="10" cm="1">
        <f t="array" ref="AI27">AVERAGE(_xlfn._xlws.FILTER(PTS!AM:AM, (PTS!$C:$C=A27) * ISNUMBER(PTS!AM:AM)))</f>
        <v>79.999999999999986</v>
      </c>
      <c r="AJ27" s="10" cm="1">
        <f t="array" ref="AJ27">AVERAGE(_xlfn._xlws.FILTER(PTS!AN:AN, (PTS!$C:$C=A27) * ISNUMBER(PTS!AN:AN)))</f>
        <v>26.17808219178082</v>
      </c>
      <c r="AK27" s="10" cm="1">
        <f t="array" ref="AK27">AVERAGE(_xlfn._xlws.FILTER(PTS!AO:AO, (PTS!$C:$C=A27) * ISNUMBER(PTS!AO:AO)))</f>
        <v>0</v>
      </c>
      <c r="AN27" s="10">
        <f t="shared" si="7"/>
        <v>106.1780821917808</v>
      </c>
      <c r="AR27" s="531">
        <f t="shared" si="8"/>
        <v>849.40300223605834</v>
      </c>
      <c r="AS27" s="531">
        <f t="shared" si="9"/>
        <v>1029.4030022360582</v>
      </c>
    </row>
    <row r="28" spans="1:45">
      <c r="A28" s="32" t="s">
        <v>139</v>
      </c>
      <c r="B28" s="319" t="s">
        <v>71</v>
      </c>
      <c r="C28" s="319" t="str">
        <f t="shared" si="0"/>
        <v>Big Spring TX</v>
      </c>
      <c r="D28" s="10" t="e">
        <f>VLOOKUP(A:A,PTS!C:R,6,FALSE)</f>
        <v>#N/A</v>
      </c>
      <c r="E28" s="531" t="e" cm="1" vm="1">
        <f t="array" ref="E28">AVERAGE(_xlfn._xlws.FILTER(PTS!I:I, (PTS!$C:$C=A28) * ISNUMBER(PTS!I:I)))</f>
        <v>#VALUE!</v>
      </c>
      <c r="F28" s="10" t="e" cm="1" vm="1">
        <f t="array" ref="F28">AVERAGE(_xlfn._xlws.FILTER(PTS!J:J, (PTS!$C:$C=A28) * ISNUMBER(PTS!J:J)))</f>
        <v>#VALUE!</v>
      </c>
      <c r="G28" s="531" t="e" cm="1" vm="1">
        <f t="array" ref="G28">AVERAGE(_xlfn._xlws.FILTER(PTS!K:K, (PTS!$C:$C=A28) * ISNUMBER(PTS!K:K)))</f>
        <v>#VALUE!</v>
      </c>
      <c r="H28" s="531" t="e" cm="1" vm="1">
        <f t="array" ref="H28">AVERAGE(_xlfn._xlws.FILTER(PTS!L:L, (PTS!$C:$C=A28) * ISNUMBER(PTS!L:L)))</f>
        <v>#VALUE!</v>
      </c>
      <c r="I28" s="531" t="e" cm="1" vm="1">
        <f t="array" ref="I28">AVERAGE(_xlfn._xlws.FILTER(PTS!M:M, (PTS!$C:$C=A28) * ISNUMBER(PTS!M:M)))</f>
        <v>#VALUE!</v>
      </c>
      <c r="J28" s="531" t="e" cm="1" vm="1">
        <f t="array" ref="J28">AVERAGE(_xlfn._xlws.FILTER(PTS!N:N, (PTS!$C:$C=A28) * ISNUMBER(PTS!N:N)))</f>
        <v>#VALUE!</v>
      </c>
      <c r="K28" s="531" t="e" cm="1" vm="1">
        <f t="array" ref="K28">AVERAGE(_xlfn._xlws.FILTER(PTS!O:O, (PTS!$C:$C=A28) * ISNUMBER(PTS!O:O)))</f>
        <v>#VALUE!</v>
      </c>
      <c r="L28" s="10" t="e" cm="1" vm="1">
        <f t="array" ref="L28">AVERAGE(_xlfn._xlws.FILTER(PTS!P:P, (PTS!$C:$C=A28) * ISNUMBER(PTS!P:P)))</f>
        <v>#VALUE!</v>
      </c>
      <c r="M28" s="531" t="e" vm="2">
        <f t="shared" si="1"/>
        <v>#VALUE!</v>
      </c>
      <c r="N28" s="531" t="e">
        <f t="shared" si="2"/>
        <v>#N/A</v>
      </c>
      <c r="O28" s="531" t="e" cm="1" vm="1">
        <f t="array" ref="O28">AVERAGE(_xlfn._xlws.FILTER(PTS!S:S, (PTS!$C:$C=A28) * ISNUMBER(PTS!S:S)))</f>
        <v>#VALUE!</v>
      </c>
      <c r="P28" s="531" t="e" cm="1" vm="1">
        <f t="array" ref="P28">AVERAGE(_xlfn._xlws.FILTER(PTS!T:T, (PTS!$C:$C=A28) * ISNUMBER(PTS!T:T)))</f>
        <v>#VALUE!</v>
      </c>
      <c r="Q28" s="531" t="e" cm="1" vm="1">
        <f t="array" ref="Q28">AVERAGE(_xlfn._xlws.FILTER(PTS!U:U, (PTS!$C:$C=A28) * ISNUMBER(PTS!U:U)))</f>
        <v>#VALUE!</v>
      </c>
      <c r="S28" s="531" t="e" vm="2">
        <f t="shared" si="3"/>
        <v>#VALUE!</v>
      </c>
      <c r="T28" s="531" t="e" cm="1" vm="1">
        <f t="array" ref="T28">AVERAGE(_xlfn._xlws.FILTER(PTS!X:X, (PTS!$C:$C=A28) * ISNUMBER(PTS!X:X)))</f>
        <v>#VALUE!</v>
      </c>
      <c r="U28" s="531" t="e" cm="1" vm="1">
        <f t="array" ref="U28">AVERAGE(_xlfn._xlws.FILTER(PTS!Y:Y, (PTS!$C:$C=A28) * ISNUMBER(PTS!Y:Y)))</f>
        <v>#VALUE!</v>
      </c>
      <c r="V28" s="531" t="e" cm="1" vm="1">
        <f t="array" ref="V28">AVERAGE(_xlfn._xlws.FILTER(PTS!Z:Z, (PTS!$C:$C=A28) * ISNUMBER(PTS!Z:Z)))</f>
        <v>#VALUE!</v>
      </c>
      <c r="X28" s="531" t="e" vm="2">
        <f t="shared" si="4"/>
        <v>#VALUE!</v>
      </c>
      <c r="Y28" s="531" t="e" cm="1" vm="1">
        <f t="array" ref="Y28">AVERAGE(_xlfn._xlws.FILTER(PTS!AC:AC, (PTS!$C:$C=A28) * ISNUMBER(PTS!AC:AC)))</f>
        <v>#VALUE!</v>
      </c>
      <c r="Z28" s="531" t="e" cm="1" vm="1">
        <f t="array" ref="Z28">AVERAGE(_xlfn._xlws.FILTER(PTS!AD:AD, (PTS!$C:$C=A28) * ISNUMBER(PTS!AD:AD)))</f>
        <v>#VALUE!</v>
      </c>
      <c r="AB28" s="531" t="e" vm="2">
        <f t="shared" si="5"/>
        <v>#VALUE!</v>
      </c>
      <c r="AC28" s="10" t="e" cm="1" vm="1">
        <f t="array" ref="AC28">AVERAGE(_xlfn._xlws.FILTER(PTS!AG:AG, (PTS!$C:$C=A28) * ISNUMBER(PTS!AG:AG)))</f>
        <v>#VALUE!</v>
      </c>
      <c r="AD28" s="531" t="e" cm="1" vm="1">
        <f t="array" ref="AD28">AVERAGE(_xlfn._xlws.FILTER(PTS!AH:AH, (PTS!$C:$C=A28) * ISNUMBER(PTS!AH:AH)))</f>
        <v>#VALUE!</v>
      </c>
      <c r="AE28" s="531" t="e" cm="1" vm="1">
        <f t="array" ref="AE28">AVERAGE(_xlfn._xlws.FILTER(PTS!AI:AI, (PTS!$C:$C=A28) * ISNUMBER(PTS!AI:AI)))</f>
        <v>#VALUE!</v>
      </c>
      <c r="AF28" s="531" t="e" cm="1" vm="1">
        <f t="array" ref="AF28">AVERAGE(_xlfn._xlws.FILTER(PTS!AJ:AJ, (PTS!$C:$C=A28) * ISNUMBER(PTS!AJ:AJ)))</f>
        <v>#VALUE!</v>
      </c>
      <c r="AH28" s="531" t="e" vm="2">
        <f t="shared" si="6"/>
        <v>#VALUE!</v>
      </c>
      <c r="AI28" s="10" t="e" cm="1" vm="1">
        <f t="array" ref="AI28">AVERAGE(_xlfn._xlws.FILTER(PTS!AM:AM, (PTS!$C:$C=A28) * ISNUMBER(PTS!AM:AM)))</f>
        <v>#VALUE!</v>
      </c>
      <c r="AJ28" s="10" t="e" cm="1" vm="1">
        <f t="array" ref="AJ28">AVERAGE(_xlfn._xlws.FILTER(PTS!AN:AN, (PTS!$C:$C=A28) * ISNUMBER(PTS!AN:AN)))</f>
        <v>#VALUE!</v>
      </c>
      <c r="AK28" s="10" t="e" cm="1" vm="1">
        <f t="array" ref="AK28">AVERAGE(_xlfn._xlws.FILTER(PTS!AO:AO, (PTS!$C:$C=A28) * ISNUMBER(PTS!AO:AO)))</f>
        <v>#VALUE!</v>
      </c>
      <c r="AN28" s="10" t="e" vm="2">
        <f t="shared" si="7"/>
        <v>#VALUE!</v>
      </c>
      <c r="AR28" s="531" t="e">
        <f t="shared" si="8"/>
        <v>#N/A</v>
      </c>
      <c r="AS28" s="531" t="e" vm="2">
        <f t="shared" si="9"/>
        <v>#VALUE!</v>
      </c>
    </row>
    <row r="29" spans="1:45">
      <c r="A29" s="32" t="s">
        <v>142</v>
      </c>
      <c r="B29" s="319" t="s">
        <v>132</v>
      </c>
      <c r="C29" s="319" t="str">
        <f t="shared" si="0"/>
        <v>BishopvilleSC</v>
      </c>
      <c r="D29" s="10">
        <f>VLOOKUP(A:A,PTS!C:R,6,FALSE)</f>
        <v>1</v>
      </c>
      <c r="E29" s="531" cm="1">
        <f t="array" ref="E29">AVERAGE(_xlfn._xlws.FILTER(PTS!I:I, (PTS!$C:$C=A29) * ISNUMBER(PTS!I:I)))</f>
        <v>75</v>
      </c>
      <c r="F29" s="10" cm="1">
        <f t="array" ref="F29">AVERAGE(_xlfn._xlws.FILTER(PTS!J:J, (PTS!$C:$C=A29) * ISNUMBER(PTS!J:J)))</f>
        <v>85</v>
      </c>
      <c r="G29" s="531" cm="1">
        <f t="array" ref="G29">AVERAGE(_xlfn._xlws.FILTER(PTS!K:K, (PTS!$C:$C=A29) * ISNUMBER(PTS!K:K)))</f>
        <v>0</v>
      </c>
      <c r="H29" s="531" cm="1">
        <f t="array" ref="H29">AVERAGE(_xlfn._xlws.FILTER(PTS!L:L, (PTS!$C:$C=A29) * ISNUMBER(PTS!L:L)))</f>
        <v>0</v>
      </c>
      <c r="I29" s="531" cm="1">
        <f t="array" ref="I29">AVERAGE(_xlfn._xlws.FILTER(PTS!M:M, (PTS!$C:$C=A29) * ISNUMBER(PTS!M:M)))</f>
        <v>5</v>
      </c>
      <c r="J29" s="531" cm="1">
        <f t="array" ref="J29">AVERAGE(_xlfn._xlws.FILTER(PTS!N:N, (PTS!$C:$C=A29) * ISNUMBER(PTS!N:N)))</f>
        <v>50</v>
      </c>
      <c r="K29" s="531" cm="1">
        <f t="array" ref="K29">AVERAGE(_xlfn._xlws.FILTER(PTS!O:O, (PTS!$C:$C=A29) * ISNUMBER(PTS!O:O)))</f>
        <v>37.916666666666671</v>
      </c>
      <c r="L29" s="10" cm="1">
        <f t="array" ref="L29">AVERAGE(_xlfn._xlws.FILTER(PTS!P:P, (PTS!$C:$C=A29) * ISNUMBER(PTS!P:P)))</f>
        <v>0</v>
      </c>
      <c r="M29" s="531">
        <f t="shared" si="1"/>
        <v>252.91666666666669</v>
      </c>
      <c r="N29" s="531">
        <f t="shared" si="2"/>
        <v>87.916666666666671</v>
      </c>
      <c r="O29" s="531" cm="1">
        <f t="array" ref="O29">AVERAGE(_xlfn._xlws.FILTER(PTS!S:S, (PTS!$C:$C=A29) * ISNUMBER(PTS!S:S)))</f>
        <v>0</v>
      </c>
      <c r="P29" s="531" cm="1">
        <f t="array" ref="P29">AVERAGE(_xlfn._xlws.FILTER(PTS!T:T, (PTS!$C:$C=A29) * ISNUMBER(PTS!T:T)))</f>
        <v>0</v>
      </c>
      <c r="Q29" s="531" cm="1">
        <f t="array" ref="Q29">AVERAGE(_xlfn._xlws.FILTER(PTS!U:U, (PTS!$C:$C=A29) * ISNUMBER(PTS!U:U)))</f>
        <v>223.5443181818182</v>
      </c>
      <c r="S29" s="531">
        <f t="shared" si="3"/>
        <v>223.5443181818182</v>
      </c>
      <c r="T29" s="531" cm="1">
        <f t="array" ref="T29">AVERAGE(_xlfn._xlws.FILTER(PTS!X:X, (PTS!$C:$C=A29) * ISNUMBER(PTS!X:X)))</f>
        <v>52</v>
      </c>
      <c r="U29" s="531" cm="1">
        <f t="array" ref="U29">AVERAGE(_xlfn._xlws.FILTER(PTS!Y:Y, (PTS!$C:$C=A29) * ISNUMBER(PTS!Y:Y)))</f>
        <v>50.4</v>
      </c>
      <c r="V29" s="531" cm="1">
        <f t="array" ref="V29">AVERAGE(_xlfn._xlws.FILTER(PTS!Z:Z, (PTS!$C:$C=A29) * ISNUMBER(PTS!Z:Z)))</f>
        <v>26.25</v>
      </c>
      <c r="X29" s="531">
        <f t="shared" si="4"/>
        <v>128.65</v>
      </c>
      <c r="Y29" s="531" cm="1">
        <f t="array" ref="Y29">AVERAGE(_xlfn._xlws.FILTER(PTS!AC:AC, (PTS!$C:$C=A29) * ISNUMBER(PTS!AC:AC)))</f>
        <v>110.22727272727273</v>
      </c>
      <c r="Z29" s="531" cm="1">
        <f t="array" ref="Z29">AVERAGE(_xlfn._xlws.FILTER(PTS!AD:AD, (PTS!$C:$C=A29) * ISNUMBER(PTS!AD:AD)))</f>
        <v>107.04545454545455</v>
      </c>
      <c r="AB29" s="531">
        <f t="shared" si="5"/>
        <v>217.27272727272728</v>
      </c>
      <c r="AC29" s="10" cm="1">
        <f t="array" ref="AC29">AVERAGE(_xlfn._xlws.FILTER(PTS!AG:AG, (PTS!$C:$C=A29) * ISNUMBER(PTS!AG:AG)))</f>
        <v>28.814300000000003</v>
      </c>
      <c r="AD29" s="531" cm="1">
        <f t="array" ref="AD29">AVERAGE(_xlfn._xlws.FILTER(PTS!AH:AH, (PTS!$C:$C=A29) * ISNUMBER(PTS!AH:AH)))</f>
        <v>6.973140495867769</v>
      </c>
      <c r="AE29" s="531" cm="1">
        <f t="array" ref="AE29">AVERAGE(_xlfn._xlws.FILTER(PTS!AI:AI, (PTS!$C:$C=A29) * ISNUMBER(PTS!AI:AI)))</f>
        <v>12.587317427197677</v>
      </c>
      <c r="AF29" s="531" cm="1">
        <f t="array" ref="AF29">AVERAGE(_xlfn._xlws.FILTER(PTS!AJ:AJ, (PTS!$C:$C=A29) * ISNUMBER(PTS!AJ:AJ)))</f>
        <v>6.7351999999999999</v>
      </c>
      <c r="AH29" s="531">
        <f t="shared" si="6"/>
        <v>55.109957923065444</v>
      </c>
      <c r="AI29" s="10" cm="1">
        <f t="array" ref="AI29">AVERAGE(_xlfn._xlws.FILTER(PTS!AM:AM, (PTS!$C:$C=A29) * ISNUMBER(PTS!AM:AM)))</f>
        <v>79.999999999999986</v>
      </c>
      <c r="AJ29" s="10" cm="1">
        <f t="array" ref="AJ29">AVERAGE(_xlfn._xlws.FILTER(PTS!AN:AN, (PTS!$C:$C=A29) * ISNUMBER(PTS!AN:AN)))</f>
        <v>26.17808219178082</v>
      </c>
      <c r="AK29" s="10" cm="1">
        <f t="array" ref="AK29">AVERAGE(_xlfn._xlws.FILTER(PTS!AO:AO, (PTS!$C:$C=A29) * ISNUMBER(PTS!AO:AO)))</f>
        <v>0</v>
      </c>
      <c r="AN29" s="10">
        <f t="shared" si="7"/>
        <v>106.1780821917808</v>
      </c>
      <c r="AR29" s="531">
        <f t="shared" si="8"/>
        <v>818.67175223605841</v>
      </c>
      <c r="AS29" s="531">
        <f t="shared" si="9"/>
        <v>983.67175223605841</v>
      </c>
    </row>
    <row r="30" spans="1:45">
      <c r="A30" s="32" t="s">
        <v>145</v>
      </c>
      <c r="B30" s="319" t="s">
        <v>76</v>
      </c>
      <c r="C30" s="319" t="str">
        <f t="shared" si="0"/>
        <v>BlakelyGA</v>
      </c>
      <c r="D30" s="10">
        <f>VLOOKUP(A:A,PTS!C:R,6,FALSE)</f>
        <v>4</v>
      </c>
      <c r="E30" s="531" cm="1">
        <f t="array" ref="E30">AVERAGE(_xlfn._xlws.FILTER(PTS!I:I, (PTS!$C:$C=A30) * ISNUMBER(PTS!I:I)))</f>
        <v>0</v>
      </c>
      <c r="F30" s="10" cm="1">
        <f t="array" ref="F30">AVERAGE(_xlfn._xlws.FILTER(PTS!J:J, (PTS!$C:$C=A30) * ISNUMBER(PTS!J:J)))</f>
        <v>0</v>
      </c>
      <c r="G30" s="531" cm="1">
        <f t="array" ref="G30">AVERAGE(_xlfn._xlws.FILTER(PTS!K:K, (PTS!$C:$C=A30) * ISNUMBER(PTS!K:K)))</f>
        <v>0</v>
      </c>
      <c r="H30" s="531" cm="1">
        <f t="array" ref="H30">AVERAGE(_xlfn._xlws.FILTER(PTS!L:L, (PTS!$C:$C=A30) * ISNUMBER(PTS!L:L)))</f>
        <v>0</v>
      </c>
      <c r="I30" s="531" cm="1">
        <f t="array" ref="I30">AVERAGE(_xlfn._xlws.FILTER(PTS!M:M, (PTS!$C:$C=A30) * ISNUMBER(PTS!M:M)))</f>
        <v>0</v>
      </c>
      <c r="J30" s="531" cm="1">
        <f t="array" ref="J30">AVERAGE(_xlfn._xlws.FILTER(PTS!N:N, (PTS!$C:$C=A30) * ISNUMBER(PTS!N:N)))</f>
        <v>53</v>
      </c>
      <c r="K30" s="531" cm="1">
        <f t="array" ref="K30">AVERAGE(_xlfn._xlws.FILTER(PTS!O:O, (PTS!$C:$C=A30) * ISNUMBER(PTS!O:O)))</f>
        <v>37.916666666666671</v>
      </c>
      <c r="L30" s="10" cm="1">
        <f t="array" ref="L30">AVERAGE(_xlfn._xlws.FILTER(PTS!P:P, (PTS!$C:$C=A30) * ISNUMBER(PTS!P:P)))</f>
        <v>0</v>
      </c>
      <c r="M30" s="531">
        <f t="shared" si="1"/>
        <v>90.916666666666671</v>
      </c>
      <c r="N30" s="531">
        <f t="shared" si="2"/>
        <v>37.916666666666671</v>
      </c>
      <c r="O30" s="531" cm="1">
        <f t="array" ref="O30">AVERAGE(_xlfn._xlws.FILTER(PTS!S:S, (PTS!$C:$C=A30) * ISNUMBER(PTS!S:S)))</f>
        <v>0</v>
      </c>
      <c r="P30" s="531" cm="1">
        <f t="array" ref="P30">AVERAGE(_xlfn._xlws.FILTER(PTS!T:T, (PTS!$C:$C=A30) * ISNUMBER(PTS!T:T)))</f>
        <v>0</v>
      </c>
      <c r="Q30" s="531" cm="1">
        <f t="array" ref="Q30">AVERAGE(_xlfn._xlws.FILTER(PTS!U:U, (PTS!$C:$C=A30) * ISNUMBER(PTS!U:U)))</f>
        <v>270.64886363636367</v>
      </c>
      <c r="S30" s="531">
        <f t="shared" si="3"/>
        <v>270.64886363636367</v>
      </c>
      <c r="T30" s="531" cm="1">
        <f t="array" ref="T30">AVERAGE(_xlfn._xlws.FILTER(PTS!X:X, (PTS!$C:$C=A30) * ISNUMBER(PTS!X:X)))</f>
        <v>52</v>
      </c>
      <c r="U30" s="531" cm="1">
        <f t="array" ref="U30">AVERAGE(_xlfn._xlws.FILTER(PTS!Y:Y, (PTS!$C:$C=A30) * ISNUMBER(PTS!Y:Y)))</f>
        <v>50.4</v>
      </c>
      <c r="V30" s="531" cm="1">
        <f t="array" ref="V30">AVERAGE(_xlfn._xlws.FILTER(PTS!Z:Z, (PTS!$C:$C=A30) * ISNUMBER(PTS!Z:Z)))</f>
        <v>26.25</v>
      </c>
      <c r="X30" s="531">
        <f t="shared" si="4"/>
        <v>128.65</v>
      </c>
      <c r="Y30" s="531" cm="1">
        <f t="array" ref="Y30">AVERAGE(_xlfn._xlws.FILTER(PTS!AC:AC, (PTS!$C:$C=A30) * ISNUMBER(PTS!AC:AC)))</f>
        <v>110.22727272727273</v>
      </c>
      <c r="Z30" s="531" cm="1">
        <f t="array" ref="Z30">AVERAGE(_xlfn._xlws.FILTER(PTS!AD:AD, (PTS!$C:$C=A30) * ISNUMBER(PTS!AD:AD)))</f>
        <v>107.04545454545455</v>
      </c>
      <c r="AB30" s="531">
        <f t="shared" si="5"/>
        <v>217.27272727272728</v>
      </c>
      <c r="AC30" s="10" cm="1">
        <f t="array" ref="AC30">AVERAGE(_xlfn._xlws.FILTER(PTS!AG:AG, (PTS!$C:$C=A30) * ISNUMBER(PTS!AG:AG)))</f>
        <v>28.814300000000003</v>
      </c>
      <c r="AD30" s="531" cm="1">
        <f t="array" ref="AD30">AVERAGE(_xlfn._xlws.FILTER(PTS!AH:AH, (PTS!$C:$C=A30) * ISNUMBER(PTS!AH:AH)))</f>
        <v>6.973140495867769</v>
      </c>
      <c r="AE30" s="531" cm="1">
        <f t="array" ref="AE30">AVERAGE(_xlfn._xlws.FILTER(PTS!AI:AI, (PTS!$C:$C=A30) * ISNUMBER(PTS!AI:AI)))</f>
        <v>12.587317427197677</v>
      </c>
      <c r="AF30" s="531" cm="1">
        <f t="array" ref="AF30">AVERAGE(_xlfn._xlws.FILTER(PTS!AJ:AJ, (PTS!$C:$C=A30) * ISNUMBER(PTS!AJ:AJ)))</f>
        <v>6.7351999999999999</v>
      </c>
      <c r="AH30" s="531">
        <f t="shared" si="6"/>
        <v>55.109957923065444</v>
      </c>
      <c r="AI30" s="10" cm="1">
        <f t="array" ref="AI30">AVERAGE(_xlfn._xlws.FILTER(PTS!AM:AM, (PTS!$C:$C=A30) * ISNUMBER(PTS!AM:AM)))</f>
        <v>79.999999999999986</v>
      </c>
      <c r="AJ30" s="10" cm="1">
        <f t="array" ref="AJ30">AVERAGE(_xlfn._xlws.FILTER(PTS!AN:AN, (PTS!$C:$C=A30) * ISNUMBER(PTS!AN:AN)))</f>
        <v>26.17808219178082</v>
      </c>
      <c r="AK30" s="10" cm="1">
        <f t="array" ref="AK30">AVERAGE(_xlfn._xlws.FILTER(PTS!AO:AO, (PTS!$C:$C=A30) * ISNUMBER(PTS!AO:AO)))</f>
        <v>0</v>
      </c>
      <c r="AN30" s="10">
        <f t="shared" si="7"/>
        <v>106.1780821917808</v>
      </c>
      <c r="AR30" s="531">
        <f t="shared" si="8"/>
        <v>815.77629769060388</v>
      </c>
      <c r="AS30" s="531">
        <f t="shared" si="9"/>
        <v>868.77629769060388</v>
      </c>
    </row>
    <row r="31" spans="1:45">
      <c r="A31" s="32" t="s">
        <v>148</v>
      </c>
      <c r="B31" s="319" t="s">
        <v>149</v>
      </c>
      <c r="C31" s="319" t="str">
        <f t="shared" si="0"/>
        <v>BlythevilleAR</v>
      </c>
      <c r="D31" s="10">
        <f>VLOOKUP(A:A,PTS!C:R,6,FALSE)</f>
        <v>1</v>
      </c>
      <c r="E31" s="531" cm="1">
        <f t="array" ref="E31">AVERAGE(_xlfn._xlws.FILTER(PTS!I:I, (PTS!$C:$C=A31) * ISNUMBER(PTS!I:I)))</f>
        <v>51</v>
      </c>
      <c r="F31" s="10" cm="1">
        <f t="array" ref="F31">AVERAGE(_xlfn._xlws.FILTER(PTS!J:J, (PTS!$C:$C=A31) * ISNUMBER(PTS!J:J)))</f>
        <v>310</v>
      </c>
      <c r="G31" s="531" cm="1">
        <f t="array" ref="G31">AVERAGE(_xlfn._xlws.FILTER(PTS!K:K, (PTS!$C:$C=A31) * ISNUMBER(PTS!K:K)))</f>
        <v>80</v>
      </c>
      <c r="H31" s="531" cm="1">
        <f t="array" ref="H31">AVERAGE(_xlfn._xlws.FILTER(PTS!L:L, (PTS!$C:$C=A31) * ISNUMBER(PTS!L:L)))</f>
        <v>0</v>
      </c>
      <c r="I31" s="531" cm="1">
        <f t="array" ref="I31">AVERAGE(_xlfn._xlws.FILTER(PTS!M:M, (PTS!$C:$C=A31) * ISNUMBER(PTS!M:M)))</f>
        <v>5</v>
      </c>
      <c r="J31" s="531" cm="1">
        <f t="array" ref="J31">AVERAGE(_xlfn._xlws.FILTER(PTS!N:N, (PTS!$C:$C=A31) * ISNUMBER(PTS!N:N)))</f>
        <v>65.5</v>
      </c>
      <c r="K31" s="531" cm="1">
        <f t="array" ref="K31">AVERAGE(_xlfn._xlws.FILTER(PTS!O:O, (PTS!$C:$C=A31) * ISNUMBER(PTS!O:O)))</f>
        <v>37.916666666666671</v>
      </c>
      <c r="L31" s="10" cm="1">
        <f t="array" ref="L31">AVERAGE(_xlfn._xlws.FILTER(PTS!P:P, (PTS!$C:$C=A31) * ISNUMBER(PTS!P:P)))</f>
        <v>0</v>
      </c>
      <c r="M31" s="531">
        <f t="shared" si="1"/>
        <v>549.41666666666663</v>
      </c>
      <c r="N31" s="531">
        <f t="shared" si="2"/>
        <v>103.41666666666667</v>
      </c>
      <c r="O31" s="531" cm="1">
        <f t="array" ref="O31">AVERAGE(_xlfn._xlws.FILTER(PTS!S:S, (PTS!$C:$C=A31) * ISNUMBER(PTS!S:S)))</f>
        <v>0</v>
      </c>
      <c r="P31" s="531" cm="1">
        <f t="array" ref="P31">AVERAGE(_xlfn._xlws.FILTER(PTS!T:T, (PTS!$C:$C=A31) * ISNUMBER(PTS!T:T)))</f>
        <v>0</v>
      </c>
      <c r="Q31" s="531" cm="1">
        <f t="array" ref="Q31">AVERAGE(_xlfn._xlws.FILTER(PTS!U:U, (PTS!$C:$C=A31) * ISNUMBER(PTS!U:U)))</f>
        <v>176.70454545454547</v>
      </c>
      <c r="S31" s="531">
        <f t="shared" si="3"/>
        <v>176.70454545454547</v>
      </c>
      <c r="T31" s="531" cm="1">
        <f t="array" ref="T31">AVERAGE(_xlfn._xlws.FILTER(PTS!X:X, (PTS!$C:$C=A31) * ISNUMBER(PTS!X:X)))</f>
        <v>50</v>
      </c>
      <c r="U31" s="531" cm="1">
        <f t="array" ref="U31">AVERAGE(_xlfn._xlws.FILTER(PTS!Y:Y, (PTS!$C:$C=A31) * ISNUMBER(PTS!Y:Y)))</f>
        <v>33.6</v>
      </c>
      <c r="V31" s="531" cm="1">
        <f t="array" ref="V31">AVERAGE(_xlfn._xlws.FILTER(PTS!Z:Z, (PTS!$C:$C=A31) * ISNUMBER(PTS!Z:Z)))</f>
        <v>26.25</v>
      </c>
      <c r="X31" s="531">
        <f t="shared" si="4"/>
        <v>109.85</v>
      </c>
      <c r="Y31" s="531" cm="1">
        <f t="array" ref="Y31">AVERAGE(_xlfn._xlws.FILTER(PTS!AC:AC, (PTS!$C:$C=A31) * ISNUMBER(PTS!AC:AC)))</f>
        <v>146.02272727272725</v>
      </c>
      <c r="Z31" s="531" cm="1">
        <f t="array" ref="Z31">AVERAGE(_xlfn._xlws.FILTER(PTS!AD:AD, (PTS!$C:$C=A31) * ISNUMBER(PTS!AD:AD)))</f>
        <v>182.72727272727275</v>
      </c>
      <c r="AB31" s="531">
        <f t="shared" si="5"/>
        <v>328.75</v>
      </c>
      <c r="AC31" s="10" cm="1">
        <f t="array" ref="AC31">AVERAGE(_xlfn._xlws.FILTER(PTS!AG:AG, (PTS!$C:$C=A31) * ISNUMBER(PTS!AG:AG)))</f>
        <v>28.814300000000003</v>
      </c>
      <c r="AD31" s="531" cm="1">
        <f t="array" ref="AD31">AVERAGE(_xlfn._xlws.FILTER(PTS!AH:AH, (PTS!$C:$C=A31) * ISNUMBER(PTS!AH:AH)))</f>
        <v>6.973140495867769</v>
      </c>
      <c r="AE31" s="531" cm="1">
        <f t="array" ref="AE31">AVERAGE(_xlfn._xlws.FILTER(PTS!AI:AI, (PTS!$C:$C=A31) * ISNUMBER(PTS!AI:AI)))</f>
        <v>12.587317427197677</v>
      </c>
      <c r="AF31" s="531" cm="1">
        <f t="array" ref="AF31">AVERAGE(_xlfn._xlws.FILTER(PTS!AJ:AJ, (PTS!$C:$C=A31) * ISNUMBER(PTS!AJ:AJ)))</f>
        <v>6.7351999999999999</v>
      </c>
      <c r="AH31" s="531">
        <f t="shared" si="6"/>
        <v>55.109957923065444</v>
      </c>
      <c r="AI31" s="10" cm="1">
        <f t="array" ref="AI31">AVERAGE(_xlfn._xlws.FILTER(PTS!AM:AM, (PTS!$C:$C=A31) * ISNUMBER(PTS!AM:AM)))</f>
        <v>79.999999999999986</v>
      </c>
      <c r="AJ31" s="10" cm="1">
        <f t="array" ref="AJ31">AVERAGE(_xlfn._xlws.FILTER(PTS!AN:AN, (PTS!$C:$C=A31) * ISNUMBER(PTS!AN:AN)))</f>
        <v>26.17808219178082</v>
      </c>
      <c r="AK31" s="10" cm="1">
        <f t="array" ref="AK31">AVERAGE(_xlfn._xlws.FILTER(PTS!AO:AO, (PTS!$C:$C=A31) * ISNUMBER(PTS!AO:AO)))</f>
        <v>0</v>
      </c>
      <c r="AN31" s="10">
        <f t="shared" si="7"/>
        <v>106.1780821917808</v>
      </c>
      <c r="AR31" s="531">
        <f t="shared" si="8"/>
        <v>880.00925223605839</v>
      </c>
      <c r="AS31" s="531">
        <f t="shared" si="9"/>
        <v>1326.0092522360583</v>
      </c>
    </row>
    <row r="32" spans="1:45">
      <c r="A32" s="32" t="s">
        <v>153</v>
      </c>
      <c r="B32" s="319" t="s">
        <v>149</v>
      </c>
      <c r="C32" s="319" t="str">
        <f t="shared" si="0"/>
        <v>Blytheville AR</v>
      </c>
      <c r="D32" s="10">
        <f>VLOOKUP(A:A,PTS!C:R,6,FALSE)</f>
        <v>1</v>
      </c>
      <c r="E32" s="531" cm="1">
        <f t="array" ref="E32">AVERAGE(_xlfn._xlws.FILTER(PTS!I:I, (PTS!$C:$C=A32) * ISNUMBER(PTS!I:I)))</f>
        <v>37</v>
      </c>
      <c r="F32" s="10" cm="1">
        <f t="array" ref="F32">AVERAGE(_xlfn._xlws.FILTER(PTS!J:J, (PTS!$C:$C=A32) * ISNUMBER(PTS!J:J)))</f>
        <v>80</v>
      </c>
      <c r="G32" s="531" cm="1">
        <f t="array" ref="G32">AVERAGE(_xlfn._xlws.FILTER(PTS!K:K, (PTS!$C:$C=A32) * ISNUMBER(PTS!K:K)))</f>
        <v>140</v>
      </c>
      <c r="H32" s="531" cm="1">
        <f t="array" ref="H32">AVERAGE(_xlfn._xlws.FILTER(PTS!L:L, (PTS!$C:$C=A32) * ISNUMBER(PTS!L:L)))</f>
        <v>61</v>
      </c>
      <c r="I32" s="531" cm="1">
        <f t="array" ref="I32">AVERAGE(_xlfn._xlws.FILTER(PTS!M:M, (PTS!$C:$C=A32) * ISNUMBER(PTS!M:M)))</f>
        <v>0</v>
      </c>
      <c r="J32" s="531" cm="1">
        <f t="array" ref="J32">AVERAGE(_xlfn._xlws.FILTER(PTS!N:N, (PTS!$C:$C=A32) * ISNUMBER(PTS!N:N)))</f>
        <v>60</v>
      </c>
      <c r="K32" s="531" cm="1">
        <f t="array" ref="K32">AVERAGE(_xlfn._xlws.FILTER(PTS!O:O, (PTS!$C:$C=A32) * ISNUMBER(PTS!O:O)))</f>
        <v>37.916666666666671</v>
      </c>
      <c r="L32" s="10" cm="1">
        <f t="array" ref="L32">AVERAGE(_xlfn._xlws.FILTER(PTS!P:P, (PTS!$C:$C=A32) * ISNUMBER(PTS!P:P)))</f>
        <v>0</v>
      </c>
      <c r="M32" s="531">
        <f t="shared" si="1"/>
        <v>415.91666666666669</v>
      </c>
      <c r="N32" s="531">
        <f t="shared" si="2"/>
        <v>97.916666666666671</v>
      </c>
      <c r="O32" s="531" cm="1">
        <f t="array" ref="O32">AVERAGE(_xlfn._xlws.FILTER(PTS!S:S, (PTS!$C:$C=A32) * ISNUMBER(PTS!S:S)))</f>
        <v>0</v>
      </c>
      <c r="P32" s="531" cm="1">
        <f t="array" ref="P32">AVERAGE(_xlfn._xlws.FILTER(PTS!T:T, (PTS!$C:$C=A32) * ISNUMBER(PTS!T:T)))</f>
        <v>0</v>
      </c>
      <c r="Q32" s="531" cm="1">
        <f t="array" ref="Q32">AVERAGE(_xlfn._xlws.FILTER(PTS!U:U, (PTS!$C:$C=A32) * ISNUMBER(PTS!U:U)))</f>
        <v>176.70454545454547</v>
      </c>
      <c r="S32" s="531">
        <f t="shared" si="3"/>
        <v>176.70454545454547</v>
      </c>
      <c r="T32" s="531" cm="1">
        <f t="array" ref="T32">AVERAGE(_xlfn._xlws.FILTER(PTS!X:X, (PTS!$C:$C=A32) * ISNUMBER(PTS!X:X)))</f>
        <v>50</v>
      </c>
      <c r="U32" s="531" cm="1">
        <f t="array" ref="U32">AVERAGE(_xlfn._xlws.FILTER(PTS!Y:Y, (PTS!$C:$C=A32) * ISNUMBER(PTS!Y:Y)))</f>
        <v>33.6</v>
      </c>
      <c r="V32" s="531" cm="1">
        <f t="array" ref="V32">AVERAGE(_xlfn._xlws.FILTER(PTS!Z:Z, (PTS!$C:$C=A32) * ISNUMBER(PTS!Z:Z)))</f>
        <v>26.25</v>
      </c>
      <c r="X32" s="531">
        <f t="shared" si="4"/>
        <v>109.85</v>
      </c>
      <c r="Y32" s="531" cm="1">
        <f t="array" ref="Y32">AVERAGE(_xlfn._xlws.FILTER(PTS!AC:AC, (PTS!$C:$C=A32) * ISNUMBER(PTS!AC:AC)))</f>
        <v>146.02272727272725</v>
      </c>
      <c r="Z32" s="531" cm="1">
        <f t="array" ref="Z32">AVERAGE(_xlfn._xlws.FILTER(PTS!AD:AD, (PTS!$C:$C=A32) * ISNUMBER(PTS!AD:AD)))</f>
        <v>182.72727272727275</v>
      </c>
      <c r="AB32" s="531">
        <f t="shared" si="5"/>
        <v>328.75</v>
      </c>
      <c r="AC32" s="10" cm="1">
        <f t="array" ref="AC32">AVERAGE(_xlfn._xlws.FILTER(PTS!AG:AG, (PTS!$C:$C=A32) * ISNUMBER(PTS!AG:AG)))</f>
        <v>28.814300000000003</v>
      </c>
      <c r="AD32" s="531" cm="1">
        <f t="array" ref="AD32">AVERAGE(_xlfn._xlws.FILTER(PTS!AH:AH, (PTS!$C:$C=A32) * ISNUMBER(PTS!AH:AH)))</f>
        <v>6.973140495867769</v>
      </c>
      <c r="AE32" s="531" cm="1">
        <f t="array" ref="AE32">AVERAGE(_xlfn._xlws.FILTER(PTS!AI:AI, (PTS!$C:$C=A32) * ISNUMBER(PTS!AI:AI)))</f>
        <v>12.587317427197677</v>
      </c>
      <c r="AF32" s="531" cm="1">
        <f t="array" ref="AF32">AVERAGE(_xlfn._xlws.FILTER(PTS!AJ:AJ, (PTS!$C:$C=A32) * ISNUMBER(PTS!AJ:AJ)))</f>
        <v>6.7351999999999999</v>
      </c>
      <c r="AH32" s="531">
        <f t="shared" si="6"/>
        <v>55.109957923065444</v>
      </c>
      <c r="AI32" s="10" cm="1">
        <f t="array" ref="AI32">AVERAGE(_xlfn._xlws.FILTER(PTS!AM:AM, (PTS!$C:$C=A32) * ISNUMBER(PTS!AM:AM)))</f>
        <v>79.999999999999986</v>
      </c>
      <c r="AJ32" s="10" cm="1">
        <f t="array" ref="AJ32">AVERAGE(_xlfn._xlws.FILTER(PTS!AN:AN, (PTS!$C:$C=A32) * ISNUMBER(PTS!AN:AN)))</f>
        <v>26.17808219178082</v>
      </c>
      <c r="AK32" s="10" cm="1">
        <f t="array" ref="AK32">AVERAGE(_xlfn._xlws.FILTER(PTS!AO:AO, (PTS!$C:$C=A32) * ISNUMBER(PTS!AO:AO)))</f>
        <v>0</v>
      </c>
      <c r="AN32" s="10">
        <f t="shared" si="7"/>
        <v>106.1780821917808</v>
      </c>
      <c r="AR32" s="531">
        <f t="shared" si="8"/>
        <v>874.50925223605839</v>
      </c>
      <c r="AS32" s="531">
        <f t="shared" si="9"/>
        <v>1192.5092522360583</v>
      </c>
    </row>
    <row r="33" spans="1:45">
      <c r="A33" s="32" t="s">
        <v>155</v>
      </c>
      <c r="B33" s="319" t="s">
        <v>76</v>
      </c>
      <c r="C33" s="319" t="str">
        <f t="shared" si="0"/>
        <v>BostonGA</v>
      </c>
      <c r="D33" s="10">
        <f>VLOOKUP(A:A,PTS!C:R,6,FALSE)</f>
        <v>4</v>
      </c>
      <c r="E33" s="531" cm="1">
        <f t="array" ref="E33">AVERAGE(_xlfn._xlws.FILTER(PTS!I:I, (PTS!$C:$C=A33) * ISNUMBER(PTS!I:I)))</f>
        <v>80</v>
      </c>
      <c r="F33" s="10" cm="1">
        <f t="array" ref="F33">AVERAGE(_xlfn._xlws.FILTER(PTS!J:J, (PTS!$C:$C=A33) * ISNUMBER(PTS!J:J)))</f>
        <v>120</v>
      </c>
      <c r="G33" s="531" cm="1">
        <f t="array" ref="G33">AVERAGE(_xlfn._xlws.FILTER(PTS!K:K, (PTS!$C:$C=A33) * ISNUMBER(PTS!K:K)))</f>
        <v>0</v>
      </c>
      <c r="H33" s="531" cm="1">
        <f t="array" ref="H33">AVERAGE(_xlfn._xlws.FILTER(PTS!L:L, (PTS!$C:$C=A33) * ISNUMBER(PTS!L:L)))</f>
        <v>0</v>
      </c>
      <c r="I33" s="531" cm="1">
        <f t="array" ref="I33">AVERAGE(_xlfn._xlws.FILTER(PTS!M:M, (PTS!$C:$C=A33) * ISNUMBER(PTS!M:M)))</f>
        <v>20</v>
      </c>
      <c r="J33" s="531" cm="1">
        <f t="array" ref="J33">AVERAGE(_xlfn._xlws.FILTER(PTS!N:N, (PTS!$C:$C=A33) * ISNUMBER(PTS!N:N)))</f>
        <v>50</v>
      </c>
      <c r="K33" s="531" cm="1">
        <f t="array" ref="K33">AVERAGE(_xlfn._xlws.FILTER(PTS!O:O, (PTS!$C:$C=A33) * ISNUMBER(PTS!O:O)))</f>
        <v>37.916666666666671</v>
      </c>
      <c r="L33" s="10" cm="1">
        <f t="array" ref="L33">AVERAGE(_xlfn._xlws.FILTER(PTS!P:P, (PTS!$C:$C=A33) * ISNUMBER(PTS!P:P)))</f>
        <v>0</v>
      </c>
      <c r="M33" s="531">
        <f t="shared" si="1"/>
        <v>307.91666666666669</v>
      </c>
      <c r="N33" s="531">
        <f t="shared" si="2"/>
        <v>37.916666666666671</v>
      </c>
      <c r="O33" s="531" cm="1">
        <f t="array" ref="O33">AVERAGE(_xlfn._xlws.FILTER(PTS!S:S, (PTS!$C:$C=A33) * ISNUMBER(PTS!S:S)))</f>
        <v>0</v>
      </c>
      <c r="P33" s="531" cm="1">
        <f t="array" ref="P33">AVERAGE(_xlfn._xlws.FILTER(PTS!T:T, (PTS!$C:$C=A33) * ISNUMBER(PTS!T:T)))</f>
        <v>0</v>
      </c>
      <c r="Q33" s="531" cm="1">
        <f t="array" ref="Q33">AVERAGE(_xlfn._xlws.FILTER(PTS!U:U, (PTS!$C:$C=A33) * ISNUMBER(PTS!U:U)))</f>
        <v>225.39090909090908</v>
      </c>
      <c r="S33" s="531">
        <f t="shared" si="3"/>
        <v>225.39090909090908</v>
      </c>
      <c r="T33" s="531" cm="1">
        <f t="array" ref="T33">AVERAGE(_xlfn._xlws.FILTER(PTS!X:X, (PTS!$C:$C=A33) * ISNUMBER(PTS!X:X)))</f>
        <v>52</v>
      </c>
      <c r="U33" s="531" cm="1">
        <f t="array" ref="U33">AVERAGE(_xlfn._xlws.FILTER(PTS!Y:Y, (PTS!$C:$C=A33) * ISNUMBER(PTS!Y:Y)))</f>
        <v>50.4</v>
      </c>
      <c r="V33" s="531" cm="1">
        <f t="array" ref="V33">AVERAGE(_xlfn._xlws.FILTER(PTS!Z:Z, (PTS!$C:$C=A33) * ISNUMBER(PTS!Z:Z)))</f>
        <v>26.25</v>
      </c>
      <c r="X33" s="531">
        <f t="shared" si="4"/>
        <v>128.65</v>
      </c>
      <c r="Y33" s="531" cm="1">
        <f t="array" ref="Y33">AVERAGE(_xlfn._xlws.FILTER(PTS!AC:AC, (PTS!$C:$C=A33) * ISNUMBER(PTS!AC:AC)))</f>
        <v>110.22727272727273</v>
      </c>
      <c r="Z33" s="531" cm="1">
        <f t="array" ref="Z33">AVERAGE(_xlfn._xlws.FILTER(PTS!AD:AD, (PTS!$C:$C=A33) * ISNUMBER(PTS!AD:AD)))</f>
        <v>107.04545454545455</v>
      </c>
      <c r="AB33" s="531">
        <f t="shared" si="5"/>
        <v>217.27272727272728</v>
      </c>
      <c r="AC33" s="10" cm="1">
        <f t="array" ref="AC33">AVERAGE(_xlfn._xlws.FILTER(PTS!AG:AG, (PTS!$C:$C=A33) * ISNUMBER(PTS!AG:AG)))</f>
        <v>28.814300000000003</v>
      </c>
      <c r="AD33" s="531" cm="1">
        <f t="array" ref="AD33">AVERAGE(_xlfn._xlws.FILTER(PTS!AH:AH, (PTS!$C:$C=A33) * ISNUMBER(PTS!AH:AH)))</f>
        <v>6.973140495867769</v>
      </c>
      <c r="AE33" s="531" cm="1">
        <f t="array" ref="AE33">AVERAGE(_xlfn._xlws.FILTER(PTS!AI:AI, (PTS!$C:$C=A33) * ISNUMBER(PTS!AI:AI)))</f>
        <v>12.587317427197677</v>
      </c>
      <c r="AF33" s="531" cm="1">
        <f t="array" ref="AF33">AVERAGE(_xlfn._xlws.FILTER(PTS!AJ:AJ, (PTS!$C:$C=A33) * ISNUMBER(PTS!AJ:AJ)))</f>
        <v>6.7351999999999999</v>
      </c>
      <c r="AH33" s="531">
        <f t="shared" si="6"/>
        <v>55.109957923065444</v>
      </c>
      <c r="AI33" s="10" cm="1">
        <f t="array" ref="AI33">AVERAGE(_xlfn._xlws.FILTER(PTS!AM:AM, (PTS!$C:$C=A33) * ISNUMBER(PTS!AM:AM)))</f>
        <v>79.999999999999986</v>
      </c>
      <c r="AJ33" s="10" cm="1">
        <f t="array" ref="AJ33">AVERAGE(_xlfn._xlws.FILTER(PTS!AN:AN, (PTS!$C:$C=A33) * ISNUMBER(PTS!AN:AN)))</f>
        <v>26.17808219178082</v>
      </c>
      <c r="AK33" s="10" cm="1">
        <f t="array" ref="AK33">AVERAGE(_xlfn._xlws.FILTER(PTS!AO:AO, (PTS!$C:$C=A33) * ISNUMBER(PTS!AO:AO)))</f>
        <v>0</v>
      </c>
      <c r="AN33" s="10">
        <f t="shared" si="7"/>
        <v>106.1780821917808</v>
      </c>
      <c r="AR33" s="531">
        <f t="shared" si="8"/>
        <v>770.51834314514929</v>
      </c>
      <c r="AS33" s="531">
        <f t="shared" si="9"/>
        <v>1040.5183431451492</v>
      </c>
    </row>
    <row r="34" spans="1:45">
      <c r="A34" s="32" t="s">
        <v>158</v>
      </c>
      <c r="B34" s="319" t="s">
        <v>76</v>
      </c>
      <c r="C34" s="319" t="str">
        <f t="shared" si="0"/>
        <v>BronwoodGA</v>
      </c>
      <c r="D34" s="10">
        <f>VLOOKUP(A:A,PTS!C:R,6,FALSE)</f>
        <v>4</v>
      </c>
      <c r="E34" s="531" cm="1">
        <f t="array" ref="E34">AVERAGE(_xlfn._xlws.FILTER(PTS!I:I, (PTS!$C:$C=A34) * ISNUMBER(PTS!I:I)))</f>
        <v>70</v>
      </c>
      <c r="F34" s="10" cm="1">
        <f t="array" ref="F34">AVERAGE(_xlfn._xlws.FILTER(PTS!J:J, (PTS!$C:$C=A34) * ISNUMBER(PTS!J:J)))</f>
        <v>130</v>
      </c>
      <c r="G34" s="531" cm="1">
        <f t="array" ref="G34">AVERAGE(_xlfn._xlws.FILTER(PTS!K:K, (PTS!$C:$C=A34) * ISNUMBER(PTS!K:K)))</f>
        <v>0</v>
      </c>
      <c r="H34" s="531" cm="1">
        <f t="array" ref="H34">AVERAGE(_xlfn._xlws.FILTER(PTS!L:L, (PTS!$C:$C=A34) * ISNUMBER(PTS!L:L)))</f>
        <v>0</v>
      </c>
      <c r="I34" s="531" cm="1">
        <f t="array" ref="I34">AVERAGE(_xlfn._xlws.FILTER(PTS!M:M, (PTS!$C:$C=A34) * ISNUMBER(PTS!M:M)))</f>
        <v>0</v>
      </c>
      <c r="J34" s="531" cm="1">
        <f t="array" ref="J34">AVERAGE(_xlfn._xlws.FILTER(PTS!N:N, (PTS!$C:$C=A34) * ISNUMBER(PTS!N:N)))</f>
        <v>55</v>
      </c>
      <c r="K34" s="531" cm="1">
        <f t="array" ref="K34">AVERAGE(_xlfn._xlws.FILTER(PTS!O:O, (PTS!$C:$C=A34) * ISNUMBER(PTS!O:O)))</f>
        <v>37.916666666666671</v>
      </c>
      <c r="L34" s="10" cm="1">
        <f t="array" ref="L34">AVERAGE(_xlfn._xlws.FILTER(PTS!P:P, (PTS!$C:$C=A34) * ISNUMBER(PTS!P:P)))</f>
        <v>0</v>
      </c>
      <c r="M34" s="531">
        <f t="shared" si="1"/>
        <v>292.91666666666669</v>
      </c>
      <c r="N34" s="531">
        <f t="shared" si="2"/>
        <v>37.916666666666671</v>
      </c>
      <c r="O34" s="531" cm="1">
        <f t="array" ref="O34">AVERAGE(_xlfn._xlws.FILTER(PTS!S:S, (PTS!$C:$C=A34) * ISNUMBER(PTS!S:S)))</f>
        <v>0</v>
      </c>
      <c r="P34" s="531" cm="1">
        <f t="array" ref="P34">AVERAGE(_xlfn._xlws.FILTER(PTS!T:T, (PTS!$C:$C=A34) * ISNUMBER(PTS!T:T)))</f>
        <v>0</v>
      </c>
      <c r="Q34" s="531" cm="1">
        <f t="array" ref="Q34">AVERAGE(_xlfn._xlws.FILTER(PTS!U:U, (PTS!$C:$C=A34) * ISNUMBER(PTS!U:U)))</f>
        <v>184.1090909090909</v>
      </c>
      <c r="S34" s="531">
        <f t="shared" si="3"/>
        <v>184.1090909090909</v>
      </c>
      <c r="T34" s="531" cm="1">
        <f t="array" ref="T34">AVERAGE(_xlfn._xlws.FILTER(PTS!X:X, (PTS!$C:$C=A34) * ISNUMBER(PTS!X:X)))</f>
        <v>52</v>
      </c>
      <c r="U34" s="531" cm="1">
        <f t="array" ref="U34">AVERAGE(_xlfn._xlws.FILTER(PTS!Y:Y, (PTS!$C:$C=A34) * ISNUMBER(PTS!Y:Y)))</f>
        <v>50.4</v>
      </c>
      <c r="V34" s="531" cm="1">
        <f t="array" ref="V34">AVERAGE(_xlfn._xlws.FILTER(PTS!Z:Z, (PTS!$C:$C=A34) * ISNUMBER(PTS!Z:Z)))</f>
        <v>26.25</v>
      </c>
      <c r="X34" s="531">
        <f t="shared" si="4"/>
        <v>128.65</v>
      </c>
      <c r="Y34" s="531" cm="1">
        <f t="array" ref="Y34">AVERAGE(_xlfn._xlws.FILTER(PTS!AC:AC, (PTS!$C:$C=A34) * ISNUMBER(PTS!AC:AC)))</f>
        <v>110.22727272727273</v>
      </c>
      <c r="Z34" s="531" cm="1">
        <f t="array" ref="Z34">AVERAGE(_xlfn._xlws.FILTER(PTS!AD:AD, (PTS!$C:$C=A34) * ISNUMBER(PTS!AD:AD)))</f>
        <v>107.04545454545455</v>
      </c>
      <c r="AB34" s="531">
        <f t="shared" si="5"/>
        <v>217.27272727272728</v>
      </c>
      <c r="AC34" s="10" cm="1">
        <f t="array" ref="AC34">AVERAGE(_xlfn._xlws.FILTER(PTS!AG:AG, (PTS!$C:$C=A34) * ISNUMBER(PTS!AG:AG)))</f>
        <v>28.814300000000003</v>
      </c>
      <c r="AD34" s="531" cm="1">
        <f t="array" ref="AD34">AVERAGE(_xlfn._xlws.FILTER(PTS!AH:AH, (PTS!$C:$C=A34) * ISNUMBER(PTS!AH:AH)))</f>
        <v>6.973140495867769</v>
      </c>
      <c r="AE34" s="531" cm="1">
        <f t="array" ref="AE34">AVERAGE(_xlfn._xlws.FILTER(PTS!AI:AI, (PTS!$C:$C=A34) * ISNUMBER(PTS!AI:AI)))</f>
        <v>12.587317427197677</v>
      </c>
      <c r="AF34" s="531" cm="1">
        <f t="array" ref="AF34">AVERAGE(_xlfn._xlws.FILTER(PTS!AJ:AJ, (PTS!$C:$C=A34) * ISNUMBER(PTS!AJ:AJ)))</f>
        <v>6.7351999999999999</v>
      </c>
      <c r="AH34" s="531">
        <f t="shared" si="6"/>
        <v>55.109957923065444</v>
      </c>
      <c r="AI34" s="10" cm="1">
        <f t="array" ref="AI34">AVERAGE(_xlfn._xlws.FILTER(PTS!AM:AM, (PTS!$C:$C=A34) * ISNUMBER(PTS!AM:AM)))</f>
        <v>79.999999999999986</v>
      </c>
      <c r="AJ34" s="10" cm="1">
        <f t="array" ref="AJ34">AVERAGE(_xlfn._xlws.FILTER(PTS!AN:AN, (PTS!$C:$C=A34) * ISNUMBER(PTS!AN:AN)))</f>
        <v>26.17808219178082</v>
      </c>
      <c r="AK34" s="10" cm="1">
        <f t="array" ref="AK34">AVERAGE(_xlfn._xlws.FILTER(PTS!AO:AO, (PTS!$C:$C=A34) * ISNUMBER(PTS!AO:AO)))</f>
        <v>0</v>
      </c>
      <c r="AN34" s="10">
        <f t="shared" si="7"/>
        <v>106.1780821917808</v>
      </c>
      <c r="AR34" s="531">
        <f t="shared" si="8"/>
        <v>729.23652496333102</v>
      </c>
      <c r="AS34" s="531">
        <f t="shared" si="9"/>
        <v>984.23652496333102</v>
      </c>
    </row>
    <row r="35" spans="1:45">
      <c r="A35" s="32" t="s">
        <v>161</v>
      </c>
      <c r="B35" s="319" t="s">
        <v>76</v>
      </c>
      <c r="C35" s="319" t="str">
        <f t="shared" si="0"/>
        <v>BrookletGA</v>
      </c>
      <c r="D35" s="10">
        <f>VLOOKUP(A:A,PTS!C:R,6,FALSE)</f>
        <v>4</v>
      </c>
      <c r="E35" s="531" cm="1">
        <f t="array" ref="E35">AVERAGE(_xlfn._xlws.FILTER(PTS!I:I, (PTS!$C:$C=A35) * ISNUMBER(PTS!I:I)))</f>
        <v>70</v>
      </c>
      <c r="F35" s="10" cm="1">
        <f t="array" ref="F35">AVERAGE(_xlfn._xlws.FILTER(PTS!J:J, (PTS!$C:$C=A35) * ISNUMBER(PTS!J:J)))</f>
        <v>90</v>
      </c>
      <c r="G35" s="531" cm="1">
        <f t="array" ref="G35">AVERAGE(_xlfn._xlws.FILTER(PTS!K:K, (PTS!$C:$C=A35) * ISNUMBER(PTS!K:K)))</f>
        <v>0</v>
      </c>
      <c r="H35" s="531" cm="1">
        <f t="array" ref="H35">AVERAGE(_xlfn._xlws.FILTER(PTS!L:L, (PTS!$C:$C=A35) * ISNUMBER(PTS!L:L)))</f>
        <v>0</v>
      </c>
      <c r="I35" s="531" cm="1">
        <f t="array" ref="I35">AVERAGE(_xlfn._xlws.FILTER(PTS!M:M, (PTS!$C:$C=A35) * ISNUMBER(PTS!M:M)))</f>
        <v>10</v>
      </c>
      <c r="J35" s="531" cm="1">
        <f t="array" ref="J35">AVERAGE(_xlfn._xlws.FILTER(PTS!N:N, (PTS!$C:$C=A35) * ISNUMBER(PTS!N:N)))</f>
        <v>60</v>
      </c>
      <c r="K35" s="531" cm="1">
        <f t="array" ref="K35">AVERAGE(_xlfn._xlws.FILTER(PTS!O:O, (PTS!$C:$C=A35) * ISNUMBER(PTS!O:O)))</f>
        <v>37.916666666666671</v>
      </c>
      <c r="L35" s="10" cm="1">
        <f t="array" ref="L35">AVERAGE(_xlfn._xlws.FILTER(PTS!P:P, (PTS!$C:$C=A35) * ISNUMBER(PTS!P:P)))</f>
        <v>0</v>
      </c>
      <c r="M35" s="531">
        <f t="shared" si="1"/>
        <v>267.91666666666669</v>
      </c>
      <c r="N35" s="531">
        <f t="shared" si="2"/>
        <v>37.916666666666671</v>
      </c>
      <c r="O35" s="531" cm="1">
        <f t="array" ref="O35">AVERAGE(_xlfn._xlws.FILTER(PTS!S:S, (PTS!$C:$C=A35) * ISNUMBER(PTS!S:S)))</f>
        <v>0</v>
      </c>
      <c r="P35" s="531" cm="1">
        <f t="array" ref="P35">AVERAGE(_xlfn._xlws.FILTER(PTS!T:T, (PTS!$C:$C=A35) * ISNUMBER(PTS!T:T)))</f>
        <v>0</v>
      </c>
      <c r="Q35" s="531" cm="1">
        <f t="array" ref="Q35">AVERAGE(_xlfn._xlws.FILTER(PTS!U:U, (PTS!$C:$C=A35) * ISNUMBER(PTS!U:U)))</f>
        <v>135.29886363636365</v>
      </c>
      <c r="S35" s="531">
        <f t="shared" si="3"/>
        <v>135.29886363636365</v>
      </c>
      <c r="T35" s="531" cm="1">
        <f t="array" ref="T35">AVERAGE(_xlfn._xlws.FILTER(PTS!X:X, (PTS!$C:$C=A35) * ISNUMBER(PTS!X:X)))</f>
        <v>52</v>
      </c>
      <c r="U35" s="531" cm="1">
        <f t="array" ref="U35">AVERAGE(_xlfn._xlws.FILTER(PTS!Y:Y, (PTS!$C:$C=A35) * ISNUMBER(PTS!Y:Y)))</f>
        <v>50.4</v>
      </c>
      <c r="V35" s="531" cm="1">
        <f t="array" ref="V35">AVERAGE(_xlfn._xlws.FILTER(PTS!Z:Z, (PTS!$C:$C=A35) * ISNUMBER(PTS!Z:Z)))</f>
        <v>26.25</v>
      </c>
      <c r="X35" s="531">
        <f t="shared" si="4"/>
        <v>128.65</v>
      </c>
      <c r="Y35" s="531" cm="1">
        <f t="array" ref="Y35">AVERAGE(_xlfn._xlws.FILTER(PTS!AC:AC, (PTS!$C:$C=A35) * ISNUMBER(PTS!AC:AC)))</f>
        <v>110.22727272727273</v>
      </c>
      <c r="Z35" s="531" cm="1">
        <f t="array" ref="Z35">AVERAGE(_xlfn._xlws.FILTER(PTS!AD:AD, (PTS!$C:$C=A35) * ISNUMBER(PTS!AD:AD)))</f>
        <v>107.04545454545455</v>
      </c>
      <c r="AB35" s="531">
        <f t="shared" si="5"/>
        <v>217.27272727272728</v>
      </c>
      <c r="AC35" s="10" cm="1">
        <f t="array" ref="AC35">AVERAGE(_xlfn._xlws.FILTER(PTS!AG:AG, (PTS!$C:$C=A35) * ISNUMBER(PTS!AG:AG)))</f>
        <v>28.814300000000003</v>
      </c>
      <c r="AD35" s="531" cm="1">
        <f t="array" ref="AD35">AVERAGE(_xlfn._xlws.FILTER(PTS!AH:AH, (PTS!$C:$C=A35) * ISNUMBER(PTS!AH:AH)))</f>
        <v>6.973140495867769</v>
      </c>
      <c r="AE35" s="531" cm="1">
        <f t="array" ref="AE35">AVERAGE(_xlfn._xlws.FILTER(PTS!AI:AI, (PTS!$C:$C=A35) * ISNUMBER(PTS!AI:AI)))</f>
        <v>12.587317427197677</v>
      </c>
      <c r="AF35" s="531" cm="1">
        <f t="array" ref="AF35">AVERAGE(_xlfn._xlws.FILTER(PTS!AJ:AJ, (PTS!$C:$C=A35) * ISNUMBER(PTS!AJ:AJ)))</f>
        <v>6.7351999999999999</v>
      </c>
      <c r="AH35" s="531">
        <f t="shared" si="6"/>
        <v>55.109957923065444</v>
      </c>
      <c r="AI35" s="10" cm="1">
        <f t="array" ref="AI35">AVERAGE(_xlfn._xlws.FILTER(PTS!AM:AM, (PTS!$C:$C=A35) * ISNUMBER(PTS!AM:AM)))</f>
        <v>79.999999999999986</v>
      </c>
      <c r="AJ35" s="10" cm="1">
        <f t="array" ref="AJ35">AVERAGE(_xlfn._xlws.FILTER(PTS!AN:AN, (PTS!$C:$C=A35) * ISNUMBER(PTS!AN:AN)))</f>
        <v>26.17808219178082</v>
      </c>
      <c r="AK35" s="10" cm="1">
        <f t="array" ref="AK35">AVERAGE(_xlfn._xlws.FILTER(PTS!AO:AO, (PTS!$C:$C=A35) * ISNUMBER(PTS!AO:AO)))</f>
        <v>0</v>
      </c>
      <c r="AN35" s="10">
        <f t="shared" si="7"/>
        <v>106.1780821917808</v>
      </c>
      <c r="AR35" s="531">
        <f t="shared" si="8"/>
        <v>680.42629769060386</v>
      </c>
      <c r="AS35" s="531">
        <f t="shared" si="9"/>
        <v>910.42629769060386</v>
      </c>
    </row>
    <row r="36" spans="1:45">
      <c r="A36" s="32" t="s">
        <v>164</v>
      </c>
      <c r="B36" s="319" t="s">
        <v>71</v>
      </c>
      <c r="C36" s="319" t="str">
        <f t="shared" si="0"/>
        <v>BrownfieldTX</v>
      </c>
      <c r="D36" s="10">
        <f>VLOOKUP(A:A,PTS!C:R,6,FALSE)</f>
        <v>2</v>
      </c>
      <c r="E36" s="531" cm="1">
        <f t="array" ref="E36">AVERAGE(_xlfn._xlws.FILTER(PTS!I:I, (PTS!$C:$C=A36) * ISNUMBER(PTS!I:I)))</f>
        <v>95</v>
      </c>
      <c r="F36" s="10" cm="1">
        <f t="array" ref="F36">AVERAGE(_xlfn._xlws.FILTER(PTS!J:J, (PTS!$C:$C=A36) * ISNUMBER(PTS!J:J)))</f>
        <v>109</v>
      </c>
      <c r="G36" s="531" cm="1">
        <f t="array" ref="G36">AVERAGE(_xlfn._xlws.FILTER(PTS!K:K, (PTS!$C:$C=A36) * ISNUMBER(PTS!K:K)))</f>
        <v>195</v>
      </c>
      <c r="H36" s="531" cm="1">
        <f t="array" ref="H36">AVERAGE(_xlfn._xlws.FILTER(PTS!L:L, (PTS!$C:$C=A36) * ISNUMBER(PTS!L:L)))</f>
        <v>0</v>
      </c>
      <c r="I36" s="531" cm="1">
        <f t="array" ref="I36">AVERAGE(_xlfn._xlws.FILTER(PTS!M:M, (PTS!$C:$C=A36) * ISNUMBER(PTS!M:M)))</f>
        <v>20</v>
      </c>
      <c r="J36" s="531" cm="1">
        <f t="array" ref="J36">AVERAGE(_xlfn._xlws.FILTER(PTS!N:N, (PTS!$C:$C=A36) * ISNUMBER(PTS!N:N)))</f>
        <v>48</v>
      </c>
      <c r="K36" s="531" cm="1">
        <f t="array" ref="K36">AVERAGE(_xlfn._xlws.FILTER(PTS!O:O, (PTS!$C:$C=A36) * ISNUMBER(PTS!O:O)))</f>
        <v>37.916666666666671</v>
      </c>
      <c r="L36" s="10" cm="1">
        <f t="array" ref="L36">AVERAGE(_xlfn._xlws.FILTER(PTS!P:P, (PTS!$C:$C=A36) * ISNUMBER(PTS!P:P)))</f>
        <v>0</v>
      </c>
      <c r="M36" s="531">
        <f t="shared" si="1"/>
        <v>504.91666666666669</v>
      </c>
      <c r="N36" s="531">
        <f t="shared" si="2"/>
        <v>280.91666666666669</v>
      </c>
      <c r="O36" s="531" cm="1">
        <f t="array" ref="O36">AVERAGE(_xlfn._xlws.FILTER(PTS!S:S, (PTS!$C:$C=A36) * ISNUMBER(PTS!S:S)))</f>
        <v>0</v>
      </c>
      <c r="P36" s="531" cm="1">
        <f t="array" ref="P36">AVERAGE(_xlfn._xlws.FILTER(PTS!T:T, (PTS!$C:$C=A36) * ISNUMBER(PTS!T:T)))</f>
        <v>0</v>
      </c>
      <c r="Q36" s="531" cm="1">
        <f t="array" ref="Q36">AVERAGE(_xlfn._xlws.FILTER(PTS!U:U, (PTS!$C:$C=A36) * ISNUMBER(PTS!U:U)))</f>
        <v>229.5454545454545</v>
      </c>
      <c r="S36" s="531">
        <f t="shared" si="3"/>
        <v>229.5454545454545</v>
      </c>
      <c r="T36" s="531" cm="1">
        <f t="array" ref="T36">AVERAGE(_xlfn._xlws.FILTER(PTS!X:X, (PTS!$C:$C=A36) * ISNUMBER(PTS!X:X)))</f>
        <v>54</v>
      </c>
      <c r="U36" s="531" cm="1">
        <f t="array" ref="U36">AVERAGE(_xlfn._xlws.FILTER(PTS!Y:Y, (PTS!$C:$C=A36) * ISNUMBER(PTS!Y:Y)))</f>
        <v>50.4</v>
      </c>
      <c r="V36" s="531" cm="1">
        <f t="array" ref="V36">AVERAGE(_xlfn._xlws.FILTER(PTS!Z:Z, (PTS!$C:$C=A36) * ISNUMBER(PTS!Z:Z)))</f>
        <v>26.25</v>
      </c>
      <c r="X36" s="531">
        <f t="shared" si="4"/>
        <v>130.65</v>
      </c>
      <c r="Y36" s="531" cm="1">
        <f t="array" ref="Y36">AVERAGE(_xlfn._xlws.FILTER(PTS!AC:AC, (PTS!$C:$C=A36) * ISNUMBER(PTS!AC:AC)))</f>
        <v>147.72727272727272</v>
      </c>
      <c r="Z36" s="531" cm="1">
        <f t="array" ref="Z36">AVERAGE(_xlfn._xlws.FILTER(PTS!AD:AD, (PTS!$C:$C=A36) * ISNUMBER(PTS!AD:AD)))</f>
        <v>233.06818181818181</v>
      </c>
      <c r="AB36" s="531">
        <f t="shared" si="5"/>
        <v>380.7954545454545</v>
      </c>
      <c r="AC36" s="10" cm="1">
        <f t="array" ref="AC36">AVERAGE(_xlfn._xlws.FILTER(PTS!AG:AG, (PTS!$C:$C=A36) * ISNUMBER(PTS!AG:AG)))</f>
        <v>28.814300000000003</v>
      </c>
      <c r="AD36" s="531" cm="1">
        <f t="array" ref="AD36">AVERAGE(_xlfn._xlws.FILTER(PTS!AH:AH, (PTS!$C:$C=A36) * ISNUMBER(PTS!AH:AH)))</f>
        <v>6.973140495867769</v>
      </c>
      <c r="AE36" s="531" cm="1">
        <f t="array" ref="AE36">AVERAGE(_xlfn._xlws.FILTER(PTS!AI:AI, (PTS!$C:$C=A36) * ISNUMBER(PTS!AI:AI)))</f>
        <v>12.587317427197677</v>
      </c>
      <c r="AF36" s="531" cm="1">
        <f t="array" ref="AF36">AVERAGE(_xlfn._xlws.FILTER(PTS!AJ:AJ, (PTS!$C:$C=A36) * ISNUMBER(PTS!AJ:AJ)))</f>
        <v>6.7351999999999999</v>
      </c>
      <c r="AH36" s="531">
        <f t="shared" si="6"/>
        <v>55.109957923065444</v>
      </c>
      <c r="AI36" s="10" cm="1">
        <f t="array" ref="AI36">AVERAGE(_xlfn._xlws.FILTER(PTS!AM:AM, (PTS!$C:$C=A36) * ISNUMBER(PTS!AM:AM)))</f>
        <v>79.999999999999986</v>
      </c>
      <c r="AJ36" s="10" cm="1">
        <f t="array" ref="AJ36">AVERAGE(_xlfn._xlws.FILTER(PTS!AN:AN, (PTS!$C:$C=A36) * ISNUMBER(PTS!AN:AN)))</f>
        <v>26.17808219178082</v>
      </c>
      <c r="AK36" s="10" cm="1">
        <f t="array" ref="AK36">AVERAGE(_xlfn._xlws.FILTER(PTS!AO:AO, (PTS!$C:$C=A36) * ISNUMBER(PTS!AO:AO)))</f>
        <v>0</v>
      </c>
      <c r="AN36" s="10">
        <f t="shared" si="7"/>
        <v>106.1780821917808</v>
      </c>
      <c r="AR36" s="531">
        <f t="shared" si="8"/>
        <v>1183.195615872422</v>
      </c>
      <c r="AS36" s="531">
        <f t="shared" si="9"/>
        <v>1407.1956158724217</v>
      </c>
    </row>
    <row r="37" spans="1:45">
      <c r="A37" s="32" t="s">
        <v>167</v>
      </c>
      <c r="B37" s="319" t="s">
        <v>168</v>
      </c>
      <c r="C37" s="319" t="str">
        <f t="shared" si="0"/>
        <v>BrownsvilleTN</v>
      </c>
      <c r="D37" s="10">
        <f>VLOOKUP(A:A,PTS!C:R,6,FALSE)</f>
        <v>1</v>
      </c>
      <c r="E37" s="531" cm="1">
        <f t="array" ref="E37">AVERAGE(_xlfn._xlws.FILTER(PTS!I:I, (PTS!$C:$C=A37) * ISNUMBER(PTS!I:I)))</f>
        <v>49</v>
      </c>
      <c r="F37" s="10" cm="1">
        <f t="array" ref="F37">AVERAGE(_xlfn._xlws.FILTER(PTS!J:J, (PTS!$C:$C=A37) * ISNUMBER(PTS!J:J)))</f>
        <v>193</v>
      </c>
      <c r="G37" s="531" cm="1">
        <f t="array" ref="G37">AVERAGE(_xlfn._xlws.FILTER(PTS!K:K, (PTS!$C:$C=A37) * ISNUMBER(PTS!K:K)))</f>
        <v>55.666666666666664</v>
      </c>
      <c r="H37" s="531" cm="1">
        <f t="array" ref="H37">AVERAGE(_xlfn._xlws.FILTER(PTS!L:L, (PTS!$C:$C=A37) * ISNUMBER(PTS!L:L)))</f>
        <v>60.666666666666664</v>
      </c>
      <c r="I37" s="531" cm="1">
        <f t="array" ref="I37">AVERAGE(_xlfn._xlws.FILTER(PTS!M:M, (PTS!$C:$C=A37) * ISNUMBER(PTS!M:M)))</f>
        <v>3.3333333333333335</v>
      </c>
      <c r="J37" s="531" cm="1">
        <f t="array" ref="J37">AVERAGE(_xlfn._xlws.FILTER(PTS!N:N, (PTS!$C:$C=A37) * ISNUMBER(PTS!N:N)))</f>
        <v>75</v>
      </c>
      <c r="K37" s="531" cm="1">
        <f t="array" ref="K37">AVERAGE(_xlfn._xlws.FILTER(PTS!O:O, (PTS!$C:$C=A37) * ISNUMBER(PTS!O:O)))</f>
        <v>37.916666666666671</v>
      </c>
      <c r="L37" s="10" cm="1">
        <f t="array" ref="L37">AVERAGE(_xlfn._xlws.FILTER(PTS!P:P, (PTS!$C:$C=A37) * ISNUMBER(PTS!P:P)))</f>
        <v>0</v>
      </c>
      <c r="M37" s="531">
        <f t="shared" si="1"/>
        <v>474.58333333333337</v>
      </c>
      <c r="N37" s="531">
        <f t="shared" si="2"/>
        <v>112.91666666666667</v>
      </c>
      <c r="O37" s="531" cm="1">
        <f t="array" ref="O37">AVERAGE(_xlfn._xlws.FILTER(PTS!S:S, (PTS!$C:$C=A37) * ISNUMBER(PTS!S:S)))</f>
        <v>0</v>
      </c>
      <c r="P37" s="531" cm="1">
        <f t="array" ref="P37">AVERAGE(_xlfn._xlws.FILTER(PTS!T:T, (PTS!$C:$C=A37) * ISNUMBER(PTS!T:T)))</f>
        <v>0</v>
      </c>
      <c r="Q37" s="531" cm="1">
        <f t="array" ref="Q37">AVERAGE(_xlfn._xlws.FILTER(PTS!U:U, (PTS!$C:$C=A37) * ISNUMBER(PTS!U:U)))</f>
        <v>169.88636363636363</v>
      </c>
      <c r="S37" s="531">
        <f t="shared" si="3"/>
        <v>169.88636363636363</v>
      </c>
      <c r="T37" s="531" cm="1">
        <f t="array" ref="T37">AVERAGE(_xlfn._xlws.FILTER(PTS!X:X, (PTS!$C:$C=A37) * ISNUMBER(PTS!X:X)))</f>
        <v>50</v>
      </c>
      <c r="U37" s="531" cm="1">
        <f t="array" ref="U37">AVERAGE(_xlfn._xlws.FILTER(PTS!Y:Y, (PTS!$C:$C=A37) * ISNUMBER(PTS!Y:Y)))</f>
        <v>33.6</v>
      </c>
      <c r="V37" s="531" cm="1">
        <f t="array" ref="V37">AVERAGE(_xlfn._xlws.FILTER(PTS!Z:Z, (PTS!$C:$C=A37) * ISNUMBER(PTS!Z:Z)))</f>
        <v>26.25</v>
      </c>
      <c r="X37" s="531">
        <f t="shared" si="4"/>
        <v>109.85</v>
      </c>
      <c r="Y37" s="531" cm="1">
        <f t="array" ref="Y37">AVERAGE(_xlfn._xlws.FILTER(PTS!AC:AC, (PTS!$C:$C=A37) * ISNUMBER(PTS!AC:AC)))</f>
        <v>146.02272727272725</v>
      </c>
      <c r="Z37" s="531" cm="1">
        <f t="array" ref="Z37">AVERAGE(_xlfn._xlws.FILTER(PTS!AD:AD, (PTS!$C:$C=A37) * ISNUMBER(PTS!AD:AD)))</f>
        <v>182.72727272727275</v>
      </c>
      <c r="AB37" s="531">
        <f t="shared" si="5"/>
        <v>328.75</v>
      </c>
      <c r="AC37" s="10" cm="1">
        <f t="array" ref="AC37">AVERAGE(_xlfn._xlws.FILTER(PTS!AG:AG, (PTS!$C:$C=A37) * ISNUMBER(PTS!AG:AG)))</f>
        <v>28.814300000000003</v>
      </c>
      <c r="AD37" s="531" cm="1">
        <f t="array" ref="AD37">AVERAGE(_xlfn._xlws.FILTER(PTS!AH:AH, (PTS!$C:$C=A37) * ISNUMBER(PTS!AH:AH)))</f>
        <v>6.9731404958677699</v>
      </c>
      <c r="AE37" s="531" cm="1">
        <f t="array" ref="AE37">AVERAGE(_xlfn._xlws.FILTER(PTS!AI:AI, (PTS!$C:$C=A37) * ISNUMBER(PTS!AI:AI)))</f>
        <v>12.587317427197677</v>
      </c>
      <c r="AF37" s="531" cm="1">
        <f t="array" ref="AF37">AVERAGE(_xlfn._xlws.FILTER(PTS!AJ:AJ, (PTS!$C:$C=A37) * ISNUMBER(PTS!AJ:AJ)))</f>
        <v>6.7351999999999999</v>
      </c>
      <c r="AH37" s="531">
        <f t="shared" si="6"/>
        <v>55.109957923065444</v>
      </c>
      <c r="AI37" s="10" cm="1">
        <f t="array" ref="AI37">AVERAGE(_xlfn._xlws.FILTER(PTS!AM:AM, (PTS!$C:$C=A37) * ISNUMBER(PTS!AM:AM)))</f>
        <v>79.999999999999986</v>
      </c>
      <c r="AJ37" s="10" cm="1">
        <f t="array" ref="AJ37">AVERAGE(_xlfn._xlws.FILTER(PTS!AN:AN, (PTS!$C:$C=A37) * ISNUMBER(PTS!AN:AN)))</f>
        <v>26.17808219178082</v>
      </c>
      <c r="AK37" s="10" cm="1">
        <f t="array" ref="AK37">AVERAGE(_xlfn._xlws.FILTER(PTS!AO:AO, (PTS!$C:$C=A37) * ISNUMBER(PTS!AO:AO)))</f>
        <v>0</v>
      </c>
      <c r="AN37" s="10">
        <f t="shared" si="7"/>
        <v>106.1780821917808</v>
      </c>
      <c r="AR37" s="531">
        <f t="shared" si="8"/>
        <v>882.69107041787652</v>
      </c>
      <c r="AS37" s="531">
        <f t="shared" si="9"/>
        <v>1244.357737084543</v>
      </c>
    </row>
    <row r="38" spans="1:45">
      <c r="A38" s="32" t="s">
        <v>173</v>
      </c>
      <c r="B38" s="319" t="s">
        <v>71</v>
      </c>
      <c r="C38" s="319" t="str">
        <f t="shared" si="0"/>
        <v>BryanTX</v>
      </c>
      <c r="D38" s="10">
        <f>VLOOKUP(A:A,PTS!C:R,6,FALSE)</f>
        <v>3</v>
      </c>
      <c r="E38" s="531" cm="1">
        <f t="array" ref="E38">AVERAGE(_xlfn._xlws.FILTER(PTS!I:I, (PTS!$C:$C=A38) * ISNUMBER(PTS!I:I)))</f>
        <v>90</v>
      </c>
      <c r="F38" s="10" cm="1">
        <f t="array" ref="F38">AVERAGE(_xlfn._xlws.FILTER(PTS!J:J, (PTS!$C:$C=A38) * ISNUMBER(PTS!J:J)))</f>
        <v>135</v>
      </c>
      <c r="G38" s="531" cm="1">
        <f t="array" ref="G38">AVERAGE(_xlfn._xlws.FILTER(PTS!K:K, (PTS!$C:$C=A38) * ISNUMBER(PTS!K:K)))</f>
        <v>240</v>
      </c>
      <c r="H38" s="531" cm="1">
        <f t="array" ref="H38">AVERAGE(_xlfn._xlws.FILTER(PTS!L:L, (PTS!$C:$C=A38) * ISNUMBER(PTS!L:L)))</f>
        <v>0</v>
      </c>
      <c r="I38" s="531" cm="1">
        <f t="array" ref="I38">AVERAGE(_xlfn._xlws.FILTER(PTS!M:M, (PTS!$C:$C=A38) * ISNUMBER(PTS!M:M)))</f>
        <v>0</v>
      </c>
      <c r="J38" s="531" cm="1">
        <f t="array" ref="J38">AVERAGE(_xlfn._xlws.FILTER(PTS!N:N, (PTS!$C:$C=A38) * ISNUMBER(PTS!N:N)))</f>
        <v>70</v>
      </c>
      <c r="K38" s="531" cm="1">
        <f t="array" ref="K38">AVERAGE(_xlfn._xlws.FILTER(PTS!O:O, (PTS!$C:$C=A38) * ISNUMBER(PTS!O:O)))</f>
        <v>37.916666666666671</v>
      </c>
      <c r="L38" s="10" cm="1">
        <f t="array" ref="L38">AVERAGE(_xlfn._xlws.FILTER(PTS!P:P, (PTS!$C:$C=A38) * ISNUMBER(PTS!P:P)))</f>
        <v>0</v>
      </c>
      <c r="M38" s="531">
        <f t="shared" si="1"/>
        <v>572.91666666666663</v>
      </c>
      <c r="N38" s="531">
        <f t="shared" si="2"/>
        <v>482.91666666666669</v>
      </c>
      <c r="O38" s="531" cm="1">
        <f t="array" ref="O38">AVERAGE(_xlfn._xlws.FILTER(PTS!S:S, (PTS!$C:$C=A38) * ISNUMBER(PTS!S:S)))</f>
        <v>0</v>
      </c>
      <c r="P38" s="531" cm="1">
        <f t="array" ref="P38">AVERAGE(_xlfn._xlws.FILTER(PTS!T:T, (PTS!$C:$C=A38) * ISNUMBER(PTS!T:T)))</f>
        <v>0</v>
      </c>
      <c r="Q38" s="531" cm="1">
        <f t="array" ref="Q38">AVERAGE(_xlfn._xlws.FILTER(PTS!U:U, (PTS!$C:$C=A38) * ISNUMBER(PTS!U:U)))</f>
        <v>207.38636363636363</v>
      </c>
      <c r="S38" s="531">
        <f t="shared" si="3"/>
        <v>207.38636363636363</v>
      </c>
      <c r="T38" s="531" cm="1">
        <f t="array" ref="T38">AVERAGE(_xlfn._xlws.FILTER(PTS!X:X, (PTS!$C:$C=A38) * ISNUMBER(PTS!X:X)))</f>
        <v>54</v>
      </c>
      <c r="U38" s="531" cm="1">
        <f t="array" ref="U38">AVERAGE(_xlfn._xlws.FILTER(PTS!Y:Y, (PTS!$C:$C=A38) * ISNUMBER(PTS!Y:Y)))</f>
        <v>50.4</v>
      </c>
      <c r="V38" s="531" cm="1">
        <f t="array" ref="V38">AVERAGE(_xlfn._xlws.FILTER(PTS!Z:Z, (PTS!$C:$C=A38) * ISNUMBER(PTS!Z:Z)))</f>
        <v>26.25</v>
      </c>
      <c r="X38" s="531">
        <f t="shared" si="4"/>
        <v>130.65</v>
      </c>
      <c r="Y38" s="531" cm="1">
        <f t="array" ref="Y38">AVERAGE(_xlfn._xlws.FILTER(PTS!AC:AC, (PTS!$C:$C=A38) * ISNUMBER(PTS!AC:AC)))</f>
        <v>132.95454545454544</v>
      </c>
      <c r="Z38" s="531" cm="1">
        <f t="array" ref="Z38">AVERAGE(_xlfn._xlws.FILTER(PTS!AD:AD, (PTS!$C:$C=A38) * ISNUMBER(PTS!AD:AD)))</f>
        <v>197.95454545454547</v>
      </c>
      <c r="AB38" s="531">
        <f t="shared" si="5"/>
        <v>330.90909090909088</v>
      </c>
      <c r="AC38" s="10" cm="1">
        <f t="array" ref="AC38">AVERAGE(_xlfn._xlws.FILTER(PTS!AG:AG, (PTS!$C:$C=A38) * ISNUMBER(PTS!AG:AG)))</f>
        <v>28.814300000000003</v>
      </c>
      <c r="AD38" s="531" cm="1">
        <f t="array" ref="AD38">AVERAGE(_xlfn._xlws.FILTER(PTS!AH:AH, (PTS!$C:$C=A38) * ISNUMBER(PTS!AH:AH)))</f>
        <v>6.973140495867769</v>
      </c>
      <c r="AE38" s="531" cm="1">
        <f t="array" ref="AE38">AVERAGE(_xlfn._xlws.FILTER(PTS!AI:AI, (PTS!$C:$C=A38) * ISNUMBER(PTS!AI:AI)))</f>
        <v>12.587317427197677</v>
      </c>
      <c r="AF38" s="531" cm="1">
        <f t="array" ref="AF38">AVERAGE(_xlfn._xlws.FILTER(PTS!AJ:AJ, (PTS!$C:$C=A38) * ISNUMBER(PTS!AJ:AJ)))</f>
        <v>6.7351999999999999</v>
      </c>
      <c r="AH38" s="531">
        <f t="shared" si="6"/>
        <v>55.109957923065444</v>
      </c>
      <c r="AI38" s="10" cm="1">
        <f t="array" ref="AI38">AVERAGE(_xlfn._xlws.FILTER(PTS!AM:AM, (PTS!$C:$C=A38) * ISNUMBER(PTS!AM:AM)))</f>
        <v>79.999999999999986</v>
      </c>
      <c r="AJ38" s="10" cm="1">
        <f t="array" ref="AJ38">AVERAGE(_xlfn._xlws.FILTER(PTS!AN:AN, (PTS!$C:$C=A38) * ISNUMBER(PTS!AN:AN)))</f>
        <v>26.17808219178082</v>
      </c>
      <c r="AK38" s="10" cm="1">
        <f t="array" ref="AK38">AVERAGE(_xlfn._xlws.FILTER(PTS!AO:AO, (PTS!$C:$C=A38) * ISNUMBER(PTS!AO:AO)))</f>
        <v>0</v>
      </c>
      <c r="AN38" s="10">
        <f t="shared" si="7"/>
        <v>106.1780821917808</v>
      </c>
      <c r="AR38" s="531">
        <f t="shared" si="8"/>
        <v>1313.1501613269672</v>
      </c>
      <c r="AS38" s="531">
        <f t="shared" si="9"/>
        <v>1403.1501613269672</v>
      </c>
    </row>
    <row r="39" spans="1:45">
      <c r="A39" s="32" t="s">
        <v>176</v>
      </c>
      <c r="B39" s="319" t="s">
        <v>76</v>
      </c>
      <c r="C39" s="319" t="str">
        <f t="shared" si="0"/>
        <v>Buena VistaGA</v>
      </c>
      <c r="D39" s="10">
        <f>VLOOKUP(A:A,PTS!C:R,6,FALSE)</f>
        <v>4</v>
      </c>
      <c r="E39" s="531" cm="1">
        <f t="array" ref="E39">AVERAGE(_xlfn._xlws.FILTER(PTS!I:I, (PTS!$C:$C=A39) * ISNUMBER(PTS!I:I)))</f>
        <v>60</v>
      </c>
      <c r="F39" s="10" cm="1">
        <f t="array" ref="F39">AVERAGE(_xlfn._xlws.FILTER(PTS!J:J, (PTS!$C:$C=A39) * ISNUMBER(PTS!J:J)))</f>
        <v>110</v>
      </c>
      <c r="G39" s="531" cm="1">
        <f t="array" ref="G39">AVERAGE(_xlfn._xlws.FILTER(PTS!K:K, (PTS!$C:$C=A39) * ISNUMBER(PTS!K:K)))</f>
        <v>100</v>
      </c>
      <c r="H39" s="531" cm="1">
        <f t="array" ref="H39">AVERAGE(_xlfn._xlws.FILTER(PTS!L:L, (PTS!$C:$C=A39) * ISNUMBER(PTS!L:L)))</f>
        <v>0</v>
      </c>
      <c r="I39" s="531" cm="1">
        <f t="array" ref="I39">AVERAGE(_xlfn._xlws.FILTER(PTS!M:M, (PTS!$C:$C=A39) * ISNUMBER(PTS!M:M)))</f>
        <v>30</v>
      </c>
      <c r="J39" s="531" cm="1">
        <f t="array" ref="J39">AVERAGE(_xlfn._xlws.FILTER(PTS!N:N, (PTS!$C:$C=A39) * ISNUMBER(PTS!N:N)))</f>
        <v>80</v>
      </c>
      <c r="K39" s="531" cm="1">
        <f t="array" ref="K39">AVERAGE(_xlfn._xlws.FILTER(PTS!O:O, (PTS!$C:$C=A39) * ISNUMBER(PTS!O:O)))</f>
        <v>37.916666666666671</v>
      </c>
      <c r="L39" s="10" cm="1">
        <f t="array" ref="L39">AVERAGE(_xlfn._xlws.FILTER(PTS!P:P, (PTS!$C:$C=A39) * ISNUMBER(PTS!P:P)))</f>
        <v>0</v>
      </c>
      <c r="M39" s="531">
        <f t="shared" si="1"/>
        <v>417.91666666666669</v>
      </c>
      <c r="N39" s="531">
        <f t="shared" si="2"/>
        <v>37.916666666666671</v>
      </c>
      <c r="O39" s="531" cm="1">
        <f t="array" ref="O39">AVERAGE(_xlfn._xlws.FILTER(PTS!S:S, (PTS!$C:$C=A39) * ISNUMBER(PTS!S:S)))</f>
        <v>0</v>
      </c>
      <c r="P39" s="531" cm="1">
        <f t="array" ref="P39">AVERAGE(_xlfn._xlws.FILTER(PTS!T:T, (PTS!$C:$C=A39) * ISNUMBER(PTS!T:T)))</f>
        <v>0</v>
      </c>
      <c r="Q39" s="531" cm="1">
        <f t="array" ref="Q39">AVERAGE(_xlfn._xlws.FILTER(PTS!U:U, (PTS!$C:$C=A39) * ISNUMBER(PTS!U:U)))</f>
        <v>231.07272727272729</v>
      </c>
      <c r="S39" s="531">
        <f t="shared" si="3"/>
        <v>231.07272727272729</v>
      </c>
      <c r="T39" s="531" cm="1">
        <f t="array" ref="T39">AVERAGE(_xlfn._xlws.FILTER(PTS!X:X, (PTS!$C:$C=A39) * ISNUMBER(PTS!X:X)))</f>
        <v>52</v>
      </c>
      <c r="U39" s="531" cm="1">
        <f t="array" ref="U39">AVERAGE(_xlfn._xlws.FILTER(PTS!Y:Y, (PTS!$C:$C=A39) * ISNUMBER(PTS!Y:Y)))</f>
        <v>50.4</v>
      </c>
      <c r="V39" s="531" cm="1">
        <f t="array" ref="V39">AVERAGE(_xlfn._xlws.FILTER(PTS!Z:Z, (PTS!$C:$C=A39) * ISNUMBER(PTS!Z:Z)))</f>
        <v>26.25</v>
      </c>
      <c r="X39" s="531">
        <f t="shared" si="4"/>
        <v>128.65</v>
      </c>
      <c r="Y39" s="531" cm="1">
        <f t="array" ref="Y39">AVERAGE(_xlfn._xlws.FILTER(PTS!AC:AC, (PTS!$C:$C=A39) * ISNUMBER(PTS!AC:AC)))</f>
        <v>110.22727272727273</v>
      </c>
      <c r="Z39" s="531" cm="1">
        <f t="array" ref="Z39">AVERAGE(_xlfn._xlws.FILTER(PTS!AD:AD, (PTS!$C:$C=A39) * ISNUMBER(PTS!AD:AD)))</f>
        <v>107.04545454545455</v>
      </c>
      <c r="AB39" s="531">
        <f t="shared" si="5"/>
        <v>217.27272727272728</v>
      </c>
      <c r="AC39" s="10" cm="1">
        <f t="array" ref="AC39">AVERAGE(_xlfn._xlws.FILTER(PTS!AG:AG, (PTS!$C:$C=A39) * ISNUMBER(PTS!AG:AG)))</f>
        <v>28.814300000000003</v>
      </c>
      <c r="AD39" s="531" cm="1">
        <f t="array" ref="AD39">AVERAGE(_xlfn._xlws.FILTER(PTS!AH:AH, (PTS!$C:$C=A39) * ISNUMBER(PTS!AH:AH)))</f>
        <v>6.973140495867769</v>
      </c>
      <c r="AE39" s="531" cm="1">
        <f t="array" ref="AE39">AVERAGE(_xlfn._xlws.FILTER(PTS!AI:AI, (PTS!$C:$C=A39) * ISNUMBER(PTS!AI:AI)))</f>
        <v>12.587317427197677</v>
      </c>
      <c r="AF39" s="531" cm="1">
        <f t="array" ref="AF39">AVERAGE(_xlfn._xlws.FILTER(PTS!AJ:AJ, (PTS!$C:$C=A39) * ISNUMBER(PTS!AJ:AJ)))</f>
        <v>6.7351999999999999</v>
      </c>
      <c r="AH39" s="531">
        <f t="shared" si="6"/>
        <v>55.109957923065444</v>
      </c>
      <c r="AI39" s="10" cm="1">
        <f t="array" ref="AI39">AVERAGE(_xlfn._xlws.FILTER(PTS!AM:AM, (PTS!$C:$C=A39) * ISNUMBER(PTS!AM:AM)))</f>
        <v>79.999999999999986</v>
      </c>
      <c r="AJ39" s="10" cm="1">
        <f t="array" ref="AJ39">AVERAGE(_xlfn._xlws.FILTER(PTS!AN:AN, (PTS!$C:$C=A39) * ISNUMBER(PTS!AN:AN)))</f>
        <v>26.17808219178082</v>
      </c>
      <c r="AK39" s="10" cm="1">
        <f t="array" ref="AK39">AVERAGE(_xlfn._xlws.FILTER(PTS!AO:AO, (PTS!$C:$C=A39) * ISNUMBER(PTS!AO:AO)))</f>
        <v>0</v>
      </c>
      <c r="AN39" s="10">
        <f t="shared" si="7"/>
        <v>106.1780821917808</v>
      </c>
      <c r="AR39" s="531">
        <f t="shared" si="8"/>
        <v>776.20016132696742</v>
      </c>
      <c r="AS39" s="531">
        <f t="shared" si="9"/>
        <v>1156.2001613269674</v>
      </c>
    </row>
    <row r="40" spans="1:45">
      <c r="A40" s="32" t="s">
        <v>179</v>
      </c>
      <c r="B40" s="319" t="s">
        <v>76</v>
      </c>
      <c r="C40" s="319" t="str">
        <f t="shared" si="0"/>
        <v>ByromvilleGA</v>
      </c>
      <c r="D40" s="10">
        <f>VLOOKUP(A:A,PTS!C:R,6,FALSE)</f>
        <v>4</v>
      </c>
      <c r="E40" s="531" cm="1">
        <f t="array" ref="E40">AVERAGE(_xlfn._xlws.FILTER(PTS!I:I, (PTS!$C:$C=A40) * ISNUMBER(PTS!I:I)))</f>
        <v>70</v>
      </c>
      <c r="F40" s="10" cm="1">
        <f t="array" ref="F40">AVERAGE(_xlfn._xlws.FILTER(PTS!J:J, (PTS!$C:$C=A40) * ISNUMBER(PTS!J:J)))</f>
        <v>100</v>
      </c>
      <c r="G40" s="531" cm="1">
        <f t="array" ref="G40">AVERAGE(_xlfn._xlws.FILTER(PTS!K:K, (PTS!$C:$C=A40) * ISNUMBER(PTS!K:K)))</f>
        <v>0</v>
      </c>
      <c r="H40" s="531" cm="1">
        <f t="array" ref="H40">AVERAGE(_xlfn._xlws.FILTER(PTS!L:L, (PTS!$C:$C=A40) * ISNUMBER(PTS!L:L)))</f>
        <v>0</v>
      </c>
      <c r="I40" s="531" cm="1">
        <f t="array" ref="I40">AVERAGE(_xlfn._xlws.FILTER(PTS!M:M, (PTS!$C:$C=A40) * ISNUMBER(PTS!M:M)))</f>
        <v>40</v>
      </c>
      <c r="J40" s="531" cm="1">
        <f t="array" ref="J40">AVERAGE(_xlfn._xlws.FILTER(PTS!N:N, (PTS!$C:$C=A40) * ISNUMBER(PTS!N:N)))</f>
        <v>40</v>
      </c>
      <c r="K40" s="531" cm="1">
        <f t="array" ref="K40">AVERAGE(_xlfn._xlws.FILTER(PTS!O:O, (PTS!$C:$C=A40) * ISNUMBER(PTS!O:O)))</f>
        <v>37.916666666666671</v>
      </c>
      <c r="L40" s="10" cm="1">
        <f t="array" ref="L40">AVERAGE(_xlfn._xlws.FILTER(PTS!P:P, (PTS!$C:$C=A40) * ISNUMBER(PTS!P:P)))</f>
        <v>0</v>
      </c>
      <c r="M40" s="531">
        <f t="shared" si="1"/>
        <v>287.91666666666669</v>
      </c>
      <c r="N40" s="531">
        <f t="shared" si="2"/>
        <v>37.916666666666671</v>
      </c>
      <c r="O40" s="531" cm="1">
        <f t="array" ref="O40">AVERAGE(_xlfn._xlws.FILTER(PTS!S:S, (PTS!$C:$C=A40) * ISNUMBER(PTS!S:S)))</f>
        <v>0</v>
      </c>
      <c r="P40" s="531" cm="1">
        <f t="array" ref="P40">AVERAGE(_xlfn._xlws.FILTER(PTS!T:T, (PTS!$C:$C=A40) * ISNUMBER(PTS!T:T)))</f>
        <v>0</v>
      </c>
      <c r="Q40" s="531" cm="1">
        <f t="array" ref="Q40">AVERAGE(_xlfn._xlws.FILTER(PTS!U:U, (PTS!$C:$C=A40) * ISNUMBER(PTS!U:U)))</f>
        <v>201.68636363636364</v>
      </c>
      <c r="S40" s="531">
        <f t="shared" si="3"/>
        <v>201.68636363636364</v>
      </c>
      <c r="T40" s="531" cm="1">
        <f t="array" ref="T40">AVERAGE(_xlfn._xlws.FILTER(PTS!X:X, (PTS!$C:$C=A40) * ISNUMBER(PTS!X:X)))</f>
        <v>52</v>
      </c>
      <c r="U40" s="531" cm="1">
        <f t="array" ref="U40">AVERAGE(_xlfn._xlws.FILTER(PTS!Y:Y, (PTS!$C:$C=A40) * ISNUMBER(PTS!Y:Y)))</f>
        <v>50.4</v>
      </c>
      <c r="V40" s="531" cm="1">
        <f t="array" ref="V40">AVERAGE(_xlfn._xlws.FILTER(PTS!Z:Z, (PTS!$C:$C=A40) * ISNUMBER(PTS!Z:Z)))</f>
        <v>26.25</v>
      </c>
      <c r="X40" s="531">
        <f t="shared" si="4"/>
        <v>128.65</v>
      </c>
      <c r="Y40" s="531" cm="1">
        <f t="array" ref="Y40">AVERAGE(_xlfn._xlws.FILTER(PTS!AC:AC, (PTS!$C:$C=A40) * ISNUMBER(PTS!AC:AC)))</f>
        <v>110.22727272727273</v>
      </c>
      <c r="Z40" s="531" cm="1">
        <f t="array" ref="Z40">AVERAGE(_xlfn._xlws.FILTER(PTS!AD:AD, (PTS!$C:$C=A40) * ISNUMBER(PTS!AD:AD)))</f>
        <v>107.04545454545455</v>
      </c>
      <c r="AB40" s="531">
        <f t="shared" si="5"/>
        <v>217.27272727272728</v>
      </c>
      <c r="AC40" s="10" cm="1">
        <f t="array" ref="AC40">AVERAGE(_xlfn._xlws.FILTER(PTS!AG:AG, (PTS!$C:$C=A40) * ISNUMBER(PTS!AG:AG)))</f>
        <v>28.814300000000003</v>
      </c>
      <c r="AD40" s="531" cm="1">
        <f t="array" ref="AD40">AVERAGE(_xlfn._xlws.FILTER(PTS!AH:AH, (PTS!$C:$C=A40) * ISNUMBER(PTS!AH:AH)))</f>
        <v>6.973140495867769</v>
      </c>
      <c r="AE40" s="531" cm="1">
        <f t="array" ref="AE40">AVERAGE(_xlfn._xlws.FILTER(PTS!AI:AI, (PTS!$C:$C=A40) * ISNUMBER(PTS!AI:AI)))</f>
        <v>12.587317427197677</v>
      </c>
      <c r="AF40" s="531" cm="1">
        <f t="array" ref="AF40">AVERAGE(_xlfn._xlws.FILTER(PTS!AJ:AJ, (PTS!$C:$C=A40) * ISNUMBER(PTS!AJ:AJ)))</f>
        <v>6.7351999999999999</v>
      </c>
      <c r="AH40" s="531">
        <f t="shared" si="6"/>
        <v>55.109957923065444</v>
      </c>
      <c r="AI40" s="10" cm="1">
        <f t="array" ref="AI40">AVERAGE(_xlfn._xlws.FILTER(PTS!AM:AM, (PTS!$C:$C=A40) * ISNUMBER(PTS!AM:AM)))</f>
        <v>79.999999999999986</v>
      </c>
      <c r="AJ40" s="10" cm="1">
        <f t="array" ref="AJ40">AVERAGE(_xlfn._xlws.FILTER(PTS!AN:AN, (PTS!$C:$C=A40) * ISNUMBER(PTS!AN:AN)))</f>
        <v>26.17808219178082</v>
      </c>
      <c r="AK40" s="10" cm="1">
        <f t="array" ref="AK40">AVERAGE(_xlfn._xlws.FILTER(PTS!AO:AO, (PTS!$C:$C=A40) * ISNUMBER(PTS!AO:AO)))</f>
        <v>0</v>
      </c>
      <c r="AN40" s="10">
        <f t="shared" si="7"/>
        <v>106.1780821917808</v>
      </c>
      <c r="AR40" s="531">
        <f t="shared" si="8"/>
        <v>746.81379769060379</v>
      </c>
      <c r="AS40" s="531">
        <f t="shared" si="9"/>
        <v>996.81379769060379</v>
      </c>
    </row>
    <row r="41" spans="1:45">
      <c r="A41" s="32" t="s">
        <v>182</v>
      </c>
      <c r="B41" s="319" t="s">
        <v>149</v>
      </c>
      <c r="C41" s="319" t="str">
        <f t="shared" si="0"/>
        <v>CaldwellAR</v>
      </c>
      <c r="D41" s="10">
        <f>VLOOKUP(A:A,PTS!C:R,6,FALSE)</f>
        <v>1</v>
      </c>
      <c r="E41" s="531" cm="1">
        <f t="array" ref="E41">AVERAGE(_xlfn._xlws.FILTER(PTS!I:I, (PTS!$C:$C=A41) * ISNUMBER(PTS!I:I)))</f>
        <v>35</v>
      </c>
      <c r="F41" s="10" cm="1">
        <f t="array" ref="F41">AVERAGE(_xlfn._xlws.FILTER(PTS!J:J, (PTS!$C:$C=A41) * ISNUMBER(PTS!J:J)))</f>
        <v>365</v>
      </c>
      <c r="G41" s="531" cm="1">
        <f t="array" ref="G41">AVERAGE(_xlfn._xlws.FILTER(PTS!K:K, (PTS!$C:$C=A41) * ISNUMBER(PTS!K:K)))</f>
        <v>0</v>
      </c>
      <c r="H41" s="531" cm="1">
        <f t="array" ref="H41">AVERAGE(_xlfn._xlws.FILTER(PTS!L:L, (PTS!$C:$C=A41) * ISNUMBER(PTS!L:L)))</f>
        <v>61</v>
      </c>
      <c r="I41" s="531" cm="1">
        <f t="array" ref="I41">AVERAGE(_xlfn._xlws.FILTER(PTS!M:M, (PTS!$C:$C=A41) * ISNUMBER(PTS!M:M)))</f>
        <v>0</v>
      </c>
      <c r="J41" s="531" cm="1">
        <f t="array" ref="J41">AVERAGE(_xlfn._xlws.FILTER(PTS!N:N, (PTS!$C:$C=A41) * ISNUMBER(PTS!N:N)))</f>
        <v>70</v>
      </c>
      <c r="K41" s="531" cm="1">
        <f t="array" ref="K41">AVERAGE(_xlfn._xlws.FILTER(PTS!O:O, (PTS!$C:$C=A41) * ISNUMBER(PTS!O:O)))</f>
        <v>37.916666666666671</v>
      </c>
      <c r="L41" s="10" cm="1">
        <f t="array" ref="L41">AVERAGE(_xlfn._xlws.FILTER(PTS!P:P, (PTS!$C:$C=A41) * ISNUMBER(PTS!P:P)))</f>
        <v>0</v>
      </c>
      <c r="M41" s="531">
        <f t="shared" si="1"/>
        <v>568.91666666666663</v>
      </c>
      <c r="N41" s="531">
        <f t="shared" si="2"/>
        <v>107.91666666666667</v>
      </c>
      <c r="O41" s="531" cm="1">
        <f t="array" ref="O41">AVERAGE(_xlfn._xlws.FILTER(PTS!S:S, (PTS!$C:$C=A41) * ISNUMBER(PTS!S:S)))</f>
        <v>0</v>
      </c>
      <c r="P41" s="531" cm="1">
        <f t="array" ref="P41">AVERAGE(_xlfn._xlws.FILTER(PTS!T:T, (PTS!$C:$C=A41) * ISNUMBER(PTS!T:T)))</f>
        <v>0</v>
      </c>
      <c r="Q41" s="531" cm="1">
        <f t="array" ref="Q41">AVERAGE(_xlfn._xlws.FILTER(PTS!U:U, (PTS!$C:$C=A41) * ISNUMBER(PTS!U:U)))</f>
        <v>137.15909090909091</v>
      </c>
      <c r="S41" s="531">
        <f t="shared" si="3"/>
        <v>137.15909090909091</v>
      </c>
      <c r="T41" s="531" cm="1">
        <f t="array" ref="T41">AVERAGE(_xlfn._xlws.FILTER(PTS!X:X, (PTS!$C:$C=A41) * ISNUMBER(PTS!X:X)))</f>
        <v>50</v>
      </c>
      <c r="U41" s="531" cm="1">
        <f t="array" ref="U41">AVERAGE(_xlfn._xlws.FILTER(PTS!Y:Y, (PTS!$C:$C=A41) * ISNUMBER(PTS!Y:Y)))</f>
        <v>33.6</v>
      </c>
      <c r="V41" s="531" cm="1">
        <f t="array" ref="V41">AVERAGE(_xlfn._xlws.FILTER(PTS!Z:Z, (PTS!$C:$C=A41) * ISNUMBER(PTS!Z:Z)))</f>
        <v>26.25</v>
      </c>
      <c r="X41" s="531">
        <f t="shared" si="4"/>
        <v>109.85</v>
      </c>
      <c r="Y41" s="531" cm="1">
        <f t="array" ref="Y41">AVERAGE(_xlfn._xlws.FILTER(PTS!AC:AC, (PTS!$C:$C=A41) * ISNUMBER(PTS!AC:AC)))</f>
        <v>146.02272727272725</v>
      </c>
      <c r="Z41" s="531" cm="1">
        <f t="array" ref="Z41">AVERAGE(_xlfn._xlws.FILTER(PTS!AD:AD, (PTS!$C:$C=A41) * ISNUMBER(PTS!AD:AD)))</f>
        <v>182.72727272727275</v>
      </c>
      <c r="AB41" s="531">
        <f t="shared" si="5"/>
        <v>328.75</v>
      </c>
      <c r="AC41" s="10" cm="1">
        <f t="array" ref="AC41">AVERAGE(_xlfn._xlws.FILTER(PTS!AG:AG, (PTS!$C:$C=A41) * ISNUMBER(PTS!AG:AG)))</f>
        <v>28.814300000000003</v>
      </c>
      <c r="AD41" s="531" cm="1">
        <f t="array" ref="AD41">AVERAGE(_xlfn._xlws.FILTER(PTS!AH:AH, (PTS!$C:$C=A41) * ISNUMBER(PTS!AH:AH)))</f>
        <v>6.973140495867769</v>
      </c>
      <c r="AE41" s="531" cm="1">
        <f t="array" ref="AE41">AVERAGE(_xlfn._xlws.FILTER(PTS!AI:AI, (PTS!$C:$C=A41) * ISNUMBER(PTS!AI:AI)))</f>
        <v>12.587317427197677</v>
      </c>
      <c r="AF41" s="531" cm="1">
        <f t="array" ref="AF41">AVERAGE(_xlfn._xlws.FILTER(PTS!AJ:AJ, (PTS!$C:$C=A41) * ISNUMBER(PTS!AJ:AJ)))</f>
        <v>6.7351999999999999</v>
      </c>
      <c r="AH41" s="531">
        <f t="shared" si="6"/>
        <v>55.109957923065444</v>
      </c>
      <c r="AI41" s="10" cm="1">
        <f t="array" ref="AI41">AVERAGE(_xlfn._xlws.FILTER(PTS!AM:AM, (PTS!$C:$C=A41) * ISNUMBER(PTS!AM:AM)))</f>
        <v>79.999999999999986</v>
      </c>
      <c r="AJ41" s="10" cm="1">
        <f t="array" ref="AJ41">AVERAGE(_xlfn._xlws.FILTER(PTS!AN:AN, (PTS!$C:$C=A41) * ISNUMBER(PTS!AN:AN)))</f>
        <v>26.17808219178082</v>
      </c>
      <c r="AK41" s="10" cm="1">
        <f t="array" ref="AK41">AVERAGE(_xlfn._xlws.FILTER(PTS!AO:AO, (PTS!$C:$C=A41) * ISNUMBER(PTS!AO:AO)))</f>
        <v>0</v>
      </c>
      <c r="AN41" s="10">
        <f t="shared" si="7"/>
        <v>106.1780821917808</v>
      </c>
      <c r="AR41" s="531">
        <f t="shared" si="8"/>
        <v>844.96379769060377</v>
      </c>
      <c r="AS41" s="531">
        <f t="shared" si="9"/>
        <v>1305.9637976906035</v>
      </c>
    </row>
    <row r="42" spans="1:45">
      <c r="A42" s="32" t="s">
        <v>185</v>
      </c>
      <c r="B42" s="319" t="s">
        <v>132</v>
      </c>
      <c r="C42" s="319" t="str">
        <f t="shared" si="0"/>
        <v>Cameron SC</v>
      </c>
      <c r="D42" s="10" t="e">
        <f>VLOOKUP(A:A,PTS!C:R,6,FALSE)</f>
        <v>#N/A</v>
      </c>
      <c r="E42" s="531" t="e" cm="1" vm="1">
        <f t="array" ref="E42">AVERAGE(_xlfn._xlws.FILTER(PTS!I:I, (PTS!$C:$C=A42) * ISNUMBER(PTS!I:I)))</f>
        <v>#VALUE!</v>
      </c>
      <c r="F42" s="10" t="e" cm="1" vm="1">
        <f t="array" ref="F42">AVERAGE(_xlfn._xlws.FILTER(PTS!J:J, (PTS!$C:$C=A42) * ISNUMBER(PTS!J:J)))</f>
        <v>#VALUE!</v>
      </c>
      <c r="G42" s="531" t="e" cm="1" vm="1">
        <f t="array" ref="G42">AVERAGE(_xlfn._xlws.FILTER(PTS!K:K, (PTS!$C:$C=A42) * ISNUMBER(PTS!K:K)))</f>
        <v>#VALUE!</v>
      </c>
      <c r="H42" s="531" t="e" cm="1" vm="1">
        <f t="array" ref="H42">AVERAGE(_xlfn._xlws.FILTER(PTS!L:L, (PTS!$C:$C=A42) * ISNUMBER(PTS!L:L)))</f>
        <v>#VALUE!</v>
      </c>
      <c r="I42" s="531" t="e" cm="1" vm="1">
        <f t="array" ref="I42">AVERAGE(_xlfn._xlws.FILTER(PTS!M:M, (PTS!$C:$C=A42) * ISNUMBER(PTS!M:M)))</f>
        <v>#VALUE!</v>
      </c>
      <c r="J42" s="531" t="e" cm="1" vm="1">
        <f t="array" ref="J42">AVERAGE(_xlfn._xlws.FILTER(PTS!N:N, (PTS!$C:$C=A42) * ISNUMBER(PTS!N:N)))</f>
        <v>#VALUE!</v>
      </c>
      <c r="K42" s="531" t="e" cm="1" vm="1">
        <f t="array" ref="K42">AVERAGE(_xlfn._xlws.FILTER(PTS!O:O, (PTS!$C:$C=A42) * ISNUMBER(PTS!O:O)))</f>
        <v>#VALUE!</v>
      </c>
      <c r="L42" s="10" t="e" cm="1" vm="1">
        <f t="array" ref="L42">AVERAGE(_xlfn._xlws.FILTER(PTS!P:P, (PTS!$C:$C=A42) * ISNUMBER(PTS!P:P)))</f>
        <v>#VALUE!</v>
      </c>
      <c r="M42" s="531" t="e" vm="2">
        <f t="shared" si="1"/>
        <v>#VALUE!</v>
      </c>
      <c r="N42" s="531" t="e">
        <f t="shared" si="2"/>
        <v>#N/A</v>
      </c>
      <c r="O42" s="531" t="e" cm="1" vm="1">
        <f t="array" ref="O42">AVERAGE(_xlfn._xlws.FILTER(PTS!S:S, (PTS!$C:$C=A42) * ISNUMBER(PTS!S:S)))</f>
        <v>#VALUE!</v>
      </c>
      <c r="P42" s="531" t="e" cm="1" vm="1">
        <f t="array" ref="P42">AVERAGE(_xlfn._xlws.FILTER(PTS!T:T, (PTS!$C:$C=A42) * ISNUMBER(PTS!T:T)))</f>
        <v>#VALUE!</v>
      </c>
      <c r="Q42" s="531" t="e" cm="1" vm="1">
        <f t="array" ref="Q42">AVERAGE(_xlfn._xlws.FILTER(PTS!U:U, (PTS!$C:$C=A42) * ISNUMBER(PTS!U:U)))</f>
        <v>#VALUE!</v>
      </c>
      <c r="S42" s="531" t="e" vm="2">
        <f t="shared" si="3"/>
        <v>#VALUE!</v>
      </c>
      <c r="T42" s="531" t="e" cm="1" vm="1">
        <f t="array" ref="T42">AVERAGE(_xlfn._xlws.FILTER(PTS!X:X, (PTS!$C:$C=A42) * ISNUMBER(PTS!X:X)))</f>
        <v>#VALUE!</v>
      </c>
      <c r="U42" s="531" t="e" cm="1" vm="1">
        <f t="array" ref="U42">AVERAGE(_xlfn._xlws.FILTER(PTS!Y:Y, (PTS!$C:$C=A42) * ISNUMBER(PTS!Y:Y)))</f>
        <v>#VALUE!</v>
      </c>
      <c r="V42" s="531" t="e" cm="1" vm="1">
        <f t="array" ref="V42">AVERAGE(_xlfn._xlws.FILTER(PTS!Z:Z, (PTS!$C:$C=A42) * ISNUMBER(PTS!Z:Z)))</f>
        <v>#VALUE!</v>
      </c>
      <c r="X42" s="531" t="e" vm="2">
        <f t="shared" si="4"/>
        <v>#VALUE!</v>
      </c>
      <c r="Y42" s="531" t="e" cm="1" vm="1">
        <f t="array" ref="Y42">AVERAGE(_xlfn._xlws.FILTER(PTS!AC:AC, (PTS!$C:$C=A42) * ISNUMBER(PTS!AC:AC)))</f>
        <v>#VALUE!</v>
      </c>
      <c r="Z42" s="531" t="e" cm="1" vm="1">
        <f t="array" ref="Z42">AVERAGE(_xlfn._xlws.FILTER(PTS!AD:AD, (PTS!$C:$C=A42) * ISNUMBER(PTS!AD:AD)))</f>
        <v>#VALUE!</v>
      </c>
      <c r="AB42" s="531" t="e" vm="2">
        <f t="shared" si="5"/>
        <v>#VALUE!</v>
      </c>
      <c r="AC42" s="10" t="e" cm="1" vm="1">
        <f t="array" ref="AC42">AVERAGE(_xlfn._xlws.FILTER(PTS!AG:AG, (PTS!$C:$C=A42) * ISNUMBER(PTS!AG:AG)))</f>
        <v>#VALUE!</v>
      </c>
      <c r="AD42" s="531" t="e" cm="1" vm="1">
        <f t="array" ref="AD42">AVERAGE(_xlfn._xlws.FILTER(PTS!AH:AH, (PTS!$C:$C=A42) * ISNUMBER(PTS!AH:AH)))</f>
        <v>#VALUE!</v>
      </c>
      <c r="AE42" s="531" t="e" cm="1" vm="1">
        <f t="array" ref="AE42">AVERAGE(_xlfn._xlws.FILTER(PTS!AI:AI, (PTS!$C:$C=A42) * ISNUMBER(PTS!AI:AI)))</f>
        <v>#VALUE!</v>
      </c>
      <c r="AF42" s="531" t="e" cm="1" vm="1">
        <f t="array" ref="AF42">AVERAGE(_xlfn._xlws.FILTER(PTS!AJ:AJ, (PTS!$C:$C=A42) * ISNUMBER(PTS!AJ:AJ)))</f>
        <v>#VALUE!</v>
      </c>
      <c r="AH42" s="531" t="e" vm="2">
        <f t="shared" si="6"/>
        <v>#VALUE!</v>
      </c>
      <c r="AI42" s="10" t="e" cm="1" vm="1">
        <f t="array" ref="AI42">AVERAGE(_xlfn._xlws.FILTER(PTS!AM:AM, (PTS!$C:$C=A42) * ISNUMBER(PTS!AM:AM)))</f>
        <v>#VALUE!</v>
      </c>
      <c r="AJ42" s="10" t="e" cm="1" vm="1">
        <f t="array" ref="AJ42">AVERAGE(_xlfn._xlws.FILTER(PTS!AN:AN, (PTS!$C:$C=A42) * ISNUMBER(PTS!AN:AN)))</f>
        <v>#VALUE!</v>
      </c>
      <c r="AK42" s="10" t="e" cm="1" vm="1">
        <f t="array" ref="AK42">AVERAGE(_xlfn._xlws.FILTER(PTS!AO:AO, (PTS!$C:$C=A42) * ISNUMBER(PTS!AO:AO)))</f>
        <v>#VALUE!</v>
      </c>
      <c r="AN42" s="10" t="e" vm="2">
        <f t="shared" si="7"/>
        <v>#VALUE!</v>
      </c>
      <c r="AR42" s="531" t="e">
        <f t="shared" si="8"/>
        <v>#N/A</v>
      </c>
      <c r="AS42" s="531" t="e" vm="2">
        <f t="shared" si="9"/>
        <v>#VALUE!</v>
      </c>
    </row>
    <row r="43" spans="1:45">
      <c r="A43" s="32" t="s">
        <v>187</v>
      </c>
      <c r="B43" s="319" t="s">
        <v>76</v>
      </c>
      <c r="C43" s="319" t="str">
        <f t="shared" si="0"/>
        <v>CamillaGA</v>
      </c>
      <c r="D43" s="10">
        <f>VLOOKUP(A:A,PTS!C:R,6,FALSE)</f>
        <v>4</v>
      </c>
      <c r="E43" s="531" cm="1">
        <f t="array" ref="E43">AVERAGE(_xlfn._xlws.FILTER(PTS!I:I, (PTS!$C:$C=A43) * ISNUMBER(PTS!I:I)))</f>
        <v>70</v>
      </c>
      <c r="F43" s="10" cm="1">
        <f t="array" ref="F43">AVERAGE(_xlfn._xlws.FILTER(PTS!J:J, (PTS!$C:$C=A43) * ISNUMBER(PTS!J:J)))</f>
        <v>110</v>
      </c>
      <c r="G43" s="531" cm="1">
        <f t="array" ref="G43">AVERAGE(_xlfn._xlws.FILTER(PTS!K:K, (PTS!$C:$C=A43) * ISNUMBER(PTS!K:K)))</f>
        <v>0</v>
      </c>
      <c r="H43" s="531" cm="1">
        <f t="array" ref="H43">AVERAGE(_xlfn._xlws.FILTER(PTS!L:L, (PTS!$C:$C=A43) * ISNUMBER(PTS!L:L)))</f>
        <v>0</v>
      </c>
      <c r="I43" s="531" cm="1">
        <f t="array" ref="I43">AVERAGE(_xlfn._xlws.FILTER(PTS!M:M, (PTS!$C:$C=A43) * ISNUMBER(PTS!M:M)))</f>
        <v>20</v>
      </c>
      <c r="J43" s="531" cm="1">
        <f t="array" ref="J43">AVERAGE(_xlfn._xlws.FILTER(PTS!N:N, (PTS!$C:$C=A43) * ISNUMBER(PTS!N:N)))</f>
        <v>50</v>
      </c>
      <c r="K43" s="531" cm="1">
        <f t="array" ref="K43">AVERAGE(_xlfn._xlws.FILTER(PTS!O:O, (PTS!$C:$C=A43) * ISNUMBER(PTS!O:O)))</f>
        <v>37.916666666666671</v>
      </c>
      <c r="L43" s="10" cm="1">
        <f t="array" ref="L43">AVERAGE(_xlfn._xlws.FILTER(PTS!P:P, (PTS!$C:$C=A43) * ISNUMBER(PTS!P:P)))</f>
        <v>0</v>
      </c>
      <c r="M43" s="531">
        <f t="shared" si="1"/>
        <v>287.91666666666669</v>
      </c>
      <c r="N43" s="531">
        <f t="shared" si="2"/>
        <v>37.916666666666671</v>
      </c>
      <c r="O43" s="531" cm="1">
        <f t="array" ref="O43">AVERAGE(_xlfn._xlws.FILTER(PTS!S:S, (PTS!$C:$C=A43) * ISNUMBER(PTS!S:S)))</f>
        <v>0</v>
      </c>
      <c r="P43" s="531" cm="1">
        <f t="array" ref="P43">AVERAGE(_xlfn._xlws.FILTER(PTS!T:T, (PTS!$C:$C=A43) * ISNUMBER(PTS!T:T)))</f>
        <v>0</v>
      </c>
      <c r="Q43" s="531" cm="1">
        <f t="array" ref="Q43">AVERAGE(_xlfn._xlws.FILTER(PTS!U:U, (PTS!$C:$C=A43) * ISNUMBER(PTS!U:U)))</f>
        <v>184.1090909090909</v>
      </c>
      <c r="S43" s="531">
        <f t="shared" si="3"/>
        <v>184.1090909090909</v>
      </c>
      <c r="T43" s="531" cm="1">
        <f t="array" ref="T43">AVERAGE(_xlfn._xlws.FILTER(PTS!X:X, (PTS!$C:$C=A43) * ISNUMBER(PTS!X:X)))</f>
        <v>52</v>
      </c>
      <c r="U43" s="531" cm="1">
        <f t="array" ref="U43">AVERAGE(_xlfn._xlws.FILTER(PTS!Y:Y, (PTS!$C:$C=A43) * ISNUMBER(PTS!Y:Y)))</f>
        <v>50.4</v>
      </c>
      <c r="V43" s="531" cm="1">
        <f t="array" ref="V43">AVERAGE(_xlfn._xlws.FILTER(PTS!Z:Z, (PTS!$C:$C=A43) * ISNUMBER(PTS!Z:Z)))</f>
        <v>26.25</v>
      </c>
      <c r="X43" s="531">
        <f t="shared" si="4"/>
        <v>128.65</v>
      </c>
      <c r="Y43" s="531" cm="1">
        <f t="array" ref="Y43">AVERAGE(_xlfn._xlws.FILTER(PTS!AC:AC, (PTS!$C:$C=A43) * ISNUMBER(PTS!AC:AC)))</f>
        <v>110.22727272727273</v>
      </c>
      <c r="Z43" s="531" cm="1">
        <f t="array" ref="Z43">AVERAGE(_xlfn._xlws.FILTER(PTS!AD:AD, (PTS!$C:$C=A43) * ISNUMBER(PTS!AD:AD)))</f>
        <v>107.04545454545455</v>
      </c>
      <c r="AB43" s="531">
        <f t="shared" si="5"/>
        <v>217.27272727272728</v>
      </c>
      <c r="AC43" s="10" cm="1">
        <f t="array" ref="AC43">AVERAGE(_xlfn._xlws.FILTER(PTS!AG:AG, (PTS!$C:$C=A43) * ISNUMBER(PTS!AG:AG)))</f>
        <v>28.814300000000003</v>
      </c>
      <c r="AD43" s="531" cm="1">
        <f t="array" ref="AD43">AVERAGE(_xlfn._xlws.FILTER(PTS!AH:AH, (PTS!$C:$C=A43) * ISNUMBER(PTS!AH:AH)))</f>
        <v>6.973140495867769</v>
      </c>
      <c r="AE43" s="531" cm="1">
        <f t="array" ref="AE43">AVERAGE(_xlfn._xlws.FILTER(PTS!AI:AI, (PTS!$C:$C=A43) * ISNUMBER(PTS!AI:AI)))</f>
        <v>12.587317427197677</v>
      </c>
      <c r="AF43" s="531" cm="1">
        <f t="array" ref="AF43">AVERAGE(_xlfn._xlws.FILTER(PTS!AJ:AJ, (PTS!$C:$C=A43) * ISNUMBER(PTS!AJ:AJ)))</f>
        <v>6.7351999999999999</v>
      </c>
      <c r="AH43" s="531">
        <f t="shared" si="6"/>
        <v>55.109957923065444</v>
      </c>
      <c r="AI43" s="10" cm="1">
        <f t="array" ref="AI43">AVERAGE(_xlfn._xlws.FILTER(PTS!AM:AM, (PTS!$C:$C=A43) * ISNUMBER(PTS!AM:AM)))</f>
        <v>79.999999999999986</v>
      </c>
      <c r="AJ43" s="10" cm="1">
        <f t="array" ref="AJ43">AVERAGE(_xlfn._xlws.FILTER(PTS!AN:AN, (PTS!$C:$C=A43) * ISNUMBER(PTS!AN:AN)))</f>
        <v>26.17808219178082</v>
      </c>
      <c r="AK43" s="10" cm="1">
        <f t="array" ref="AK43">AVERAGE(_xlfn._xlws.FILTER(PTS!AO:AO, (PTS!$C:$C=A43) * ISNUMBER(PTS!AO:AO)))</f>
        <v>0</v>
      </c>
      <c r="AN43" s="10">
        <f t="shared" si="7"/>
        <v>106.1780821917808</v>
      </c>
      <c r="AR43" s="531">
        <f t="shared" si="8"/>
        <v>729.23652496333102</v>
      </c>
      <c r="AS43" s="531">
        <f t="shared" si="9"/>
        <v>979.23652496333102</v>
      </c>
    </row>
    <row r="44" spans="1:45">
      <c r="A44" s="32" t="s">
        <v>189</v>
      </c>
      <c r="B44" s="319" t="s">
        <v>190</v>
      </c>
      <c r="C44" s="319" t="str">
        <f t="shared" si="0"/>
        <v>CaruthersvilleMO</v>
      </c>
      <c r="D44" s="10">
        <f>VLOOKUP(A:A,PTS!C:R,6,FALSE)</f>
        <v>1</v>
      </c>
      <c r="E44" s="531" cm="1">
        <f t="array" ref="E44">AVERAGE(_xlfn._xlws.FILTER(PTS!I:I, (PTS!$C:$C=A44) * ISNUMBER(PTS!I:I)))</f>
        <v>60</v>
      </c>
      <c r="F44" s="10" cm="1">
        <f t="array" ref="F44">AVERAGE(_xlfn._xlws.FILTER(PTS!J:J, (PTS!$C:$C=A44) * ISNUMBER(PTS!J:J)))</f>
        <v>205</v>
      </c>
      <c r="G44" s="531" cm="1">
        <f t="array" ref="G44">AVERAGE(_xlfn._xlws.FILTER(PTS!K:K, (PTS!$C:$C=A44) * ISNUMBER(PTS!K:K)))</f>
        <v>160</v>
      </c>
      <c r="H44" s="531" cm="1">
        <f t="array" ref="H44">AVERAGE(_xlfn._xlws.FILTER(PTS!L:L, (PTS!$C:$C=A44) * ISNUMBER(PTS!L:L)))</f>
        <v>0</v>
      </c>
      <c r="I44" s="531" cm="1">
        <f t="array" ref="I44">AVERAGE(_xlfn._xlws.FILTER(PTS!M:M, (PTS!$C:$C=A44) * ISNUMBER(PTS!M:M)))</f>
        <v>0</v>
      </c>
      <c r="J44" s="531" cm="1">
        <f t="array" ref="J44">AVERAGE(_xlfn._xlws.FILTER(PTS!N:N, (PTS!$C:$C=A44) * ISNUMBER(PTS!N:N)))</f>
        <v>66</v>
      </c>
      <c r="K44" s="531" cm="1">
        <f t="array" ref="K44">AVERAGE(_xlfn._xlws.FILTER(PTS!O:O, (PTS!$C:$C=A44) * ISNUMBER(PTS!O:O)))</f>
        <v>37.916666666666671</v>
      </c>
      <c r="L44" s="10" cm="1">
        <f t="array" ref="L44">AVERAGE(_xlfn._xlws.FILTER(PTS!P:P, (PTS!$C:$C=A44) * ISNUMBER(PTS!P:P)))</f>
        <v>0</v>
      </c>
      <c r="M44" s="531">
        <f t="shared" si="1"/>
        <v>528.91666666666663</v>
      </c>
      <c r="N44" s="531">
        <f t="shared" si="2"/>
        <v>103.91666666666667</v>
      </c>
      <c r="O44" s="531" cm="1">
        <f t="array" ref="O44">AVERAGE(_xlfn._xlws.FILTER(PTS!S:S, (PTS!$C:$C=A44) * ISNUMBER(PTS!S:S)))</f>
        <v>0</v>
      </c>
      <c r="P44" s="531" cm="1">
        <f t="array" ref="P44">AVERAGE(_xlfn._xlws.FILTER(PTS!T:T, (PTS!$C:$C=A44) * ISNUMBER(PTS!T:T)))</f>
        <v>0</v>
      </c>
      <c r="Q44" s="531" cm="1">
        <f t="array" ref="Q44">AVERAGE(_xlfn._xlws.FILTER(PTS!U:U, (PTS!$C:$C=A44) * ISNUMBER(PTS!U:U)))</f>
        <v>200.56818181818184</v>
      </c>
      <c r="S44" s="531">
        <f t="shared" si="3"/>
        <v>200.56818181818184</v>
      </c>
      <c r="T44" s="531" cm="1">
        <f t="array" ref="T44">AVERAGE(_xlfn._xlws.FILTER(PTS!X:X, (PTS!$C:$C=A44) * ISNUMBER(PTS!X:X)))</f>
        <v>50</v>
      </c>
      <c r="U44" s="531" cm="1">
        <f t="array" ref="U44">AVERAGE(_xlfn._xlws.FILTER(PTS!Y:Y, (PTS!$C:$C=A44) * ISNUMBER(PTS!Y:Y)))</f>
        <v>33.6</v>
      </c>
      <c r="V44" s="531" cm="1">
        <f t="array" ref="V44">AVERAGE(_xlfn._xlws.FILTER(PTS!Z:Z, (PTS!$C:$C=A44) * ISNUMBER(PTS!Z:Z)))</f>
        <v>26.25</v>
      </c>
      <c r="X44" s="531">
        <f t="shared" si="4"/>
        <v>109.85</v>
      </c>
      <c r="Y44" s="531" cm="1">
        <f t="array" ref="Y44">AVERAGE(_xlfn._xlws.FILTER(PTS!AC:AC, (PTS!$C:$C=A44) * ISNUMBER(PTS!AC:AC)))</f>
        <v>146.02272727272725</v>
      </c>
      <c r="Z44" s="531" cm="1">
        <f t="array" ref="Z44">AVERAGE(_xlfn._xlws.FILTER(PTS!AD:AD, (PTS!$C:$C=A44) * ISNUMBER(PTS!AD:AD)))</f>
        <v>182.72727272727275</v>
      </c>
      <c r="AB44" s="531">
        <f t="shared" si="5"/>
        <v>328.75</v>
      </c>
      <c r="AC44" s="10" cm="1">
        <f t="array" ref="AC44">AVERAGE(_xlfn._xlws.FILTER(PTS!AG:AG, (PTS!$C:$C=A44) * ISNUMBER(PTS!AG:AG)))</f>
        <v>28.814300000000003</v>
      </c>
      <c r="AD44" s="531" cm="1">
        <f t="array" ref="AD44">AVERAGE(_xlfn._xlws.FILTER(PTS!AH:AH, (PTS!$C:$C=A44) * ISNUMBER(PTS!AH:AH)))</f>
        <v>6.973140495867769</v>
      </c>
      <c r="AE44" s="531" cm="1">
        <f t="array" ref="AE44">AVERAGE(_xlfn._xlws.FILTER(PTS!AI:AI, (PTS!$C:$C=A44) * ISNUMBER(PTS!AI:AI)))</f>
        <v>12.587317427197677</v>
      </c>
      <c r="AF44" s="531" cm="1">
        <f t="array" ref="AF44">AVERAGE(_xlfn._xlws.FILTER(PTS!AJ:AJ, (PTS!$C:$C=A44) * ISNUMBER(PTS!AJ:AJ)))</f>
        <v>6.7351999999999999</v>
      </c>
      <c r="AH44" s="531">
        <f t="shared" si="6"/>
        <v>55.109957923065444</v>
      </c>
      <c r="AI44" s="10" cm="1">
        <f t="array" ref="AI44">AVERAGE(_xlfn._xlws.FILTER(PTS!AM:AM, (PTS!$C:$C=A44) * ISNUMBER(PTS!AM:AM)))</f>
        <v>79.999999999999986</v>
      </c>
      <c r="AJ44" s="10" cm="1">
        <f t="array" ref="AJ44">AVERAGE(_xlfn._xlws.FILTER(PTS!AN:AN, (PTS!$C:$C=A44) * ISNUMBER(PTS!AN:AN)))</f>
        <v>26.17808219178082</v>
      </c>
      <c r="AK44" s="10" cm="1">
        <f t="array" ref="AK44">AVERAGE(_xlfn._xlws.FILTER(PTS!AO:AO, (PTS!$C:$C=A44) * ISNUMBER(PTS!AO:AO)))</f>
        <v>0</v>
      </c>
      <c r="AN44" s="10">
        <f t="shared" si="7"/>
        <v>106.1780821917808</v>
      </c>
      <c r="AR44" s="531">
        <f t="shared" si="8"/>
        <v>904.37288859969476</v>
      </c>
      <c r="AS44" s="531">
        <f t="shared" si="9"/>
        <v>1329.3728885996945</v>
      </c>
    </row>
    <row r="45" spans="1:45">
      <c r="A45" s="32" t="s">
        <v>193</v>
      </c>
      <c r="B45" s="319" t="s">
        <v>65</v>
      </c>
      <c r="C45" s="319" t="str">
        <f t="shared" si="0"/>
        <v>CentreAL</v>
      </c>
      <c r="D45" s="10">
        <f>VLOOKUP(A:A,PTS!C:R,6,FALSE)</f>
        <v>1</v>
      </c>
      <c r="E45" s="531" cm="1">
        <f t="array" ref="E45">AVERAGE(_xlfn._xlws.FILTER(PTS!I:I, (PTS!$C:$C=A45) * ISNUMBER(PTS!I:I)))</f>
        <v>65</v>
      </c>
      <c r="F45" s="10" cm="1">
        <f t="array" ref="F45">AVERAGE(_xlfn._xlws.FILTER(PTS!J:J, (PTS!$C:$C=A45) * ISNUMBER(PTS!J:J)))</f>
        <v>100</v>
      </c>
      <c r="G45" s="531" cm="1">
        <f t="array" ref="G45">AVERAGE(_xlfn._xlws.FILTER(PTS!K:K, (PTS!$C:$C=A45) * ISNUMBER(PTS!K:K)))</f>
        <v>0</v>
      </c>
      <c r="H45" s="531" cm="1">
        <f t="array" ref="H45">AVERAGE(_xlfn._xlws.FILTER(PTS!L:L, (PTS!$C:$C=A45) * ISNUMBER(PTS!L:L)))</f>
        <v>0</v>
      </c>
      <c r="I45" s="531" cm="1">
        <f t="array" ref="I45">AVERAGE(_xlfn._xlws.FILTER(PTS!M:M, (PTS!$C:$C=A45) * ISNUMBER(PTS!M:M)))</f>
        <v>20</v>
      </c>
      <c r="J45" s="531" cm="1">
        <f t="array" ref="J45">AVERAGE(_xlfn._xlws.FILTER(PTS!N:N, (PTS!$C:$C=A45) * ISNUMBER(PTS!N:N)))</f>
        <v>54</v>
      </c>
      <c r="K45" s="531" cm="1">
        <f t="array" ref="K45">AVERAGE(_xlfn._xlws.FILTER(PTS!O:O, (PTS!$C:$C=A45) * ISNUMBER(PTS!O:O)))</f>
        <v>37.916666666666671</v>
      </c>
      <c r="L45" s="10" cm="1">
        <f t="array" ref="L45">AVERAGE(_xlfn._xlws.FILTER(PTS!P:P, (PTS!$C:$C=A45) * ISNUMBER(PTS!P:P)))</f>
        <v>0</v>
      </c>
      <c r="M45" s="531">
        <f t="shared" si="1"/>
        <v>276.91666666666669</v>
      </c>
      <c r="N45" s="531">
        <f t="shared" si="2"/>
        <v>91.916666666666671</v>
      </c>
      <c r="O45" s="531" cm="1">
        <f t="array" ref="O45">AVERAGE(_xlfn._xlws.FILTER(PTS!S:S, (PTS!$C:$C=A45) * ISNUMBER(PTS!S:S)))</f>
        <v>0</v>
      </c>
      <c r="P45" s="531" cm="1">
        <f t="array" ref="P45">AVERAGE(_xlfn._xlws.FILTER(PTS!T:T, (PTS!$C:$C=A45) * ISNUMBER(PTS!T:T)))</f>
        <v>0</v>
      </c>
      <c r="Q45" s="531" cm="1">
        <f t="array" ref="Q45">AVERAGE(_xlfn._xlws.FILTER(PTS!U:U, (PTS!$C:$C=A45) * ISNUMBER(PTS!U:U)))</f>
        <v>291.3880681818182</v>
      </c>
      <c r="S45" s="531">
        <f t="shared" si="3"/>
        <v>291.3880681818182</v>
      </c>
      <c r="T45" s="531" cm="1">
        <f t="array" ref="T45">AVERAGE(_xlfn._xlws.FILTER(PTS!X:X, (PTS!$C:$C=A45) * ISNUMBER(PTS!X:X)))</f>
        <v>52</v>
      </c>
      <c r="U45" s="531" cm="1">
        <f t="array" ref="U45">AVERAGE(_xlfn._xlws.FILTER(PTS!Y:Y, (PTS!$C:$C=A45) * ISNUMBER(PTS!Y:Y)))</f>
        <v>50.4</v>
      </c>
      <c r="V45" s="531" cm="1">
        <f t="array" ref="V45">AVERAGE(_xlfn._xlws.FILTER(PTS!Z:Z, (PTS!$C:$C=A45) * ISNUMBER(PTS!Z:Z)))</f>
        <v>26.25</v>
      </c>
      <c r="X45" s="531">
        <f t="shared" si="4"/>
        <v>128.65</v>
      </c>
      <c r="Y45" s="531" cm="1">
        <f t="array" ref="Y45">AVERAGE(_xlfn._xlws.FILTER(PTS!AC:AC, (PTS!$C:$C=A45) * ISNUMBER(PTS!AC:AC)))</f>
        <v>110.22727272727273</v>
      </c>
      <c r="Z45" s="531" cm="1">
        <f t="array" ref="Z45">AVERAGE(_xlfn._xlws.FILTER(PTS!AD:AD, (PTS!$C:$C=A45) * ISNUMBER(PTS!AD:AD)))</f>
        <v>107.04545454545455</v>
      </c>
      <c r="AB45" s="531">
        <f t="shared" si="5"/>
        <v>217.27272727272728</v>
      </c>
      <c r="AC45" s="10" cm="1">
        <f t="array" ref="AC45">AVERAGE(_xlfn._xlws.FILTER(PTS!AG:AG, (PTS!$C:$C=A45) * ISNUMBER(PTS!AG:AG)))</f>
        <v>28.814300000000003</v>
      </c>
      <c r="AD45" s="531" cm="1">
        <f t="array" ref="AD45">AVERAGE(_xlfn._xlws.FILTER(PTS!AH:AH, (PTS!$C:$C=A45) * ISNUMBER(PTS!AH:AH)))</f>
        <v>6.973140495867769</v>
      </c>
      <c r="AE45" s="531" cm="1">
        <f t="array" ref="AE45">AVERAGE(_xlfn._xlws.FILTER(PTS!AI:AI, (PTS!$C:$C=A45) * ISNUMBER(PTS!AI:AI)))</f>
        <v>12.587317427197677</v>
      </c>
      <c r="AF45" s="531" cm="1">
        <f t="array" ref="AF45">AVERAGE(_xlfn._xlws.FILTER(PTS!AJ:AJ, (PTS!$C:$C=A45) * ISNUMBER(PTS!AJ:AJ)))</f>
        <v>6.7351999999999999</v>
      </c>
      <c r="AH45" s="531">
        <f t="shared" si="6"/>
        <v>55.109957923065444</v>
      </c>
      <c r="AI45" s="10" cm="1">
        <f t="array" ref="AI45">AVERAGE(_xlfn._xlws.FILTER(PTS!AM:AM, (PTS!$C:$C=A45) * ISNUMBER(PTS!AM:AM)))</f>
        <v>79.999999999999986</v>
      </c>
      <c r="AJ45" s="10" cm="1">
        <f t="array" ref="AJ45">AVERAGE(_xlfn._xlws.FILTER(PTS!AN:AN, (PTS!$C:$C=A45) * ISNUMBER(PTS!AN:AN)))</f>
        <v>26.17808219178082</v>
      </c>
      <c r="AK45" s="10" cm="1">
        <f t="array" ref="AK45">AVERAGE(_xlfn._xlws.FILTER(PTS!AO:AO, (PTS!$C:$C=A45) * ISNUMBER(PTS!AO:AO)))</f>
        <v>0</v>
      </c>
      <c r="AN45" s="10">
        <f t="shared" si="7"/>
        <v>106.1780821917808</v>
      </c>
      <c r="AR45" s="531">
        <f t="shared" si="8"/>
        <v>890.51550223605841</v>
      </c>
      <c r="AS45" s="531">
        <f t="shared" si="9"/>
        <v>1075.5155022360584</v>
      </c>
    </row>
    <row r="46" spans="1:45">
      <c r="A46" s="32" t="s">
        <v>196</v>
      </c>
      <c r="B46" s="319" t="s">
        <v>136</v>
      </c>
      <c r="C46" s="319" t="str">
        <f t="shared" si="0"/>
        <v>ChocowinityNC</v>
      </c>
      <c r="D46" s="10">
        <f>VLOOKUP(A:A,PTS!C:R,6,FALSE)</f>
        <v>1</v>
      </c>
      <c r="E46" s="531" cm="1">
        <f t="array" ref="E46">AVERAGE(_xlfn._xlws.FILTER(PTS!I:I, (PTS!$C:$C=A46) * ISNUMBER(PTS!I:I)))</f>
        <v>75</v>
      </c>
      <c r="F46" s="10" cm="1">
        <f t="array" ref="F46">AVERAGE(_xlfn._xlws.FILTER(PTS!J:J, (PTS!$C:$C=A46) * ISNUMBER(PTS!J:J)))</f>
        <v>85</v>
      </c>
      <c r="G46" s="531" cm="1">
        <f t="array" ref="G46">AVERAGE(_xlfn._xlws.FILTER(PTS!K:K, (PTS!$C:$C=A46) * ISNUMBER(PTS!K:K)))</f>
        <v>0</v>
      </c>
      <c r="H46" s="531" cm="1">
        <f t="array" ref="H46">AVERAGE(_xlfn._xlws.FILTER(PTS!L:L, (PTS!$C:$C=A46) * ISNUMBER(PTS!L:L)))</f>
        <v>0</v>
      </c>
      <c r="I46" s="531" cm="1">
        <f t="array" ref="I46">AVERAGE(_xlfn._xlws.FILTER(PTS!M:M, (PTS!$C:$C=A46) * ISNUMBER(PTS!M:M)))</f>
        <v>5</v>
      </c>
      <c r="J46" s="531" cm="1">
        <f t="array" ref="J46">AVERAGE(_xlfn._xlws.FILTER(PTS!N:N, (PTS!$C:$C=A46) * ISNUMBER(PTS!N:N)))</f>
        <v>50</v>
      </c>
      <c r="K46" s="531" cm="1">
        <f t="array" ref="K46">AVERAGE(_xlfn._xlws.FILTER(PTS!O:O, (PTS!$C:$C=A46) * ISNUMBER(PTS!O:O)))</f>
        <v>37.916666666666671</v>
      </c>
      <c r="L46" s="10" cm="1">
        <f t="array" ref="L46">AVERAGE(_xlfn._xlws.FILTER(PTS!P:P, (PTS!$C:$C=A46) * ISNUMBER(PTS!P:P)))</f>
        <v>0</v>
      </c>
      <c r="M46" s="531">
        <f t="shared" si="1"/>
        <v>252.91666666666669</v>
      </c>
      <c r="N46" s="531">
        <f t="shared" si="2"/>
        <v>87.916666666666671</v>
      </c>
      <c r="O46" s="531" cm="1">
        <f t="array" ref="O46">AVERAGE(_xlfn._xlws.FILTER(PTS!S:S, (PTS!$C:$C=A46) * ISNUMBER(PTS!S:S)))</f>
        <v>0</v>
      </c>
      <c r="P46" s="531" cm="1">
        <f t="array" ref="P46">AVERAGE(_xlfn._xlws.FILTER(PTS!T:T, (PTS!$C:$C=A46) * ISNUMBER(PTS!T:T)))</f>
        <v>0</v>
      </c>
      <c r="Q46" s="531" cm="1">
        <f t="array" ref="Q46">AVERAGE(_xlfn._xlws.FILTER(PTS!U:U, (PTS!$C:$C=A46) * ISNUMBER(PTS!U:U)))</f>
        <v>264.27556818181819</v>
      </c>
      <c r="S46" s="531">
        <f t="shared" si="3"/>
        <v>264.27556818181819</v>
      </c>
      <c r="T46" s="531" cm="1">
        <f t="array" ref="T46">AVERAGE(_xlfn._xlws.FILTER(PTS!X:X, (PTS!$C:$C=A46) * ISNUMBER(PTS!X:X)))</f>
        <v>52</v>
      </c>
      <c r="U46" s="531" cm="1">
        <f t="array" ref="U46">AVERAGE(_xlfn._xlws.FILTER(PTS!Y:Y, (PTS!$C:$C=A46) * ISNUMBER(PTS!Y:Y)))</f>
        <v>50.4</v>
      </c>
      <c r="V46" s="531" cm="1">
        <f t="array" ref="V46">AVERAGE(_xlfn._xlws.FILTER(PTS!Z:Z, (PTS!$C:$C=A46) * ISNUMBER(PTS!Z:Z)))</f>
        <v>26.25</v>
      </c>
      <c r="X46" s="531">
        <f t="shared" si="4"/>
        <v>128.65</v>
      </c>
      <c r="Y46" s="531" cm="1">
        <f t="array" ref="Y46">AVERAGE(_xlfn._xlws.FILTER(PTS!AC:AC, (PTS!$C:$C=A46) * ISNUMBER(PTS!AC:AC)))</f>
        <v>110.22727272727273</v>
      </c>
      <c r="Z46" s="531" cm="1">
        <f t="array" ref="Z46">AVERAGE(_xlfn._xlws.FILTER(PTS!AD:AD, (PTS!$C:$C=A46) * ISNUMBER(PTS!AD:AD)))</f>
        <v>107.04545454545455</v>
      </c>
      <c r="AB46" s="531">
        <f t="shared" si="5"/>
        <v>217.27272727272728</v>
      </c>
      <c r="AC46" s="10" cm="1">
        <f t="array" ref="AC46">AVERAGE(_xlfn._xlws.FILTER(PTS!AG:AG, (PTS!$C:$C=A46) * ISNUMBER(PTS!AG:AG)))</f>
        <v>28.814300000000003</v>
      </c>
      <c r="AD46" s="531" cm="1">
        <f t="array" ref="AD46">AVERAGE(_xlfn._xlws.FILTER(PTS!AH:AH, (PTS!$C:$C=A46) * ISNUMBER(PTS!AH:AH)))</f>
        <v>6.973140495867769</v>
      </c>
      <c r="AE46" s="531" cm="1">
        <f t="array" ref="AE46">AVERAGE(_xlfn._xlws.FILTER(PTS!AI:AI, (PTS!$C:$C=A46) * ISNUMBER(PTS!AI:AI)))</f>
        <v>12.587317427197677</v>
      </c>
      <c r="AF46" s="531" cm="1">
        <f t="array" ref="AF46">AVERAGE(_xlfn._xlws.FILTER(PTS!AJ:AJ, (PTS!$C:$C=A46) * ISNUMBER(PTS!AJ:AJ)))</f>
        <v>6.7351999999999999</v>
      </c>
      <c r="AH46" s="531">
        <f t="shared" si="6"/>
        <v>55.109957923065444</v>
      </c>
      <c r="AI46" s="10" cm="1">
        <f t="array" ref="AI46">AVERAGE(_xlfn._xlws.FILTER(PTS!AM:AM, (PTS!$C:$C=A46) * ISNUMBER(PTS!AM:AM)))</f>
        <v>79.999999999999986</v>
      </c>
      <c r="AJ46" s="10" cm="1">
        <f t="array" ref="AJ46">AVERAGE(_xlfn._xlws.FILTER(PTS!AN:AN, (PTS!$C:$C=A46) * ISNUMBER(PTS!AN:AN)))</f>
        <v>26.17808219178082</v>
      </c>
      <c r="AK46" s="10" cm="1">
        <f t="array" ref="AK46">AVERAGE(_xlfn._xlws.FILTER(PTS!AO:AO, (PTS!$C:$C=A46) * ISNUMBER(PTS!AO:AO)))</f>
        <v>0</v>
      </c>
      <c r="AN46" s="10">
        <f t="shared" si="7"/>
        <v>106.1780821917808</v>
      </c>
      <c r="AR46" s="531">
        <f t="shared" si="8"/>
        <v>859.40300223605834</v>
      </c>
      <c r="AS46" s="531">
        <f t="shared" si="9"/>
        <v>1024.4030022360582</v>
      </c>
    </row>
    <row r="47" spans="1:45">
      <c r="A47" s="32" t="s">
        <v>199</v>
      </c>
      <c r="B47" s="319" t="s">
        <v>128</v>
      </c>
      <c r="C47" s="319" t="str">
        <f t="shared" si="0"/>
        <v>ClarksdaleMS</v>
      </c>
      <c r="D47" s="10">
        <f>VLOOKUP(A:A,PTS!C:R,6,FALSE)</f>
        <v>1</v>
      </c>
      <c r="E47" s="531" cm="1">
        <f t="array" ref="E47">AVERAGE(_xlfn._xlws.FILTER(PTS!I:I, (PTS!$C:$C=A47) * ISNUMBER(PTS!I:I)))</f>
        <v>37</v>
      </c>
      <c r="F47" s="10" cm="1">
        <f t="array" ref="F47">AVERAGE(_xlfn._xlws.FILTER(PTS!J:J, (PTS!$C:$C=A47) * ISNUMBER(PTS!J:J)))</f>
        <v>156</v>
      </c>
      <c r="G47" s="531" cm="1">
        <f t="array" ref="G47">AVERAGE(_xlfn._xlws.FILTER(PTS!K:K, (PTS!$C:$C=A47) * ISNUMBER(PTS!K:K)))</f>
        <v>160</v>
      </c>
      <c r="H47" s="531" cm="1">
        <f t="array" ref="H47">AVERAGE(_xlfn._xlws.FILTER(PTS!L:L, (PTS!$C:$C=A47) * ISNUMBER(PTS!L:L)))</f>
        <v>61</v>
      </c>
      <c r="I47" s="531" cm="1">
        <f t="array" ref="I47">AVERAGE(_xlfn._xlws.FILTER(PTS!M:M, (PTS!$C:$C=A47) * ISNUMBER(PTS!M:M)))</f>
        <v>0</v>
      </c>
      <c r="J47" s="531" cm="1">
        <f t="array" ref="J47">AVERAGE(_xlfn._xlws.FILTER(PTS!N:N, (PTS!$C:$C=A47) * ISNUMBER(PTS!N:N)))</f>
        <v>64</v>
      </c>
      <c r="K47" s="531" cm="1">
        <f t="array" ref="K47">AVERAGE(_xlfn._xlws.FILTER(PTS!O:O, (PTS!$C:$C=A47) * ISNUMBER(PTS!O:O)))</f>
        <v>37.916666666666671</v>
      </c>
      <c r="L47" s="10" cm="1">
        <f t="array" ref="L47">AVERAGE(_xlfn._xlws.FILTER(PTS!P:P, (PTS!$C:$C=A47) * ISNUMBER(PTS!P:P)))</f>
        <v>0</v>
      </c>
      <c r="M47" s="531">
        <f t="shared" si="1"/>
        <v>515.91666666666663</v>
      </c>
      <c r="N47" s="531">
        <f t="shared" si="2"/>
        <v>101.91666666666667</v>
      </c>
      <c r="O47" s="531" cm="1">
        <f t="array" ref="O47">AVERAGE(_xlfn._xlws.FILTER(PTS!S:S, (PTS!$C:$C=A47) * ISNUMBER(PTS!S:S)))</f>
        <v>0</v>
      </c>
      <c r="P47" s="531" cm="1">
        <f t="array" ref="P47">AVERAGE(_xlfn._xlws.FILTER(PTS!T:T, (PTS!$C:$C=A47) * ISNUMBER(PTS!T:T)))</f>
        <v>0</v>
      </c>
      <c r="Q47" s="531" cm="1">
        <f t="array" ref="Q47">AVERAGE(_xlfn._xlws.FILTER(PTS!U:U, (PTS!$C:$C=A47) * ISNUMBER(PTS!U:U)))</f>
        <v>183.52272727272725</v>
      </c>
      <c r="S47" s="531">
        <f t="shared" si="3"/>
        <v>183.52272727272725</v>
      </c>
      <c r="T47" s="531" cm="1">
        <f t="array" ref="T47">AVERAGE(_xlfn._xlws.FILTER(PTS!X:X, (PTS!$C:$C=A47) * ISNUMBER(PTS!X:X)))</f>
        <v>50</v>
      </c>
      <c r="U47" s="531" cm="1">
        <f t="array" ref="U47">AVERAGE(_xlfn._xlws.FILTER(PTS!Y:Y, (PTS!$C:$C=A47) * ISNUMBER(PTS!Y:Y)))</f>
        <v>33.6</v>
      </c>
      <c r="V47" s="531" cm="1">
        <f t="array" ref="V47">AVERAGE(_xlfn._xlws.FILTER(PTS!Z:Z, (PTS!$C:$C=A47) * ISNUMBER(PTS!Z:Z)))</f>
        <v>26.25</v>
      </c>
      <c r="X47" s="531">
        <f t="shared" si="4"/>
        <v>109.85</v>
      </c>
      <c r="Y47" s="531" cm="1">
        <f t="array" ref="Y47">AVERAGE(_xlfn._xlws.FILTER(PTS!AC:AC, (PTS!$C:$C=A47) * ISNUMBER(PTS!AC:AC)))</f>
        <v>146.02272727272725</v>
      </c>
      <c r="Z47" s="531" cm="1">
        <f t="array" ref="Z47">AVERAGE(_xlfn._xlws.FILTER(PTS!AD:AD, (PTS!$C:$C=A47) * ISNUMBER(PTS!AD:AD)))</f>
        <v>182.72727272727275</v>
      </c>
      <c r="AB47" s="531">
        <f t="shared" si="5"/>
        <v>328.75</v>
      </c>
      <c r="AC47" s="10" cm="1">
        <f t="array" ref="AC47">AVERAGE(_xlfn._xlws.FILTER(PTS!AG:AG, (PTS!$C:$C=A47) * ISNUMBER(PTS!AG:AG)))</f>
        <v>28.814300000000003</v>
      </c>
      <c r="AD47" s="531" cm="1">
        <f t="array" ref="AD47">AVERAGE(_xlfn._xlws.FILTER(PTS!AH:AH, (PTS!$C:$C=A47) * ISNUMBER(PTS!AH:AH)))</f>
        <v>6.973140495867769</v>
      </c>
      <c r="AE47" s="531" cm="1">
        <f t="array" ref="AE47">AVERAGE(_xlfn._xlws.FILTER(PTS!AI:AI, (PTS!$C:$C=A47) * ISNUMBER(PTS!AI:AI)))</f>
        <v>12.587317427197677</v>
      </c>
      <c r="AF47" s="531" cm="1">
        <f t="array" ref="AF47">AVERAGE(_xlfn._xlws.FILTER(PTS!AJ:AJ, (PTS!$C:$C=A47) * ISNUMBER(PTS!AJ:AJ)))</f>
        <v>6.7351999999999999</v>
      </c>
      <c r="AH47" s="531">
        <f t="shared" si="6"/>
        <v>55.109957923065444</v>
      </c>
      <c r="AI47" s="10" cm="1">
        <f t="array" ref="AI47">AVERAGE(_xlfn._xlws.FILTER(PTS!AM:AM, (PTS!$C:$C=A47) * ISNUMBER(PTS!AM:AM)))</f>
        <v>79.999999999999986</v>
      </c>
      <c r="AJ47" s="10" cm="1">
        <f t="array" ref="AJ47">AVERAGE(_xlfn._xlws.FILTER(PTS!AN:AN, (PTS!$C:$C=A47) * ISNUMBER(PTS!AN:AN)))</f>
        <v>26.17808219178082</v>
      </c>
      <c r="AK47" s="10" cm="1">
        <f t="array" ref="AK47">AVERAGE(_xlfn._xlws.FILTER(PTS!AO:AO, (PTS!$C:$C=A47) * ISNUMBER(PTS!AO:AO)))</f>
        <v>0</v>
      </c>
      <c r="AN47" s="10">
        <f t="shared" si="7"/>
        <v>106.1780821917808</v>
      </c>
      <c r="AR47" s="531">
        <f t="shared" si="8"/>
        <v>885.32743405424014</v>
      </c>
      <c r="AS47" s="531">
        <f t="shared" si="9"/>
        <v>1299.32743405424</v>
      </c>
    </row>
    <row r="48" spans="1:45">
      <c r="A48" s="32" t="s">
        <v>202</v>
      </c>
      <c r="B48" s="319" t="s">
        <v>136</v>
      </c>
      <c r="C48" s="319" t="str">
        <f t="shared" si="0"/>
        <v>ClarktonNC</v>
      </c>
      <c r="D48" s="10">
        <f>VLOOKUP(A:A,PTS!C:R,6,FALSE)</f>
        <v>1</v>
      </c>
      <c r="E48" s="531" cm="1">
        <f t="array" ref="E48">AVERAGE(_xlfn._xlws.FILTER(PTS!I:I, (PTS!$C:$C=A48) * ISNUMBER(PTS!I:I)))</f>
        <v>100</v>
      </c>
      <c r="F48" s="10" cm="1">
        <f t="array" ref="F48">AVERAGE(_xlfn._xlws.FILTER(PTS!J:J, (PTS!$C:$C=A48) * ISNUMBER(PTS!J:J)))</f>
        <v>100</v>
      </c>
      <c r="G48" s="531" cm="1">
        <f t="array" ref="G48">AVERAGE(_xlfn._xlws.FILTER(PTS!K:K, (PTS!$C:$C=A48) * ISNUMBER(PTS!K:K)))</f>
        <v>0</v>
      </c>
      <c r="H48" s="531" cm="1">
        <f t="array" ref="H48">AVERAGE(_xlfn._xlws.FILTER(PTS!L:L, (PTS!$C:$C=A48) * ISNUMBER(PTS!L:L)))</f>
        <v>60</v>
      </c>
      <c r="I48" s="531" cm="1">
        <f t="array" ref="I48">AVERAGE(_xlfn._xlws.FILTER(PTS!M:M, (PTS!$C:$C=A48) * ISNUMBER(PTS!M:M)))</f>
        <v>20</v>
      </c>
      <c r="J48" s="531" cm="1">
        <f t="array" ref="J48">AVERAGE(_xlfn._xlws.FILTER(PTS!N:N, (PTS!$C:$C=A48) * ISNUMBER(PTS!N:N)))</f>
        <v>60</v>
      </c>
      <c r="K48" s="531" cm="1">
        <f t="array" ref="K48">AVERAGE(_xlfn._xlws.FILTER(PTS!O:O, (PTS!$C:$C=A48) * ISNUMBER(PTS!O:O)))</f>
        <v>37.916666666666671</v>
      </c>
      <c r="L48" s="10" cm="1">
        <f t="array" ref="L48">AVERAGE(_xlfn._xlws.FILTER(PTS!P:P, (PTS!$C:$C=A48) * ISNUMBER(PTS!P:P)))</f>
        <v>0</v>
      </c>
      <c r="M48" s="531">
        <f t="shared" si="1"/>
        <v>377.91666666666669</v>
      </c>
      <c r="N48" s="531">
        <f t="shared" si="2"/>
        <v>97.916666666666671</v>
      </c>
      <c r="O48" s="531" cm="1">
        <f t="array" ref="O48">AVERAGE(_xlfn._xlws.FILTER(PTS!S:S, (PTS!$C:$C=A48) * ISNUMBER(PTS!S:S)))</f>
        <v>0</v>
      </c>
      <c r="P48" s="531" cm="1">
        <f t="array" ref="P48">AVERAGE(_xlfn._xlws.FILTER(PTS!T:T, (PTS!$C:$C=A48) * ISNUMBER(PTS!T:T)))</f>
        <v>0</v>
      </c>
      <c r="Q48" s="531" cm="1">
        <f t="array" ref="Q48">AVERAGE(_xlfn._xlws.FILTER(PTS!U:U, (PTS!$C:$C=A48) * ISNUMBER(PTS!U:U)))</f>
        <v>221.28863636363636</v>
      </c>
      <c r="S48" s="531">
        <f t="shared" si="3"/>
        <v>221.28863636363636</v>
      </c>
      <c r="T48" s="531" cm="1">
        <f t="array" ref="T48">AVERAGE(_xlfn._xlws.FILTER(PTS!X:X, (PTS!$C:$C=A48) * ISNUMBER(PTS!X:X)))</f>
        <v>52</v>
      </c>
      <c r="U48" s="531" cm="1">
        <f t="array" ref="U48">AVERAGE(_xlfn._xlws.FILTER(PTS!Y:Y, (PTS!$C:$C=A48) * ISNUMBER(PTS!Y:Y)))</f>
        <v>50.4</v>
      </c>
      <c r="V48" s="531" cm="1">
        <f t="array" ref="V48">AVERAGE(_xlfn._xlws.FILTER(PTS!Z:Z, (PTS!$C:$C=A48) * ISNUMBER(PTS!Z:Z)))</f>
        <v>26.25</v>
      </c>
      <c r="X48" s="531">
        <f t="shared" si="4"/>
        <v>128.65</v>
      </c>
      <c r="Y48" s="531" cm="1">
        <f t="array" ref="Y48">AVERAGE(_xlfn._xlws.FILTER(PTS!AC:AC, (PTS!$C:$C=A48) * ISNUMBER(PTS!AC:AC)))</f>
        <v>110.22727272727273</v>
      </c>
      <c r="Z48" s="531" cm="1">
        <f t="array" ref="Z48">AVERAGE(_xlfn._xlws.FILTER(PTS!AD:AD, (PTS!$C:$C=A48) * ISNUMBER(PTS!AD:AD)))</f>
        <v>107.04545454545455</v>
      </c>
      <c r="AB48" s="531">
        <f t="shared" si="5"/>
        <v>217.27272727272728</v>
      </c>
      <c r="AC48" s="10" cm="1">
        <f t="array" ref="AC48">AVERAGE(_xlfn._xlws.FILTER(PTS!AG:AG, (PTS!$C:$C=A48) * ISNUMBER(PTS!AG:AG)))</f>
        <v>28.814300000000003</v>
      </c>
      <c r="AD48" s="531" cm="1">
        <f t="array" ref="AD48">AVERAGE(_xlfn._xlws.FILTER(PTS!AH:AH, (PTS!$C:$C=A48) * ISNUMBER(PTS!AH:AH)))</f>
        <v>6.973140495867769</v>
      </c>
      <c r="AE48" s="531" cm="1">
        <f t="array" ref="AE48">AVERAGE(_xlfn._xlws.FILTER(PTS!AI:AI, (PTS!$C:$C=A48) * ISNUMBER(PTS!AI:AI)))</f>
        <v>12.587317427197677</v>
      </c>
      <c r="AF48" s="531" cm="1">
        <f t="array" ref="AF48">AVERAGE(_xlfn._xlws.FILTER(PTS!AJ:AJ, (PTS!$C:$C=A48) * ISNUMBER(PTS!AJ:AJ)))</f>
        <v>6.7351999999999999</v>
      </c>
      <c r="AH48" s="531">
        <f t="shared" si="6"/>
        <v>55.109957923065444</v>
      </c>
      <c r="AI48" s="10" cm="1">
        <f t="array" ref="AI48">AVERAGE(_xlfn._xlws.FILTER(PTS!AM:AM, (PTS!$C:$C=A48) * ISNUMBER(PTS!AM:AM)))</f>
        <v>79.999999999999986</v>
      </c>
      <c r="AJ48" s="10" cm="1">
        <f t="array" ref="AJ48">AVERAGE(_xlfn._xlws.FILTER(PTS!AN:AN, (PTS!$C:$C=A48) * ISNUMBER(PTS!AN:AN)))</f>
        <v>26.17808219178082</v>
      </c>
      <c r="AK48" s="10" cm="1">
        <f t="array" ref="AK48">AVERAGE(_xlfn._xlws.FILTER(PTS!AO:AO, (PTS!$C:$C=A48) * ISNUMBER(PTS!AO:AO)))</f>
        <v>0</v>
      </c>
      <c r="AN48" s="10">
        <f t="shared" si="7"/>
        <v>106.1780821917808</v>
      </c>
      <c r="AR48" s="531">
        <f t="shared" si="8"/>
        <v>826.41607041787654</v>
      </c>
      <c r="AS48" s="531">
        <f t="shared" si="9"/>
        <v>1106.4160704178764</v>
      </c>
    </row>
    <row r="49" spans="1:45">
      <c r="A49" s="32" t="s">
        <v>204</v>
      </c>
      <c r="B49" s="319" t="s">
        <v>205</v>
      </c>
      <c r="C49" s="319" t="str">
        <f t="shared" si="0"/>
        <v>ClearwaterKS</v>
      </c>
      <c r="D49" s="10">
        <f>VLOOKUP(A:A,PTS!C:R,6,FALSE)</f>
        <v>2</v>
      </c>
      <c r="E49" s="531" cm="1">
        <f t="array" ref="E49">AVERAGE(_xlfn._xlws.FILTER(PTS!I:I, (PTS!$C:$C=A49) * ISNUMBER(PTS!I:I)))</f>
        <v>103</v>
      </c>
      <c r="F49" s="10" cm="1">
        <f t="array" ref="F49">AVERAGE(_xlfn._xlws.FILTER(PTS!J:J, (PTS!$C:$C=A49) * ISNUMBER(PTS!J:J)))</f>
        <v>125</v>
      </c>
      <c r="G49" s="531" cm="1">
        <f t="array" ref="G49">AVERAGE(_xlfn._xlws.FILTER(PTS!K:K, (PTS!$C:$C=A49) * ISNUMBER(PTS!K:K)))</f>
        <v>240</v>
      </c>
      <c r="H49" s="531" cm="1">
        <f t="array" ref="H49">AVERAGE(_xlfn._xlws.FILTER(PTS!L:L, (PTS!$C:$C=A49) * ISNUMBER(PTS!L:L)))</f>
        <v>0</v>
      </c>
      <c r="I49" s="531" cm="1">
        <f t="array" ref="I49">AVERAGE(_xlfn._xlws.FILTER(PTS!M:M, (PTS!$C:$C=A49) * ISNUMBER(PTS!M:M)))</f>
        <v>0</v>
      </c>
      <c r="J49" s="531" cm="1">
        <f t="array" ref="J49">AVERAGE(_xlfn._xlws.FILTER(PTS!N:N, (PTS!$C:$C=A49) * ISNUMBER(PTS!N:N)))</f>
        <v>39</v>
      </c>
      <c r="K49" s="531" cm="1">
        <f t="array" ref="K49">AVERAGE(_xlfn._xlws.FILTER(PTS!O:O, (PTS!$C:$C=A49) * ISNUMBER(PTS!O:O)))</f>
        <v>37.916666666666671</v>
      </c>
      <c r="L49" s="10" cm="1">
        <f t="array" ref="L49">AVERAGE(_xlfn._xlws.FILTER(PTS!P:P, (PTS!$C:$C=A49) * ISNUMBER(PTS!P:P)))</f>
        <v>0</v>
      </c>
      <c r="M49" s="531">
        <f t="shared" si="1"/>
        <v>544.91666666666663</v>
      </c>
      <c r="N49" s="531">
        <f t="shared" si="2"/>
        <v>316.91666666666669</v>
      </c>
      <c r="O49" s="531" cm="1">
        <f t="array" ref="O49">AVERAGE(_xlfn._xlws.FILTER(PTS!S:S, (PTS!$C:$C=A49) * ISNUMBER(PTS!S:S)))</f>
        <v>20</v>
      </c>
      <c r="P49" s="531" cm="1">
        <f t="array" ref="P49">AVERAGE(_xlfn._xlws.FILTER(PTS!T:T, (PTS!$C:$C=A49) * ISNUMBER(PTS!T:T)))</f>
        <v>5</v>
      </c>
      <c r="Q49" s="531" cm="1">
        <f t="array" ref="Q49">AVERAGE(_xlfn._xlws.FILTER(PTS!U:U, (PTS!$C:$C=A49) * ISNUMBER(PTS!U:U)))</f>
        <v>335.22727272727275</v>
      </c>
      <c r="S49" s="531">
        <f t="shared" si="3"/>
        <v>360.22727272727275</v>
      </c>
      <c r="T49" s="531" cm="1">
        <f t="array" ref="T49">AVERAGE(_xlfn._xlws.FILTER(PTS!X:X, (PTS!$C:$C=A49) * ISNUMBER(PTS!X:X)))</f>
        <v>54</v>
      </c>
      <c r="U49" s="531" cm="1">
        <f t="array" ref="U49">AVERAGE(_xlfn._xlws.FILTER(PTS!Y:Y, (PTS!$C:$C=A49) * ISNUMBER(PTS!Y:Y)))</f>
        <v>50.4</v>
      </c>
      <c r="V49" s="531" cm="1">
        <f t="array" ref="V49">AVERAGE(_xlfn._xlws.FILTER(PTS!Z:Z, (PTS!$C:$C=A49) * ISNUMBER(PTS!Z:Z)))</f>
        <v>26.25</v>
      </c>
      <c r="X49" s="531">
        <f t="shared" si="4"/>
        <v>130.65</v>
      </c>
      <c r="Y49" s="531" cm="1">
        <f t="array" ref="Y49">AVERAGE(_xlfn._xlws.FILTER(PTS!AC:AC, (PTS!$C:$C=A49) * ISNUMBER(PTS!AC:AC)))</f>
        <v>147.72727272727272</v>
      </c>
      <c r="Z49" s="531" cm="1">
        <f t="array" ref="Z49">AVERAGE(_xlfn._xlws.FILTER(PTS!AD:AD, (PTS!$C:$C=A49) * ISNUMBER(PTS!AD:AD)))</f>
        <v>233.06818181818181</v>
      </c>
      <c r="AB49" s="531">
        <f t="shared" si="5"/>
        <v>380.7954545454545</v>
      </c>
      <c r="AC49" s="10" cm="1">
        <f t="array" ref="AC49">AVERAGE(_xlfn._xlws.FILTER(PTS!AG:AG, (PTS!$C:$C=A49) * ISNUMBER(PTS!AG:AG)))</f>
        <v>28.814300000000003</v>
      </c>
      <c r="AD49" s="531" cm="1">
        <f t="array" ref="AD49">AVERAGE(_xlfn._xlws.FILTER(PTS!AH:AH, (PTS!$C:$C=A49) * ISNUMBER(PTS!AH:AH)))</f>
        <v>6.973140495867769</v>
      </c>
      <c r="AE49" s="531" cm="1">
        <f t="array" ref="AE49">AVERAGE(_xlfn._xlws.FILTER(PTS!AI:AI, (PTS!$C:$C=A49) * ISNUMBER(PTS!AI:AI)))</f>
        <v>12.587317427197677</v>
      </c>
      <c r="AF49" s="531" cm="1">
        <f t="array" ref="AF49">AVERAGE(_xlfn._xlws.FILTER(PTS!AJ:AJ, (PTS!$C:$C=A49) * ISNUMBER(PTS!AJ:AJ)))</f>
        <v>6.7351999999999999</v>
      </c>
      <c r="AH49" s="531">
        <f t="shared" si="6"/>
        <v>55.109957923065444</v>
      </c>
      <c r="AI49" s="10" cm="1">
        <f t="array" ref="AI49">AVERAGE(_xlfn._xlws.FILTER(PTS!AM:AM, (PTS!$C:$C=A49) * ISNUMBER(PTS!AM:AM)))</f>
        <v>79.999999999999986</v>
      </c>
      <c r="AJ49" s="10" cm="1">
        <f t="array" ref="AJ49">AVERAGE(_xlfn._xlws.FILTER(PTS!AN:AN, (PTS!$C:$C=A49) * ISNUMBER(PTS!AN:AN)))</f>
        <v>26.17808219178082</v>
      </c>
      <c r="AK49" s="10" cm="1">
        <f t="array" ref="AK49">AVERAGE(_xlfn._xlws.FILTER(PTS!AO:AO, (PTS!$C:$C=A49) * ISNUMBER(PTS!AO:AO)))</f>
        <v>0</v>
      </c>
      <c r="AN49" s="10">
        <f t="shared" si="7"/>
        <v>106.1780821917808</v>
      </c>
      <c r="AR49" s="531">
        <f t="shared" si="8"/>
        <v>1349.8774340542402</v>
      </c>
      <c r="AS49" s="531">
        <f t="shared" si="9"/>
        <v>1577.87743405424</v>
      </c>
    </row>
    <row r="50" spans="1:45">
      <c r="A50" s="32" t="s">
        <v>208</v>
      </c>
      <c r="B50" s="319" t="s">
        <v>76</v>
      </c>
      <c r="C50" s="319" t="str">
        <f t="shared" si="0"/>
        <v>ClimaxGA</v>
      </c>
      <c r="D50" s="10">
        <f>VLOOKUP(A:A,PTS!C:R,6,FALSE)</f>
        <v>4</v>
      </c>
      <c r="E50" s="531" cm="1">
        <f t="array" ref="E50">AVERAGE(_xlfn._xlws.FILTER(PTS!I:I, (PTS!$C:$C=A50) * ISNUMBER(PTS!I:I)))</f>
        <v>0</v>
      </c>
      <c r="F50" s="10" cm="1">
        <f t="array" ref="F50">AVERAGE(_xlfn._xlws.FILTER(PTS!J:J, (PTS!$C:$C=A50) * ISNUMBER(PTS!J:J)))</f>
        <v>0</v>
      </c>
      <c r="G50" s="531" cm="1">
        <f t="array" ref="G50">AVERAGE(_xlfn._xlws.FILTER(PTS!K:K, (PTS!$C:$C=A50) * ISNUMBER(PTS!K:K)))</f>
        <v>0</v>
      </c>
      <c r="H50" s="531" cm="1">
        <f t="array" ref="H50">AVERAGE(_xlfn._xlws.FILTER(PTS!L:L, (PTS!$C:$C=A50) * ISNUMBER(PTS!L:L)))</f>
        <v>0</v>
      </c>
      <c r="I50" s="531" cm="1">
        <f t="array" ref="I50">AVERAGE(_xlfn._xlws.FILTER(PTS!M:M, (PTS!$C:$C=A50) * ISNUMBER(PTS!M:M)))</f>
        <v>0</v>
      </c>
      <c r="J50" s="531" cm="1">
        <f t="array" ref="J50">AVERAGE(_xlfn._xlws.FILTER(PTS!N:N, (PTS!$C:$C=A50) * ISNUMBER(PTS!N:N)))</f>
        <v>60</v>
      </c>
      <c r="K50" s="531" cm="1">
        <f t="array" ref="K50">AVERAGE(_xlfn._xlws.FILTER(PTS!O:O, (PTS!$C:$C=A50) * ISNUMBER(PTS!O:O)))</f>
        <v>37.916666666666671</v>
      </c>
      <c r="L50" s="10" cm="1">
        <f t="array" ref="L50">AVERAGE(_xlfn._xlws.FILTER(PTS!P:P, (PTS!$C:$C=A50) * ISNUMBER(PTS!P:P)))</f>
        <v>0</v>
      </c>
      <c r="M50" s="531">
        <f t="shared" si="1"/>
        <v>97.916666666666671</v>
      </c>
      <c r="N50" s="531">
        <f t="shared" si="2"/>
        <v>37.916666666666671</v>
      </c>
      <c r="O50" s="531" cm="1">
        <f t="array" ref="O50">AVERAGE(_xlfn._xlws.FILTER(PTS!S:S, (PTS!$C:$C=A50) * ISNUMBER(PTS!S:S)))</f>
        <v>0</v>
      </c>
      <c r="P50" s="531" cm="1">
        <f t="array" ref="P50">AVERAGE(_xlfn._xlws.FILTER(PTS!T:T, (PTS!$C:$C=A50) * ISNUMBER(PTS!T:T)))</f>
        <v>0</v>
      </c>
      <c r="Q50" s="531" cm="1">
        <f t="array" ref="Q50">AVERAGE(_xlfn._xlws.FILTER(PTS!U:U, (PTS!$C:$C=A50) * ISNUMBER(PTS!U:U)))</f>
        <v>252.98636363636362</v>
      </c>
      <c r="S50" s="531">
        <f t="shared" si="3"/>
        <v>252.98636363636362</v>
      </c>
      <c r="T50" s="531" cm="1">
        <f t="array" ref="T50">AVERAGE(_xlfn._xlws.FILTER(PTS!X:X, (PTS!$C:$C=A50) * ISNUMBER(PTS!X:X)))</f>
        <v>52</v>
      </c>
      <c r="U50" s="531" cm="1">
        <f t="array" ref="U50">AVERAGE(_xlfn._xlws.FILTER(PTS!Y:Y, (PTS!$C:$C=A50) * ISNUMBER(PTS!Y:Y)))</f>
        <v>50.4</v>
      </c>
      <c r="V50" s="531" cm="1">
        <f t="array" ref="V50">AVERAGE(_xlfn._xlws.FILTER(PTS!Z:Z, (PTS!$C:$C=A50) * ISNUMBER(PTS!Z:Z)))</f>
        <v>26.25</v>
      </c>
      <c r="X50" s="531">
        <f t="shared" si="4"/>
        <v>128.65</v>
      </c>
      <c r="Y50" s="531" cm="1">
        <f t="array" ref="Y50">AVERAGE(_xlfn._xlws.FILTER(PTS!AC:AC, (PTS!$C:$C=A50) * ISNUMBER(PTS!AC:AC)))</f>
        <v>110.22727272727273</v>
      </c>
      <c r="Z50" s="531" cm="1">
        <f t="array" ref="Z50">AVERAGE(_xlfn._xlws.FILTER(PTS!AD:AD, (PTS!$C:$C=A50) * ISNUMBER(PTS!AD:AD)))</f>
        <v>107.04545454545455</v>
      </c>
      <c r="AB50" s="531">
        <f t="shared" si="5"/>
        <v>217.27272727272728</v>
      </c>
      <c r="AC50" s="10" cm="1">
        <f t="array" ref="AC50">AVERAGE(_xlfn._xlws.FILTER(PTS!AG:AG, (PTS!$C:$C=A50) * ISNUMBER(PTS!AG:AG)))</f>
        <v>28.814300000000003</v>
      </c>
      <c r="AD50" s="531" cm="1">
        <f t="array" ref="AD50">AVERAGE(_xlfn._xlws.FILTER(PTS!AH:AH, (PTS!$C:$C=A50) * ISNUMBER(PTS!AH:AH)))</f>
        <v>6.973140495867769</v>
      </c>
      <c r="AE50" s="531" cm="1">
        <f t="array" ref="AE50">AVERAGE(_xlfn._xlws.FILTER(PTS!AI:AI, (PTS!$C:$C=A50) * ISNUMBER(PTS!AI:AI)))</f>
        <v>12.587317427197677</v>
      </c>
      <c r="AF50" s="531" cm="1">
        <f t="array" ref="AF50">AVERAGE(_xlfn._xlws.FILTER(PTS!AJ:AJ, (PTS!$C:$C=A50) * ISNUMBER(PTS!AJ:AJ)))</f>
        <v>6.7351999999999999</v>
      </c>
      <c r="AH50" s="531">
        <f t="shared" si="6"/>
        <v>55.109957923065444</v>
      </c>
      <c r="AI50" s="10" cm="1">
        <f t="array" ref="AI50">AVERAGE(_xlfn._xlws.FILTER(PTS!AM:AM, (PTS!$C:$C=A50) * ISNUMBER(PTS!AM:AM)))</f>
        <v>79.999999999999986</v>
      </c>
      <c r="AJ50" s="10" cm="1">
        <f t="array" ref="AJ50">AVERAGE(_xlfn._xlws.FILTER(PTS!AN:AN, (PTS!$C:$C=A50) * ISNUMBER(PTS!AN:AN)))</f>
        <v>26.17808219178082</v>
      </c>
      <c r="AK50" s="10" cm="1">
        <f t="array" ref="AK50">AVERAGE(_xlfn._xlws.FILTER(PTS!AO:AO, (PTS!$C:$C=A50) * ISNUMBER(PTS!AO:AO)))</f>
        <v>0</v>
      </c>
      <c r="AN50" s="10">
        <f t="shared" si="7"/>
        <v>106.1780821917808</v>
      </c>
      <c r="AR50" s="531">
        <f t="shared" si="8"/>
        <v>798.11379769060375</v>
      </c>
      <c r="AS50" s="531">
        <f t="shared" si="9"/>
        <v>858.11379769060375</v>
      </c>
    </row>
    <row r="51" spans="1:45">
      <c r="A51" s="32" t="s">
        <v>210</v>
      </c>
      <c r="B51" s="319" t="s">
        <v>132</v>
      </c>
      <c r="C51" s="319" t="str">
        <f t="shared" si="0"/>
        <v>ClioSC</v>
      </c>
      <c r="D51" s="10">
        <f>VLOOKUP(A:A,PTS!C:R,6,FALSE)</f>
        <v>1</v>
      </c>
      <c r="E51" s="531" cm="1">
        <f t="array" ref="E51">AVERAGE(_xlfn._xlws.FILTER(PTS!I:I, (PTS!$C:$C=A51) * ISNUMBER(PTS!I:I)))</f>
        <v>100</v>
      </c>
      <c r="F51" s="10" cm="1">
        <f t="array" ref="F51">AVERAGE(_xlfn._xlws.FILTER(PTS!J:J, (PTS!$C:$C=A51) * ISNUMBER(PTS!J:J)))</f>
        <v>115</v>
      </c>
      <c r="G51" s="531" cm="1">
        <f t="array" ref="G51">AVERAGE(_xlfn._xlws.FILTER(PTS!K:K, (PTS!$C:$C=A51) * ISNUMBER(PTS!K:K)))</f>
        <v>0</v>
      </c>
      <c r="H51" s="531" cm="1">
        <f t="array" ref="H51">AVERAGE(_xlfn._xlws.FILTER(PTS!L:L, (PTS!$C:$C=A51) * ISNUMBER(PTS!L:L)))</f>
        <v>0</v>
      </c>
      <c r="I51" s="531" cm="1">
        <f t="array" ref="I51">AVERAGE(_xlfn._xlws.FILTER(PTS!M:M, (PTS!$C:$C=A51) * ISNUMBER(PTS!M:M)))</f>
        <v>0</v>
      </c>
      <c r="J51" s="531" cm="1">
        <f t="array" ref="J51">AVERAGE(_xlfn._xlws.FILTER(PTS!N:N, (PTS!$C:$C=A51) * ISNUMBER(PTS!N:N)))</f>
        <v>50</v>
      </c>
      <c r="K51" s="531" cm="1">
        <f t="array" ref="K51">AVERAGE(_xlfn._xlws.FILTER(PTS!O:O, (PTS!$C:$C=A51) * ISNUMBER(PTS!O:O)))</f>
        <v>37.916666666666671</v>
      </c>
      <c r="L51" s="10" cm="1">
        <f t="array" ref="L51">AVERAGE(_xlfn._xlws.FILTER(PTS!P:P, (PTS!$C:$C=A51) * ISNUMBER(PTS!P:P)))</f>
        <v>0</v>
      </c>
      <c r="M51" s="531">
        <f t="shared" si="1"/>
        <v>302.91666666666669</v>
      </c>
      <c r="N51" s="531">
        <f t="shared" si="2"/>
        <v>87.916666666666671</v>
      </c>
      <c r="O51" s="531" cm="1">
        <f t="array" ref="O51">AVERAGE(_xlfn._xlws.FILTER(PTS!S:S, (PTS!$C:$C=A51) * ISNUMBER(PTS!S:S)))</f>
        <v>0</v>
      </c>
      <c r="P51" s="531" cm="1">
        <f t="array" ref="P51">AVERAGE(_xlfn._xlws.FILTER(PTS!T:T, (PTS!$C:$C=A51) * ISNUMBER(PTS!T:T)))</f>
        <v>0</v>
      </c>
      <c r="Q51" s="531" cm="1">
        <f t="array" ref="Q51">AVERAGE(_xlfn._xlws.FILTER(PTS!U:U, (PTS!$C:$C=A51) * ISNUMBER(PTS!U:U)))</f>
        <v>242.22272727272727</v>
      </c>
      <c r="S51" s="531">
        <f t="shared" si="3"/>
        <v>242.22272727272727</v>
      </c>
      <c r="T51" s="531" cm="1">
        <f t="array" ref="T51">AVERAGE(_xlfn._xlws.FILTER(PTS!X:X, (PTS!$C:$C=A51) * ISNUMBER(PTS!X:X)))</f>
        <v>52</v>
      </c>
      <c r="U51" s="531" cm="1">
        <f t="array" ref="U51">AVERAGE(_xlfn._xlws.FILTER(PTS!Y:Y, (PTS!$C:$C=A51) * ISNUMBER(PTS!Y:Y)))</f>
        <v>50.4</v>
      </c>
      <c r="V51" s="531" cm="1">
        <f t="array" ref="V51">AVERAGE(_xlfn._xlws.FILTER(PTS!Z:Z, (PTS!$C:$C=A51) * ISNUMBER(PTS!Z:Z)))</f>
        <v>26.25</v>
      </c>
      <c r="X51" s="531">
        <f t="shared" si="4"/>
        <v>128.65</v>
      </c>
      <c r="Y51" s="531" cm="1">
        <f t="array" ref="Y51">AVERAGE(_xlfn._xlws.FILTER(PTS!AC:AC, (PTS!$C:$C=A51) * ISNUMBER(PTS!AC:AC)))</f>
        <v>110.22727272727273</v>
      </c>
      <c r="Z51" s="531" cm="1">
        <f t="array" ref="Z51">AVERAGE(_xlfn._xlws.FILTER(PTS!AD:AD, (PTS!$C:$C=A51) * ISNUMBER(PTS!AD:AD)))</f>
        <v>107.04545454545455</v>
      </c>
      <c r="AB51" s="531">
        <f t="shared" si="5"/>
        <v>217.27272727272728</v>
      </c>
      <c r="AC51" s="10" cm="1">
        <f t="array" ref="AC51">AVERAGE(_xlfn._xlws.FILTER(PTS!AG:AG, (PTS!$C:$C=A51) * ISNUMBER(PTS!AG:AG)))</f>
        <v>28.814300000000003</v>
      </c>
      <c r="AD51" s="531" cm="1">
        <f t="array" ref="AD51">AVERAGE(_xlfn._xlws.FILTER(PTS!AH:AH, (PTS!$C:$C=A51) * ISNUMBER(PTS!AH:AH)))</f>
        <v>6.973140495867769</v>
      </c>
      <c r="AE51" s="531" cm="1">
        <f t="array" ref="AE51">AVERAGE(_xlfn._xlws.FILTER(PTS!AI:AI, (PTS!$C:$C=A51) * ISNUMBER(PTS!AI:AI)))</f>
        <v>12.587317427197677</v>
      </c>
      <c r="AF51" s="531" cm="1">
        <f t="array" ref="AF51">AVERAGE(_xlfn._xlws.FILTER(PTS!AJ:AJ, (PTS!$C:$C=A51) * ISNUMBER(PTS!AJ:AJ)))</f>
        <v>6.7351999999999999</v>
      </c>
      <c r="AH51" s="531">
        <f t="shared" si="6"/>
        <v>55.109957923065444</v>
      </c>
      <c r="AI51" s="10" cm="1">
        <f t="array" ref="AI51">AVERAGE(_xlfn._xlws.FILTER(PTS!AM:AM, (PTS!$C:$C=A51) * ISNUMBER(PTS!AM:AM)))</f>
        <v>79.999999999999986</v>
      </c>
      <c r="AJ51" s="10" cm="1">
        <f t="array" ref="AJ51">AVERAGE(_xlfn._xlws.FILTER(PTS!AN:AN, (PTS!$C:$C=A51) * ISNUMBER(PTS!AN:AN)))</f>
        <v>26.17808219178082</v>
      </c>
      <c r="AK51" s="10" cm="1">
        <f t="array" ref="AK51">AVERAGE(_xlfn._xlws.FILTER(PTS!AO:AO, (PTS!$C:$C=A51) * ISNUMBER(PTS!AO:AO)))</f>
        <v>0</v>
      </c>
      <c r="AN51" s="10">
        <f t="shared" si="7"/>
        <v>106.1780821917808</v>
      </c>
      <c r="AR51" s="531">
        <f t="shared" si="8"/>
        <v>837.3501613269674</v>
      </c>
      <c r="AS51" s="531">
        <f t="shared" si="9"/>
        <v>1052.3501613269673</v>
      </c>
    </row>
    <row r="52" spans="1:45">
      <c r="A52" s="32" t="s">
        <v>212</v>
      </c>
      <c r="B52" s="319" t="s">
        <v>76</v>
      </c>
      <c r="C52" s="319" t="str">
        <f t="shared" si="0"/>
        <v>ColquittGA</v>
      </c>
      <c r="D52" s="10">
        <f>VLOOKUP(A:A,PTS!C:R,6,FALSE)</f>
        <v>4</v>
      </c>
      <c r="E52" s="531" cm="1">
        <f t="array" ref="E52">AVERAGE(_xlfn._xlws.FILTER(PTS!I:I, (PTS!$C:$C=A52) * ISNUMBER(PTS!I:I)))</f>
        <v>0</v>
      </c>
      <c r="F52" s="10" cm="1">
        <f t="array" ref="F52">AVERAGE(_xlfn._xlws.FILTER(PTS!J:J, (PTS!$C:$C=A52) * ISNUMBER(PTS!J:J)))</f>
        <v>0</v>
      </c>
      <c r="G52" s="531" cm="1">
        <f t="array" ref="G52">AVERAGE(_xlfn._xlws.FILTER(PTS!K:K, (PTS!$C:$C=A52) * ISNUMBER(PTS!K:K)))</f>
        <v>0</v>
      </c>
      <c r="H52" s="531" cm="1">
        <f t="array" ref="H52">AVERAGE(_xlfn._xlws.FILTER(PTS!L:L, (PTS!$C:$C=A52) * ISNUMBER(PTS!L:L)))</f>
        <v>0</v>
      </c>
      <c r="I52" s="531" cm="1">
        <f t="array" ref="I52">AVERAGE(_xlfn._xlws.FILTER(PTS!M:M, (PTS!$C:$C=A52) * ISNUMBER(PTS!M:M)))</f>
        <v>0</v>
      </c>
      <c r="J52" s="531" cm="1">
        <f t="array" ref="J52">AVERAGE(_xlfn._xlws.FILTER(PTS!N:N, (PTS!$C:$C=A52) * ISNUMBER(PTS!N:N)))</f>
        <v>53</v>
      </c>
      <c r="K52" s="531" cm="1">
        <f t="array" ref="K52">AVERAGE(_xlfn._xlws.FILTER(PTS!O:O, (PTS!$C:$C=A52) * ISNUMBER(PTS!O:O)))</f>
        <v>37.916666666666671</v>
      </c>
      <c r="L52" s="10" cm="1">
        <f t="array" ref="L52">AVERAGE(_xlfn._xlws.FILTER(PTS!P:P, (PTS!$C:$C=A52) * ISNUMBER(PTS!P:P)))</f>
        <v>0</v>
      </c>
      <c r="M52" s="531">
        <f t="shared" si="1"/>
        <v>90.916666666666671</v>
      </c>
      <c r="N52" s="531">
        <f t="shared" si="2"/>
        <v>37.916666666666671</v>
      </c>
      <c r="O52" s="531" cm="1">
        <f t="array" ref="O52">AVERAGE(_xlfn._xlws.FILTER(PTS!S:S, (PTS!$C:$C=A52) * ISNUMBER(PTS!S:S)))</f>
        <v>0</v>
      </c>
      <c r="P52" s="531" cm="1">
        <f t="array" ref="P52">AVERAGE(_xlfn._xlws.FILTER(PTS!T:T, (PTS!$C:$C=A52) * ISNUMBER(PTS!T:T)))</f>
        <v>0</v>
      </c>
      <c r="Q52" s="531" cm="1">
        <f t="array" ref="Q52">AVERAGE(_xlfn._xlws.FILTER(PTS!U:U, (PTS!$C:$C=A52) * ISNUMBER(PTS!U:U)))</f>
        <v>265.09204545454543</v>
      </c>
      <c r="S52" s="531">
        <f t="shared" si="3"/>
        <v>265.09204545454543</v>
      </c>
      <c r="T52" s="531" cm="1">
        <f t="array" ref="T52">AVERAGE(_xlfn._xlws.FILTER(PTS!X:X, (PTS!$C:$C=A52) * ISNUMBER(PTS!X:X)))</f>
        <v>52</v>
      </c>
      <c r="U52" s="531" cm="1">
        <f t="array" ref="U52">AVERAGE(_xlfn._xlws.FILTER(PTS!Y:Y, (PTS!$C:$C=A52) * ISNUMBER(PTS!Y:Y)))</f>
        <v>50.4</v>
      </c>
      <c r="V52" s="531" cm="1">
        <f t="array" ref="V52">AVERAGE(_xlfn._xlws.FILTER(PTS!Z:Z, (PTS!$C:$C=A52) * ISNUMBER(PTS!Z:Z)))</f>
        <v>26.25</v>
      </c>
      <c r="X52" s="531">
        <f t="shared" si="4"/>
        <v>128.65</v>
      </c>
      <c r="Y52" s="531" cm="1">
        <f t="array" ref="Y52">AVERAGE(_xlfn._xlws.FILTER(PTS!AC:AC, (PTS!$C:$C=A52) * ISNUMBER(PTS!AC:AC)))</f>
        <v>110.22727272727273</v>
      </c>
      <c r="Z52" s="531" cm="1">
        <f t="array" ref="Z52">AVERAGE(_xlfn._xlws.FILTER(PTS!AD:AD, (PTS!$C:$C=A52) * ISNUMBER(PTS!AD:AD)))</f>
        <v>107.04545454545455</v>
      </c>
      <c r="AB52" s="531">
        <f t="shared" si="5"/>
        <v>217.27272727272728</v>
      </c>
      <c r="AC52" s="10" cm="1">
        <f t="array" ref="AC52">AVERAGE(_xlfn._xlws.FILTER(PTS!AG:AG, (PTS!$C:$C=A52) * ISNUMBER(PTS!AG:AG)))</f>
        <v>28.814300000000003</v>
      </c>
      <c r="AD52" s="531" cm="1">
        <f t="array" ref="AD52">AVERAGE(_xlfn._xlws.FILTER(PTS!AH:AH, (PTS!$C:$C=A52) * ISNUMBER(PTS!AH:AH)))</f>
        <v>6.973140495867769</v>
      </c>
      <c r="AE52" s="531" cm="1">
        <f t="array" ref="AE52">AVERAGE(_xlfn._xlws.FILTER(PTS!AI:AI, (PTS!$C:$C=A52) * ISNUMBER(PTS!AI:AI)))</f>
        <v>12.587317427197677</v>
      </c>
      <c r="AF52" s="531" cm="1">
        <f t="array" ref="AF52">AVERAGE(_xlfn._xlws.FILTER(PTS!AJ:AJ, (PTS!$C:$C=A52) * ISNUMBER(PTS!AJ:AJ)))</f>
        <v>6.7351999999999999</v>
      </c>
      <c r="AH52" s="531">
        <f t="shared" si="6"/>
        <v>55.109957923065444</v>
      </c>
      <c r="AI52" s="10" cm="1">
        <f t="array" ref="AI52">AVERAGE(_xlfn._xlws.FILTER(PTS!AM:AM, (PTS!$C:$C=A52) * ISNUMBER(PTS!AM:AM)))</f>
        <v>79.999999999999986</v>
      </c>
      <c r="AJ52" s="10" cm="1">
        <f t="array" ref="AJ52">AVERAGE(_xlfn._xlws.FILTER(PTS!AN:AN, (PTS!$C:$C=A52) * ISNUMBER(PTS!AN:AN)))</f>
        <v>26.17808219178082</v>
      </c>
      <c r="AK52" s="10" cm="1">
        <f t="array" ref="AK52">AVERAGE(_xlfn._xlws.FILTER(PTS!AO:AO, (PTS!$C:$C=A52) * ISNUMBER(PTS!AO:AO)))</f>
        <v>0</v>
      </c>
      <c r="AN52" s="10">
        <f t="shared" si="7"/>
        <v>106.1780821917808</v>
      </c>
      <c r="AR52" s="531">
        <f t="shared" si="8"/>
        <v>810.21947950878564</v>
      </c>
      <c r="AS52" s="531">
        <f t="shared" si="9"/>
        <v>863.21947950878564</v>
      </c>
    </row>
    <row r="53" spans="1:45">
      <c r="A53" s="32" t="s">
        <v>215</v>
      </c>
      <c r="B53" s="319" t="s">
        <v>71</v>
      </c>
      <c r="C53" s="319" t="str">
        <f t="shared" si="0"/>
        <v>CooperTX</v>
      </c>
      <c r="D53" s="10">
        <f>VLOOKUP(A:A,PTS!C:R,6,FALSE)</f>
        <v>3</v>
      </c>
      <c r="E53" s="531" cm="1">
        <f t="array" ref="E53">AVERAGE(_xlfn._xlws.FILTER(PTS!I:I, (PTS!$C:$C=A53) * ISNUMBER(PTS!I:I)))</f>
        <v>95</v>
      </c>
      <c r="F53" s="10" cm="1">
        <f t="array" ref="F53">AVERAGE(_xlfn._xlws.FILTER(PTS!J:J, (PTS!$C:$C=A53) * ISNUMBER(PTS!J:J)))</f>
        <v>140</v>
      </c>
      <c r="G53" s="531" cm="1">
        <f t="array" ref="G53">AVERAGE(_xlfn._xlws.FILTER(PTS!K:K, (PTS!$C:$C=A53) * ISNUMBER(PTS!K:K)))</f>
        <v>199</v>
      </c>
      <c r="H53" s="531" cm="1">
        <f t="array" ref="H53">AVERAGE(_xlfn._xlws.FILTER(PTS!L:L, (PTS!$C:$C=A53) * ISNUMBER(PTS!L:L)))</f>
        <v>0</v>
      </c>
      <c r="I53" s="531" cm="1">
        <f t="array" ref="I53">AVERAGE(_xlfn._xlws.FILTER(PTS!M:M, (PTS!$C:$C=A53) * ISNUMBER(PTS!M:M)))</f>
        <v>26</v>
      </c>
      <c r="J53" s="531" cm="1">
        <f t="array" ref="J53">AVERAGE(_xlfn._xlws.FILTER(PTS!N:N, (PTS!$C:$C=A53) * ISNUMBER(PTS!N:N)))</f>
        <v>75</v>
      </c>
      <c r="K53" s="531" cm="1">
        <f t="array" ref="K53">AVERAGE(_xlfn._xlws.FILTER(PTS!O:O, (PTS!$C:$C=A53) * ISNUMBER(PTS!O:O)))</f>
        <v>37.916666666666671</v>
      </c>
      <c r="L53" s="10" cm="1">
        <f t="array" ref="L53">AVERAGE(_xlfn._xlws.FILTER(PTS!P:P, (PTS!$C:$C=A53) * ISNUMBER(PTS!P:P)))</f>
        <v>0</v>
      </c>
      <c r="M53" s="531">
        <f t="shared" si="1"/>
        <v>572.91666666666663</v>
      </c>
      <c r="N53" s="531">
        <f t="shared" si="2"/>
        <v>451.91666666666669</v>
      </c>
      <c r="O53" s="531" cm="1">
        <f t="array" ref="O53">AVERAGE(_xlfn._xlws.FILTER(PTS!S:S, (PTS!$C:$C=A53) * ISNUMBER(PTS!S:S)))</f>
        <v>0</v>
      </c>
      <c r="P53" s="531" cm="1">
        <f t="array" ref="P53">AVERAGE(_xlfn._xlws.FILTER(PTS!T:T, (PTS!$C:$C=A53) * ISNUMBER(PTS!T:T)))</f>
        <v>0</v>
      </c>
      <c r="Q53" s="531" cm="1">
        <f t="array" ref="Q53">AVERAGE(_xlfn._xlws.FILTER(PTS!U:U, (PTS!$C:$C=A53) * ISNUMBER(PTS!U:U)))</f>
        <v>130.68181818181819</v>
      </c>
      <c r="S53" s="531">
        <f t="shared" si="3"/>
        <v>130.68181818181819</v>
      </c>
      <c r="T53" s="531" cm="1">
        <f t="array" ref="T53">AVERAGE(_xlfn._xlws.FILTER(PTS!X:X, (PTS!$C:$C=A53) * ISNUMBER(PTS!X:X)))</f>
        <v>54</v>
      </c>
      <c r="U53" s="531" cm="1">
        <f t="array" ref="U53">AVERAGE(_xlfn._xlws.FILTER(PTS!Y:Y, (PTS!$C:$C=A53) * ISNUMBER(PTS!Y:Y)))</f>
        <v>50.4</v>
      </c>
      <c r="V53" s="531" cm="1">
        <f t="array" ref="V53">AVERAGE(_xlfn._xlws.FILTER(PTS!Z:Z, (PTS!$C:$C=A53) * ISNUMBER(PTS!Z:Z)))</f>
        <v>26.25</v>
      </c>
      <c r="X53" s="531">
        <f t="shared" si="4"/>
        <v>130.65</v>
      </c>
      <c r="Y53" s="531" cm="1">
        <f t="array" ref="Y53">AVERAGE(_xlfn._xlws.FILTER(PTS!AC:AC, (PTS!$C:$C=A53) * ISNUMBER(PTS!AC:AC)))</f>
        <v>147.72727272727272</v>
      </c>
      <c r="Z53" s="531" cm="1">
        <f t="array" ref="Z53">AVERAGE(_xlfn._xlws.FILTER(PTS!AD:AD, (PTS!$C:$C=A53) * ISNUMBER(PTS!AD:AD)))</f>
        <v>233.06818181818181</v>
      </c>
      <c r="AB53" s="531">
        <f t="shared" si="5"/>
        <v>380.7954545454545</v>
      </c>
      <c r="AC53" s="10" cm="1">
        <f t="array" ref="AC53">AVERAGE(_xlfn._xlws.FILTER(PTS!AG:AG, (PTS!$C:$C=A53) * ISNUMBER(PTS!AG:AG)))</f>
        <v>28.814300000000003</v>
      </c>
      <c r="AD53" s="531" cm="1">
        <f t="array" ref="AD53">AVERAGE(_xlfn._xlws.FILTER(PTS!AH:AH, (PTS!$C:$C=A53) * ISNUMBER(PTS!AH:AH)))</f>
        <v>6.973140495867769</v>
      </c>
      <c r="AE53" s="531" cm="1">
        <f t="array" ref="AE53">AVERAGE(_xlfn._xlws.FILTER(PTS!AI:AI, (PTS!$C:$C=A53) * ISNUMBER(PTS!AI:AI)))</f>
        <v>12.587317427197677</v>
      </c>
      <c r="AF53" s="531" cm="1">
        <f t="array" ref="AF53">AVERAGE(_xlfn._xlws.FILTER(PTS!AJ:AJ, (PTS!$C:$C=A53) * ISNUMBER(PTS!AJ:AJ)))</f>
        <v>6.7351999999999999</v>
      </c>
      <c r="AH53" s="531">
        <f t="shared" si="6"/>
        <v>55.109957923065444</v>
      </c>
      <c r="AI53" s="10" cm="1">
        <f t="array" ref="AI53">AVERAGE(_xlfn._xlws.FILTER(PTS!AM:AM, (PTS!$C:$C=A53) * ISNUMBER(PTS!AM:AM)))</f>
        <v>79.999999999999986</v>
      </c>
      <c r="AJ53" s="10" cm="1">
        <f t="array" ref="AJ53">AVERAGE(_xlfn._xlws.FILTER(PTS!AN:AN, (PTS!$C:$C=A53) * ISNUMBER(PTS!AN:AN)))</f>
        <v>26.17808219178082</v>
      </c>
      <c r="AK53" s="10" cm="1">
        <f t="array" ref="AK53">AVERAGE(_xlfn._xlws.FILTER(PTS!AO:AO, (PTS!$C:$C=A53) * ISNUMBER(PTS!AO:AO)))</f>
        <v>0</v>
      </c>
      <c r="AN53" s="10">
        <f t="shared" si="7"/>
        <v>106.1780821917808</v>
      </c>
      <c r="AR53" s="531">
        <f t="shared" si="8"/>
        <v>1255.3319795087855</v>
      </c>
      <c r="AS53" s="531">
        <f t="shared" si="9"/>
        <v>1376.3319795087853</v>
      </c>
    </row>
    <row r="54" spans="1:45">
      <c r="A54" s="32" t="s">
        <v>218</v>
      </c>
      <c r="B54" s="319" t="s">
        <v>76</v>
      </c>
      <c r="C54" s="319" t="str">
        <f t="shared" si="0"/>
        <v>CordeleGA</v>
      </c>
      <c r="D54" s="10">
        <f>VLOOKUP(A:A,PTS!C:R,6,FALSE)</f>
        <v>4</v>
      </c>
      <c r="E54" s="531" cm="1">
        <f t="array" ref="E54">AVERAGE(_xlfn._xlws.FILTER(PTS!I:I, (PTS!$C:$C=A54) * ISNUMBER(PTS!I:I)))</f>
        <v>68.5</v>
      </c>
      <c r="F54" s="10" cm="1">
        <f t="array" ref="F54">AVERAGE(_xlfn._xlws.FILTER(PTS!J:J, (PTS!$C:$C=A54) * ISNUMBER(PTS!J:J)))</f>
        <v>100</v>
      </c>
      <c r="G54" s="531" cm="1">
        <f t="array" ref="G54">AVERAGE(_xlfn._xlws.FILTER(PTS!K:K, (PTS!$C:$C=A54) * ISNUMBER(PTS!K:K)))</f>
        <v>80</v>
      </c>
      <c r="H54" s="531" cm="1">
        <f t="array" ref="H54">AVERAGE(_xlfn._xlws.FILTER(PTS!L:L, (PTS!$C:$C=A54) * ISNUMBER(PTS!L:L)))</f>
        <v>0</v>
      </c>
      <c r="I54" s="531" cm="1">
        <f t="array" ref="I54">AVERAGE(_xlfn._xlws.FILTER(PTS!M:M, (PTS!$C:$C=A54) * ISNUMBER(PTS!M:M)))</f>
        <v>20</v>
      </c>
      <c r="J54" s="531" cm="1">
        <f t="array" ref="J54">AVERAGE(_xlfn._xlws.FILTER(PTS!N:N, (PTS!$C:$C=A54) * ISNUMBER(PTS!N:N)))</f>
        <v>62.5</v>
      </c>
      <c r="K54" s="531" cm="1">
        <f t="array" ref="K54">AVERAGE(_xlfn._xlws.FILTER(PTS!O:O, (PTS!$C:$C=A54) * ISNUMBER(PTS!O:O)))</f>
        <v>37.916666666666671</v>
      </c>
      <c r="L54" s="10" cm="1">
        <f t="array" ref="L54">AVERAGE(_xlfn._xlws.FILTER(PTS!P:P, (PTS!$C:$C=A54) * ISNUMBER(PTS!P:P)))</f>
        <v>0</v>
      </c>
      <c r="M54" s="531">
        <f t="shared" si="1"/>
        <v>368.91666666666669</v>
      </c>
      <c r="N54" s="531">
        <f t="shared" si="2"/>
        <v>37.916666666666671</v>
      </c>
      <c r="O54" s="531" cm="1">
        <f t="array" ref="O54">AVERAGE(_xlfn._xlws.FILTER(PTS!S:S, (PTS!$C:$C=A54) * ISNUMBER(PTS!S:S)))</f>
        <v>0</v>
      </c>
      <c r="P54" s="531" cm="1">
        <f t="array" ref="P54">AVERAGE(_xlfn._xlws.FILTER(PTS!T:T, (PTS!$C:$C=A54) * ISNUMBER(PTS!T:T)))</f>
        <v>0</v>
      </c>
      <c r="Q54" s="531" cm="1">
        <f t="array" ref="Q54">AVERAGE(_xlfn._xlws.FILTER(PTS!U:U, (PTS!$C:$C=A54) * ISNUMBER(PTS!U:U)))</f>
        <v>228.58636363636364</v>
      </c>
      <c r="S54" s="531">
        <f t="shared" si="3"/>
        <v>228.58636363636364</v>
      </c>
      <c r="T54" s="531" cm="1">
        <f t="array" ref="T54">AVERAGE(_xlfn._xlws.FILTER(PTS!X:X, (PTS!$C:$C=A54) * ISNUMBER(PTS!X:X)))</f>
        <v>52</v>
      </c>
      <c r="U54" s="531" cm="1">
        <f t="array" ref="U54">AVERAGE(_xlfn._xlws.FILTER(PTS!Y:Y, (PTS!$C:$C=A54) * ISNUMBER(PTS!Y:Y)))</f>
        <v>50.4</v>
      </c>
      <c r="V54" s="531" cm="1">
        <f t="array" ref="V54">AVERAGE(_xlfn._xlws.FILTER(PTS!Z:Z, (PTS!$C:$C=A54) * ISNUMBER(PTS!Z:Z)))</f>
        <v>26.25</v>
      </c>
      <c r="X54" s="531">
        <f t="shared" si="4"/>
        <v>128.65</v>
      </c>
      <c r="Y54" s="531" cm="1">
        <f t="array" ref="Y54">AVERAGE(_xlfn._xlws.FILTER(PTS!AC:AC, (PTS!$C:$C=A54) * ISNUMBER(PTS!AC:AC)))</f>
        <v>110.22727272727273</v>
      </c>
      <c r="Z54" s="531" cm="1">
        <f t="array" ref="Z54">AVERAGE(_xlfn._xlws.FILTER(PTS!AD:AD, (PTS!$C:$C=A54) * ISNUMBER(PTS!AD:AD)))</f>
        <v>107.04545454545455</v>
      </c>
      <c r="AB54" s="531">
        <f t="shared" si="5"/>
        <v>217.27272727272728</v>
      </c>
      <c r="AC54" s="10" cm="1">
        <f t="array" ref="AC54">AVERAGE(_xlfn._xlws.FILTER(PTS!AG:AG, (PTS!$C:$C=A54) * ISNUMBER(PTS!AG:AG)))</f>
        <v>28.814300000000003</v>
      </c>
      <c r="AD54" s="531" cm="1">
        <f t="array" ref="AD54">AVERAGE(_xlfn._xlws.FILTER(PTS!AH:AH, (PTS!$C:$C=A54) * ISNUMBER(PTS!AH:AH)))</f>
        <v>6.973140495867769</v>
      </c>
      <c r="AE54" s="531" cm="1">
        <f t="array" ref="AE54">AVERAGE(_xlfn._xlws.FILTER(PTS!AI:AI, (PTS!$C:$C=A54) * ISNUMBER(PTS!AI:AI)))</f>
        <v>12.587317427197677</v>
      </c>
      <c r="AF54" s="531" cm="1">
        <f t="array" ref="AF54">AVERAGE(_xlfn._xlws.FILTER(PTS!AJ:AJ, (PTS!$C:$C=A54) * ISNUMBER(PTS!AJ:AJ)))</f>
        <v>6.7351999999999999</v>
      </c>
      <c r="AH54" s="531">
        <f t="shared" si="6"/>
        <v>55.109957923065444</v>
      </c>
      <c r="AI54" s="10" cm="1">
        <f t="array" ref="AI54">AVERAGE(_xlfn._xlws.FILTER(PTS!AM:AM, (PTS!$C:$C=A54) * ISNUMBER(PTS!AM:AM)))</f>
        <v>79.999999999999986</v>
      </c>
      <c r="AJ54" s="10" cm="1">
        <f t="array" ref="AJ54">AVERAGE(_xlfn._xlws.FILTER(PTS!AN:AN, (PTS!$C:$C=A54) * ISNUMBER(PTS!AN:AN)))</f>
        <v>26.17808219178082</v>
      </c>
      <c r="AK54" s="10" cm="1">
        <f t="array" ref="AK54">AVERAGE(_xlfn._xlws.FILTER(PTS!AO:AO, (PTS!$C:$C=A54) * ISNUMBER(PTS!AO:AO)))</f>
        <v>0</v>
      </c>
      <c r="AN54" s="10">
        <f t="shared" si="7"/>
        <v>106.1780821917808</v>
      </c>
      <c r="AR54" s="531">
        <f t="shared" si="8"/>
        <v>773.71379769060377</v>
      </c>
      <c r="AS54" s="531">
        <f t="shared" si="9"/>
        <v>1104.7137976906038</v>
      </c>
    </row>
    <row r="55" spans="1:45">
      <c r="A55" s="32" t="s">
        <v>222</v>
      </c>
      <c r="B55" s="319" t="s">
        <v>71</v>
      </c>
      <c r="C55" s="319" t="str">
        <f t="shared" si="0"/>
        <v>Corpus ChristiTX</v>
      </c>
      <c r="D55" s="10">
        <f>VLOOKUP(A:A,PTS!C:R,6,FALSE)</f>
        <v>3</v>
      </c>
      <c r="E55" s="531" cm="1">
        <f t="array" ref="E55">AVERAGE(_xlfn._xlws.FILTER(PTS!I:I, (PTS!$C:$C=A55) * ISNUMBER(PTS!I:I)))</f>
        <v>110</v>
      </c>
      <c r="F55" s="10" cm="1">
        <f t="array" ref="F55">AVERAGE(_xlfn._xlws.FILTER(PTS!J:J, (PTS!$C:$C=A55) * ISNUMBER(PTS!J:J)))</f>
        <v>350</v>
      </c>
      <c r="G55" s="531" cm="1">
        <f t="array" ref="G55">AVERAGE(_xlfn._xlws.FILTER(PTS!K:K, (PTS!$C:$C=A55) * ISNUMBER(PTS!K:K)))</f>
        <v>0</v>
      </c>
      <c r="H55" s="531" cm="1">
        <f t="array" ref="H55">AVERAGE(_xlfn._xlws.FILTER(PTS!L:L, (PTS!$C:$C=A55) * ISNUMBER(PTS!L:L)))</f>
        <v>0</v>
      </c>
      <c r="I55" s="531" cm="1">
        <f t="array" ref="I55">AVERAGE(_xlfn._xlws.FILTER(PTS!M:M, (PTS!$C:$C=A55) * ISNUMBER(PTS!M:M)))</f>
        <v>0</v>
      </c>
      <c r="J55" s="531" cm="1">
        <f t="array" ref="J55">AVERAGE(_xlfn._xlws.FILTER(PTS!N:N, (PTS!$C:$C=A55) * ISNUMBER(PTS!N:N)))</f>
        <v>80</v>
      </c>
      <c r="K55" s="531" cm="1">
        <f t="array" ref="K55">AVERAGE(_xlfn._xlws.FILTER(PTS!O:O, (PTS!$C:$C=A55) * ISNUMBER(PTS!O:O)))</f>
        <v>37.916666666666671</v>
      </c>
      <c r="L55" s="10" cm="1">
        <f t="array" ref="L55">AVERAGE(_xlfn._xlws.FILTER(PTS!P:P, (PTS!$C:$C=A55) * ISNUMBER(PTS!P:P)))</f>
        <v>0</v>
      </c>
      <c r="M55" s="531">
        <f t="shared" si="1"/>
        <v>577.91666666666663</v>
      </c>
      <c r="N55" s="531">
        <f t="shared" si="2"/>
        <v>467.91666666666669</v>
      </c>
      <c r="O55" s="531" cm="1">
        <f t="array" ref="O55">AVERAGE(_xlfn._xlws.FILTER(PTS!S:S, (PTS!$C:$C=A55) * ISNUMBER(PTS!S:S)))</f>
        <v>20</v>
      </c>
      <c r="P55" s="531" cm="1">
        <f t="array" ref="P55">AVERAGE(_xlfn._xlws.FILTER(PTS!T:T, (PTS!$C:$C=A55) * ISNUMBER(PTS!T:T)))</f>
        <v>0</v>
      </c>
      <c r="Q55" s="531" cm="1">
        <f t="array" ref="Q55">AVERAGE(_xlfn._xlws.FILTER(PTS!U:U, (PTS!$C:$C=A55) * ISNUMBER(PTS!U:U)))</f>
        <v>207.38636363636363</v>
      </c>
      <c r="S55" s="531">
        <f t="shared" si="3"/>
        <v>227.38636363636363</v>
      </c>
      <c r="T55" s="531" cm="1">
        <f t="array" ref="T55">AVERAGE(_xlfn._xlws.FILTER(PTS!X:X, (PTS!$C:$C=A55) * ISNUMBER(PTS!X:X)))</f>
        <v>54</v>
      </c>
      <c r="U55" s="531" cm="1">
        <f t="array" ref="U55">AVERAGE(_xlfn._xlws.FILTER(PTS!Y:Y, (PTS!$C:$C=A55) * ISNUMBER(PTS!Y:Y)))</f>
        <v>50.4</v>
      </c>
      <c r="V55" s="531" cm="1">
        <f t="array" ref="V55">AVERAGE(_xlfn._xlws.FILTER(PTS!Z:Z, (PTS!$C:$C=A55) * ISNUMBER(PTS!Z:Z)))</f>
        <v>26.25</v>
      </c>
      <c r="X55" s="531">
        <f t="shared" si="4"/>
        <v>130.65</v>
      </c>
      <c r="Y55" s="531" cm="1">
        <f t="array" ref="Y55">AVERAGE(_xlfn._xlws.FILTER(PTS!AC:AC, (PTS!$C:$C=A55) * ISNUMBER(PTS!AC:AC)))</f>
        <v>132.95454545454544</v>
      </c>
      <c r="Z55" s="531" cm="1">
        <f t="array" ref="Z55">AVERAGE(_xlfn._xlws.FILTER(PTS!AD:AD, (PTS!$C:$C=A55) * ISNUMBER(PTS!AD:AD)))</f>
        <v>197.95454545454547</v>
      </c>
      <c r="AB55" s="531">
        <f t="shared" si="5"/>
        <v>330.90909090909088</v>
      </c>
      <c r="AC55" s="10" cm="1">
        <f t="array" ref="AC55">AVERAGE(_xlfn._xlws.FILTER(PTS!AG:AG, (PTS!$C:$C=A55) * ISNUMBER(PTS!AG:AG)))</f>
        <v>28.814300000000003</v>
      </c>
      <c r="AD55" s="531" cm="1">
        <f t="array" ref="AD55">AVERAGE(_xlfn._xlws.FILTER(PTS!AH:AH, (PTS!$C:$C=A55) * ISNUMBER(PTS!AH:AH)))</f>
        <v>6.973140495867769</v>
      </c>
      <c r="AE55" s="531" cm="1">
        <f t="array" ref="AE55">AVERAGE(_xlfn._xlws.FILTER(PTS!AI:AI, (PTS!$C:$C=A55) * ISNUMBER(PTS!AI:AI)))</f>
        <v>12.587317427197677</v>
      </c>
      <c r="AF55" s="531" cm="1">
        <f t="array" ref="AF55">AVERAGE(_xlfn._xlws.FILTER(PTS!AJ:AJ, (PTS!$C:$C=A55) * ISNUMBER(PTS!AJ:AJ)))</f>
        <v>6.7351999999999999</v>
      </c>
      <c r="AH55" s="531">
        <f t="shared" si="6"/>
        <v>55.109957923065444</v>
      </c>
      <c r="AI55" s="10" cm="1">
        <f t="array" ref="AI55">AVERAGE(_xlfn._xlws.FILTER(PTS!AM:AM, (PTS!$C:$C=A55) * ISNUMBER(PTS!AM:AM)))</f>
        <v>79.999999999999986</v>
      </c>
      <c r="AJ55" s="10" cm="1">
        <f t="array" ref="AJ55">AVERAGE(_xlfn._xlws.FILTER(PTS!AN:AN, (PTS!$C:$C=A55) * ISNUMBER(PTS!AN:AN)))</f>
        <v>26.17808219178082</v>
      </c>
      <c r="AK55" s="10" cm="1">
        <f t="array" ref="AK55">AVERAGE(_xlfn._xlws.FILTER(PTS!AO:AO, (PTS!$C:$C=A55) * ISNUMBER(PTS!AO:AO)))</f>
        <v>0</v>
      </c>
      <c r="AN55" s="10">
        <f t="shared" si="7"/>
        <v>106.1780821917808</v>
      </c>
      <c r="AR55" s="531">
        <f t="shared" si="8"/>
        <v>1318.1501613269672</v>
      </c>
      <c r="AS55" s="531">
        <f t="shared" si="9"/>
        <v>1428.1501613269672</v>
      </c>
    </row>
    <row r="56" spans="1:45">
      <c r="A56" s="32" t="s">
        <v>226</v>
      </c>
      <c r="B56" s="319" t="s">
        <v>65</v>
      </c>
      <c r="C56" s="319" t="str">
        <f t="shared" si="0"/>
        <v>CourtlandAL</v>
      </c>
      <c r="D56" s="10">
        <f>VLOOKUP(A:A,PTS!C:R,6,FALSE)</f>
        <v>1</v>
      </c>
      <c r="E56" s="531" cm="1">
        <f t="array" ref="E56">AVERAGE(_xlfn._xlws.FILTER(PTS!I:I, (PTS!$C:$C=A56) * ISNUMBER(PTS!I:I)))</f>
        <v>80</v>
      </c>
      <c r="F56" s="10" cm="1">
        <f t="array" ref="F56">AVERAGE(_xlfn._xlws.FILTER(PTS!J:J, (PTS!$C:$C=A56) * ISNUMBER(PTS!J:J)))</f>
        <v>134</v>
      </c>
      <c r="G56" s="531" cm="1">
        <f t="array" ref="G56">AVERAGE(_xlfn._xlws.FILTER(PTS!K:K, (PTS!$C:$C=A56) * ISNUMBER(PTS!K:K)))</f>
        <v>150</v>
      </c>
      <c r="H56" s="531" cm="1">
        <f t="array" ref="H56">AVERAGE(_xlfn._xlws.FILTER(PTS!L:L, (PTS!$C:$C=A56) * ISNUMBER(PTS!L:L)))</f>
        <v>0</v>
      </c>
      <c r="I56" s="531" cm="1">
        <f t="array" ref="I56">AVERAGE(_xlfn._xlws.FILTER(PTS!M:M, (PTS!$C:$C=A56) * ISNUMBER(PTS!M:M)))</f>
        <v>10</v>
      </c>
      <c r="J56" s="531" cm="1">
        <f t="array" ref="J56">AVERAGE(_xlfn._xlws.FILTER(PTS!N:N, (PTS!$C:$C=A56) * ISNUMBER(PTS!N:N)))</f>
        <v>50</v>
      </c>
      <c r="K56" s="531" cm="1">
        <f t="array" ref="K56">AVERAGE(_xlfn._xlws.FILTER(PTS!O:O, (PTS!$C:$C=A56) * ISNUMBER(PTS!O:O)))</f>
        <v>37.916666666666671</v>
      </c>
      <c r="L56" s="10" cm="1">
        <f t="array" ref="L56">AVERAGE(_xlfn._xlws.FILTER(PTS!P:P, (PTS!$C:$C=A56) * ISNUMBER(PTS!P:P)))</f>
        <v>0</v>
      </c>
      <c r="M56" s="531">
        <f t="shared" si="1"/>
        <v>461.91666666666669</v>
      </c>
      <c r="N56" s="531">
        <f t="shared" si="2"/>
        <v>87.916666666666671</v>
      </c>
      <c r="O56" s="531" cm="1">
        <f t="array" ref="O56">AVERAGE(_xlfn._xlws.FILTER(PTS!S:S, (PTS!$C:$C=A56) * ISNUMBER(PTS!S:S)))</f>
        <v>0</v>
      </c>
      <c r="P56" s="531" cm="1">
        <f t="array" ref="P56">AVERAGE(_xlfn._xlws.FILTER(PTS!T:T, (PTS!$C:$C=A56) * ISNUMBER(PTS!T:T)))</f>
        <v>0</v>
      </c>
      <c r="Q56" s="531" cm="1">
        <f t="array" ref="Q56">AVERAGE(_xlfn._xlws.FILTER(PTS!U:U, (PTS!$C:$C=A56) * ISNUMBER(PTS!U:U)))</f>
        <v>224.68409090909091</v>
      </c>
      <c r="S56" s="531">
        <f t="shared" si="3"/>
        <v>224.68409090909091</v>
      </c>
      <c r="T56" s="531" cm="1">
        <f t="array" ref="T56">AVERAGE(_xlfn._xlws.FILTER(PTS!X:X, (PTS!$C:$C=A56) * ISNUMBER(PTS!X:X)))</f>
        <v>50</v>
      </c>
      <c r="U56" s="531" cm="1">
        <f t="array" ref="U56">AVERAGE(_xlfn._xlws.FILTER(PTS!Y:Y, (PTS!$C:$C=A56) * ISNUMBER(PTS!Y:Y)))</f>
        <v>33.6</v>
      </c>
      <c r="V56" s="531" cm="1">
        <f t="array" ref="V56">AVERAGE(_xlfn._xlws.FILTER(PTS!Z:Z, (PTS!$C:$C=A56) * ISNUMBER(PTS!Z:Z)))</f>
        <v>26.25</v>
      </c>
      <c r="X56" s="531">
        <f t="shared" si="4"/>
        <v>109.85</v>
      </c>
      <c r="Y56" s="531" cm="1">
        <f t="array" ref="Y56">AVERAGE(_xlfn._xlws.FILTER(PTS!AC:AC, (PTS!$C:$C=A56) * ISNUMBER(PTS!AC:AC)))</f>
        <v>146.02272727272725</v>
      </c>
      <c r="Z56" s="531" cm="1">
        <f t="array" ref="Z56">AVERAGE(_xlfn._xlws.FILTER(PTS!AD:AD, (PTS!$C:$C=A56) * ISNUMBER(PTS!AD:AD)))</f>
        <v>182.72727272727275</v>
      </c>
      <c r="AB56" s="531">
        <f t="shared" si="5"/>
        <v>328.75</v>
      </c>
      <c r="AC56" s="10" cm="1">
        <f t="array" ref="AC56">AVERAGE(_xlfn._xlws.FILTER(PTS!AG:AG, (PTS!$C:$C=A56) * ISNUMBER(PTS!AG:AG)))</f>
        <v>28.814300000000003</v>
      </c>
      <c r="AD56" s="531" cm="1">
        <f t="array" ref="AD56">AVERAGE(_xlfn._xlws.FILTER(PTS!AH:AH, (PTS!$C:$C=A56) * ISNUMBER(PTS!AH:AH)))</f>
        <v>6.973140495867769</v>
      </c>
      <c r="AE56" s="531" cm="1">
        <f t="array" ref="AE56">AVERAGE(_xlfn._xlws.FILTER(PTS!AI:AI, (PTS!$C:$C=A56) * ISNUMBER(PTS!AI:AI)))</f>
        <v>12.587317427197677</v>
      </c>
      <c r="AF56" s="531" cm="1">
        <f t="array" ref="AF56">AVERAGE(_xlfn._xlws.FILTER(PTS!AJ:AJ, (PTS!$C:$C=A56) * ISNUMBER(PTS!AJ:AJ)))</f>
        <v>6.7351999999999999</v>
      </c>
      <c r="AH56" s="531">
        <f t="shared" si="6"/>
        <v>55.109957923065444</v>
      </c>
      <c r="AI56" s="10" cm="1">
        <f t="array" ref="AI56">AVERAGE(_xlfn._xlws.FILTER(PTS!AM:AM, (PTS!$C:$C=A56) * ISNUMBER(PTS!AM:AM)))</f>
        <v>79.999999999999986</v>
      </c>
      <c r="AJ56" s="10" cm="1">
        <f t="array" ref="AJ56">AVERAGE(_xlfn._xlws.FILTER(PTS!AN:AN, (PTS!$C:$C=A56) * ISNUMBER(PTS!AN:AN)))</f>
        <v>26.17808219178082</v>
      </c>
      <c r="AK56" s="10" cm="1">
        <f t="array" ref="AK56">AVERAGE(_xlfn._xlws.FILTER(PTS!AO:AO, (PTS!$C:$C=A56) * ISNUMBER(PTS!AO:AO)))</f>
        <v>0</v>
      </c>
      <c r="AN56" s="10">
        <f t="shared" si="7"/>
        <v>106.1780821917808</v>
      </c>
      <c r="AR56" s="531">
        <f t="shared" si="8"/>
        <v>912.48879769060386</v>
      </c>
      <c r="AS56" s="531">
        <f t="shared" si="9"/>
        <v>1286.4887976906036</v>
      </c>
    </row>
    <row r="57" spans="1:45">
      <c r="A57" s="32" t="s">
        <v>229</v>
      </c>
      <c r="B57" s="319" t="s">
        <v>168</v>
      </c>
      <c r="C57" s="319" t="str">
        <f t="shared" si="0"/>
        <v>CovingtonTN</v>
      </c>
      <c r="D57" s="10">
        <f>VLOOKUP(A:A,PTS!C:R,6,FALSE)</f>
        <v>1</v>
      </c>
      <c r="E57" s="531" cm="1">
        <f t="array" ref="E57">AVERAGE(_xlfn._xlws.FILTER(PTS!I:I, (PTS!$C:$C=A57) * ISNUMBER(PTS!I:I)))</f>
        <v>50.5</v>
      </c>
      <c r="F57" s="10" cm="1">
        <f t="array" ref="F57">AVERAGE(_xlfn._xlws.FILTER(PTS!J:J, (PTS!$C:$C=A57) * ISNUMBER(PTS!J:J)))</f>
        <v>225</v>
      </c>
      <c r="G57" s="531" cm="1">
        <f t="array" ref="G57">AVERAGE(_xlfn._xlws.FILTER(PTS!K:K, (PTS!$C:$C=A57) * ISNUMBER(PTS!K:K)))</f>
        <v>60</v>
      </c>
      <c r="H57" s="531" cm="1">
        <f t="array" ref="H57">AVERAGE(_xlfn._xlws.FILTER(PTS!L:L, (PTS!$C:$C=A57) * ISNUMBER(PTS!L:L)))</f>
        <v>3</v>
      </c>
      <c r="I57" s="531" cm="1">
        <f t="array" ref="I57">AVERAGE(_xlfn._xlws.FILTER(PTS!M:M, (PTS!$C:$C=A57) * ISNUMBER(PTS!M:M)))</f>
        <v>0</v>
      </c>
      <c r="J57" s="531" cm="1">
        <f t="array" ref="J57">AVERAGE(_xlfn._xlws.FILTER(PTS!N:N, (PTS!$C:$C=A57) * ISNUMBER(PTS!N:N)))</f>
        <v>68</v>
      </c>
      <c r="K57" s="531" cm="1">
        <f t="array" ref="K57">AVERAGE(_xlfn._xlws.FILTER(PTS!O:O, (PTS!$C:$C=A57) * ISNUMBER(PTS!O:O)))</f>
        <v>37.916666666666671</v>
      </c>
      <c r="L57" s="10" cm="1">
        <f t="array" ref="L57">AVERAGE(_xlfn._xlws.FILTER(PTS!P:P, (PTS!$C:$C=A57) * ISNUMBER(PTS!P:P)))</f>
        <v>0</v>
      </c>
      <c r="M57" s="531">
        <f t="shared" si="1"/>
        <v>444.41666666666669</v>
      </c>
      <c r="N57" s="531">
        <f t="shared" si="2"/>
        <v>105.91666666666667</v>
      </c>
      <c r="O57" s="531" cm="1">
        <f t="array" ref="O57">AVERAGE(_xlfn._xlws.FILTER(PTS!S:S, (PTS!$C:$C=A57) * ISNUMBER(PTS!S:S)))</f>
        <v>0</v>
      </c>
      <c r="P57" s="531" cm="1">
        <f t="array" ref="P57">AVERAGE(_xlfn._xlws.FILTER(PTS!T:T, (PTS!$C:$C=A57) * ISNUMBER(PTS!T:T)))</f>
        <v>0</v>
      </c>
      <c r="Q57" s="531" cm="1">
        <f t="array" ref="Q57">AVERAGE(_xlfn._xlws.FILTER(PTS!U:U, (PTS!$C:$C=A57) * ISNUMBER(PTS!U:U)))</f>
        <v>190</v>
      </c>
      <c r="S57" s="531">
        <f t="shared" si="3"/>
        <v>190</v>
      </c>
      <c r="T57" s="531" cm="1">
        <f t="array" ref="T57">AVERAGE(_xlfn._xlws.FILTER(PTS!X:X, (PTS!$C:$C=A57) * ISNUMBER(PTS!X:X)))</f>
        <v>50</v>
      </c>
      <c r="U57" s="531" cm="1">
        <f t="array" ref="U57">AVERAGE(_xlfn._xlws.FILTER(PTS!Y:Y, (PTS!$C:$C=A57) * ISNUMBER(PTS!Y:Y)))</f>
        <v>33.6</v>
      </c>
      <c r="V57" s="531" cm="1">
        <f t="array" ref="V57">AVERAGE(_xlfn._xlws.FILTER(PTS!Z:Z, (PTS!$C:$C=A57) * ISNUMBER(PTS!Z:Z)))</f>
        <v>26.25</v>
      </c>
      <c r="X57" s="531">
        <f t="shared" si="4"/>
        <v>109.85</v>
      </c>
      <c r="Y57" s="531" cm="1">
        <f t="array" ref="Y57">AVERAGE(_xlfn._xlws.FILTER(PTS!AC:AC, (PTS!$C:$C=A57) * ISNUMBER(PTS!AC:AC)))</f>
        <v>146.02272727272725</v>
      </c>
      <c r="Z57" s="531" cm="1">
        <f t="array" ref="Z57">AVERAGE(_xlfn._xlws.FILTER(PTS!AD:AD, (PTS!$C:$C=A57) * ISNUMBER(PTS!AD:AD)))</f>
        <v>182.72727272727275</v>
      </c>
      <c r="AB57" s="531">
        <f t="shared" si="5"/>
        <v>328.75</v>
      </c>
      <c r="AC57" s="10" cm="1">
        <f t="array" ref="AC57">AVERAGE(_xlfn._xlws.FILTER(PTS!AG:AG, (PTS!$C:$C=A57) * ISNUMBER(PTS!AG:AG)))</f>
        <v>28.814300000000003</v>
      </c>
      <c r="AD57" s="531" cm="1">
        <f t="array" ref="AD57">AVERAGE(_xlfn._xlws.FILTER(PTS!AH:AH, (PTS!$C:$C=A57) * ISNUMBER(PTS!AH:AH)))</f>
        <v>6.973140495867769</v>
      </c>
      <c r="AE57" s="531" cm="1">
        <f t="array" ref="AE57">AVERAGE(_xlfn._xlws.FILTER(PTS!AI:AI, (PTS!$C:$C=A57) * ISNUMBER(PTS!AI:AI)))</f>
        <v>12.587317427197677</v>
      </c>
      <c r="AF57" s="531" cm="1">
        <f t="array" ref="AF57">AVERAGE(_xlfn._xlws.FILTER(PTS!AJ:AJ, (PTS!$C:$C=A57) * ISNUMBER(PTS!AJ:AJ)))</f>
        <v>6.7351999999999999</v>
      </c>
      <c r="AH57" s="531">
        <f t="shared" si="6"/>
        <v>55.109957923065444</v>
      </c>
      <c r="AI57" s="10" cm="1">
        <f t="array" ref="AI57">AVERAGE(_xlfn._xlws.FILTER(PTS!AM:AM, (PTS!$C:$C=A57) * ISNUMBER(PTS!AM:AM)))</f>
        <v>79.999999999999986</v>
      </c>
      <c r="AJ57" s="10" cm="1">
        <f t="array" ref="AJ57">AVERAGE(_xlfn._xlws.FILTER(PTS!AN:AN, (PTS!$C:$C=A57) * ISNUMBER(PTS!AN:AN)))</f>
        <v>26.17808219178082</v>
      </c>
      <c r="AK57" s="10" cm="1">
        <f t="array" ref="AK57">AVERAGE(_xlfn._xlws.FILTER(PTS!AO:AO, (PTS!$C:$C=A57) * ISNUMBER(PTS!AO:AO)))</f>
        <v>0</v>
      </c>
      <c r="AN57" s="10">
        <f t="shared" si="7"/>
        <v>106.1780821917808</v>
      </c>
      <c r="AR57" s="531">
        <f t="shared" si="8"/>
        <v>895.80470678151289</v>
      </c>
      <c r="AS57" s="531">
        <f t="shared" si="9"/>
        <v>1234.304706781513</v>
      </c>
    </row>
    <row r="58" spans="1:45">
      <c r="A58" s="32" t="s">
        <v>233</v>
      </c>
      <c r="B58" s="319" t="s">
        <v>149</v>
      </c>
      <c r="C58" s="319" t="str">
        <f t="shared" si="0"/>
        <v>CrawfordsvilleAR</v>
      </c>
      <c r="D58" s="10">
        <f>VLOOKUP(A:A,PTS!C:R,6,FALSE)</f>
        <v>1</v>
      </c>
      <c r="E58" s="531" cm="1">
        <f t="array" ref="E58">AVERAGE(_xlfn._xlws.FILTER(PTS!I:I, (PTS!$C:$C=A58) * ISNUMBER(PTS!I:I)))</f>
        <v>101</v>
      </c>
      <c r="F58" s="10" cm="1">
        <f t="array" ref="F58">AVERAGE(_xlfn._xlws.FILTER(PTS!J:J, (PTS!$C:$C=A58) * ISNUMBER(PTS!J:J)))</f>
        <v>200</v>
      </c>
      <c r="G58" s="531" cm="1">
        <f t="array" ref="G58">AVERAGE(_xlfn._xlws.FILTER(PTS!K:K, (PTS!$C:$C=A58) * ISNUMBER(PTS!K:K)))</f>
        <v>160</v>
      </c>
      <c r="H58" s="531" cm="1">
        <f t="array" ref="H58">AVERAGE(_xlfn._xlws.FILTER(PTS!L:L, (PTS!$C:$C=A58) * ISNUMBER(PTS!L:L)))</f>
        <v>0</v>
      </c>
      <c r="I58" s="531" cm="1">
        <f t="array" ref="I58">AVERAGE(_xlfn._xlws.FILTER(PTS!M:M, (PTS!$C:$C=A58) * ISNUMBER(PTS!M:M)))</f>
        <v>0</v>
      </c>
      <c r="J58" s="531" cm="1">
        <f t="array" ref="J58">AVERAGE(_xlfn._xlws.FILTER(PTS!N:N, (PTS!$C:$C=A58) * ISNUMBER(PTS!N:N)))</f>
        <v>80</v>
      </c>
      <c r="K58" s="531" cm="1">
        <f t="array" ref="K58">AVERAGE(_xlfn._xlws.FILTER(PTS!O:O, (PTS!$C:$C=A58) * ISNUMBER(PTS!O:O)))</f>
        <v>37.916666666666671</v>
      </c>
      <c r="L58" s="10" cm="1">
        <f t="array" ref="L58">AVERAGE(_xlfn._xlws.FILTER(PTS!P:P, (PTS!$C:$C=A58) * ISNUMBER(PTS!P:P)))</f>
        <v>0</v>
      </c>
      <c r="M58" s="531">
        <f t="shared" si="1"/>
        <v>578.91666666666663</v>
      </c>
      <c r="N58" s="531">
        <f t="shared" si="2"/>
        <v>117.91666666666667</v>
      </c>
      <c r="O58" s="531" cm="1">
        <f t="array" ref="O58">AVERAGE(_xlfn._xlws.FILTER(PTS!S:S, (PTS!$C:$C=A58) * ISNUMBER(PTS!S:S)))</f>
        <v>0</v>
      </c>
      <c r="P58" s="531" cm="1">
        <f t="array" ref="P58">AVERAGE(_xlfn._xlws.FILTER(PTS!T:T, (PTS!$C:$C=A58) * ISNUMBER(PTS!T:T)))</f>
        <v>0</v>
      </c>
      <c r="Q58" s="531" cm="1">
        <f t="array" ref="Q58">AVERAGE(_xlfn._xlws.FILTER(PTS!U:U, (PTS!$C:$C=A58) * ISNUMBER(PTS!U:U)))</f>
        <v>141.59090909090909</v>
      </c>
      <c r="S58" s="531">
        <f t="shared" si="3"/>
        <v>141.59090909090909</v>
      </c>
      <c r="T58" s="531" cm="1">
        <f t="array" ref="T58">AVERAGE(_xlfn._xlws.FILTER(PTS!X:X, (PTS!$C:$C=A58) * ISNUMBER(PTS!X:X)))</f>
        <v>50</v>
      </c>
      <c r="U58" s="531" cm="1">
        <f t="array" ref="U58">AVERAGE(_xlfn._xlws.FILTER(PTS!Y:Y, (PTS!$C:$C=A58) * ISNUMBER(PTS!Y:Y)))</f>
        <v>33.6</v>
      </c>
      <c r="V58" s="531" cm="1">
        <f t="array" ref="V58">AVERAGE(_xlfn._xlws.FILTER(PTS!Z:Z, (PTS!$C:$C=A58) * ISNUMBER(PTS!Z:Z)))</f>
        <v>26.25</v>
      </c>
      <c r="X58" s="531">
        <f t="shared" si="4"/>
        <v>109.85</v>
      </c>
      <c r="Y58" s="531" cm="1">
        <f t="array" ref="Y58">AVERAGE(_xlfn._xlws.FILTER(PTS!AC:AC, (PTS!$C:$C=A58) * ISNUMBER(PTS!AC:AC)))</f>
        <v>146.02272727272725</v>
      </c>
      <c r="Z58" s="531" cm="1">
        <f t="array" ref="Z58">AVERAGE(_xlfn._xlws.FILTER(PTS!AD:AD, (PTS!$C:$C=A58) * ISNUMBER(PTS!AD:AD)))</f>
        <v>182.72727272727275</v>
      </c>
      <c r="AB58" s="531">
        <f t="shared" si="5"/>
        <v>328.75</v>
      </c>
      <c r="AC58" s="10" cm="1">
        <f t="array" ref="AC58">AVERAGE(_xlfn._xlws.FILTER(PTS!AG:AG, (PTS!$C:$C=A58) * ISNUMBER(PTS!AG:AG)))</f>
        <v>28.814300000000003</v>
      </c>
      <c r="AD58" s="531" cm="1">
        <f t="array" ref="AD58">AVERAGE(_xlfn._xlws.FILTER(PTS!AH:AH, (PTS!$C:$C=A58) * ISNUMBER(PTS!AH:AH)))</f>
        <v>6.973140495867769</v>
      </c>
      <c r="AE58" s="531" cm="1">
        <f t="array" ref="AE58">AVERAGE(_xlfn._xlws.FILTER(PTS!AI:AI, (PTS!$C:$C=A58) * ISNUMBER(PTS!AI:AI)))</f>
        <v>12.587317427197677</v>
      </c>
      <c r="AF58" s="531" cm="1">
        <f t="array" ref="AF58">AVERAGE(_xlfn._xlws.FILTER(PTS!AJ:AJ, (PTS!$C:$C=A58) * ISNUMBER(PTS!AJ:AJ)))</f>
        <v>6.7351999999999999</v>
      </c>
      <c r="AH58" s="531">
        <f t="shared" si="6"/>
        <v>55.109957923065444</v>
      </c>
      <c r="AI58" s="10" cm="1">
        <f t="array" ref="AI58">AVERAGE(_xlfn._xlws.FILTER(PTS!AM:AM, (PTS!$C:$C=A58) * ISNUMBER(PTS!AM:AM)))</f>
        <v>79.999999999999986</v>
      </c>
      <c r="AJ58" s="10" cm="1">
        <f t="array" ref="AJ58">AVERAGE(_xlfn._xlws.FILTER(PTS!AN:AN, (PTS!$C:$C=A58) * ISNUMBER(PTS!AN:AN)))</f>
        <v>26.17808219178082</v>
      </c>
      <c r="AK58" s="10" cm="1">
        <f t="array" ref="AK58">AVERAGE(_xlfn._xlws.FILTER(PTS!AO:AO, (PTS!$C:$C=A58) * ISNUMBER(PTS!AO:AO)))</f>
        <v>0</v>
      </c>
      <c r="AN58" s="10">
        <f t="shared" si="7"/>
        <v>106.1780821917808</v>
      </c>
      <c r="AR58" s="531">
        <f t="shared" si="8"/>
        <v>859.39561587242201</v>
      </c>
      <c r="AS58" s="531">
        <f t="shared" si="9"/>
        <v>1320.395615872422</v>
      </c>
    </row>
    <row r="59" spans="1:45">
      <c r="A59" s="32" t="s">
        <v>237</v>
      </c>
      <c r="B59" s="319" t="s">
        <v>76</v>
      </c>
      <c r="C59" s="319" t="str">
        <f t="shared" si="0"/>
        <v>CuthbertGA</v>
      </c>
      <c r="D59" s="10">
        <f>VLOOKUP(A:A,PTS!C:R,6,FALSE)</f>
        <v>4</v>
      </c>
      <c r="E59" s="531" cm="1">
        <f t="array" ref="E59">AVERAGE(_xlfn._xlws.FILTER(PTS!I:I, (PTS!$C:$C=A59) * ISNUMBER(PTS!I:I)))</f>
        <v>90</v>
      </c>
      <c r="F59" s="10" cm="1">
        <f t="array" ref="F59">AVERAGE(_xlfn._xlws.FILTER(PTS!J:J, (PTS!$C:$C=A59) * ISNUMBER(PTS!J:J)))</f>
        <v>110</v>
      </c>
      <c r="G59" s="531" cm="1">
        <f t="array" ref="G59">AVERAGE(_xlfn._xlws.FILTER(PTS!K:K, (PTS!$C:$C=A59) * ISNUMBER(PTS!K:K)))</f>
        <v>0</v>
      </c>
      <c r="H59" s="531" cm="1">
        <f t="array" ref="H59">AVERAGE(_xlfn._xlws.FILTER(PTS!L:L, (PTS!$C:$C=A59) * ISNUMBER(PTS!L:L)))</f>
        <v>0</v>
      </c>
      <c r="I59" s="531" cm="1">
        <f t="array" ref="I59">AVERAGE(_xlfn._xlws.FILTER(PTS!M:M, (PTS!$C:$C=A59) * ISNUMBER(PTS!M:M)))</f>
        <v>10</v>
      </c>
      <c r="J59" s="531" cm="1">
        <f t="array" ref="J59">AVERAGE(_xlfn._xlws.FILTER(PTS!N:N, (PTS!$C:$C=A59) * ISNUMBER(PTS!N:N)))</f>
        <v>55</v>
      </c>
      <c r="K59" s="531" cm="1">
        <f t="array" ref="K59">AVERAGE(_xlfn._xlws.FILTER(PTS!O:O, (PTS!$C:$C=A59) * ISNUMBER(PTS!O:O)))</f>
        <v>37.916666666666671</v>
      </c>
      <c r="L59" s="10" cm="1">
        <f t="array" ref="L59">AVERAGE(_xlfn._xlws.FILTER(PTS!P:P, (PTS!$C:$C=A59) * ISNUMBER(PTS!P:P)))</f>
        <v>0</v>
      </c>
      <c r="M59" s="531">
        <f t="shared" si="1"/>
        <v>302.91666666666669</v>
      </c>
      <c r="N59" s="531">
        <f t="shared" si="2"/>
        <v>37.916666666666671</v>
      </c>
      <c r="O59" s="531" cm="1">
        <f t="array" ref="O59">AVERAGE(_xlfn._xlws.FILTER(PTS!S:S, (PTS!$C:$C=A59) * ISNUMBER(PTS!S:S)))</f>
        <v>0</v>
      </c>
      <c r="P59" s="531" cm="1">
        <f t="array" ref="P59">AVERAGE(_xlfn._xlws.FILTER(PTS!T:T, (PTS!$C:$C=A59) * ISNUMBER(PTS!T:T)))</f>
        <v>0</v>
      </c>
      <c r="Q59" s="531" cm="1">
        <f t="array" ref="Q59">AVERAGE(_xlfn._xlws.FILTER(PTS!U:U, (PTS!$C:$C=A59) * ISNUMBER(PTS!U:U)))</f>
        <v>202.26249999999999</v>
      </c>
      <c r="S59" s="531">
        <f t="shared" si="3"/>
        <v>202.26249999999999</v>
      </c>
      <c r="T59" s="531" cm="1">
        <f t="array" ref="T59">AVERAGE(_xlfn._xlws.FILTER(PTS!X:X, (PTS!$C:$C=A59) * ISNUMBER(PTS!X:X)))</f>
        <v>52</v>
      </c>
      <c r="U59" s="531" cm="1">
        <f t="array" ref="U59">AVERAGE(_xlfn._xlws.FILTER(PTS!Y:Y, (PTS!$C:$C=A59) * ISNUMBER(PTS!Y:Y)))</f>
        <v>50.4</v>
      </c>
      <c r="V59" s="531" cm="1">
        <f t="array" ref="V59">AVERAGE(_xlfn._xlws.FILTER(PTS!Z:Z, (PTS!$C:$C=A59) * ISNUMBER(PTS!Z:Z)))</f>
        <v>26.25</v>
      </c>
      <c r="X59" s="531">
        <f t="shared" si="4"/>
        <v>128.65</v>
      </c>
      <c r="Y59" s="531" cm="1">
        <f t="array" ref="Y59">AVERAGE(_xlfn._xlws.FILTER(PTS!AC:AC, (PTS!$C:$C=A59) * ISNUMBER(PTS!AC:AC)))</f>
        <v>110.22727272727273</v>
      </c>
      <c r="Z59" s="531" cm="1">
        <f t="array" ref="Z59">AVERAGE(_xlfn._xlws.FILTER(PTS!AD:AD, (PTS!$C:$C=A59) * ISNUMBER(PTS!AD:AD)))</f>
        <v>107.04545454545455</v>
      </c>
      <c r="AB59" s="531">
        <f t="shared" si="5"/>
        <v>217.27272727272728</v>
      </c>
      <c r="AC59" s="10" cm="1">
        <f t="array" ref="AC59">AVERAGE(_xlfn._xlws.FILTER(PTS!AG:AG, (PTS!$C:$C=A59) * ISNUMBER(PTS!AG:AG)))</f>
        <v>28.814300000000003</v>
      </c>
      <c r="AD59" s="531" cm="1">
        <f t="array" ref="AD59">AVERAGE(_xlfn._xlws.FILTER(PTS!AH:AH, (PTS!$C:$C=A59) * ISNUMBER(PTS!AH:AH)))</f>
        <v>6.973140495867769</v>
      </c>
      <c r="AE59" s="531" cm="1">
        <f t="array" ref="AE59">AVERAGE(_xlfn._xlws.FILTER(PTS!AI:AI, (PTS!$C:$C=A59) * ISNUMBER(PTS!AI:AI)))</f>
        <v>12.587317427197677</v>
      </c>
      <c r="AF59" s="531" cm="1">
        <f t="array" ref="AF59">AVERAGE(_xlfn._xlws.FILTER(PTS!AJ:AJ, (PTS!$C:$C=A59) * ISNUMBER(PTS!AJ:AJ)))</f>
        <v>6.7351999999999999</v>
      </c>
      <c r="AH59" s="531">
        <f t="shared" si="6"/>
        <v>55.109957923065444</v>
      </c>
      <c r="AI59" s="10" cm="1">
        <f t="array" ref="AI59">AVERAGE(_xlfn._xlws.FILTER(PTS!AM:AM, (PTS!$C:$C=A59) * ISNUMBER(PTS!AM:AM)))</f>
        <v>79.999999999999986</v>
      </c>
      <c r="AJ59" s="10" cm="1">
        <f t="array" ref="AJ59">AVERAGE(_xlfn._xlws.FILTER(PTS!AN:AN, (PTS!$C:$C=A59) * ISNUMBER(PTS!AN:AN)))</f>
        <v>26.17808219178082</v>
      </c>
      <c r="AK59" s="10" cm="1">
        <f t="array" ref="AK59">AVERAGE(_xlfn._xlws.FILTER(PTS!AO:AO, (PTS!$C:$C=A59) * ISNUMBER(PTS!AO:AO)))</f>
        <v>0</v>
      </c>
      <c r="AN59" s="10">
        <f t="shared" si="7"/>
        <v>106.1780821917808</v>
      </c>
      <c r="AR59" s="531">
        <f t="shared" si="8"/>
        <v>747.38993405424014</v>
      </c>
      <c r="AS59" s="531">
        <f t="shared" si="9"/>
        <v>1012.3899340542401</v>
      </c>
    </row>
    <row r="60" spans="1:45">
      <c r="A60" s="32" t="s">
        <v>241</v>
      </c>
      <c r="B60" s="319" t="s">
        <v>71</v>
      </c>
      <c r="C60" s="319" t="str">
        <f t="shared" si="0"/>
        <v>DallasTX</v>
      </c>
      <c r="D60" s="10">
        <f>VLOOKUP(A:A,PTS!C:R,6,FALSE)</f>
        <v>3</v>
      </c>
      <c r="E60" s="531" cm="1">
        <f t="array" ref="E60">AVERAGE(_xlfn._xlws.FILTER(PTS!I:I, (PTS!$C:$C=A60) * ISNUMBER(PTS!I:I)))</f>
        <v>140</v>
      </c>
      <c r="F60" s="10" cm="1">
        <f t="array" ref="F60">AVERAGE(_xlfn._xlws.FILTER(PTS!J:J, (PTS!$C:$C=A60) * ISNUMBER(PTS!J:J)))</f>
        <v>160</v>
      </c>
      <c r="G60" s="531" cm="1">
        <f t="array" ref="G60">AVERAGE(_xlfn._xlws.FILTER(PTS!K:K, (PTS!$C:$C=A60) * ISNUMBER(PTS!K:K)))</f>
        <v>160</v>
      </c>
      <c r="H60" s="531" cm="1">
        <f t="array" ref="H60">AVERAGE(_xlfn._xlws.FILTER(PTS!L:L, (PTS!$C:$C=A60) * ISNUMBER(PTS!L:L)))</f>
        <v>0</v>
      </c>
      <c r="I60" s="531" cm="1">
        <f t="array" ref="I60">AVERAGE(_xlfn._xlws.FILTER(PTS!M:M, (PTS!$C:$C=A60) * ISNUMBER(PTS!M:M)))</f>
        <v>0</v>
      </c>
      <c r="J60" s="531" cm="1">
        <f t="array" ref="J60">AVERAGE(_xlfn._xlws.FILTER(PTS!N:N, (PTS!$C:$C=A60) * ISNUMBER(PTS!N:N)))</f>
        <v>80</v>
      </c>
      <c r="K60" s="531" cm="1">
        <f t="array" ref="K60">AVERAGE(_xlfn._xlws.FILTER(PTS!O:O, (PTS!$C:$C=A60) * ISNUMBER(PTS!O:O)))</f>
        <v>37.916666666666671</v>
      </c>
      <c r="L60" s="10" cm="1">
        <f t="array" ref="L60">AVERAGE(_xlfn._xlws.FILTER(PTS!P:P, (PTS!$C:$C=A60) * ISNUMBER(PTS!P:P)))</f>
        <v>0</v>
      </c>
      <c r="M60" s="531">
        <f t="shared" si="1"/>
        <v>577.91666666666663</v>
      </c>
      <c r="N60" s="531">
        <f t="shared" si="2"/>
        <v>437.91666666666669</v>
      </c>
      <c r="O60" s="531" cm="1">
        <f t="array" ref="O60">AVERAGE(_xlfn._xlws.FILTER(PTS!S:S, (PTS!$C:$C=A60) * ISNUMBER(PTS!S:S)))</f>
        <v>0</v>
      </c>
      <c r="P60" s="531" cm="1">
        <f t="array" ref="P60">AVERAGE(_xlfn._xlws.FILTER(PTS!T:T, (PTS!$C:$C=A60) * ISNUMBER(PTS!T:T)))</f>
        <v>0</v>
      </c>
      <c r="Q60" s="531" cm="1">
        <f t="array" ref="Q60">AVERAGE(_xlfn._xlws.FILTER(PTS!U:U, (PTS!$C:$C=A60) * ISNUMBER(PTS!U:U)))</f>
        <v>152.84090909090909</v>
      </c>
      <c r="S60" s="531">
        <f t="shared" si="3"/>
        <v>152.84090909090909</v>
      </c>
      <c r="T60" s="531" cm="1">
        <f t="array" ref="T60">AVERAGE(_xlfn._xlws.FILTER(PTS!X:X, (PTS!$C:$C=A60) * ISNUMBER(PTS!X:X)))</f>
        <v>54</v>
      </c>
      <c r="U60" s="531" cm="1">
        <f t="array" ref="U60">AVERAGE(_xlfn._xlws.FILTER(PTS!Y:Y, (PTS!$C:$C=A60) * ISNUMBER(PTS!Y:Y)))</f>
        <v>50.4</v>
      </c>
      <c r="V60" s="531" cm="1">
        <f t="array" ref="V60">AVERAGE(_xlfn._xlws.FILTER(PTS!Z:Z, (PTS!$C:$C=A60) * ISNUMBER(PTS!Z:Z)))</f>
        <v>26.25</v>
      </c>
      <c r="X60" s="531">
        <f t="shared" si="4"/>
        <v>130.65</v>
      </c>
      <c r="Y60" s="531" cm="1">
        <f t="array" ref="Y60">AVERAGE(_xlfn._xlws.FILTER(PTS!AC:AC, (PTS!$C:$C=A60) * ISNUMBER(PTS!AC:AC)))</f>
        <v>147.72727272727272</v>
      </c>
      <c r="Z60" s="531" cm="1">
        <f t="array" ref="Z60">AVERAGE(_xlfn._xlws.FILTER(PTS!AD:AD, (PTS!$C:$C=A60) * ISNUMBER(PTS!AD:AD)))</f>
        <v>233.06818181818181</v>
      </c>
      <c r="AB60" s="531">
        <f t="shared" si="5"/>
        <v>380.7954545454545</v>
      </c>
      <c r="AC60" s="10" cm="1">
        <f t="array" ref="AC60">AVERAGE(_xlfn._xlws.FILTER(PTS!AG:AG, (PTS!$C:$C=A60) * ISNUMBER(PTS!AG:AG)))</f>
        <v>28.814300000000003</v>
      </c>
      <c r="AD60" s="531" cm="1">
        <f t="array" ref="AD60">AVERAGE(_xlfn._xlws.FILTER(PTS!AH:AH, (PTS!$C:$C=A60) * ISNUMBER(PTS!AH:AH)))</f>
        <v>6.973140495867769</v>
      </c>
      <c r="AE60" s="531" cm="1">
        <f t="array" ref="AE60">AVERAGE(_xlfn._xlws.FILTER(PTS!AI:AI, (PTS!$C:$C=A60) * ISNUMBER(PTS!AI:AI)))</f>
        <v>12.587317427197677</v>
      </c>
      <c r="AF60" s="531" cm="1">
        <f t="array" ref="AF60">AVERAGE(_xlfn._xlws.FILTER(PTS!AJ:AJ, (PTS!$C:$C=A60) * ISNUMBER(PTS!AJ:AJ)))</f>
        <v>6.7351999999999999</v>
      </c>
      <c r="AH60" s="531">
        <f t="shared" si="6"/>
        <v>55.109957923065444</v>
      </c>
      <c r="AI60" s="10" cm="1">
        <f t="array" ref="AI60">AVERAGE(_xlfn._xlws.FILTER(PTS!AM:AM, (PTS!$C:$C=A60) * ISNUMBER(PTS!AM:AM)))</f>
        <v>79.999999999999986</v>
      </c>
      <c r="AJ60" s="10" cm="1">
        <f t="array" ref="AJ60">AVERAGE(_xlfn._xlws.FILTER(PTS!AN:AN, (PTS!$C:$C=A60) * ISNUMBER(PTS!AN:AN)))</f>
        <v>26.17808219178082</v>
      </c>
      <c r="AK60" s="10" cm="1">
        <f t="array" ref="AK60">AVERAGE(_xlfn._xlws.FILTER(PTS!AO:AO, (PTS!$C:$C=A60) * ISNUMBER(PTS!AO:AO)))</f>
        <v>0</v>
      </c>
      <c r="AN60" s="10">
        <f t="shared" si="7"/>
        <v>106.1780821917808</v>
      </c>
      <c r="AR60" s="531">
        <f t="shared" si="8"/>
        <v>1263.4910704178762</v>
      </c>
      <c r="AS60" s="531">
        <f t="shared" si="9"/>
        <v>1403.4910704178762</v>
      </c>
    </row>
    <row r="61" spans="1:45">
      <c r="A61" s="32" t="s">
        <v>244</v>
      </c>
      <c r="B61" s="319" t="s">
        <v>65</v>
      </c>
      <c r="C61" s="319" t="str">
        <f t="shared" si="0"/>
        <v>DeatsvilleAL</v>
      </c>
      <c r="D61" s="10">
        <f>VLOOKUP(A:A,PTS!C:R,6,FALSE)</f>
        <v>1</v>
      </c>
      <c r="E61" s="531" cm="1">
        <f t="array" ref="E61">AVERAGE(_xlfn._xlws.FILTER(PTS!I:I, (PTS!$C:$C=A61) * ISNUMBER(PTS!I:I)))</f>
        <v>60</v>
      </c>
      <c r="F61" s="10" cm="1">
        <f t="array" ref="F61">AVERAGE(_xlfn._xlws.FILTER(PTS!J:J, (PTS!$C:$C=A61) * ISNUMBER(PTS!J:J)))</f>
        <v>120</v>
      </c>
      <c r="G61" s="531" cm="1">
        <f t="array" ref="G61">AVERAGE(_xlfn._xlws.FILTER(PTS!K:K, (PTS!$C:$C=A61) * ISNUMBER(PTS!K:K)))</f>
        <v>0</v>
      </c>
      <c r="H61" s="531" cm="1">
        <f t="array" ref="H61">AVERAGE(_xlfn._xlws.FILTER(PTS!L:L, (PTS!$C:$C=A61) * ISNUMBER(PTS!L:L)))</f>
        <v>0</v>
      </c>
      <c r="I61" s="531" cm="1">
        <f t="array" ref="I61">AVERAGE(_xlfn._xlws.FILTER(PTS!M:M, (PTS!$C:$C=A61) * ISNUMBER(PTS!M:M)))</f>
        <v>0</v>
      </c>
      <c r="J61" s="531" cm="1">
        <f t="array" ref="J61">AVERAGE(_xlfn._xlws.FILTER(PTS!N:N, (PTS!$C:$C=A61) * ISNUMBER(PTS!N:N)))</f>
        <v>40</v>
      </c>
      <c r="K61" s="531" cm="1">
        <f t="array" ref="K61">AVERAGE(_xlfn._xlws.FILTER(PTS!O:O, (PTS!$C:$C=A61) * ISNUMBER(PTS!O:O)))</f>
        <v>37.916666666666671</v>
      </c>
      <c r="L61" s="10" cm="1">
        <f t="array" ref="L61">AVERAGE(_xlfn._xlws.FILTER(PTS!P:P, (PTS!$C:$C=A61) * ISNUMBER(PTS!P:P)))</f>
        <v>0</v>
      </c>
      <c r="M61" s="531">
        <f t="shared" si="1"/>
        <v>257.91666666666669</v>
      </c>
      <c r="N61" s="531">
        <f t="shared" si="2"/>
        <v>77.916666666666671</v>
      </c>
      <c r="O61" s="531" cm="1">
        <f t="array" ref="O61">AVERAGE(_xlfn._xlws.FILTER(PTS!S:S, (PTS!$C:$C=A61) * ISNUMBER(PTS!S:S)))</f>
        <v>0</v>
      </c>
      <c r="P61" s="531" cm="1">
        <f t="array" ref="P61">AVERAGE(_xlfn._xlws.FILTER(PTS!T:T, (PTS!$C:$C=A61) * ISNUMBER(PTS!T:T)))</f>
        <v>0</v>
      </c>
      <c r="Q61" s="531" cm="1">
        <f t="array" ref="Q61">AVERAGE(_xlfn._xlws.FILTER(PTS!U:U, (PTS!$C:$C=A61) * ISNUMBER(PTS!U:U)))</f>
        <v>316.69034090909088</v>
      </c>
      <c r="S61" s="531">
        <f t="shared" si="3"/>
        <v>316.69034090909088</v>
      </c>
      <c r="T61" s="531" cm="1">
        <f t="array" ref="T61">AVERAGE(_xlfn._xlws.FILTER(PTS!X:X, (PTS!$C:$C=A61) * ISNUMBER(PTS!X:X)))</f>
        <v>52</v>
      </c>
      <c r="U61" s="531" cm="1">
        <f t="array" ref="U61">AVERAGE(_xlfn._xlws.FILTER(PTS!Y:Y, (PTS!$C:$C=A61) * ISNUMBER(PTS!Y:Y)))</f>
        <v>50.4</v>
      </c>
      <c r="V61" s="531" cm="1">
        <f t="array" ref="V61">AVERAGE(_xlfn._xlws.FILTER(PTS!Z:Z, (PTS!$C:$C=A61) * ISNUMBER(PTS!Z:Z)))</f>
        <v>26.25</v>
      </c>
      <c r="X61" s="531">
        <f t="shared" si="4"/>
        <v>128.65</v>
      </c>
      <c r="Y61" s="531" cm="1">
        <f t="array" ref="Y61">AVERAGE(_xlfn._xlws.FILTER(PTS!AC:AC, (PTS!$C:$C=A61) * ISNUMBER(PTS!AC:AC)))</f>
        <v>110.22727272727273</v>
      </c>
      <c r="Z61" s="531" cm="1">
        <f t="array" ref="Z61">AVERAGE(_xlfn._xlws.FILTER(PTS!AD:AD, (PTS!$C:$C=A61) * ISNUMBER(PTS!AD:AD)))</f>
        <v>107.04545454545455</v>
      </c>
      <c r="AB61" s="531">
        <f t="shared" si="5"/>
        <v>217.27272727272728</v>
      </c>
      <c r="AC61" s="10" cm="1">
        <f t="array" ref="AC61">AVERAGE(_xlfn._xlws.FILTER(PTS!AG:AG, (PTS!$C:$C=A61) * ISNUMBER(PTS!AG:AG)))</f>
        <v>28.814300000000003</v>
      </c>
      <c r="AD61" s="531" cm="1">
        <f t="array" ref="AD61">AVERAGE(_xlfn._xlws.FILTER(PTS!AH:AH, (PTS!$C:$C=A61) * ISNUMBER(PTS!AH:AH)))</f>
        <v>6.973140495867769</v>
      </c>
      <c r="AE61" s="531" cm="1">
        <f t="array" ref="AE61">AVERAGE(_xlfn._xlws.FILTER(PTS!AI:AI, (PTS!$C:$C=A61) * ISNUMBER(PTS!AI:AI)))</f>
        <v>12.587317427197677</v>
      </c>
      <c r="AF61" s="531" cm="1">
        <f t="array" ref="AF61">AVERAGE(_xlfn._xlws.FILTER(PTS!AJ:AJ, (PTS!$C:$C=A61) * ISNUMBER(PTS!AJ:AJ)))</f>
        <v>6.7351999999999999</v>
      </c>
      <c r="AH61" s="531">
        <f t="shared" si="6"/>
        <v>55.109957923065444</v>
      </c>
      <c r="AI61" s="10" cm="1">
        <f t="array" ref="AI61">AVERAGE(_xlfn._xlws.FILTER(PTS!AM:AM, (PTS!$C:$C=A61) * ISNUMBER(PTS!AM:AM)))</f>
        <v>79.999999999999986</v>
      </c>
      <c r="AJ61" s="10" cm="1">
        <f t="array" ref="AJ61">AVERAGE(_xlfn._xlws.FILTER(PTS!AN:AN, (PTS!$C:$C=A61) * ISNUMBER(PTS!AN:AN)))</f>
        <v>26.17808219178082</v>
      </c>
      <c r="AK61" s="10" cm="1">
        <f t="array" ref="AK61">AVERAGE(_xlfn._xlws.FILTER(PTS!AO:AO, (PTS!$C:$C=A61) * ISNUMBER(PTS!AO:AO)))</f>
        <v>0</v>
      </c>
      <c r="AN61" s="10">
        <f t="shared" si="7"/>
        <v>106.1780821917808</v>
      </c>
      <c r="AR61" s="531">
        <f t="shared" si="8"/>
        <v>901.81777496333109</v>
      </c>
      <c r="AS61" s="531">
        <f t="shared" si="9"/>
        <v>1081.817774963331</v>
      </c>
    </row>
    <row r="62" spans="1:45">
      <c r="A62" s="32" t="s">
        <v>247</v>
      </c>
      <c r="B62" s="319" t="s">
        <v>65</v>
      </c>
      <c r="C62" s="319" t="str">
        <f t="shared" si="0"/>
        <v>DecaturAL</v>
      </c>
      <c r="D62" s="10">
        <f>VLOOKUP(A:A,PTS!C:R,6,FALSE)</f>
        <v>1</v>
      </c>
      <c r="E62" s="531" cm="1">
        <f t="array" ref="E62">AVERAGE(_xlfn._xlws.FILTER(PTS!I:I, (PTS!$C:$C=A62) * ISNUMBER(PTS!I:I)))</f>
        <v>43</v>
      </c>
      <c r="F62" s="10" cm="1">
        <f t="array" ref="F62">AVERAGE(_xlfn._xlws.FILTER(PTS!J:J, (PTS!$C:$C=A62) * ISNUMBER(PTS!J:J)))</f>
        <v>120</v>
      </c>
      <c r="G62" s="531" cm="1">
        <f t="array" ref="G62">AVERAGE(_xlfn._xlws.FILTER(PTS!K:K, (PTS!$C:$C=A62) * ISNUMBER(PTS!K:K)))</f>
        <v>150</v>
      </c>
      <c r="H62" s="531" cm="1">
        <f t="array" ref="H62">AVERAGE(_xlfn._xlws.FILTER(PTS!L:L, (PTS!$C:$C=A62) * ISNUMBER(PTS!L:L)))</f>
        <v>0</v>
      </c>
      <c r="I62" s="531" cm="1">
        <f t="array" ref="I62">AVERAGE(_xlfn._xlws.FILTER(PTS!M:M, (PTS!$C:$C=A62) * ISNUMBER(PTS!M:M)))</f>
        <v>10</v>
      </c>
      <c r="J62" s="531" cm="1">
        <f t="array" ref="J62">AVERAGE(_xlfn._xlws.FILTER(PTS!N:N, (PTS!$C:$C=A62) * ISNUMBER(PTS!N:N)))</f>
        <v>60</v>
      </c>
      <c r="K62" s="531" cm="1">
        <f t="array" ref="K62">AVERAGE(_xlfn._xlws.FILTER(PTS!O:O, (PTS!$C:$C=A62) * ISNUMBER(PTS!O:O)))</f>
        <v>37.916666666666671</v>
      </c>
      <c r="L62" s="10" cm="1">
        <f t="array" ref="L62">AVERAGE(_xlfn._xlws.FILTER(PTS!P:P, (PTS!$C:$C=A62) * ISNUMBER(PTS!P:P)))</f>
        <v>0</v>
      </c>
      <c r="M62" s="531">
        <f t="shared" si="1"/>
        <v>420.91666666666669</v>
      </c>
      <c r="N62" s="531">
        <f t="shared" si="2"/>
        <v>97.916666666666671</v>
      </c>
      <c r="O62" s="531" cm="1">
        <f t="array" ref="O62">AVERAGE(_xlfn._xlws.FILTER(PTS!S:S, (PTS!$C:$C=A62) * ISNUMBER(PTS!S:S)))</f>
        <v>0</v>
      </c>
      <c r="P62" s="531" cm="1">
        <f t="array" ref="P62">AVERAGE(_xlfn._xlws.FILTER(PTS!T:T, (PTS!$C:$C=A62) * ISNUMBER(PTS!T:T)))</f>
        <v>0</v>
      </c>
      <c r="Q62" s="531" cm="1">
        <f t="array" ref="Q62">AVERAGE(_xlfn._xlws.FILTER(PTS!U:U, (PTS!$C:$C=A62) * ISNUMBER(PTS!U:U)))</f>
        <v>227.13181818181818</v>
      </c>
      <c r="S62" s="531">
        <f t="shared" si="3"/>
        <v>227.13181818181818</v>
      </c>
      <c r="T62" s="531" cm="1">
        <f t="array" ref="T62">AVERAGE(_xlfn._xlws.FILTER(PTS!X:X, (PTS!$C:$C=A62) * ISNUMBER(PTS!X:X)))</f>
        <v>50</v>
      </c>
      <c r="U62" s="531" cm="1">
        <f t="array" ref="U62">AVERAGE(_xlfn._xlws.FILTER(PTS!Y:Y, (PTS!$C:$C=A62) * ISNUMBER(PTS!Y:Y)))</f>
        <v>33.6</v>
      </c>
      <c r="V62" s="531" cm="1">
        <f t="array" ref="V62">AVERAGE(_xlfn._xlws.FILTER(PTS!Z:Z, (PTS!$C:$C=A62) * ISNUMBER(PTS!Z:Z)))</f>
        <v>26.25</v>
      </c>
      <c r="X62" s="531">
        <f t="shared" si="4"/>
        <v>109.85</v>
      </c>
      <c r="Y62" s="531" cm="1">
        <f t="array" ref="Y62">AVERAGE(_xlfn._xlws.FILTER(PTS!AC:AC, (PTS!$C:$C=A62) * ISNUMBER(PTS!AC:AC)))</f>
        <v>146.02272727272725</v>
      </c>
      <c r="Z62" s="531" cm="1">
        <f t="array" ref="Z62">AVERAGE(_xlfn._xlws.FILTER(PTS!AD:AD, (PTS!$C:$C=A62) * ISNUMBER(PTS!AD:AD)))</f>
        <v>182.72727272727275</v>
      </c>
      <c r="AB62" s="531">
        <f t="shared" si="5"/>
        <v>328.75</v>
      </c>
      <c r="AC62" s="10" cm="1">
        <f t="array" ref="AC62">AVERAGE(_xlfn._xlws.FILTER(PTS!AG:AG, (PTS!$C:$C=A62) * ISNUMBER(PTS!AG:AG)))</f>
        <v>28.814300000000003</v>
      </c>
      <c r="AD62" s="531" cm="1">
        <f t="array" ref="AD62">AVERAGE(_xlfn._xlws.FILTER(PTS!AH:AH, (PTS!$C:$C=A62) * ISNUMBER(PTS!AH:AH)))</f>
        <v>6.973140495867769</v>
      </c>
      <c r="AE62" s="531" cm="1">
        <f t="array" ref="AE62">AVERAGE(_xlfn._xlws.FILTER(PTS!AI:AI, (PTS!$C:$C=A62) * ISNUMBER(PTS!AI:AI)))</f>
        <v>12.587317427197677</v>
      </c>
      <c r="AF62" s="531" cm="1">
        <f t="array" ref="AF62">AVERAGE(_xlfn._xlws.FILTER(PTS!AJ:AJ, (PTS!$C:$C=A62) * ISNUMBER(PTS!AJ:AJ)))</f>
        <v>6.7351999999999999</v>
      </c>
      <c r="AH62" s="531">
        <f t="shared" si="6"/>
        <v>55.109957923065444</v>
      </c>
      <c r="AI62" s="10" cm="1">
        <f t="array" ref="AI62">AVERAGE(_xlfn._xlws.FILTER(PTS!AM:AM, (PTS!$C:$C=A62) * ISNUMBER(PTS!AM:AM)))</f>
        <v>79.999999999999986</v>
      </c>
      <c r="AJ62" s="10" cm="1">
        <f t="array" ref="AJ62">AVERAGE(_xlfn._xlws.FILTER(PTS!AN:AN, (PTS!$C:$C=A62) * ISNUMBER(PTS!AN:AN)))</f>
        <v>26.17808219178082</v>
      </c>
      <c r="AK62" s="10" cm="1">
        <f t="array" ref="AK62">AVERAGE(_xlfn._xlws.FILTER(PTS!AO:AO, (PTS!$C:$C=A62) * ISNUMBER(PTS!AO:AO)))</f>
        <v>0</v>
      </c>
      <c r="AN62" s="10">
        <f t="shared" si="7"/>
        <v>106.1780821917808</v>
      </c>
      <c r="AR62" s="531">
        <f t="shared" si="8"/>
        <v>924.93652496333107</v>
      </c>
      <c r="AS62" s="531">
        <f t="shared" si="9"/>
        <v>1247.9365249633308</v>
      </c>
    </row>
    <row r="63" spans="1:45">
      <c r="A63" s="32" t="s">
        <v>250</v>
      </c>
      <c r="B63" s="319" t="s">
        <v>149</v>
      </c>
      <c r="C63" s="319" t="str">
        <f t="shared" si="0"/>
        <v>DellAR</v>
      </c>
      <c r="D63" s="10">
        <f>VLOOKUP(A:A,PTS!C:R,6,FALSE)</f>
        <v>1</v>
      </c>
      <c r="E63" s="531" cm="1">
        <f t="array" ref="E63">AVERAGE(_xlfn._xlws.FILTER(PTS!I:I, (PTS!$C:$C=A63) * ISNUMBER(PTS!I:I)))</f>
        <v>65</v>
      </c>
      <c r="F63" s="10" cm="1">
        <f t="array" ref="F63">AVERAGE(_xlfn._xlws.FILTER(PTS!J:J, (PTS!$C:$C=A63) * ISNUMBER(PTS!J:J)))</f>
        <v>365</v>
      </c>
      <c r="G63" s="531" cm="1">
        <f t="array" ref="G63">AVERAGE(_xlfn._xlws.FILTER(PTS!K:K, (PTS!$C:$C=A63) * ISNUMBER(PTS!K:K)))</f>
        <v>0</v>
      </c>
      <c r="H63" s="531" cm="1">
        <f t="array" ref="H63">AVERAGE(_xlfn._xlws.FILTER(PTS!L:L, (PTS!$C:$C=A63) * ISNUMBER(PTS!L:L)))</f>
        <v>0</v>
      </c>
      <c r="I63" s="531" cm="1">
        <f t="array" ref="I63">AVERAGE(_xlfn._xlws.FILTER(PTS!M:M, (PTS!$C:$C=A63) * ISNUMBER(PTS!M:M)))</f>
        <v>0</v>
      </c>
      <c r="J63" s="531" cm="1">
        <f t="array" ref="J63">AVERAGE(_xlfn._xlws.FILTER(PTS!N:N, (PTS!$C:$C=A63) * ISNUMBER(PTS!N:N)))</f>
        <v>65</v>
      </c>
      <c r="K63" s="531" cm="1">
        <f t="array" ref="K63">AVERAGE(_xlfn._xlws.FILTER(PTS!O:O, (PTS!$C:$C=A63) * ISNUMBER(PTS!O:O)))</f>
        <v>37.916666666666671</v>
      </c>
      <c r="L63" s="10" cm="1">
        <f t="array" ref="L63">AVERAGE(_xlfn._xlws.FILTER(PTS!P:P, (PTS!$C:$C=A63) * ISNUMBER(PTS!P:P)))</f>
        <v>0</v>
      </c>
      <c r="M63" s="531">
        <f t="shared" si="1"/>
        <v>532.91666666666663</v>
      </c>
      <c r="N63" s="531">
        <f t="shared" si="2"/>
        <v>102.91666666666667</v>
      </c>
      <c r="O63" s="531" cm="1">
        <f t="array" ref="O63">AVERAGE(_xlfn._xlws.FILTER(PTS!S:S, (PTS!$C:$C=A63) * ISNUMBER(PTS!S:S)))</f>
        <v>20</v>
      </c>
      <c r="P63" s="531" cm="1">
        <f t="array" ref="P63">AVERAGE(_xlfn._xlws.FILTER(PTS!T:T, (PTS!$C:$C=A63) * ISNUMBER(PTS!T:T)))</f>
        <v>5</v>
      </c>
      <c r="Q63" s="531" cm="1">
        <f t="array" ref="Q63">AVERAGE(_xlfn._xlws.FILTER(PTS!U:U, (PTS!$C:$C=A63) * ISNUMBER(PTS!U:U)))</f>
        <v>169.88636363636363</v>
      </c>
      <c r="S63" s="531">
        <f t="shared" si="3"/>
        <v>194.88636363636363</v>
      </c>
      <c r="T63" s="531" cm="1">
        <f t="array" ref="T63">AVERAGE(_xlfn._xlws.FILTER(PTS!X:X, (PTS!$C:$C=A63) * ISNUMBER(PTS!X:X)))</f>
        <v>50</v>
      </c>
      <c r="U63" s="531" cm="1">
        <f t="array" ref="U63">AVERAGE(_xlfn._xlws.FILTER(PTS!Y:Y, (PTS!$C:$C=A63) * ISNUMBER(PTS!Y:Y)))</f>
        <v>33.6</v>
      </c>
      <c r="V63" s="531" cm="1">
        <f t="array" ref="V63">AVERAGE(_xlfn._xlws.FILTER(PTS!Z:Z, (PTS!$C:$C=A63) * ISNUMBER(PTS!Z:Z)))</f>
        <v>26.25</v>
      </c>
      <c r="X63" s="531">
        <f t="shared" si="4"/>
        <v>109.85</v>
      </c>
      <c r="Y63" s="531" cm="1">
        <f t="array" ref="Y63">AVERAGE(_xlfn._xlws.FILTER(PTS!AC:AC, (PTS!$C:$C=A63) * ISNUMBER(PTS!AC:AC)))</f>
        <v>146.02272727272725</v>
      </c>
      <c r="Z63" s="531" cm="1">
        <f t="array" ref="Z63">AVERAGE(_xlfn._xlws.FILTER(PTS!AD:AD, (PTS!$C:$C=A63) * ISNUMBER(PTS!AD:AD)))</f>
        <v>182.72727272727275</v>
      </c>
      <c r="AB63" s="531">
        <f t="shared" si="5"/>
        <v>328.75</v>
      </c>
      <c r="AC63" s="10" cm="1">
        <f t="array" ref="AC63">AVERAGE(_xlfn._xlws.FILTER(PTS!AG:AG, (PTS!$C:$C=A63) * ISNUMBER(PTS!AG:AG)))</f>
        <v>28.814300000000003</v>
      </c>
      <c r="AD63" s="531" cm="1">
        <f t="array" ref="AD63">AVERAGE(_xlfn._xlws.FILTER(PTS!AH:AH, (PTS!$C:$C=A63) * ISNUMBER(PTS!AH:AH)))</f>
        <v>6.973140495867769</v>
      </c>
      <c r="AE63" s="531" cm="1">
        <f t="array" ref="AE63">AVERAGE(_xlfn._xlws.FILTER(PTS!AI:AI, (PTS!$C:$C=A63) * ISNUMBER(PTS!AI:AI)))</f>
        <v>12.587317427197677</v>
      </c>
      <c r="AF63" s="531" cm="1">
        <f t="array" ref="AF63">AVERAGE(_xlfn._xlws.FILTER(PTS!AJ:AJ, (PTS!$C:$C=A63) * ISNUMBER(PTS!AJ:AJ)))</f>
        <v>6.7351999999999999</v>
      </c>
      <c r="AH63" s="531">
        <f t="shared" si="6"/>
        <v>55.109957923065444</v>
      </c>
      <c r="AI63" s="10" cm="1">
        <f t="array" ref="AI63">AVERAGE(_xlfn._xlws.FILTER(PTS!AM:AM, (PTS!$C:$C=A63) * ISNUMBER(PTS!AM:AM)))</f>
        <v>79.999999999999986</v>
      </c>
      <c r="AJ63" s="10" cm="1">
        <f t="array" ref="AJ63">AVERAGE(_xlfn._xlws.FILTER(PTS!AN:AN, (PTS!$C:$C=A63) * ISNUMBER(PTS!AN:AN)))</f>
        <v>26.17808219178082</v>
      </c>
      <c r="AK63" s="10" cm="1">
        <f t="array" ref="AK63">AVERAGE(_xlfn._xlws.FILTER(PTS!AO:AO, (PTS!$C:$C=A63) * ISNUMBER(PTS!AO:AO)))</f>
        <v>0</v>
      </c>
      <c r="AN63" s="10">
        <f t="shared" si="7"/>
        <v>106.1780821917808</v>
      </c>
      <c r="AR63" s="531">
        <f t="shared" si="8"/>
        <v>897.69107041787652</v>
      </c>
      <c r="AS63" s="531">
        <f t="shared" si="9"/>
        <v>1327.6910704178765</v>
      </c>
    </row>
    <row r="64" spans="1:45">
      <c r="A64" s="32" t="s">
        <v>252</v>
      </c>
      <c r="B64" s="319" t="s">
        <v>253</v>
      </c>
      <c r="C64" s="319" t="str">
        <f t="shared" si="0"/>
        <v>DemingNM</v>
      </c>
      <c r="D64" s="10">
        <f>VLOOKUP(A:A,PTS!C:R,6,FALSE)</f>
        <v>1</v>
      </c>
      <c r="E64" s="531" cm="1">
        <f t="array" ref="E64">AVERAGE(_xlfn._xlws.FILTER(PTS!I:I, (PTS!$C:$C=A64) * ISNUMBER(PTS!I:I)))</f>
        <v>70</v>
      </c>
      <c r="F64" s="10" cm="1">
        <f t="array" ref="F64">AVERAGE(_xlfn._xlws.FILTER(PTS!J:J, (PTS!$C:$C=A64) * ISNUMBER(PTS!J:J)))</f>
        <v>130</v>
      </c>
      <c r="G64" s="531" cm="1">
        <f t="array" ref="G64">AVERAGE(_xlfn._xlws.FILTER(PTS!K:K, (PTS!$C:$C=A64) * ISNUMBER(PTS!K:K)))</f>
        <v>200</v>
      </c>
      <c r="H64" s="531" cm="1">
        <f t="array" ref="H64">AVERAGE(_xlfn._xlws.FILTER(PTS!L:L, (PTS!$C:$C=A64) * ISNUMBER(PTS!L:L)))</f>
        <v>0</v>
      </c>
      <c r="I64" s="531" cm="1">
        <f t="array" ref="I64">AVERAGE(_xlfn._xlws.FILTER(PTS!M:M, (PTS!$C:$C=A64) * ISNUMBER(PTS!M:M)))</f>
        <v>0</v>
      </c>
      <c r="J64" s="531" cm="1">
        <f t="array" ref="J64">AVERAGE(_xlfn._xlws.FILTER(PTS!N:N, (PTS!$C:$C=A64) * ISNUMBER(PTS!N:N)))</f>
        <v>66</v>
      </c>
      <c r="K64" s="531" cm="1">
        <f t="array" ref="K64">AVERAGE(_xlfn._xlws.FILTER(PTS!O:O, (PTS!$C:$C=A64) * ISNUMBER(PTS!O:O)))</f>
        <v>37.916666666666671</v>
      </c>
      <c r="L64" s="10" t="e" cm="1" vm="1">
        <f t="array" ref="L64">AVERAGE(_xlfn._xlws.FILTER(PTS!P:P, (PTS!$C:$C=A64) * ISNUMBER(PTS!P:P)))</f>
        <v>#VALUE!</v>
      </c>
      <c r="M64" s="531" t="e" vm="2">
        <f t="shared" si="1"/>
        <v>#VALUE!</v>
      </c>
      <c r="N64" s="531">
        <f t="shared" si="2"/>
        <v>103.91666666666667</v>
      </c>
      <c r="O64" s="531" cm="1">
        <f t="array" ref="O64">AVERAGE(_xlfn._xlws.FILTER(PTS!S:S, (PTS!$C:$C=A64) * ISNUMBER(PTS!S:S)))</f>
        <v>0</v>
      </c>
      <c r="P64" s="531" cm="1">
        <f t="array" ref="P64">AVERAGE(_xlfn._xlws.FILTER(PTS!T:T, (PTS!$C:$C=A64) * ISNUMBER(PTS!T:T)))</f>
        <v>0</v>
      </c>
      <c r="Q64" s="531" t="e" cm="1" vm="1">
        <f t="array" ref="Q64">AVERAGE(_xlfn._xlws.FILTER(PTS!U:U, (PTS!$C:$C=A64) * ISNUMBER(PTS!U:U)))</f>
        <v>#VALUE!</v>
      </c>
      <c r="S64" s="531" t="e" vm="2">
        <f t="shared" si="3"/>
        <v>#VALUE!</v>
      </c>
      <c r="T64" s="531" t="e" cm="1" vm="1">
        <f t="array" ref="T64">AVERAGE(_xlfn._xlws.FILTER(PTS!X:X, (PTS!$C:$C=A64) * ISNUMBER(PTS!X:X)))</f>
        <v>#VALUE!</v>
      </c>
      <c r="U64" s="531" t="e" cm="1" vm="1">
        <f t="array" ref="U64">AVERAGE(_xlfn._xlws.FILTER(PTS!Y:Y, (PTS!$C:$C=A64) * ISNUMBER(PTS!Y:Y)))</f>
        <v>#VALUE!</v>
      </c>
      <c r="V64" s="531" cm="1">
        <f t="array" ref="V64">AVERAGE(_xlfn._xlws.FILTER(PTS!Z:Z, (PTS!$C:$C=A64) * ISNUMBER(PTS!Z:Z)))</f>
        <v>26.25</v>
      </c>
      <c r="X64" s="531" t="e" vm="2">
        <f t="shared" si="4"/>
        <v>#VALUE!</v>
      </c>
      <c r="Y64" s="531" t="e" cm="1" vm="1">
        <f t="array" ref="Y64">AVERAGE(_xlfn._xlws.FILTER(PTS!AC:AC, (PTS!$C:$C=A64) * ISNUMBER(PTS!AC:AC)))</f>
        <v>#VALUE!</v>
      </c>
      <c r="Z64" s="531" t="e" cm="1" vm="1">
        <f t="array" ref="Z64">AVERAGE(_xlfn._xlws.FILTER(PTS!AD:AD, (PTS!$C:$C=A64) * ISNUMBER(PTS!AD:AD)))</f>
        <v>#VALUE!</v>
      </c>
      <c r="AB64" s="531" t="e" vm="2">
        <f t="shared" si="5"/>
        <v>#VALUE!</v>
      </c>
      <c r="AC64" s="10" cm="1">
        <f t="array" ref="AC64">AVERAGE(_xlfn._xlws.FILTER(PTS!AG:AG, (PTS!$C:$C=A64) * ISNUMBER(PTS!AG:AG)))</f>
        <v>28.814300000000003</v>
      </c>
      <c r="AD64" s="531" cm="1">
        <f t="array" ref="AD64">AVERAGE(_xlfn._xlws.FILTER(PTS!AH:AH, (PTS!$C:$C=A64) * ISNUMBER(PTS!AH:AH)))</f>
        <v>6.973140495867769</v>
      </c>
      <c r="AE64" s="531" cm="1">
        <f t="array" ref="AE64">AVERAGE(_xlfn._xlws.FILTER(PTS!AI:AI, (PTS!$C:$C=A64) * ISNUMBER(PTS!AI:AI)))</f>
        <v>12.587317427197677</v>
      </c>
      <c r="AF64" s="531" cm="1">
        <f t="array" ref="AF64">AVERAGE(_xlfn._xlws.FILTER(PTS!AJ:AJ, (PTS!$C:$C=A64) * ISNUMBER(PTS!AJ:AJ)))</f>
        <v>6.7351999999999999</v>
      </c>
      <c r="AH64" s="531">
        <f t="shared" si="6"/>
        <v>55.109957923065444</v>
      </c>
      <c r="AI64" s="10" cm="1">
        <f t="array" ref="AI64">AVERAGE(_xlfn._xlws.FILTER(PTS!AM:AM, (PTS!$C:$C=A64) * ISNUMBER(PTS!AM:AM)))</f>
        <v>79.999999999999986</v>
      </c>
      <c r="AJ64" s="10" cm="1">
        <f t="array" ref="AJ64">AVERAGE(_xlfn._xlws.FILTER(PTS!AN:AN, (PTS!$C:$C=A64) * ISNUMBER(PTS!AN:AN)))</f>
        <v>26.17808219178082</v>
      </c>
      <c r="AK64" s="10" cm="1">
        <f t="array" ref="AK64">AVERAGE(_xlfn._xlws.FILTER(PTS!AO:AO, (PTS!$C:$C=A64) * ISNUMBER(PTS!AO:AO)))</f>
        <v>0</v>
      </c>
      <c r="AN64" s="10">
        <f t="shared" si="7"/>
        <v>106.1780821917808</v>
      </c>
      <c r="AR64" s="531" t="e" vm="2">
        <f t="shared" si="8"/>
        <v>#VALUE!</v>
      </c>
      <c r="AS64" s="531" t="e" vm="2">
        <f t="shared" si="9"/>
        <v>#VALUE!</v>
      </c>
    </row>
    <row r="65" spans="1:45">
      <c r="A65" s="32" t="s">
        <v>256</v>
      </c>
      <c r="B65" s="319" t="s">
        <v>71</v>
      </c>
      <c r="C65" s="319" t="str">
        <f t="shared" si="0"/>
        <v>Denver CityTX</v>
      </c>
      <c r="D65" s="10">
        <f>VLOOKUP(A:A,PTS!C:R,6,FALSE)</f>
        <v>2</v>
      </c>
      <c r="E65" s="531" cm="1">
        <f t="array" ref="E65">AVERAGE(_xlfn._xlws.FILTER(PTS!I:I, (PTS!$C:$C=A65) * ISNUMBER(PTS!I:I)))</f>
        <v>94.800000000000011</v>
      </c>
      <c r="F65" s="10" cm="1">
        <f t="array" ref="F65">AVERAGE(_xlfn._xlws.FILTER(PTS!J:J, (PTS!$C:$C=A65) * ISNUMBER(PTS!J:J)))</f>
        <v>114</v>
      </c>
      <c r="G65" s="531" cm="1">
        <f t="array" ref="G65">AVERAGE(_xlfn._xlws.FILTER(PTS!K:K, (PTS!$C:$C=A65) * ISNUMBER(PTS!K:K)))</f>
        <v>194.8</v>
      </c>
      <c r="H65" s="531" cm="1">
        <f t="array" ref="H65">AVERAGE(_xlfn._xlws.FILTER(PTS!L:L, (PTS!$C:$C=A65) * ISNUMBER(PTS!L:L)))</f>
        <v>0</v>
      </c>
      <c r="I65" s="531" cm="1">
        <f t="array" ref="I65">AVERAGE(_xlfn._xlws.FILTER(PTS!M:M, (PTS!$C:$C=A65) * ISNUMBER(PTS!M:M)))</f>
        <v>0</v>
      </c>
      <c r="J65" s="531" cm="1">
        <f t="array" ref="J65">AVERAGE(_xlfn._xlws.FILTER(PTS!N:N, (PTS!$C:$C=A65) * ISNUMBER(PTS!N:N)))</f>
        <v>138</v>
      </c>
      <c r="K65" s="531" cm="1">
        <f t="array" ref="K65">AVERAGE(_xlfn._xlws.FILTER(PTS!O:O, (PTS!$C:$C=A65) * ISNUMBER(PTS!O:O)))</f>
        <v>37.916666666666671</v>
      </c>
      <c r="L65" s="10" cm="1">
        <f t="array" ref="L65">AVERAGE(_xlfn._xlws.FILTER(PTS!P:P, (PTS!$C:$C=A65) * ISNUMBER(PTS!P:P)))</f>
        <v>0</v>
      </c>
      <c r="M65" s="531">
        <f t="shared" si="1"/>
        <v>579.51666666666665</v>
      </c>
      <c r="N65" s="531">
        <f t="shared" si="2"/>
        <v>370.7166666666667</v>
      </c>
      <c r="O65" s="531" cm="1">
        <f t="array" ref="O65">AVERAGE(_xlfn._xlws.FILTER(PTS!S:S, (PTS!$C:$C=A65) * ISNUMBER(PTS!S:S)))</f>
        <v>0</v>
      </c>
      <c r="P65" s="531" cm="1">
        <f t="array" ref="P65">AVERAGE(_xlfn._xlws.FILTER(PTS!T:T, (PTS!$C:$C=A65) * ISNUMBER(PTS!T:T)))</f>
        <v>0</v>
      </c>
      <c r="Q65" s="531" cm="1">
        <f t="array" ref="Q65">AVERAGE(_xlfn._xlws.FILTER(PTS!U:U, (PTS!$C:$C=A65) * ISNUMBER(PTS!U:U)))</f>
        <v>311.36363636363637</v>
      </c>
      <c r="S65" s="531">
        <f t="shared" si="3"/>
        <v>311.36363636363637</v>
      </c>
      <c r="T65" s="531" cm="1">
        <f t="array" ref="T65">AVERAGE(_xlfn._xlws.FILTER(PTS!X:X, (PTS!$C:$C=A65) * ISNUMBER(PTS!X:X)))</f>
        <v>54</v>
      </c>
      <c r="U65" s="531" cm="1">
        <f t="array" ref="U65">AVERAGE(_xlfn._xlws.FILTER(PTS!Y:Y, (PTS!$C:$C=A65) * ISNUMBER(PTS!Y:Y)))</f>
        <v>50.4</v>
      </c>
      <c r="V65" s="531" cm="1">
        <f t="array" ref="V65">AVERAGE(_xlfn._xlws.FILTER(PTS!Z:Z, (PTS!$C:$C=A65) * ISNUMBER(PTS!Z:Z)))</f>
        <v>26.25</v>
      </c>
      <c r="X65" s="531">
        <f t="shared" si="4"/>
        <v>130.65</v>
      </c>
      <c r="Y65" s="531" cm="1">
        <f t="array" ref="Y65">AVERAGE(_xlfn._xlws.FILTER(PTS!AC:AC, (PTS!$C:$C=A65) * ISNUMBER(PTS!AC:AC)))</f>
        <v>147.72727272727272</v>
      </c>
      <c r="Z65" s="531" cm="1">
        <f t="array" ref="Z65">AVERAGE(_xlfn._xlws.FILTER(PTS!AD:AD, (PTS!$C:$C=A65) * ISNUMBER(PTS!AD:AD)))</f>
        <v>233.06818181818181</v>
      </c>
      <c r="AB65" s="531">
        <f t="shared" si="5"/>
        <v>380.7954545454545</v>
      </c>
      <c r="AC65" s="10" cm="1">
        <f t="array" ref="AC65">AVERAGE(_xlfn._xlws.FILTER(PTS!AG:AG, (PTS!$C:$C=A65) * ISNUMBER(PTS!AG:AG)))</f>
        <v>28.814300000000003</v>
      </c>
      <c r="AD65" s="531" cm="1">
        <f t="array" ref="AD65">AVERAGE(_xlfn._xlws.FILTER(PTS!AH:AH, (PTS!$C:$C=A65) * ISNUMBER(PTS!AH:AH)))</f>
        <v>6.973140495867769</v>
      </c>
      <c r="AE65" s="531" cm="1">
        <f t="array" ref="AE65">AVERAGE(_xlfn._xlws.FILTER(PTS!AI:AI, (PTS!$C:$C=A65) * ISNUMBER(PTS!AI:AI)))</f>
        <v>12.587317427197677</v>
      </c>
      <c r="AF65" s="531" cm="1">
        <f t="array" ref="AF65">AVERAGE(_xlfn._xlws.FILTER(PTS!AJ:AJ, (PTS!$C:$C=A65) * ISNUMBER(PTS!AJ:AJ)))</f>
        <v>6.7351999999999999</v>
      </c>
      <c r="AH65" s="531">
        <f t="shared" si="6"/>
        <v>55.109957923065444</v>
      </c>
      <c r="AI65" s="10" cm="1">
        <f t="array" ref="AI65">AVERAGE(_xlfn._xlws.FILTER(PTS!AM:AM, (PTS!$C:$C=A65) * ISNUMBER(PTS!AM:AM)))</f>
        <v>79.999999999999986</v>
      </c>
      <c r="AJ65" s="10" cm="1">
        <f t="array" ref="AJ65">AVERAGE(_xlfn._xlws.FILTER(PTS!AN:AN, (PTS!$C:$C=A65) * ISNUMBER(PTS!AN:AN)))</f>
        <v>26.17808219178082</v>
      </c>
      <c r="AK65" s="10" cm="1">
        <f t="array" ref="AK65">AVERAGE(_xlfn._xlws.FILTER(PTS!AO:AO, (PTS!$C:$C=A65) * ISNUMBER(PTS!AO:AO)))</f>
        <v>0</v>
      </c>
      <c r="AN65" s="10">
        <f t="shared" si="7"/>
        <v>106.1780821917808</v>
      </c>
      <c r="AR65" s="531">
        <f t="shared" si="8"/>
        <v>1354.8137976906037</v>
      </c>
      <c r="AS65" s="531">
        <f t="shared" si="9"/>
        <v>1563.6137976906036</v>
      </c>
    </row>
    <row r="66" spans="1:45">
      <c r="A66" s="32" t="s">
        <v>259</v>
      </c>
      <c r="B66" s="319" t="s">
        <v>71</v>
      </c>
      <c r="C66" s="319" t="str">
        <f t="shared" si="0"/>
        <v>DeportTX</v>
      </c>
      <c r="D66" s="10">
        <f>VLOOKUP(A:A,PTS!C:R,6,FALSE)</f>
        <v>3</v>
      </c>
      <c r="E66" s="531" cm="1">
        <f t="array" ref="E66">AVERAGE(_xlfn._xlws.FILTER(PTS!I:I, (PTS!$C:$C=A66) * ISNUMBER(PTS!I:I)))</f>
        <v>95</v>
      </c>
      <c r="F66" s="10" cm="1">
        <f t="array" ref="F66">AVERAGE(_xlfn._xlws.FILTER(PTS!J:J, (PTS!$C:$C=A66) * ISNUMBER(PTS!J:J)))</f>
        <v>140</v>
      </c>
      <c r="G66" s="531" cm="1">
        <f t="array" ref="G66">AVERAGE(_xlfn._xlws.FILTER(PTS!K:K, (PTS!$C:$C=A66) * ISNUMBER(PTS!K:K)))</f>
        <v>199</v>
      </c>
      <c r="H66" s="531" cm="1">
        <f t="array" ref="H66">AVERAGE(_xlfn._xlws.FILTER(PTS!L:L, (PTS!$C:$C=A66) * ISNUMBER(PTS!L:L)))</f>
        <v>0</v>
      </c>
      <c r="I66" s="531" cm="1">
        <f t="array" ref="I66">AVERAGE(_xlfn._xlws.FILTER(PTS!M:M, (PTS!$C:$C=A66) * ISNUMBER(PTS!M:M)))</f>
        <v>26</v>
      </c>
      <c r="J66" s="531" cm="1">
        <f t="array" ref="J66">AVERAGE(_xlfn._xlws.FILTER(PTS!N:N, (PTS!$C:$C=A66) * ISNUMBER(PTS!N:N)))</f>
        <v>75</v>
      </c>
      <c r="K66" s="531" cm="1">
        <f t="array" ref="K66">AVERAGE(_xlfn._xlws.FILTER(PTS!O:O, (PTS!$C:$C=A66) * ISNUMBER(PTS!O:O)))</f>
        <v>37.916666666666671</v>
      </c>
      <c r="L66" s="10" cm="1">
        <f t="array" ref="L66">AVERAGE(_xlfn._xlws.FILTER(PTS!P:P, (PTS!$C:$C=A66) * ISNUMBER(PTS!P:P)))</f>
        <v>0</v>
      </c>
      <c r="M66" s="531">
        <f t="shared" si="1"/>
        <v>572.91666666666663</v>
      </c>
      <c r="N66" s="531">
        <f t="shared" si="2"/>
        <v>451.91666666666669</v>
      </c>
      <c r="O66" s="531" cm="1">
        <f t="array" ref="O66">AVERAGE(_xlfn._xlws.FILTER(PTS!S:S, (PTS!$C:$C=A66) * ISNUMBER(PTS!S:S)))</f>
        <v>0</v>
      </c>
      <c r="P66" s="531" cm="1">
        <f t="array" ref="P66">AVERAGE(_xlfn._xlws.FILTER(PTS!T:T, (PTS!$C:$C=A66) * ISNUMBER(PTS!T:T)))</f>
        <v>0</v>
      </c>
      <c r="Q66" s="531" cm="1">
        <f t="array" ref="Q66">AVERAGE(_xlfn._xlws.FILTER(PTS!U:U, (PTS!$C:$C=A66) * ISNUMBER(PTS!U:U)))</f>
        <v>130.68181818181819</v>
      </c>
      <c r="S66" s="531">
        <f t="shared" si="3"/>
        <v>130.68181818181819</v>
      </c>
      <c r="T66" s="531" cm="1">
        <f t="array" ref="T66">AVERAGE(_xlfn._xlws.FILTER(PTS!X:X, (PTS!$C:$C=A66) * ISNUMBER(PTS!X:X)))</f>
        <v>54</v>
      </c>
      <c r="U66" s="531" cm="1">
        <f t="array" ref="U66">AVERAGE(_xlfn._xlws.FILTER(PTS!Y:Y, (PTS!$C:$C=A66) * ISNUMBER(PTS!Y:Y)))</f>
        <v>50.4</v>
      </c>
      <c r="V66" s="531" cm="1">
        <f t="array" ref="V66">AVERAGE(_xlfn._xlws.FILTER(PTS!Z:Z, (PTS!$C:$C=A66) * ISNUMBER(PTS!Z:Z)))</f>
        <v>26.25</v>
      </c>
      <c r="X66" s="531">
        <f t="shared" si="4"/>
        <v>130.65</v>
      </c>
      <c r="Y66" s="531" cm="1">
        <f t="array" ref="Y66">AVERAGE(_xlfn._xlws.FILTER(PTS!AC:AC, (PTS!$C:$C=A66) * ISNUMBER(PTS!AC:AC)))</f>
        <v>162.5</v>
      </c>
      <c r="Z66" s="531" cm="1">
        <f t="array" ref="Z66">AVERAGE(_xlfn._xlws.FILTER(PTS!AD:AD, (PTS!$C:$C=A66) * ISNUMBER(PTS!AD:AD)))</f>
        <v>268.18181818181819</v>
      </c>
      <c r="AB66" s="531">
        <f t="shared" si="5"/>
        <v>430.68181818181819</v>
      </c>
      <c r="AC66" s="10" cm="1">
        <f t="array" ref="AC66">AVERAGE(_xlfn._xlws.FILTER(PTS!AG:AG, (PTS!$C:$C=A66) * ISNUMBER(PTS!AG:AG)))</f>
        <v>28.814300000000003</v>
      </c>
      <c r="AD66" s="531" cm="1">
        <f t="array" ref="AD66">AVERAGE(_xlfn._xlws.FILTER(PTS!AH:AH, (PTS!$C:$C=A66) * ISNUMBER(PTS!AH:AH)))</f>
        <v>6.973140495867769</v>
      </c>
      <c r="AE66" s="531" cm="1">
        <f t="array" ref="AE66">AVERAGE(_xlfn._xlws.FILTER(PTS!AI:AI, (PTS!$C:$C=A66) * ISNUMBER(PTS!AI:AI)))</f>
        <v>12.587317427197677</v>
      </c>
      <c r="AF66" s="531" cm="1">
        <f t="array" ref="AF66">AVERAGE(_xlfn._xlws.FILTER(PTS!AJ:AJ, (PTS!$C:$C=A66) * ISNUMBER(PTS!AJ:AJ)))</f>
        <v>6.7351999999999999</v>
      </c>
      <c r="AH66" s="531">
        <f t="shared" si="6"/>
        <v>55.109957923065444</v>
      </c>
      <c r="AI66" s="10" cm="1">
        <f t="array" ref="AI66">AVERAGE(_xlfn._xlws.FILTER(PTS!AM:AM, (PTS!$C:$C=A66) * ISNUMBER(PTS!AM:AM)))</f>
        <v>79.999999999999986</v>
      </c>
      <c r="AJ66" s="10" cm="1">
        <f t="array" ref="AJ66">AVERAGE(_xlfn._xlws.FILTER(PTS!AN:AN, (PTS!$C:$C=A66) * ISNUMBER(PTS!AN:AN)))</f>
        <v>26.17808219178082</v>
      </c>
      <c r="AK66" s="10" cm="1">
        <f t="array" ref="AK66">AVERAGE(_xlfn._xlws.FILTER(PTS!AO:AO, (PTS!$C:$C=A66) * ISNUMBER(PTS!AO:AO)))</f>
        <v>0</v>
      </c>
      <c r="AN66" s="10">
        <f t="shared" si="7"/>
        <v>106.1780821917808</v>
      </c>
      <c r="AR66" s="531">
        <f t="shared" si="8"/>
        <v>1305.2183431451492</v>
      </c>
      <c r="AS66" s="531">
        <f t="shared" si="9"/>
        <v>1426.218343145149</v>
      </c>
    </row>
    <row r="67" spans="1:45">
      <c r="A67" s="32" t="s">
        <v>262</v>
      </c>
      <c r="B67" s="319" t="s">
        <v>149</v>
      </c>
      <c r="C67" s="319" t="str">
        <f t="shared" ref="C67:C130" si="10">A67&amp;B67</f>
        <v>DermottAR</v>
      </c>
      <c r="D67" s="10">
        <f>VLOOKUP(A:A,PTS!C:R,6,FALSE)</f>
        <v>1</v>
      </c>
      <c r="E67" s="531" cm="1">
        <f t="array" ref="E67">AVERAGE(_xlfn._xlws.FILTER(PTS!I:I, (PTS!$C:$C=A67) * ISNUMBER(PTS!I:I)))</f>
        <v>80</v>
      </c>
      <c r="F67" s="10" cm="1">
        <f t="array" ref="F67">AVERAGE(_xlfn._xlws.FILTER(PTS!J:J, (PTS!$C:$C=A67) * ISNUMBER(PTS!J:J)))</f>
        <v>205</v>
      </c>
      <c r="G67" s="531" cm="1">
        <f t="array" ref="G67">AVERAGE(_xlfn._xlws.FILTER(PTS!K:K, (PTS!$C:$C=A67) * ISNUMBER(PTS!K:K)))</f>
        <v>160</v>
      </c>
      <c r="H67" s="531" cm="1">
        <f t="array" ref="H67">AVERAGE(_xlfn._xlws.FILTER(PTS!L:L, (PTS!$C:$C=A67) * ISNUMBER(PTS!L:L)))</f>
        <v>0</v>
      </c>
      <c r="I67" s="531" cm="1">
        <f t="array" ref="I67">AVERAGE(_xlfn._xlws.FILTER(PTS!M:M, (PTS!$C:$C=A67) * ISNUMBER(PTS!M:M)))</f>
        <v>0</v>
      </c>
      <c r="J67" s="531" cm="1">
        <f t="array" ref="J67">AVERAGE(_xlfn._xlws.FILTER(PTS!N:N, (PTS!$C:$C=A67) * ISNUMBER(PTS!N:N)))</f>
        <v>65</v>
      </c>
      <c r="K67" s="531" cm="1">
        <f t="array" ref="K67">AVERAGE(_xlfn._xlws.FILTER(PTS!O:O, (PTS!$C:$C=A67) * ISNUMBER(PTS!O:O)))</f>
        <v>37.916666666666671</v>
      </c>
      <c r="L67" s="10" cm="1">
        <f t="array" ref="L67">AVERAGE(_xlfn._xlws.FILTER(PTS!P:P, (PTS!$C:$C=A67) * ISNUMBER(PTS!P:P)))</f>
        <v>0</v>
      </c>
      <c r="M67" s="531">
        <f t="shared" ref="M67:M130" si="11">E67+F67+G67+H67+I67+J67+K67+L67</f>
        <v>547.91666666666663</v>
      </c>
      <c r="N67" s="531">
        <f t="shared" ref="N67:N130" si="12">IF(D67=1,SUM(J67),IF(D67=2,SUM(G67,J67),IF(D67=3,SUM(F67,G67,H67,J67),IF(D67=4,SUM(H67),"ERROR"))))+K67</f>
        <v>102.91666666666667</v>
      </c>
      <c r="O67" s="531" cm="1">
        <f t="array" ref="O67">AVERAGE(_xlfn._xlws.FILTER(PTS!S:S, (PTS!$C:$C=A67) * ISNUMBER(PTS!S:S)))</f>
        <v>0</v>
      </c>
      <c r="P67" s="531" cm="1">
        <f t="array" ref="P67">AVERAGE(_xlfn._xlws.FILTER(PTS!T:T, (PTS!$C:$C=A67) * ISNUMBER(PTS!T:T)))</f>
        <v>0</v>
      </c>
      <c r="Q67" s="531" cm="1">
        <f t="array" ref="Q67">AVERAGE(_xlfn._xlws.FILTER(PTS!U:U, (PTS!$C:$C=A67) * ISNUMBER(PTS!U:U)))</f>
        <v>297.72727272727275</v>
      </c>
      <c r="S67" s="531">
        <f t="shared" ref="S67:S130" si="13">O67+P67+Q67+R67</f>
        <v>297.72727272727275</v>
      </c>
      <c r="T67" s="531" cm="1">
        <f t="array" ref="T67">AVERAGE(_xlfn._xlws.FILTER(PTS!X:X, (PTS!$C:$C=A67) * ISNUMBER(PTS!X:X)))</f>
        <v>50</v>
      </c>
      <c r="U67" s="531" cm="1">
        <f t="array" ref="U67">AVERAGE(_xlfn._xlws.FILTER(PTS!Y:Y, (PTS!$C:$C=A67) * ISNUMBER(PTS!Y:Y)))</f>
        <v>33.6</v>
      </c>
      <c r="V67" s="531" cm="1">
        <f t="array" ref="V67">AVERAGE(_xlfn._xlws.FILTER(PTS!Z:Z, (PTS!$C:$C=A67) * ISNUMBER(PTS!Z:Z)))</f>
        <v>26.25</v>
      </c>
      <c r="X67" s="531">
        <f t="shared" ref="X67:X130" si="14">T67+U67+V67+W67</f>
        <v>109.85</v>
      </c>
      <c r="Y67" s="531" cm="1">
        <f t="array" ref="Y67">AVERAGE(_xlfn._xlws.FILTER(PTS!AC:AC, (PTS!$C:$C=A67) * ISNUMBER(PTS!AC:AC)))</f>
        <v>146.02272727272725</v>
      </c>
      <c r="Z67" s="531" cm="1">
        <f t="array" ref="Z67">AVERAGE(_xlfn._xlws.FILTER(PTS!AD:AD, (PTS!$C:$C=A67) * ISNUMBER(PTS!AD:AD)))</f>
        <v>182.72727272727275</v>
      </c>
      <c r="AB67" s="531">
        <f t="shared" ref="AB67:AB130" si="15">Y67+Z67+AA67</f>
        <v>328.75</v>
      </c>
      <c r="AC67" s="10" cm="1">
        <f t="array" ref="AC67">AVERAGE(_xlfn._xlws.FILTER(PTS!AG:AG, (PTS!$C:$C=A67) * ISNUMBER(PTS!AG:AG)))</f>
        <v>28.814300000000003</v>
      </c>
      <c r="AD67" s="531" cm="1">
        <f t="array" ref="AD67">AVERAGE(_xlfn._xlws.FILTER(PTS!AH:AH, (PTS!$C:$C=A67) * ISNUMBER(PTS!AH:AH)))</f>
        <v>6.973140495867769</v>
      </c>
      <c r="AE67" s="531" cm="1">
        <f t="array" ref="AE67">AVERAGE(_xlfn._xlws.FILTER(PTS!AI:AI, (PTS!$C:$C=A67) * ISNUMBER(PTS!AI:AI)))</f>
        <v>12.587317427197677</v>
      </c>
      <c r="AF67" s="531" cm="1">
        <f t="array" ref="AF67">AVERAGE(_xlfn._xlws.FILTER(PTS!AJ:AJ, (PTS!$C:$C=A67) * ISNUMBER(PTS!AJ:AJ)))</f>
        <v>6.7351999999999999</v>
      </c>
      <c r="AH67" s="531">
        <f t="shared" ref="AH67:AH130" si="16">AC67+AD67+AE67+AF67+AG67</f>
        <v>55.109957923065444</v>
      </c>
      <c r="AI67" s="10" cm="1">
        <f t="array" ref="AI67">AVERAGE(_xlfn._xlws.FILTER(PTS!AM:AM, (PTS!$C:$C=A67) * ISNUMBER(PTS!AM:AM)))</f>
        <v>79.999999999999986</v>
      </c>
      <c r="AJ67" s="10" cm="1">
        <f t="array" ref="AJ67">AVERAGE(_xlfn._xlws.FILTER(PTS!AN:AN, (PTS!$C:$C=A67) * ISNUMBER(PTS!AN:AN)))</f>
        <v>26.17808219178082</v>
      </c>
      <c r="AK67" s="10" cm="1">
        <f t="array" ref="AK67">AVERAGE(_xlfn._xlws.FILTER(PTS!AO:AO, (PTS!$C:$C=A67) * ISNUMBER(PTS!AO:AO)))</f>
        <v>0</v>
      </c>
      <c r="AN67" s="10">
        <f t="shared" ref="AN67:AN130" si="17">AI67+AJ67+AK67+AL67+AM67</f>
        <v>106.1780821917808</v>
      </c>
      <c r="AR67" s="531">
        <f t="shared" ref="AR67:AR130" si="18">N67+S67+X67+AB67+AH67+AN67</f>
        <v>1000.5319795087856</v>
      </c>
      <c r="AS67" s="531">
        <f t="shared" ref="AS67:AS130" si="19">M67+S67+X67+AB67+AH67+AN67</f>
        <v>1445.5319795087855</v>
      </c>
    </row>
    <row r="68" spans="1:45">
      <c r="A68" s="32" t="s">
        <v>265</v>
      </c>
      <c r="B68" s="319" t="s">
        <v>71</v>
      </c>
      <c r="C68" s="319" t="str">
        <f t="shared" si="10"/>
        <v>DesotoTX</v>
      </c>
      <c r="D68" s="10">
        <f>VLOOKUP(A:A,PTS!C:R,6,FALSE)</f>
        <v>3</v>
      </c>
      <c r="E68" s="531" cm="1">
        <f t="array" ref="E68">AVERAGE(_xlfn._xlws.FILTER(PTS!I:I, (PTS!$C:$C=A68) * ISNUMBER(PTS!I:I)))</f>
        <v>57.5</v>
      </c>
      <c r="F68" s="10" cm="1">
        <f t="array" ref="F68">AVERAGE(_xlfn._xlws.FILTER(PTS!J:J, (PTS!$C:$C=A68) * ISNUMBER(PTS!J:J)))</f>
        <v>105</v>
      </c>
      <c r="G68" s="531" cm="1">
        <f t="array" ref="G68">AVERAGE(_xlfn._xlws.FILTER(PTS!K:K, (PTS!$C:$C=A68) * ISNUMBER(PTS!K:K)))</f>
        <v>0</v>
      </c>
      <c r="H68" s="531" cm="1">
        <f t="array" ref="H68">AVERAGE(_xlfn._xlws.FILTER(PTS!L:L, (PTS!$C:$C=A68) * ISNUMBER(PTS!L:L)))</f>
        <v>0</v>
      </c>
      <c r="I68" s="531" cm="1">
        <f t="array" ref="I68">AVERAGE(_xlfn._xlws.FILTER(PTS!M:M, (PTS!$C:$C=A68) * ISNUMBER(PTS!M:M)))</f>
        <v>0</v>
      </c>
      <c r="J68" s="531" cm="1">
        <f t="array" ref="J68">AVERAGE(_xlfn._xlws.FILTER(PTS!N:N, (PTS!$C:$C=A68) * ISNUMBER(PTS!N:N)))</f>
        <v>88.5</v>
      </c>
      <c r="K68" s="531" cm="1">
        <f t="array" ref="K68">AVERAGE(_xlfn._xlws.FILTER(PTS!O:O, (PTS!$C:$C=A68) * ISNUMBER(PTS!O:O)))</f>
        <v>37.916666666666671</v>
      </c>
      <c r="L68" s="10" cm="1">
        <f t="array" ref="L68">AVERAGE(_xlfn._xlws.FILTER(PTS!P:P, (PTS!$C:$C=A68) * ISNUMBER(PTS!P:P)))</f>
        <v>0</v>
      </c>
      <c r="M68" s="531">
        <f t="shared" si="11"/>
        <v>288.91666666666669</v>
      </c>
      <c r="N68" s="531">
        <f t="shared" si="12"/>
        <v>231.41666666666669</v>
      </c>
      <c r="O68" s="531" cm="1">
        <f t="array" ref="O68">AVERAGE(_xlfn._xlws.FILTER(PTS!S:S, (PTS!$C:$C=A68) * ISNUMBER(PTS!S:S)))</f>
        <v>0</v>
      </c>
      <c r="P68" s="531" cm="1">
        <f t="array" ref="P68">AVERAGE(_xlfn._xlws.FILTER(PTS!T:T, (PTS!$C:$C=A68) * ISNUMBER(PTS!T:T)))</f>
        <v>0</v>
      </c>
      <c r="Q68" s="531" cm="1">
        <f t="array" ref="Q68">AVERAGE(_xlfn._xlws.FILTER(PTS!U:U, (PTS!$C:$C=A68) * ISNUMBER(PTS!U:U)))</f>
        <v>207.38636363636363</v>
      </c>
      <c r="S68" s="531">
        <f t="shared" si="13"/>
        <v>207.38636363636363</v>
      </c>
      <c r="T68" s="531" cm="1">
        <f t="array" ref="T68">AVERAGE(_xlfn._xlws.FILTER(PTS!X:X, (PTS!$C:$C=A68) * ISNUMBER(PTS!X:X)))</f>
        <v>54</v>
      </c>
      <c r="U68" s="531" cm="1">
        <f t="array" ref="U68">AVERAGE(_xlfn._xlws.FILTER(PTS!Y:Y, (PTS!$C:$C=A68) * ISNUMBER(PTS!Y:Y)))</f>
        <v>50.4</v>
      </c>
      <c r="V68" s="531" cm="1">
        <f t="array" ref="V68">AVERAGE(_xlfn._xlws.FILTER(PTS!Z:Z, (PTS!$C:$C=A68) * ISNUMBER(PTS!Z:Z)))</f>
        <v>26.25</v>
      </c>
      <c r="X68" s="531">
        <f t="shared" si="14"/>
        <v>130.65</v>
      </c>
      <c r="Y68" s="531" cm="1">
        <f t="array" ref="Y68">AVERAGE(_xlfn._xlws.FILTER(PTS!AC:AC, (PTS!$C:$C=A68) * ISNUMBER(PTS!AC:AC)))</f>
        <v>147.72727272727272</v>
      </c>
      <c r="Z68" s="531" cm="1">
        <f t="array" ref="Z68">AVERAGE(_xlfn._xlws.FILTER(PTS!AD:AD, (PTS!$C:$C=A68) * ISNUMBER(PTS!AD:AD)))</f>
        <v>233.06818181818181</v>
      </c>
      <c r="AB68" s="531">
        <f t="shared" si="15"/>
        <v>380.7954545454545</v>
      </c>
      <c r="AC68" s="10" cm="1">
        <f t="array" ref="AC68">AVERAGE(_xlfn._xlws.FILTER(PTS!AG:AG, (PTS!$C:$C=A68) * ISNUMBER(PTS!AG:AG)))</f>
        <v>28.814300000000003</v>
      </c>
      <c r="AD68" s="531" cm="1">
        <f t="array" ref="AD68">AVERAGE(_xlfn._xlws.FILTER(PTS!AH:AH, (PTS!$C:$C=A68) * ISNUMBER(PTS!AH:AH)))</f>
        <v>6.973140495867769</v>
      </c>
      <c r="AE68" s="531" cm="1">
        <f t="array" ref="AE68">AVERAGE(_xlfn._xlws.FILTER(PTS!AI:AI, (PTS!$C:$C=A68) * ISNUMBER(PTS!AI:AI)))</f>
        <v>12.587317427197677</v>
      </c>
      <c r="AF68" s="531" cm="1">
        <f t="array" ref="AF68">AVERAGE(_xlfn._xlws.FILTER(PTS!AJ:AJ, (PTS!$C:$C=A68) * ISNUMBER(PTS!AJ:AJ)))</f>
        <v>6.7351999999999999</v>
      </c>
      <c r="AH68" s="531">
        <f t="shared" si="16"/>
        <v>55.109957923065444</v>
      </c>
      <c r="AI68" s="10" cm="1">
        <f t="array" ref="AI68">AVERAGE(_xlfn._xlws.FILTER(PTS!AM:AM, (PTS!$C:$C=A68) * ISNUMBER(PTS!AM:AM)))</f>
        <v>79.999999999999986</v>
      </c>
      <c r="AJ68" s="10" cm="1">
        <f t="array" ref="AJ68">AVERAGE(_xlfn._xlws.FILTER(PTS!AN:AN, (PTS!$C:$C=A68) * ISNUMBER(PTS!AN:AN)))</f>
        <v>26.17808219178082</v>
      </c>
      <c r="AK68" s="10" cm="1">
        <f t="array" ref="AK68">AVERAGE(_xlfn._xlws.FILTER(PTS!AO:AO, (PTS!$C:$C=A68) * ISNUMBER(PTS!AO:AO)))</f>
        <v>0</v>
      </c>
      <c r="AN68" s="10">
        <f t="shared" si="17"/>
        <v>106.1780821917808</v>
      </c>
      <c r="AR68" s="531">
        <f t="shared" si="18"/>
        <v>1111.536524963331</v>
      </c>
      <c r="AS68" s="531">
        <f t="shared" si="19"/>
        <v>1169.036524963331</v>
      </c>
    </row>
    <row r="69" spans="1:45">
      <c r="A69" s="32" t="s">
        <v>268</v>
      </c>
      <c r="B69" s="319" t="s">
        <v>76</v>
      </c>
      <c r="C69" s="319" t="str">
        <f t="shared" si="10"/>
        <v>DexterGA</v>
      </c>
      <c r="D69" s="10">
        <f>VLOOKUP(A:A,PTS!C:R,6,FALSE)</f>
        <v>4</v>
      </c>
      <c r="E69" s="531" cm="1">
        <f t="array" ref="E69">AVERAGE(_xlfn._xlws.FILTER(PTS!I:I, (PTS!$C:$C=A69) * ISNUMBER(PTS!I:I)))</f>
        <v>80</v>
      </c>
      <c r="F69" s="10" cm="1">
        <f t="array" ref="F69">AVERAGE(_xlfn._xlws.FILTER(PTS!J:J, (PTS!$C:$C=A69) * ISNUMBER(PTS!J:J)))</f>
        <v>100</v>
      </c>
      <c r="G69" s="531" cm="1">
        <f t="array" ref="G69">AVERAGE(_xlfn._xlws.FILTER(PTS!K:K, (PTS!$C:$C=A69) * ISNUMBER(PTS!K:K)))</f>
        <v>160</v>
      </c>
      <c r="H69" s="531" cm="1">
        <f t="array" ref="H69">AVERAGE(_xlfn._xlws.FILTER(PTS!L:L, (PTS!$C:$C=A69) * ISNUMBER(PTS!L:L)))</f>
        <v>0</v>
      </c>
      <c r="I69" s="531" cm="1">
        <f t="array" ref="I69">AVERAGE(_xlfn._xlws.FILTER(PTS!M:M, (PTS!$C:$C=A69) * ISNUMBER(PTS!M:M)))</f>
        <v>10</v>
      </c>
      <c r="J69" s="531" cm="1">
        <f t="array" ref="J69">AVERAGE(_xlfn._xlws.FILTER(PTS!N:N, (PTS!$C:$C=A69) * ISNUMBER(PTS!N:N)))</f>
        <v>55</v>
      </c>
      <c r="K69" s="531" cm="1">
        <f t="array" ref="K69">AVERAGE(_xlfn._xlws.FILTER(PTS!O:O, (PTS!$C:$C=A69) * ISNUMBER(PTS!O:O)))</f>
        <v>37.916666666666671</v>
      </c>
      <c r="L69" s="10" cm="1">
        <f t="array" ref="L69">AVERAGE(_xlfn._xlws.FILTER(PTS!P:P, (PTS!$C:$C=A69) * ISNUMBER(PTS!P:P)))</f>
        <v>0</v>
      </c>
      <c r="M69" s="531">
        <f t="shared" si="11"/>
        <v>442.91666666666669</v>
      </c>
      <c r="N69" s="531">
        <f t="shared" si="12"/>
        <v>37.916666666666671</v>
      </c>
      <c r="O69" s="531" cm="1">
        <f t="array" ref="O69">AVERAGE(_xlfn._xlws.FILTER(PTS!S:S, (PTS!$C:$C=A69) * ISNUMBER(PTS!S:S)))</f>
        <v>0</v>
      </c>
      <c r="P69" s="531" cm="1">
        <f t="array" ref="P69">AVERAGE(_xlfn._xlws.FILTER(PTS!T:T, (PTS!$C:$C=A69) * ISNUMBER(PTS!T:T)))</f>
        <v>0</v>
      </c>
      <c r="Q69" s="531" cm="1">
        <f t="array" ref="Q69">AVERAGE(_xlfn._xlws.FILTER(PTS!U:U, (PTS!$C:$C=A69) * ISNUMBER(PTS!U:U)))</f>
        <v>196.875</v>
      </c>
      <c r="S69" s="531">
        <f t="shared" si="13"/>
        <v>196.875</v>
      </c>
      <c r="T69" s="531" cm="1">
        <f t="array" ref="T69">AVERAGE(_xlfn._xlws.FILTER(PTS!X:X, (PTS!$C:$C=A69) * ISNUMBER(PTS!X:X)))</f>
        <v>52</v>
      </c>
      <c r="U69" s="531" cm="1">
        <f t="array" ref="U69">AVERAGE(_xlfn._xlws.FILTER(PTS!Y:Y, (PTS!$C:$C=A69) * ISNUMBER(PTS!Y:Y)))</f>
        <v>50.4</v>
      </c>
      <c r="V69" s="531" cm="1">
        <f t="array" ref="V69">AVERAGE(_xlfn._xlws.FILTER(PTS!Z:Z, (PTS!$C:$C=A69) * ISNUMBER(PTS!Z:Z)))</f>
        <v>26.25</v>
      </c>
      <c r="X69" s="531">
        <f t="shared" si="14"/>
        <v>128.65</v>
      </c>
      <c r="Y69" s="531" cm="1">
        <f t="array" ref="Y69">AVERAGE(_xlfn._xlws.FILTER(PTS!AC:AC, (PTS!$C:$C=A69) * ISNUMBER(PTS!AC:AC)))</f>
        <v>110.22727272727273</v>
      </c>
      <c r="Z69" s="531" cm="1">
        <f t="array" ref="Z69">AVERAGE(_xlfn._xlws.FILTER(PTS!AD:AD, (PTS!$C:$C=A69) * ISNUMBER(PTS!AD:AD)))</f>
        <v>107.04545454545455</v>
      </c>
      <c r="AB69" s="531">
        <f t="shared" si="15"/>
        <v>217.27272727272728</v>
      </c>
      <c r="AC69" s="10" cm="1">
        <f t="array" ref="AC69">AVERAGE(_xlfn._xlws.FILTER(PTS!AG:AG, (PTS!$C:$C=A69) * ISNUMBER(PTS!AG:AG)))</f>
        <v>28.814300000000003</v>
      </c>
      <c r="AD69" s="531" cm="1">
        <f t="array" ref="AD69">AVERAGE(_xlfn._xlws.FILTER(PTS!AH:AH, (PTS!$C:$C=A69) * ISNUMBER(PTS!AH:AH)))</f>
        <v>6.973140495867769</v>
      </c>
      <c r="AE69" s="531" cm="1">
        <f t="array" ref="AE69">AVERAGE(_xlfn._xlws.FILTER(PTS!AI:AI, (PTS!$C:$C=A69) * ISNUMBER(PTS!AI:AI)))</f>
        <v>12.587317427197677</v>
      </c>
      <c r="AF69" s="531" cm="1">
        <f t="array" ref="AF69">AVERAGE(_xlfn._xlws.FILTER(PTS!AJ:AJ, (PTS!$C:$C=A69) * ISNUMBER(PTS!AJ:AJ)))</f>
        <v>6.7351999999999999</v>
      </c>
      <c r="AH69" s="531">
        <f t="shared" si="16"/>
        <v>55.109957923065444</v>
      </c>
      <c r="AI69" s="10" cm="1">
        <f t="array" ref="AI69">AVERAGE(_xlfn._xlws.FILTER(PTS!AM:AM, (PTS!$C:$C=A69) * ISNUMBER(PTS!AM:AM)))</f>
        <v>79.999999999999986</v>
      </c>
      <c r="AJ69" s="10" cm="1">
        <f t="array" ref="AJ69">AVERAGE(_xlfn._xlws.FILTER(PTS!AN:AN, (PTS!$C:$C=A69) * ISNUMBER(PTS!AN:AN)))</f>
        <v>26.17808219178082</v>
      </c>
      <c r="AK69" s="10" cm="1">
        <f t="array" ref="AK69">AVERAGE(_xlfn._xlws.FILTER(PTS!AO:AO, (PTS!$C:$C=A69) * ISNUMBER(PTS!AO:AO)))</f>
        <v>0</v>
      </c>
      <c r="AN69" s="10">
        <f t="shared" si="17"/>
        <v>106.1780821917808</v>
      </c>
      <c r="AR69" s="531">
        <f t="shared" si="18"/>
        <v>742.00243405424021</v>
      </c>
      <c r="AS69" s="531">
        <f t="shared" si="19"/>
        <v>1147.0024340542402</v>
      </c>
    </row>
    <row r="70" spans="1:45">
      <c r="A70" s="32" t="s">
        <v>271</v>
      </c>
      <c r="B70" s="319" t="s">
        <v>132</v>
      </c>
      <c r="C70" s="319" t="str">
        <f t="shared" si="10"/>
        <v>DillionSC</v>
      </c>
      <c r="D70" s="10">
        <f>VLOOKUP(A:A,PTS!C:R,6,FALSE)</f>
        <v>1</v>
      </c>
      <c r="E70" s="531" cm="1">
        <f t="array" ref="E70">AVERAGE(_xlfn._xlws.FILTER(PTS!I:I, (PTS!$C:$C=A70) * ISNUMBER(PTS!I:I)))</f>
        <v>80</v>
      </c>
      <c r="F70" s="10" cm="1">
        <f t="array" ref="F70">AVERAGE(_xlfn._xlws.FILTER(PTS!J:J, (PTS!$C:$C=A70) * ISNUMBER(PTS!J:J)))</f>
        <v>95</v>
      </c>
      <c r="G70" s="531" cm="1">
        <f t="array" ref="G70">AVERAGE(_xlfn._xlws.FILTER(PTS!K:K, (PTS!$C:$C=A70) * ISNUMBER(PTS!K:K)))</f>
        <v>0</v>
      </c>
      <c r="H70" s="531" cm="1">
        <f t="array" ref="H70">AVERAGE(_xlfn._xlws.FILTER(PTS!L:L, (PTS!$C:$C=A70) * ISNUMBER(PTS!L:L)))</f>
        <v>0</v>
      </c>
      <c r="I70" s="531" cm="1">
        <f t="array" ref="I70">AVERAGE(_xlfn._xlws.FILTER(PTS!M:M, (PTS!$C:$C=A70) * ISNUMBER(PTS!M:M)))</f>
        <v>0</v>
      </c>
      <c r="J70" s="531" cm="1">
        <f t="array" ref="J70">AVERAGE(_xlfn._xlws.FILTER(PTS!N:N, (PTS!$C:$C=A70) * ISNUMBER(PTS!N:N)))</f>
        <v>40</v>
      </c>
      <c r="K70" s="531" cm="1">
        <f t="array" ref="K70">AVERAGE(_xlfn._xlws.FILTER(PTS!O:O, (PTS!$C:$C=A70) * ISNUMBER(PTS!O:O)))</f>
        <v>37.916666666666671</v>
      </c>
      <c r="L70" s="10" cm="1">
        <f t="array" ref="L70">AVERAGE(_xlfn._xlws.FILTER(PTS!P:P, (PTS!$C:$C=A70) * ISNUMBER(PTS!P:P)))</f>
        <v>0</v>
      </c>
      <c r="M70" s="531">
        <f t="shared" si="11"/>
        <v>252.91666666666669</v>
      </c>
      <c r="N70" s="531">
        <f t="shared" si="12"/>
        <v>77.916666666666671</v>
      </c>
      <c r="O70" s="531" cm="1">
        <f t="array" ref="O70">AVERAGE(_xlfn._xlws.FILTER(PTS!S:S, (PTS!$C:$C=A70) * ISNUMBER(PTS!S:S)))</f>
        <v>0</v>
      </c>
      <c r="P70" s="531" cm="1">
        <f t="array" ref="P70">AVERAGE(_xlfn._xlws.FILTER(PTS!T:T, (PTS!$C:$C=A70) * ISNUMBER(PTS!T:T)))</f>
        <v>0</v>
      </c>
      <c r="Q70" s="531" t="e" cm="1" vm="1">
        <f t="array" ref="Q70">AVERAGE(_xlfn._xlws.FILTER(PTS!U:U, (PTS!$C:$C=A70) * ISNUMBER(PTS!U:U)))</f>
        <v>#VALUE!</v>
      </c>
      <c r="S70" s="531" t="e" vm="2">
        <f t="shared" si="13"/>
        <v>#VALUE!</v>
      </c>
      <c r="T70" s="531" cm="1">
        <f t="array" ref="T70">AVERAGE(_xlfn._xlws.FILTER(PTS!X:X, (PTS!$C:$C=A70) * ISNUMBER(PTS!X:X)))</f>
        <v>52</v>
      </c>
      <c r="U70" s="531" cm="1">
        <f t="array" ref="U70">AVERAGE(_xlfn._xlws.FILTER(PTS!Y:Y, (PTS!$C:$C=A70) * ISNUMBER(PTS!Y:Y)))</f>
        <v>50.4</v>
      </c>
      <c r="V70" s="531" cm="1">
        <f t="array" ref="V70">AVERAGE(_xlfn._xlws.FILTER(PTS!Z:Z, (PTS!$C:$C=A70) * ISNUMBER(PTS!Z:Z)))</f>
        <v>26.25</v>
      </c>
      <c r="X70" s="531">
        <f t="shared" si="14"/>
        <v>128.65</v>
      </c>
      <c r="Y70" s="531" cm="1">
        <f t="array" ref="Y70">AVERAGE(_xlfn._xlws.FILTER(PTS!AC:AC, (PTS!$C:$C=A70) * ISNUMBER(PTS!AC:AC)))</f>
        <v>110.22727272727273</v>
      </c>
      <c r="Z70" s="531" cm="1">
        <f t="array" ref="Z70">AVERAGE(_xlfn._xlws.FILTER(PTS!AD:AD, (PTS!$C:$C=A70) * ISNUMBER(PTS!AD:AD)))</f>
        <v>107.04545454545455</v>
      </c>
      <c r="AB70" s="531">
        <f t="shared" si="15"/>
        <v>217.27272727272728</v>
      </c>
      <c r="AC70" s="10" cm="1">
        <f t="array" ref="AC70">AVERAGE(_xlfn._xlws.FILTER(PTS!AG:AG, (PTS!$C:$C=A70) * ISNUMBER(PTS!AG:AG)))</f>
        <v>28.814300000000003</v>
      </c>
      <c r="AD70" s="531" cm="1">
        <f t="array" ref="AD70">AVERAGE(_xlfn._xlws.FILTER(PTS!AH:AH, (PTS!$C:$C=A70) * ISNUMBER(PTS!AH:AH)))</f>
        <v>6.973140495867769</v>
      </c>
      <c r="AE70" s="531" cm="1">
        <f t="array" ref="AE70">AVERAGE(_xlfn._xlws.FILTER(PTS!AI:AI, (PTS!$C:$C=A70) * ISNUMBER(PTS!AI:AI)))</f>
        <v>12.587317427197677</v>
      </c>
      <c r="AF70" s="531" cm="1">
        <f t="array" ref="AF70">AVERAGE(_xlfn._xlws.FILTER(PTS!AJ:AJ, (PTS!$C:$C=A70) * ISNUMBER(PTS!AJ:AJ)))</f>
        <v>6.7351999999999999</v>
      </c>
      <c r="AH70" s="531">
        <f t="shared" si="16"/>
        <v>55.109957923065444</v>
      </c>
      <c r="AI70" s="10" cm="1">
        <f t="array" ref="AI70">AVERAGE(_xlfn._xlws.FILTER(PTS!AM:AM, (PTS!$C:$C=A70) * ISNUMBER(PTS!AM:AM)))</f>
        <v>79.999999999999986</v>
      </c>
      <c r="AJ70" s="10" cm="1">
        <f t="array" ref="AJ70">AVERAGE(_xlfn._xlws.FILTER(PTS!AN:AN, (PTS!$C:$C=A70) * ISNUMBER(PTS!AN:AN)))</f>
        <v>26.17808219178082</v>
      </c>
      <c r="AK70" s="10" cm="1">
        <f t="array" ref="AK70">AVERAGE(_xlfn._xlws.FILTER(PTS!AO:AO, (PTS!$C:$C=A70) * ISNUMBER(PTS!AO:AO)))</f>
        <v>0</v>
      </c>
      <c r="AN70" s="10">
        <f t="shared" si="17"/>
        <v>106.1780821917808</v>
      </c>
      <c r="AR70" s="531" t="e" vm="2">
        <f t="shared" si="18"/>
        <v>#VALUE!</v>
      </c>
      <c r="AS70" s="531" t="e" vm="2">
        <f t="shared" si="19"/>
        <v>#VALUE!</v>
      </c>
    </row>
    <row r="71" spans="1:45">
      <c r="A71" s="32" t="s">
        <v>274</v>
      </c>
      <c r="B71" s="319" t="s">
        <v>76</v>
      </c>
      <c r="C71" s="319" t="str">
        <f t="shared" si="10"/>
        <v>DoerunGA</v>
      </c>
      <c r="D71" s="10">
        <f>VLOOKUP(A:A,PTS!C:R,6,FALSE)</f>
        <v>4</v>
      </c>
      <c r="E71" s="531" cm="1">
        <f t="array" ref="E71">AVERAGE(_xlfn._xlws.FILTER(PTS!I:I, (PTS!$C:$C=A71) * ISNUMBER(PTS!I:I)))</f>
        <v>60</v>
      </c>
      <c r="F71" s="10" cm="1">
        <f t="array" ref="F71">AVERAGE(_xlfn._xlws.FILTER(PTS!J:J, (PTS!$C:$C=A71) * ISNUMBER(PTS!J:J)))</f>
        <v>100</v>
      </c>
      <c r="G71" s="531" cm="1">
        <f t="array" ref="G71">AVERAGE(_xlfn._xlws.FILTER(PTS!K:K, (PTS!$C:$C=A71) * ISNUMBER(PTS!K:K)))</f>
        <v>0</v>
      </c>
      <c r="H71" s="531" cm="1">
        <f t="array" ref="H71">AVERAGE(_xlfn._xlws.FILTER(PTS!L:L, (PTS!$C:$C=A71) * ISNUMBER(PTS!L:L)))</f>
        <v>0</v>
      </c>
      <c r="I71" s="531" cm="1">
        <f t="array" ref="I71">AVERAGE(_xlfn._xlws.FILTER(PTS!M:M, (PTS!$C:$C=A71) * ISNUMBER(PTS!M:M)))</f>
        <v>30</v>
      </c>
      <c r="J71" s="531" cm="1">
        <f t="array" ref="J71">AVERAGE(_xlfn._xlws.FILTER(PTS!N:N, (PTS!$C:$C=A71) * ISNUMBER(PTS!N:N)))</f>
        <v>53.5</v>
      </c>
      <c r="K71" s="531" cm="1">
        <f t="array" ref="K71">AVERAGE(_xlfn._xlws.FILTER(PTS!O:O, (PTS!$C:$C=A71) * ISNUMBER(PTS!O:O)))</f>
        <v>37.916666666666671</v>
      </c>
      <c r="L71" s="10" cm="1">
        <f t="array" ref="L71">AVERAGE(_xlfn._xlws.FILTER(PTS!P:P, (PTS!$C:$C=A71) * ISNUMBER(PTS!P:P)))</f>
        <v>0</v>
      </c>
      <c r="M71" s="531">
        <f t="shared" si="11"/>
        <v>281.41666666666669</v>
      </c>
      <c r="N71" s="531">
        <f t="shared" si="12"/>
        <v>37.916666666666671</v>
      </c>
      <c r="O71" s="531" cm="1">
        <f t="array" ref="O71">AVERAGE(_xlfn._xlws.FILTER(PTS!S:S, (PTS!$C:$C=A71) * ISNUMBER(PTS!S:S)))</f>
        <v>0</v>
      </c>
      <c r="P71" s="531" cm="1">
        <f t="array" ref="P71">AVERAGE(_xlfn._xlws.FILTER(PTS!T:T, (PTS!$C:$C=A71) * ISNUMBER(PTS!T:T)))</f>
        <v>0</v>
      </c>
      <c r="Q71" s="531" cm="1">
        <f t="array" ref="Q71">AVERAGE(_xlfn._xlws.FILTER(PTS!U:U, (PTS!$C:$C=A71) * ISNUMBER(PTS!U:U)))</f>
        <v>226.52727272727273</v>
      </c>
      <c r="S71" s="531">
        <f t="shared" si="13"/>
        <v>226.52727272727273</v>
      </c>
      <c r="T71" s="531" cm="1">
        <f t="array" ref="T71">AVERAGE(_xlfn._xlws.FILTER(PTS!X:X, (PTS!$C:$C=A71) * ISNUMBER(PTS!X:X)))</f>
        <v>52</v>
      </c>
      <c r="U71" s="531" cm="1">
        <f t="array" ref="U71">AVERAGE(_xlfn._xlws.FILTER(PTS!Y:Y, (PTS!$C:$C=A71) * ISNUMBER(PTS!Y:Y)))</f>
        <v>50.4</v>
      </c>
      <c r="V71" s="531" cm="1">
        <f t="array" ref="V71">AVERAGE(_xlfn._xlws.FILTER(PTS!Z:Z, (PTS!$C:$C=A71) * ISNUMBER(PTS!Z:Z)))</f>
        <v>26.25</v>
      </c>
      <c r="X71" s="531">
        <f t="shared" si="14"/>
        <v>128.65</v>
      </c>
      <c r="Y71" s="531" cm="1">
        <f t="array" ref="Y71">AVERAGE(_xlfn._xlws.FILTER(PTS!AC:AC, (PTS!$C:$C=A71) * ISNUMBER(PTS!AC:AC)))</f>
        <v>110.22727272727273</v>
      </c>
      <c r="Z71" s="531" cm="1">
        <f t="array" ref="Z71">AVERAGE(_xlfn._xlws.FILTER(PTS!AD:AD, (PTS!$C:$C=A71) * ISNUMBER(PTS!AD:AD)))</f>
        <v>107.04545454545455</v>
      </c>
      <c r="AB71" s="531">
        <f t="shared" si="15"/>
        <v>217.27272727272728</v>
      </c>
      <c r="AC71" s="10" cm="1">
        <f t="array" ref="AC71">AVERAGE(_xlfn._xlws.FILTER(PTS!AG:AG, (PTS!$C:$C=A71) * ISNUMBER(PTS!AG:AG)))</f>
        <v>28.814300000000003</v>
      </c>
      <c r="AD71" s="531" cm="1">
        <f t="array" ref="AD71">AVERAGE(_xlfn._xlws.FILTER(PTS!AH:AH, (PTS!$C:$C=A71) * ISNUMBER(PTS!AH:AH)))</f>
        <v>6.973140495867769</v>
      </c>
      <c r="AE71" s="531" cm="1">
        <f t="array" ref="AE71">AVERAGE(_xlfn._xlws.FILTER(PTS!AI:AI, (PTS!$C:$C=A71) * ISNUMBER(PTS!AI:AI)))</f>
        <v>12.587317427197677</v>
      </c>
      <c r="AF71" s="531" cm="1">
        <f t="array" ref="AF71">AVERAGE(_xlfn._xlws.FILTER(PTS!AJ:AJ, (PTS!$C:$C=A71) * ISNUMBER(PTS!AJ:AJ)))</f>
        <v>6.7351999999999999</v>
      </c>
      <c r="AH71" s="531">
        <f t="shared" si="16"/>
        <v>55.109957923065444</v>
      </c>
      <c r="AI71" s="10" cm="1">
        <f t="array" ref="AI71">AVERAGE(_xlfn._xlws.FILTER(PTS!AM:AM, (PTS!$C:$C=A71) * ISNUMBER(PTS!AM:AM)))</f>
        <v>79.999999999999986</v>
      </c>
      <c r="AJ71" s="10" cm="1">
        <f t="array" ref="AJ71">AVERAGE(_xlfn._xlws.FILTER(PTS!AN:AN, (PTS!$C:$C=A71) * ISNUMBER(PTS!AN:AN)))</f>
        <v>26.17808219178082</v>
      </c>
      <c r="AK71" s="10" cm="1">
        <f t="array" ref="AK71">AVERAGE(_xlfn._xlws.FILTER(PTS!AO:AO, (PTS!$C:$C=A71) * ISNUMBER(PTS!AO:AO)))</f>
        <v>0</v>
      </c>
      <c r="AN71" s="10">
        <f t="shared" si="17"/>
        <v>106.1780821917808</v>
      </c>
      <c r="AR71" s="531">
        <f t="shared" si="18"/>
        <v>771.65470678151291</v>
      </c>
      <c r="AS71" s="531">
        <f t="shared" si="19"/>
        <v>1015.1547067815129</v>
      </c>
    </row>
    <row r="72" spans="1:45">
      <c r="A72" s="32" t="s">
        <v>278</v>
      </c>
      <c r="B72" s="319" t="s">
        <v>76</v>
      </c>
      <c r="C72" s="319" t="str">
        <f t="shared" si="10"/>
        <v>DonalsonvilleGA</v>
      </c>
      <c r="D72" s="10">
        <f>VLOOKUP(A:A,PTS!C:R,6,FALSE)</f>
        <v>1</v>
      </c>
      <c r="E72" s="531" cm="1">
        <f t="array" ref="E72">AVERAGE(_xlfn._xlws.FILTER(PTS!I:I, (PTS!$C:$C=A72) * ISNUMBER(PTS!I:I)))</f>
        <v>0</v>
      </c>
      <c r="F72" s="10" cm="1">
        <f t="array" ref="F72">AVERAGE(_xlfn._xlws.FILTER(PTS!J:J, (PTS!$C:$C=A72) * ISNUMBER(PTS!J:J)))</f>
        <v>0</v>
      </c>
      <c r="G72" s="531" cm="1">
        <f t="array" ref="G72">AVERAGE(_xlfn._xlws.FILTER(PTS!K:K, (PTS!$C:$C=A72) * ISNUMBER(PTS!K:K)))</f>
        <v>0</v>
      </c>
      <c r="H72" s="531" cm="1">
        <f t="array" ref="H72">AVERAGE(_xlfn._xlws.FILTER(PTS!L:L, (PTS!$C:$C=A72) * ISNUMBER(PTS!L:L)))</f>
        <v>0</v>
      </c>
      <c r="I72" s="531" cm="1">
        <f t="array" ref="I72">AVERAGE(_xlfn._xlws.FILTER(PTS!M:M, (PTS!$C:$C=A72) * ISNUMBER(PTS!M:M)))</f>
        <v>0</v>
      </c>
      <c r="J72" s="531" cm="1">
        <f t="array" ref="J72">AVERAGE(_xlfn._xlws.FILTER(PTS!N:N, (PTS!$C:$C=A72) * ISNUMBER(PTS!N:N)))</f>
        <v>53</v>
      </c>
      <c r="K72" s="531" cm="1">
        <f t="array" ref="K72">AVERAGE(_xlfn._xlws.FILTER(PTS!O:O, (PTS!$C:$C=A72) * ISNUMBER(PTS!O:O)))</f>
        <v>37.916666666666671</v>
      </c>
      <c r="L72" s="10" cm="1">
        <f t="array" ref="L72">AVERAGE(_xlfn._xlws.FILTER(PTS!P:P, (PTS!$C:$C=A72) * ISNUMBER(PTS!P:P)))</f>
        <v>0</v>
      </c>
      <c r="M72" s="531">
        <f t="shared" si="11"/>
        <v>90.916666666666671</v>
      </c>
      <c r="N72" s="531">
        <f t="shared" si="12"/>
        <v>90.916666666666671</v>
      </c>
      <c r="O72" s="531" cm="1">
        <f t="array" ref="O72">AVERAGE(_xlfn._xlws.FILTER(PTS!S:S, (PTS!$C:$C=A72) * ISNUMBER(PTS!S:S)))</f>
        <v>0</v>
      </c>
      <c r="P72" s="531" cm="1">
        <f t="array" ref="P72">AVERAGE(_xlfn._xlws.FILTER(PTS!T:T, (PTS!$C:$C=A72) * ISNUMBER(PTS!T:T)))</f>
        <v>0</v>
      </c>
      <c r="Q72" s="531" cm="1">
        <f t="array" ref="Q72">AVERAGE(_xlfn._xlws.FILTER(PTS!U:U, (PTS!$C:$C=A72) * ISNUMBER(PTS!U:U)))</f>
        <v>270.49772727272727</v>
      </c>
      <c r="S72" s="531">
        <f t="shared" si="13"/>
        <v>270.49772727272727</v>
      </c>
      <c r="T72" s="531" cm="1">
        <f t="array" ref="T72">AVERAGE(_xlfn._xlws.FILTER(PTS!X:X, (PTS!$C:$C=A72) * ISNUMBER(PTS!X:X)))</f>
        <v>52</v>
      </c>
      <c r="U72" s="531" cm="1">
        <f t="array" ref="U72">AVERAGE(_xlfn._xlws.FILTER(PTS!Y:Y, (PTS!$C:$C=A72) * ISNUMBER(PTS!Y:Y)))</f>
        <v>50.4</v>
      </c>
      <c r="V72" s="531" cm="1">
        <f t="array" ref="V72">AVERAGE(_xlfn._xlws.FILTER(PTS!Z:Z, (PTS!$C:$C=A72) * ISNUMBER(PTS!Z:Z)))</f>
        <v>26.25</v>
      </c>
      <c r="X72" s="531">
        <f t="shared" si="14"/>
        <v>128.65</v>
      </c>
      <c r="Y72" s="531" cm="1">
        <f t="array" ref="Y72">AVERAGE(_xlfn._xlws.FILTER(PTS!AC:AC, (PTS!$C:$C=A72) * ISNUMBER(PTS!AC:AC)))</f>
        <v>110.22727272727273</v>
      </c>
      <c r="Z72" s="531" cm="1">
        <f t="array" ref="Z72">AVERAGE(_xlfn._xlws.FILTER(PTS!AD:AD, (PTS!$C:$C=A72) * ISNUMBER(PTS!AD:AD)))</f>
        <v>107.04545454545455</v>
      </c>
      <c r="AB72" s="531">
        <f t="shared" si="15"/>
        <v>217.27272727272728</v>
      </c>
      <c r="AC72" s="10" cm="1">
        <f t="array" ref="AC72">AVERAGE(_xlfn._xlws.FILTER(PTS!AG:AG, (PTS!$C:$C=A72) * ISNUMBER(PTS!AG:AG)))</f>
        <v>28.814300000000003</v>
      </c>
      <c r="AD72" s="531" cm="1">
        <f t="array" ref="AD72">AVERAGE(_xlfn._xlws.FILTER(PTS!AH:AH, (PTS!$C:$C=A72) * ISNUMBER(PTS!AH:AH)))</f>
        <v>6.973140495867769</v>
      </c>
      <c r="AE72" s="531" cm="1">
        <f t="array" ref="AE72">AVERAGE(_xlfn._xlws.FILTER(PTS!AI:AI, (PTS!$C:$C=A72) * ISNUMBER(PTS!AI:AI)))</f>
        <v>12.587317427197677</v>
      </c>
      <c r="AF72" s="531" cm="1">
        <f t="array" ref="AF72">AVERAGE(_xlfn._xlws.FILTER(PTS!AJ:AJ, (PTS!$C:$C=A72) * ISNUMBER(PTS!AJ:AJ)))</f>
        <v>6.7351999999999999</v>
      </c>
      <c r="AH72" s="531">
        <f t="shared" si="16"/>
        <v>55.109957923065444</v>
      </c>
      <c r="AI72" s="10" cm="1">
        <f t="array" ref="AI72">AVERAGE(_xlfn._xlws.FILTER(PTS!AM:AM, (PTS!$C:$C=A72) * ISNUMBER(PTS!AM:AM)))</f>
        <v>79.999999999999986</v>
      </c>
      <c r="AJ72" s="10" cm="1">
        <f t="array" ref="AJ72">AVERAGE(_xlfn._xlws.FILTER(PTS!AN:AN, (PTS!$C:$C=A72) * ISNUMBER(PTS!AN:AN)))</f>
        <v>26.17808219178082</v>
      </c>
      <c r="AK72" s="10" cm="1">
        <f t="array" ref="AK72">AVERAGE(_xlfn._xlws.FILTER(PTS!AO:AO, (PTS!$C:$C=A72) * ISNUMBER(PTS!AO:AO)))</f>
        <v>0</v>
      </c>
      <c r="AN72" s="10">
        <f t="shared" si="17"/>
        <v>106.1780821917808</v>
      </c>
      <c r="AR72" s="531">
        <f t="shared" si="18"/>
        <v>868.62516132696749</v>
      </c>
      <c r="AS72" s="531">
        <f t="shared" si="19"/>
        <v>868.62516132696749</v>
      </c>
    </row>
    <row r="73" spans="1:45">
      <c r="A73" s="32" t="s">
        <v>281</v>
      </c>
      <c r="B73" s="319" t="s">
        <v>65</v>
      </c>
      <c r="C73" s="319" t="str">
        <f t="shared" si="10"/>
        <v>DothanAL</v>
      </c>
      <c r="D73" s="10">
        <f>VLOOKUP(A:A,PTS!C:R,6,FALSE)</f>
        <v>1</v>
      </c>
      <c r="E73" s="531" cm="1">
        <f t="array" ref="E73">AVERAGE(_xlfn._xlws.FILTER(PTS!I:I, (PTS!$C:$C=A73) * ISNUMBER(PTS!I:I)))</f>
        <v>90</v>
      </c>
      <c r="F73" s="10" cm="1">
        <f t="array" ref="F73">AVERAGE(_xlfn._xlws.FILTER(PTS!J:J, (PTS!$C:$C=A73) * ISNUMBER(PTS!J:J)))</f>
        <v>130</v>
      </c>
      <c r="G73" s="531" cm="1">
        <f t="array" ref="G73">AVERAGE(_xlfn._xlws.FILTER(PTS!K:K, (PTS!$C:$C=A73) * ISNUMBER(PTS!K:K)))</f>
        <v>0</v>
      </c>
      <c r="H73" s="531" cm="1">
        <f t="array" ref="H73">AVERAGE(_xlfn._xlws.FILTER(PTS!L:L, (PTS!$C:$C=A73) * ISNUMBER(PTS!L:L)))</f>
        <v>0</v>
      </c>
      <c r="I73" s="531" cm="1">
        <f t="array" ref="I73">AVERAGE(_xlfn._xlws.FILTER(PTS!M:M, (PTS!$C:$C=A73) * ISNUMBER(PTS!M:M)))</f>
        <v>10</v>
      </c>
      <c r="J73" s="531" cm="1">
        <f t="array" ref="J73">AVERAGE(_xlfn._xlws.FILTER(PTS!N:N, (PTS!$C:$C=A73) * ISNUMBER(PTS!N:N)))</f>
        <v>70</v>
      </c>
      <c r="K73" s="531" cm="1">
        <f t="array" ref="K73">AVERAGE(_xlfn._xlws.FILTER(PTS!O:O, (PTS!$C:$C=A73) * ISNUMBER(PTS!O:O)))</f>
        <v>37.916666666666671</v>
      </c>
      <c r="L73" s="10" cm="1">
        <f t="array" ref="L73">AVERAGE(_xlfn._xlws.FILTER(PTS!P:P, (PTS!$C:$C=A73) * ISNUMBER(PTS!P:P)))</f>
        <v>0</v>
      </c>
      <c r="M73" s="531">
        <f t="shared" si="11"/>
        <v>337.91666666666669</v>
      </c>
      <c r="N73" s="531">
        <f t="shared" si="12"/>
        <v>107.91666666666667</v>
      </c>
      <c r="O73" s="531" cm="1">
        <f t="array" ref="O73">AVERAGE(_xlfn._xlws.FILTER(PTS!S:S, (PTS!$C:$C=A73) * ISNUMBER(PTS!S:S)))</f>
        <v>0</v>
      </c>
      <c r="P73" s="531" cm="1">
        <f t="array" ref="P73">AVERAGE(_xlfn._xlws.FILTER(PTS!T:T, (PTS!$C:$C=A73) * ISNUMBER(PTS!T:T)))</f>
        <v>0</v>
      </c>
      <c r="Q73" s="531" cm="1">
        <f t="array" ref="Q73">AVERAGE(_xlfn._xlws.FILTER(PTS!U:U, (PTS!$C:$C=A73) * ISNUMBER(PTS!U:U)))</f>
        <v>290.4829545454545</v>
      </c>
      <c r="S73" s="531">
        <f t="shared" si="13"/>
        <v>290.4829545454545</v>
      </c>
      <c r="T73" s="531" cm="1">
        <f t="array" ref="T73">AVERAGE(_xlfn._xlws.FILTER(PTS!X:X, (PTS!$C:$C=A73) * ISNUMBER(PTS!X:X)))</f>
        <v>52</v>
      </c>
      <c r="U73" s="531" cm="1">
        <f t="array" ref="U73">AVERAGE(_xlfn._xlws.FILTER(PTS!Y:Y, (PTS!$C:$C=A73) * ISNUMBER(PTS!Y:Y)))</f>
        <v>50.4</v>
      </c>
      <c r="V73" s="531" cm="1">
        <f t="array" ref="V73">AVERAGE(_xlfn._xlws.FILTER(PTS!Z:Z, (PTS!$C:$C=A73) * ISNUMBER(PTS!Z:Z)))</f>
        <v>26.25</v>
      </c>
      <c r="X73" s="531">
        <f t="shared" si="14"/>
        <v>128.65</v>
      </c>
      <c r="Y73" s="531" cm="1">
        <f t="array" ref="Y73">AVERAGE(_xlfn._xlws.FILTER(PTS!AC:AC, (PTS!$C:$C=A73) * ISNUMBER(PTS!AC:AC)))</f>
        <v>110.22727272727273</v>
      </c>
      <c r="Z73" s="531" cm="1">
        <f t="array" ref="Z73">AVERAGE(_xlfn._xlws.FILTER(PTS!AD:AD, (PTS!$C:$C=A73) * ISNUMBER(PTS!AD:AD)))</f>
        <v>107.04545454545455</v>
      </c>
      <c r="AB73" s="531">
        <f t="shared" si="15"/>
        <v>217.27272727272728</v>
      </c>
      <c r="AC73" s="10" cm="1">
        <f t="array" ref="AC73">AVERAGE(_xlfn._xlws.FILTER(PTS!AG:AG, (PTS!$C:$C=A73) * ISNUMBER(PTS!AG:AG)))</f>
        <v>28.814300000000003</v>
      </c>
      <c r="AD73" s="531" cm="1">
        <f t="array" ref="AD73">AVERAGE(_xlfn._xlws.FILTER(PTS!AH:AH, (PTS!$C:$C=A73) * ISNUMBER(PTS!AH:AH)))</f>
        <v>6.973140495867769</v>
      </c>
      <c r="AE73" s="531" cm="1">
        <f t="array" ref="AE73">AVERAGE(_xlfn._xlws.FILTER(PTS!AI:AI, (PTS!$C:$C=A73) * ISNUMBER(PTS!AI:AI)))</f>
        <v>12.587317427197677</v>
      </c>
      <c r="AF73" s="531" cm="1">
        <f t="array" ref="AF73">AVERAGE(_xlfn._xlws.FILTER(PTS!AJ:AJ, (PTS!$C:$C=A73) * ISNUMBER(PTS!AJ:AJ)))</f>
        <v>6.7351999999999999</v>
      </c>
      <c r="AH73" s="531">
        <f t="shared" si="16"/>
        <v>55.109957923065444</v>
      </c>
      <c r="AI73" s="10" cm="1">
        <f t="array" ref="AI73">AVERAGE(_xlfn._xlws.FILTER(PTS!AM:AM, (PTS!$C:$C=A73) * ISNUMBER(PTS!AM:AM)))</f>
        <v>79.999999999999986</v>
      </c>
      <c r="AJ73" s="10" cm="1">
        <f t="array" ref="AJ73">AVERAGE(_xlfn._xlws.FILTER(PTS!AN:AN, (PTS!$C:$C=A73) * ISNUMBER(PTS!AN:AN)))</f>
        <v>26.17808219178082</v>
      </c>
      <c r="AK73" s="10" cm="1">
        <f t="array" ref="AK73">AVERAGE(_xlfn._xlws.FILTER(PTS!AO:AO, (PTS!$C:$C=A73) * ISNUMBER(PTS!AO:AO)))</f>
        <v>0</v>
      </c>
      <c r="AN73" s="10">
        <f t="shared" si="17"/>
        <v>106.1780821917808</v>
      </c>
      <c r="AR73" s="531">
        <f t="shared" si="18"/>
        <v>905.61038859969472</v>
      </c>
      <c r="AS73" s="531">
        <f t="shared" si="19"/>
        <v>1135.6103885996947</v>
      </c>
    </row>
    <row r="74" spans="1:45">
      <c r="A74" s="32" t="s">
        <v>284</v>
      </c>
      <c r="B74" s="319" t="s">
        <v>76</v>
      </c>
      <c r="C74" s="319" t="str">
        <f t="shared" si="10"/>
        <v>DouglasGA</v>
      </c>
      <c r="D74" s="10">
        <f>VLOOKUP(A:A,PTS!C:R,6,FALSE)</f>
        <v>4</v>
      </c>
      <c r="E74" s="531" cm="1">
        <f t="array" ref="E74">AVERAGE(_xlfn._xlws.FILTER(PTS!I:I, (PTS!$C:$C=A74) * ISNUMBER(PTS!I:I)))</f>
        <v>80</v>
      </c>
      <c r="F74" s="10" cm="1">
        <f t="array" ref="F74">AVERAGE(_xlfn._xlws.FILTER(PTS!J:J, (PTS!$C:$C=A74) * ISNUMBER(PTS!J:J)))</f>
        <v>120</v>
      </c>
      <c r="G74" s="531" cm="1">
        <f t="array" ref="G74">AVERAGE(_xlfn._xlws.FILTER(PTS!K:K, (PTS!$C:$C=A74) * ISNUMBER(PTS!K:K)))</f>
        <v>150</v>
      </c>
      <c r="H74" s="531" cm="1">
        <f t="array" ref="H74">AVERAGE(_xlfn._xlws.FILTER(PTS!L:L, (PTS!$C:$C=A74) * ISNUMBER(PTS!L:L)))</f>
        <v>0</v>
      </c>
      <c r="I74" s="531" cm="1">
        <f t="array" ref="I74">AVERAGE(_xlfn._xlws.FILTER(PTS!M:M, (PTS!$C:$C=A74) * ISNUMBER(PTS!M:M)))</f>
        <v>20</v>
      </c>
      <c r="J74" s="531" cm="1">
        <f t="array" ref="J74">AVERAGE(_xlfn._xlws.FILTER(PTS!N:N, (PTS!$C:$C=A74) * ISNUMBER(PTS!N:N)))</f>
        <v>60</v>
      </c>
      <c r="K74" s="531" cm="1">
        <f t="array" ref="K74">AVERAGE(_xlfn._xlws.FILTER(PTS!O:O, (PTS!$C:$C=A74) * ISNUMBER(PTS!O:O)))</f>
        <v>37.916666666666671</v>
      </c>
      <c r="L74" s="10" cm="1">
        <f t="array" ref="L74">AVERAGE(_xlfn._xlws.FILTER(PTS!P:P, (PTS!$C:$C=A74) * ISNUMBER(PTS!P:P)))</f>
        <v>0</v>
      </c>
      <c r="M74" s="531">
        <f t="shared" si="11"/>
        <v>467.91666666666669</v>
      </c>
      <c r="N74" s="531">
        <f t="shared" si="12"/>
        <v>37.916666666666671</v>
      </c>
      <c r="O74" s="531" cm="1">
        <f t="array" ref="O74">AVERAGE(_xlfn._xlws.FILTER(PTS!S:S, (PTS!$C:$C=A74) * ISNUMBER(PTS!S:S)))</f>
        <v>0</v>
      </c>
      <c r="P74" s="531" cm="1">
        <f t="array" ref="P74">AVERAGE(_xlfn._xlws.FILTER(PTS!T:T, (PTS!$C:$C=A74) * ISNUMBER(PTS!T:T)))</f>
        <v>0</v>
      </c>
      <c r="Q74" s="531" cm="1">
        <f t="array" ref="Q74">AVERAGE(_xlfn._xlws.FILTER(PTS!U:U, (PTS!$C:$C=A74) * ISNUMBER(PTS!U:U)))</f>
        <v>190.6965909090909</v>
      </c>
      <c r="S74" s="531">
        <f t="shared" si="13"/>
        <v>190.6965909090909</v>
      </c>
      <c r="T74" s="531" cm="1">
        <f t="array" ref="T74">AVERAGE(_xlfn._xlws.FILTER(PTS!X:X, (PTS!$C:$C=A74) * ISNUMBER(PTS!X:X)))</f>
        <v>52</v>
      </c>
      <c r="U74" s="531" cm="1">
        <f t="array" ref="U74">AVERAGE(_xlfn._xlws.FILTER(PTS!Y:Y, (PTS!$C:$C=A74) * ISNUMBER(PTS!Y:Y)))</f>
        <v>50.4</v>
      </c>
      <c r="V74" s="531" cm="1">
        <f t="array" ref="V74">AVERAGE(_xlfn._xlws.FILTER(PTS!Z:Z, (PTS!$C:$C=A74) * ISNUMBER(PTS!Z:Z)))</f>
        <v>26.25</v>
      </c>
      <c r="X74" s="531">
        <f t="shared" si="14"/>
        <v>128.65</v>
      </c>
      <c r="Y74" s="531" cm="1">
        <f t="array" ref="Y74">AVERAGE(_xlfn._xlws.FILTER(PTS!AC:AC, (PTS!$C:$C=A74) * ISNUMBER(PTS!AC:AC)))</f>
        <v>110.22727272727273</v>
      </c>
      <c r="Z74" s="531" cm="1">
        <f t="array" ref="Z74">AVERAGE(_xlfn._xlws.FILTER(PTS!AD:AD, (PTS!$C:$C=A74) * ISNUMBER(PTS!AD:AD)))</f>
        <v>107.04545454545455</v>
      </c>
      <c r="AB74" s="531">
        <f t="shared" si="15"/>
        <v>217.27272727272728</v>
      </c>
      <c r="AC74" s="10" cm="1">
        <f t="array" ref="AC74">AVERAGE(_xlfn._xlws.FILTER(PTS!AG:AG, (PTS!$C:$C=A74) * ISNUMBER(PTS!AG:AG)))</f>
        <v>28.814300000000003</v>
      </c>
      <c r="AD74" s="531" cm="1">
        <f t="array" ref="AD74">AVERAGE(_xlfn._xlws.FILTER(PTS!AH:AH, (PTS!$C:$C=A74) * ISNUMBER(PTS!AH:AH)))</f>
        <v>6.973140495867769</v>
      </c>
      <c r="AE74" s="531" cm="1">
        <f t="array" ref="AE74">AVERAGE(_xlfn._xlws.FILTER(PTS!AI:AI, (PTS!$C:$C=A74) * ISNUMBER(PTS!AI:AI)))</f>
        <v>12.587317427197677</v>
      </c>
      <c r="AF74" s="531" cm="1">
        <f t="array" ref="AF74">AVERAGE(_xlfn._xlws.FILTER(PTS!AJ:AJ, (PTS!$C:$C=A74) * ISNUMBER(PTS!AJ:AJ)))</f>
        <v>6.7351999999999999</v>
      </c>
      <c r="AH74" s="531">
        <f t="shared" si="16"/>
        <v>55.109957923065444</v>
      </c>
      <c r="AI74" s="10" cm="1">
        <f t="array" ref="AI74">AVERAGE(_xlfn._xlws.FILTER(PTS!AM:AM, (PTS!$C:$C=A74) * ISNUMBER(PTS!AM:AM)))</f>
        <v>79.999999999999986</v>
      </c>
      <c r="AJ74" s="10" cm="1">
        <f t="array" ref="AJ74">AVERAGE(_xlfn._xlws.FILTER(PTS!AN:AN, (PTS!$C:$C=A74) * ISNUMBER(PTS!AN:AN)))</f>
        <v>26.17808219178082</v>
      </c>
      <c r="AK74" s="10" cm="1">
        <f t="array" ref="AK74">AVERAGE(_xlfn._xlws.FILTER(PTS!AO:AO, (PTS!$C:$C=A74) * ISNUMBER(PTS!AO:AO)))</f>
        <v>0</v>
      </c>
      <c r="AN74" s="10">
        <f t="shared" si="17"/>
        <v>106.1780821917808</v>
      </c>
      <c r="AR74" s="531">
        <f t="shared" si="18"/>
        <v>735.82402496333111</v>
      </c>
      <c r="AS74" s="531">
        <f t="shared" si="19"/>
        <v>1165.8240249633311</v>
      </c>
    </row>
    <row r="75" spans="1:45">
      <c r="A75" s="32" t="s">
        <v>287</v>
      </c>
      <c r="B75" s="319" t="s">
        <v>76</v>
      </c>
      <c r="C75" s="319" t="str">
        <f t="shared" si="10"/>
        <v>Douglas GA</v>
      </c>
      <c r="D75" s="10">
        <f>VLOOKUP(A:A,PTS!C:R,6,FALSE)</f>
        <v>4</v>
      </c>
      <c r="E75" s="531" cm="1">
        <f t="array" ref="E75">AVERAGE(_xlfn._xlws.FILTER(PTS!I:I, (PTS!$C:$C=A75) * ISNUMBER(PTS!I:I)))</f>
        <v>60</v>
      </c>
      <c r="F75" s="10" cm="1">
        <f t="array" ref="F75">AVERAGE(_xlfn._xlws.FILTER(PTS!J:J, (PTS!$C:$C=A75) * ISNUMBER(PTS!J:J)))</f>
        <v>100</v>
      </c>
      <c r="G75" s="531" cm="1">
        <f t="array" ref="G75">AVERAGE(_xlfn._xlws.FILTER(PTS!K:K, (PTS!$C:$C=A75) * ISNUMBER(PTS!K:K)))</f>
        <v>150</v>
      </c>
      <c r="H75" s="531" cm="1">
        <f t="array" ref="H75">AVERAGE(_xlfn._xlws.FILTER(PTS!L:L, (PTS!$C:$C=A75) * ISNUMBER(PTS!L:L)))</f>
        <v>0</v>
      </c>
      <c r="I75" s="531" cm="1">
        <f t="array" ref="I75">AVERAGE(_xlfn._xlws.FILTER(PTS!M:M, (PTS!$C:$C=A75) * ISNUMBER(PTS!M:M)))</f>
        <v>20</v>
      </c>
      <c r="J75" s="531" cm="1">
        <f t="array" ref="J75">AVERAGE(_xlfn._xlws.FILTER(PTS!N:N, (PTS!$C:$C=A75) * ISNUMBER(PTS!N:N)))</f>
        <v>60</v>
      </c>
      <c r="K75" s="531" cm="1">
        <f t="array" ref="K75">AVERAGE(_xlfn._xlws.FILTER(PTS!O:O, (PTS!$C:$C=A75) * ISNUMBER(PTS!O:O)))</f>
        <v>37.916666666666671</v>
      </c>
      <c r="L75" s="10" cm="1">
        <f t="array" ref="L75">AVERAGE(_xlfn._xlws.FILTER(PTS!P:P, (PTS!$C:$C=A75) * ISNUMBER(PTS!P:P)))</f>
        <v>0</v>
      </c>
      <c r="M75" s="531">
        <f t="shared" si="11"/>
        <v>427.91666666666669</v>
      </c>
      <c r="N75" s="531">
        <f t="shared" si="12"/>
        <v>37.916666666666671</v>
      </c>
      <c r="O75" s="531" cm="1">
        <f t="array" ref="O75">AVERAGE(_xlfn._xlws.FILTER(PTS!S:S, (PTS!$C:$C=A75) * ISNUMBER(PTS!S:S)))</f>
        <v>0</v>
      </c>
      <c r="P75" s="531" cm="1">
        <f t="array" ref="P75">AVERAGE(_xlfn._xlws.FILTER(PTS!T:T, (PTS!$C:$C=A75) * ISNUMBER(PTS!T:T)))</f>
        <v>0</v>
      </c>
      <c r="Q75" s="531" cm="1">
        <f t="array" ref="Q75">AVERAGE(_xlfn._xlws.FILTER(PTS!U:U, (PTS!$C:$C=A75) * ISNUMBER(PTS!U:U)))</f>
        <v>190.6965909090909</v>
      </c>
      <c r="S75" s="531">
        <f t="shared" si="13"/>
        <v>190.6965909090909</v>
      </c>
      <c r="T75" s="531" cm="1">
        <f t="array" ref="T75">AVERAGE(_xlfn._xlws.FILTER(PTS!X:X, (PTS!$C:$C=A75) * ISNUMBER(PTS!X:X)))</f>
        <v>52</v>
      </c>
      <c r="U75" s="531" cm="1">
        <f t="array" ref="U75">AVERAGE(_xlfn._xlws.FILTER(PTS!Y:Y, (PTS!$C:$C=A75) * ISNUMBER(PTS!Y:Y)))</f>
        <v>50.4</v>
      </c>
      <c r="V75" s="531" cm="1">
        <f t="array" ref="V75">AVERAGE(_xlfn._xlws.FILTER(PTS!Z:Z, (PTS!$C:$C=A75) * ISNUMBER(PTS!Z:Z)))</f>
        <v>26.25</v>
      </c>
      <c r="X75" s="531">
        <f t="shared" si="14"/>
        <v>128.65</v>
      </c>
      <c r="Y75" s="531" cm="1">
        <f t="array" ref="Y75">AVERAGE(_xlfn._xlws.FILTER(PTS!AC:AC, (PTS!$C:$C=A75) * ISNUMBER(PTS!AC:AC)))</f>
        <v>110.22727272727273</v>
      </c>
      <c r="Z75" s="531" cm="1">
        <f t="array" ref="Z75">AVERAGE(_xlfn._xlws.FILTER(PTS!AD:AD, (PTS!$C:$C=A75) * ISNUMBER(PTS!AD:AD)))</f>
        <v>107.04545454545455</v>
      </c>
      <c r="AB75" s="531">
        <f t="shared" si="15"/>
        <v>217.27272727272728</v>
      </c>
      <c r="AC75" s="10" cm="1">
        <f t="array" ref="AC75">AVERAGE(_xlfn._xlws.FILTER(PTS!AG:AG, (PTS!$C:$C=A75) * ISNUMBER(PTS!AG:AG)))</f>
        <v>28.814300000000003</v>
      </c>
      <c r="AD75" s="531" cm="1">
        <f t="array" ref="AD75">AVERAGE(_xlfn._xlws.FILTER(PTS!AH:AH, (PTS!$C:$C=A75) * ISNUMBER(PTS!AH:AH)))</f>
        <v>6.973140495867769</v>
      </c>
      <c r="AE75" s="531" cm="1">
        <f t="array" ref="AE75">AVERAGE(_xlfn._xlws.FILTER(PTS!AI:AI, (PTS!$C:$C=A75) * ISNUMBER(PTS!AI:AI)))</f>
        <v>12.587317427197677</v>
      </c>
      <c r="AF75" s="531" cm="1">
        <f t="array" ref="AF75">AVERAGE(_xlfn._xlws.FILTER(PTS!AJ:AJ, (PTS!$C:$C=A75) * ISNUMBER(PTS!AJ:AJ)))</f>
        <v>6.7351999999999999</v>
      </c>
      <c r="AH75" s="531">
        <f t="shared" si="16"/>
        <v>55.109957923065444</v>
      </c>
      <c r="AI75" s="10" cm="1">
        <f t="array" ref="AI75">AVERAGE(_xlfn._xlws.FILTER(PTS!AM:AM, (PTS!$C:$C=A75) * ISNUMBER(PTS!AM:AM)))</f>
        <v>79.999999999999986</v>
      </c>
      <c r="AJ75" s="10" cm="1">
        <f t="array" ref="AJ75">AVERAGE(_xlfn._xlws.FILTER(PTS!AN:AN, (PTS!$C:$C=A75) * ISNUMBER(PTS!AN:AN)))</f>
        <v>26.17808219178082</v>
      </c>
      <c r="AK75" s="10" cm="1">
        <f t="array" ref="AK75">AVERAGE(_xlfn._xlws.FILTER(PTS!AO:AO, (PTS!$C:$C=A75) * ISNUMBER(PTS!AO:AO)))</f>
        <v>0</v>
      </c>
      <c r="AN75" s="10">
        <f t="shared" si="17"/>
        <v>106.1780821917808</v>
      </c>
      <c r="AR75" s="531">
        <f t="shared" si="18"/>
        <v>735.82402496333111</v>
      </c>
      <c r="AS75" s="531">
        <f t="shared" si="19"/>
        <v>1125.8240249633311</v>
      </c>
    </row>
    <row r="76" spans="1:45">
      <c r="A76" s="32" t="s">
        <v>289</v>
      </c>
      <c r="B76" s="319" t="s">
        <v>76</v>
      </c>
      <c r="C76" s="319" t="str">
        <f t="shared" si="10"/>
        <v>DublinGA</v>
      </c>
      <c r="D76" s="10">
        <f>VLOOKUP(A:A,PTS!C:R,6,FALSE)</f>
        <v>4</v>
      </c>
      <c r="E76" s="531" cm="1">
        <f t="array" ref="E76">AVERAGE(_xlfn._xlws.FILTER(PTS!I:I, (PTS!$C:$C=A76) * ISNUMBER(PTS!I:I)))</f>
        <v>80</v>
      </c>
      <c r="F76" s="10" cm="1">
        <f t="array" ref="F76">AVERAGE(_xlfn._xlws.FILTER(PTS!J:J, (PTS!$C:$C=A76) * ISNUMBER(PTS!J:J)))</f>
        <v>100</v>
      </c>
      <c r="G76" s="531" cm="1">
        <f t="array" ref="G76">AVERAGE(_xlfn._xlws.FILTER(PTS!K:K, (PTS!$C:$C=A76) * ISNUMBER(PTS!K:K)))</f>
        <v>0</v>
      </c>
      <c r="H76" s="531" cm="1">
        <f t="array" ref="H76">AVERAGE(_xlfn._xlws.FILTER(PTS!L:L, (PTS!$C:$C=A76) * ISNUMBER(PTS!L:L)))</f>
        <v>0</v>
      </c>
      <c r="I76" s="531" cm="1">
        <f t="array" ref="I76">AVERAGE(_xlfn._xlws.FILTER(PTS!M:M, (PTS!$C:$C=A76) * ISNUMBER(PTS!M:M)))</f>
        <v>30</v>
      </c>
      <c r="J76" s="531" cm="1">
        <f t="array" ref="J76">AVERAGE(_xlfn._xlws.FILTER(PTS!N:N, (PTS!$C:$C=A76) * ISNUMBER(PTS!N:N)))</f>
        <v>64</v>
      </c>
      <c r="K76" s="531" cm="1">
        <f t="array" ref="K76">AVERAGE(_xlfn._xlws.FILTER(PTS!O:O, (PTS!$C:$C=A76) * ISNUMBER(PTS!O:O)))</f>
        <v>37.916666666666671</v>
      </c>
      <c r="L76" s="10" cm="1">
        <f t="array" ref="L76">AVERAGE(_xlfn._xlws.FILTER(PTS!P:P, (PTS!$C:$C=A76) * ISNUMBER(PTS!P:P)))</f>
        <v>0</v>
      </c>
      <c r="M76" s="531">
        <f t="shared" si="11"/>
        <v>311.91666666666669</v>
      </c>
      <c r="N76" s="531">
        <f t="shared" si="12"/>
        <v>37.916666666666671</v>
      </c>
      <c r="O76" s="531" cm="1">
        <f t="array" ref="O76">AVERAGE(_xlfn._xlws.FILTER(PTS!S:S, (PTS!$C:$C=A76) * ISNUMBER(PTS!S:S)))</f>
        <v>0</v>
      </c>
      <c r="P76" s="531" cm="1">
        <f t="array" ref="P76">AVERAGE(_xlfn._xlws.FILTER(PTS!T:T, (PTS!$C:$C=A76) * ISNUMBER(PTS!T:T)))</f>
        <v>0</v>
      </c>
      <c r="Q76" s="531" cm="1">
        <f t="array" ref="Q76">AVERAGE(_xlfn._xlws.FILTER(PTS!U:U, (PTS!$C:$C=A76) * ISNUMBER(PTS!U:U)))</f>
        <v>194.60227272727275</v>
      </c>
      <c r="S76" s="531">
        <f t="shared" si="13"/>
        <v>194.60227272727275</v>
      </c>
      <c r="T76" s="531" cm="1">
        <f t="array" ref="T76">AVERAGE(_xlfn._xlws.FILTER(PTS!X:X, (PTS!$C:$C=A76) * ISNUMBER(PTS!X:X)))</f>
        <v>52</v>
      </c>
      <c r="U76" s="531" cm="1">
        <f t="array" ref="U76">AVERAGE(_xlfn._xlws.FILTER(PTS!Y:Y, (PTS!$C:$C=A76) * ISNUMBER(PTS!Y:Y)))</f>
        <v>50.4</v>
      </c>
      <c r="V76" s="531" cm="1">
        <f t="array" ref="V76">AVERAGE(_xlfn._xlws.FILTER(PTS!Z:Z, (PTS!$C:$C=A76) * ISNUMBER(PTS!Z:Z)))</f>
        <v>26.25</v>
      </c>
      <c r="X76" s="531">
        <f t="shared" si="14"/>
        <v>128.65</v>
      </c>
      <c r="Y76" s="531" cm="1">
        <f t="array" ref="Y76">AVERAGE(_xlfn._xlws.FILTER(PTS!AC:AC, (PTS!$C:$C=A76) * ISNUMBER(PTS!AC:AC)))</f>
        <v>110.22727272727273</v>
      </c>
      <c r="Z76" s="531" cm="1">
        <f t="array" ref="Z76">AVERAGE(_xlfn._xlws.FILTER(PTS!AD:AD, (PTS!$C:$C=A76) * ISNUMBER(PTS!AD:AD)))</f>
        <v>107.04545454545455</v>
      </c>
      <c r="AB76" s="531">
        <f t="shared" si="15"/>
        <v>217.27272727272728</v>
      </c>
      <c r="AC76" s="10" cm="1">
        <f t="array" ref="AC76">AVERAGE(_xlfn._xlws.FILTER(PTS!AG:AG, (PTS!$C:$C=A76) * ISNUMBER(PTS!AG:AG)))</f>
        <v>28.814300000000003</v>
      </c>
      <c r="AD76" s="531" cm="1">
        <f t="array" ref="AD76">AVERAGE(_xlfn._xlws.FILTER(PTS!AH:AH, (PTS!$C:$C=A76) * ISNUMBER(PTS!AH:AH)))</f>
        <v>6.973140495867769</v>
      </c>
      <c r="AE76" s="531" cm="1">
        <f t="array" ref="AE76">AVERAGE(_xlfn._xlws.FILTER(PTS!AI:AI, (PTS!$C:$C=A76) * ISNUMBER(PTS!AI:AI)))</f>
        <v>12.587317427197677</v>
      </c>
      <c r="AF76" s="531" cm="1">
        <f t="array" ref="AF76">AVERAGE(_xlfn._xlws.FILTER(PTS!AJ:AJ, (PTS!$C:$C=A76) * ISNUMBER(PTS!AJ:AJ)))</f>
        <v>6.7351999999999999</v>
      </c>
      <c r="AH76" s="531">
        <f t="shared" si="16"/>
        <v>55.109957923065444</v>
      </c>
      <c r="AI76" s="10" cm="1">
        <f t="array" ref="AI76">AVERAGE(_xlfn._xlws.FILTER(PTS!AM:AM, (PTS!$C:$C=A76) * ISNUMBER(PTS!AM:AM)))</f>
        <v>79.999999999999986</v>
      </c>
      <c r="AJ76" s="10" cm="1">
        <f t="array" ref="AJ76">AVERAGE(_xlfn._xlws.FILTER(PTS!AN:AN, (PTS!$C:$C=A76) * ISNUMBER(PTS!AN:AN)))</f>
        <v>26.17808219178082</v>
      </c>
      <c r="AK76" s="10" cm="1">
        <f t="array" ref="AK76">AVERAGE(_xlfn._xlws.FILTER(PTS!AO:AO, (PTS!$C:$C=A76) * ISNUMBER(PTS!AO:AO)))</f>
        <v>0</v>
      </c>
      <c r="AN76" s="10">
        <f t="shared" si="17"/>
        <v>106.1780821917808</v>
      </c>
      <c r="AR76" s="531">
        <f t="shared" si="18"/>
        <v>739.72970678151296</v>
      </c>
      <c r="AS76" s="531">
        <f t="shared" si="19"/>
        <v>1013.729706781513</v>
      </c>
    </row>
    <row r="77" spans="1:45">
      <c r="A77" s="32" t="s">
        <v>291</v>
      </c>
      <c r="B77" s="319" t="s">
        <v>149</v>
      </c>
      <c r="C77" s="319" t="str">
        <f t="shared" si="10"/>
        <v>DumasAR</v>
      </c>
      <c r="D77" s="10">
        <f>VLOOKUP(A:A,PTS!C:R,6,FALSE)</f>
        <v>1</v>
      </c>
      <c r="E77" s="531" cm="1">
        <f t="array" ref="E77">AVERAGE(_xlfn._xlws.FILTER(PTS!I:I, (PTS!$C:$C=A77) * ISNUMBER(PTS!I:I)))</f>
        <v>13</v>
      </c>
      <c r="F77" s="10" cm="1">
        <f t="array" ref="F77">AVERAGE(_xlfn._xlws.FILTER(PTS!J:J, (PTS!$C:$C=A77) * ISNUMBER(PTS!J:J)))</f>
        <v>380</v>
      </c>
      <c r="G77" s="531" cm="1">
        <f t="array" ref="G77">AVERAGE(_xlfn._xlws.FILTER(PTS!K:K, (PTS!$C:$C=A77) * ISNUMBER(PTS!K:K)))</f>
        <v>0</v>
      </c>
      <c r="H77" s="531" cm="1">
        <f t="array" ref="H77">AVERAGE(_xlfn._xlws.FILTER(PTS!L:L, (PTS!$C:$C=A77) * ISNUMBER(PTS!L:L)))</f>
        <v>61</v>
      </c>
      <c r="I77" s="531" cm="1">
        <f t="array" ref="I77">AVERAGE(_xlfn._xlws.FILTER(PTS!M:M, (PTS!$C:$C=A77) * ISNUMBER(PTS!M:M)))</f>
        <v>10</v>
      </c>
      <c r="J77" s="531" cm="1">
        <f t="array" ref="J77">AVERAGE(_xlfn._xlws.FILTER(PTS!N:N, (PTS!$C:$C=A77) * ISNUMBER(PTS!N:N)))</f>
        <v>134</v>
      </c>
      <c r="K77" s="531" cm="1">
        <f t="array" ref="K77">AVERAGE(_xlfn._xlws.FILTER(PTS!O:O, (PTS!$C:$C=A77) * ISNUMBER(PTS!O:O)))</f>
        <v>37.916666666666671</v>
      </c>
      <c r="L77" s="10" cm="1">
        <f t="array" ref="L77">AVERAGE(_xlfn._xlws.FILTER(PTS!P:P, (PTS!$C:$C=A77) * ISNUMBER(PTS!P:P)))</f>
        <v>0</v>
      </c>
      <c r="M77" s="531">
        <f t="shared" si="11"/>
        <v>635.91666666666663</v>
      </c>
      <c r="N77" s="531">
        <f t="shared" si="12"/>
        <v>171.91666666666669</v>
      </c>
      <c r="O77" s="531" cm="1">
        <f t="array" ref="O77">AVERAGE(_xlfn._xlws.FILTER(PTS!S:S, (PTS!$C:$C=A77) * ISNUMBER(PTS!S:S)))</f>
        <v>0</v>
      </c>
      <c r="P77" s="531" cm="1">
        <f t="array" ref="P77">AVERAGE(_xlfn._xlws.FILTER(PTS!T:T, (PTS!$C:$C=A77) * ISNUMBER(PTS!T:T)))</f>
        <v>50</v>
      </c>
      <c r="Q77" s="531" cm="1">
        <f t="array" ref="Q77">AVERAGE(_xlfn._xlws.FILTER(PTS!U:U, (PTS!$C:$C=A77) * ISNUMBER(PTS!U:U)))</f>
        <v>255.11363636363637</v>
      </c>
      <c r="S77" s="531">
        <f t="shared" si="13"/>
        <v>305.11363636363637</v>
      </c>
      <c r="T77" s="531" cm="1">
        <f t="array" ref="T77">AVERAGE(_xlfn._xlws.FILTER(PTS!X:X, (PTS!$C:$C=A77) * ISNUMBER(PTS!X:X)))</f>
        <v>50</v>
      </c>
      <c r="U77" s="531" cm="1">
        <f t="array" ref="U77">AVERAGE(_xlfn._xlws.FILTER(PTS!Y:Y, (PTS!$C:$C=A77) * ISNUMBER(PTS!Y:Y)))</f>
        <v>33.6</v>
      </c>
      <c r="V77" s="531" cm="1">
        <f t="array" ref="V77">AVERAGE(_xlfn._xlws.FILTER(PTS!Z:Z, (PTS!$C:$C=A77) * ISNUMBER(PTS!Z:Z)))</f>
        <v>26.25</v>
      </c>
      <c r="X77" s="531">
        <f t="shared" si="14"/>
        <v>109.85</v>
      </c>
      <c r="Y77" s="531" cm="1">
        <f t="array" ref="Y77">AVERAGE(_xlfn._xlws.FILTER(PTS!AC:AC, (PTS!$C:$C=A77) * ISNUMBER(PTS!AC:AC)))</f>
        <v>146.02272727272725</v>
      </c>
      <c r="Z77" s="531" cm="1">
        <f t="array" ref="Z77">AVERAGE(_xlfn._xlws.FILTER(PTS!AD:AD, (PTS!$C:$C=A77) * ISNUMBER(PTS!AD:AD)))</f>
        <v>182.72727272727275</v>
      </c>
      <c r="AB77" s="531">
        <f t="shared" si="15"/>
        <v>328.75</v>
      </c>
      <c r="AC77" s="10" cm="1">
        <f t="array" ref="AC77">AVERAGE(_xlfn._xlws.FILTER(PTS!AG:AG, (PTS!$C:$C=A77) * ISNUMBER(PTS!AG:AG)))</f>
        <v>28.814300000000003</v>
      </c>
      <c r="AD77" s="531" cm="1">
        <f t="array" ref="AD77">AVERAGE(_xlfn._xlws.FILTER(PTS!AH:AH, (PTS!$C:$C=A77) * ISNUMBER(PTS!AH:AH)))</f>
        <v>6.973140495867769</v>
      </c>
      <c r="AE77" s="531" cm="1">
        <f t="array" ref="AE77">AVERAGE(_xlfn._xlws.FILTER(PTS!AI:AI, (PTS!$C:$C=A77) * ISNUMBER(PTS!AI:AI)))</f>
        <v>12.587317427197677</v>
      </c>
      <c r="AF77" s="531" cm="1">
        <f t="array" ref="AF77">AVERAGE(_xlfn._xlws.FILTER(PTS!AJ:AJ, (PTS!$C:$C=A77) * ISNUMBER(PTS!AJ:AJ)))</f>
        <v>6.7351999999999999</v>
      </c>
      <c r="AH77" s="531">
        <f t="shared" si="16"/>
        <v>55.109957923065444</v>
      </c>
      <c r="AI77" s="10" cm="1">
        <f t="array" ref="AI77">AVERAGE(_xlfn._xlws.FILTER(PTS!AM:AM, (PTS!$C:$C=A77) * ISNUMBER(PTS!AM:AM)))</f>
        <v>79.999999999999986</v>
      </c>
      <c r="AJ77" s="10" cm="1">
        <f t="array" ref="AJ77">AVERAGE(_xlfn._xlws.FILTER(PTS!AN:AN, (PTS!$C:$C=A77) * ISNUMBER(PTS!AN:AN)))</f>
        <v>26.17808219178082</v>
      </c>
      <c r="AK77" s="10" cm="1">
        <f t="array" ref="AK77">AVERAGE(_xlfn._xlws.FILTER(PTS!AO:AO, (PTS!$C:$C=A77) * ISNUMBER(PTS!AO:AO)))</f>
        <v>0</v>
      </c>
      <c r="AN77" s="10">
        <f t="shared" si="17"/>
        <v>106.1780821917808</v>
      </c>
      <c r="AR77" s="531">
        <f t="shared" si="18"/>
        <v>1076.9183431451493</v>
      </c>
      <c r="AS77" s="531">
        <f t="shared" si="19"/>
        <v>1540.918343145149</v>
      </c>
    </row>
    <row r="78" spans="1:45">
      <c r="A78" s="32" t="s">
        <v>294</v>
      </c>
      <c r="B78" s="319" t="s">
        <v>136</v>
      </c>
      <c r="C78" s="319" t="str">
        <f t="shared" si="10"/>
        <v>DunnNC</v>
      </c>
      <c r="D78" s="10">
        <f>VLOOKUP(A:A,PTS!C:R,6,FALSE)</f>
        <v>1</v>
      </c>
      <c r="E78" s="531" cm="1">
        <f t="array" ref="E78">AVERAGE(_xlfn._xlws.FILTER(PTS!I:I, (PTS!$C:$C=A78) * ISNUMBER(PTS!I:I)))</f>
        <v>60</v>
      </c>
      <c r="F78" s="10" cm="1">
        <f t="array" ref="F78">AVERAGE(_xlfn._xlws.FILTER(PTS!J:J, (PTS!$C:$C=A78) * ISNUMBER(PTS!J:J)))</f>
        <v>70</v>
      </c>
      <c r="G78" s="531" cm="1">
        <f t="array" ref="G78">AVERAGE(_xlfn._xlws.FILTER(PTS!K:K, (PTS!$C:$C=A78) * ISNUMBER(PTS!K:K)))</f>
        <v>0</v>
      </c>
      <c r="H78" s="531" cm="1">
        <f t="array" ref="H78">AVERAGE(_xlfn._xlws.FILTER(PTS!L:L, (PTS!$C:$C=A78) * ISNUMBER(PTS!L:L)))</f>
        <v>0</v>
      </c>
      <c r="I78" s="531" cm="1">
        <f t="array" ref="I78">AVERAGE(_xlfn._xlws.FILTER(PTS!M:M, (PTS!$C:$C=A78) * ISNUMBER(PTS!M:M)))</f>
        <v>0</v>
      </c>
      <c r="J78" s="531" cm="1">
        <f t="array" ref="J78">AVERAGE(_xlfn._xlws.FILTER(PTS!N:N, (PTS!$C:$C=A78) * ISNUMBER(PTS!N:N)))</f>
        <v>32</v>
      </c>
      <c r="K78" s="531" cm="1">
        <f t="array" ref="K78">AVERAGE(_xlfn._xlws.FILTER(PTS!O:O, (PTS!$C:$C=A78) * ISNUMBER(PTS!O:O)))</f>
        <v>37.916666666666671</v>
      </c>
      <c r="L78" s="10" cm="1">
        <f t="array" ref="L78">AVERAGE(_xlfn._xlws.FILTER(PTS!P:P, (PTS!$C:$C=A78) * ISNUMBER(PTS!P:P)))</f>
        <v>0</v>
      </c>
      <c r="M78" s="531">
        <f t="shared" si="11"/>
        <v>199.91666666666669</v>
      </c>
      <c r="N78" s="531">
        <f t="shared" si="12"/>
        <v>69.916666666666671</v>
      </c>
      <c r="O78" s="531" cm="1">
        <f t="array" ref="O78">AVERAGE(_xlfn._xlws.FILTER(PTS!S:S, (PTS!$C:$C=A78) * ISNUMBER(PTS!S:S)))</f>
        <v>0</v>
      </c>
      <c r="P78" s="531" cm="1">
        <f t="array" ref="P78">AVERAGE(_xlfn._xlws.FILTER(PTS!T:T, (PTS!$C:$C=A78) * ISNUMBER(PTS!T:T)))</f>
        <v>0</v>
      </c>
      <c r="Q78" s="531" cm="1">
        <f t="array" ref="Q78">AVERAGE(_xlfn._xlws.FILTER(PTS!U:U, (PTS!$C:$C=A78) * ISNUMBER(PTS!U:U)))</f>
        <v>230.01420454545453</v>
      </c>
      <c r="S78" s="531">
        <f t="shared" si="13"/>
        <v>230.01420454545453</v>
      </c>
      <c r="T78" s="531" cm="1">
        <f t="array" ref="T78">AVERAGE(_xlfn._xlws.FILTER(PTS!X:X, (PTS!$C:$C=A78) * ISNUMBER(PTS!X:X)))</f>
        <v>52</v>
      </c>
      <c r="U78" s="531" cm="1">
        <f t="array" ref="U78">AVERAGE(_xlfn._xlws.FILTER(PTS!Y:Y, (PTS!$C:$C=A78) * ISNUMBER(PTS!Y:Y)))</f>
        <v>50.4</v>
      </c>
      <c r="V78" s="531" cm="1">
        <f t="array" ref="V78">AVERAGE(_xlfn._xlws.FILTER(PTS!Z:Z, (PTS!$C:$C=A78) * ISNUMBER(PTS!Z:Z)))</f>
        <v>26.25</v>
      </c>
      <c r="X78" s="531">
        <f t="shared" si="14"/>
        <v>128.65</v>
      </c>
      <c r="Y78" s="531" cm="1">
        <f t="array" ref="Y78">AVERAGE(_xlfn._xlws.FILTER(PTS!AC:AC, (PTS!$C:$C=A78) * ISNUMBER(PTS!AC:AC)))</f>
        <v>110.22727272727273</v>
      </c>
      <c r="Z78" s="531" cm="1">
        <f t="array" ref="Z78">AVERAGE(_xlfn._xlws.FILTER(PTS!AD:AD, (PTS!$C:$C=A78) * ISNUMBER(PTS!AD:AD)))</f>
        <v>107.04545454545455</v>
      </c>
      <c r="AB78" s="531">
        <f t="shared" si="15"/>
        <v>217.27272727272728</v>
      </c>
      <c r="AC78" s="10" cm="1">
        <f t="array" ref="AC78">AVERAGE(_xlfn._xlws.FILTER(PTS!AG:AG, (PTS!$C:$C=A78) * ISNUMBER(PTS!AG:AG)))</f>
        <v>28.814300000000003</v>
      </c>
      <c r="AD78" s="531" cm="1">
        <f t="array" ref="AD78">AVERAGE(_xlfn._xlws.FILTER(PTS!AH:AH, (PTS!$C:$C=A78) * ISNUMBER(PTS!AH:AH)))</f>
        <v>6.973140495867769</v>
      </c>
      <c r="AE78" s="531" cm="1">
        <f t="array" ref="AE78">AVERAGE(_xlfn._xlws.FILTER(PTS!AI:AI, (PTS!$C:$C=A78) * ISNUMBER(PTS!AI:AI)))</f>
        <v>12.587317427197677</v>
      </c>
      <c r="AF78" s="531" cm="1">
        <f t="array" ref="AF78">AVERAGE(_xlfn._xlws.FILTER(PTS!AJ:AJ, (PTS!$C:$C=A78) * ISNUMBER(PTS!AJ:AJ)))</f>
        <v>6.7351999999999999</v>
      </c>
      <c r="AH78" s="531">
        <f t="shared" si="16"/>
        <v>55.109957923065444</v>
      </c>
      <c r="AI78" s="10" cm="1">
        <f t="array" ref="AI78">AVERAGE(_xlfn._xlws.FILTER(PTS!AM:AM, (PTS!$C:$C=A78) * ISNUMBER(PTS!AM:AM)))</f>
        <v>79.999999999999986</v>
      </c>
      <c r="AJ78" s="10" cm="1">
        <f t="array" ref="AJ78">AVERAGE(_xlfn._xlws.FILTER(PTS!AN:AN, (PTS!$C:$C=A78) * ISNUMBER(PTS!AN:AN)))</f>
        <v>26.17808219178082</v>
      </c>
      <c r="AK78" s="10" cm="1">
        <f t="array" ref="AK78">AVERAGE(_xlfn._xlws.FILTER(PTS!AO:AO, (PTS!$C:$C=A78) * ISNUMBER(PTS!AO:AO)))</f>
        <v>0</v>
      </c>
      <c r="AN78" s="10">
        <f t="shared" si="17"/>
        <v>106.1780821917808</v>
      </c>
      <c r="AR78" s="531">
        <f t="shared" si="18"/>
        <v>807.14163859969472</v>
      </c>
      <c r="AS78" s="531">
        <f t="shared" si="19"/>
        <v>937.14163859969472</v>
      </c>
    </row>
    <row r="79" spans="1:45">
      <c r="A79" s="32" t="s">
        <v>297</v>
      </c>
      <c r="B79" s="319" t="s">
        <v>149</v>
      </c>
      <c r="C79" s="319" t="str">
        <f t="shared" si="10"/>
        <v>DyessAR</v>
      </c>
      <c r="D79" s="10">
        <f>VLOOKUP(A:A,PTS!C:R,6,FALSE)</f>
        <v>1</v>
      </c>
      <c r="E79" s="531" cm="1">
        <f t="array" ref="E79">AVERAGE(_xlfn._xlws.FILTER(PTS!I:I, (PTS!$C:$C=A79) * ISNUMBER(PTS!I:I)))</f>
        <v>30</v>
      </c>
      <c r="F79" s="10" cm="1">
        <f t="array" ref="F79">AVERAGE(_xlfn._xlws.FILTER(PTS!J:J, (PTS!$C:$C=A79) * ISNUMBER(PTS!J:J)))</f>
        <v>365</v>
      </c>
      <c r="G79" s="531" cm="1">
        <f t="array" ref="G79">AVERAGE(_xlfn._xlws.FILTER(PTS!K:K, (PTS!$C:$C=A79) * ISNUMBER(PTS!K:K)))</f>
        <v>0</v>
      </c>
      <c r="H79" s="531" cm="1">
        <f t="array" ref="H79">AVERAGE(_xlfn._xlws.FILTER(PTS!L:L, (PTS!$C:$C=A79) * ISNUMBER(PTS!L:L)))</f>
        <v>0</v>
      </c>
      <c r="I79" s="531" cm="1">
        <f t="array" ref="I79">AVERAGE(_xlfn._xlws.FILTER(PTS!M:M, (PTS!$C:$C=A79) * ISNUMBER(PTS!M:M)))</f>
        <v>0</v>
      </c>
      <c r="J79" s="531" cm="1">
        <f t="array" ref="J79">AVERAGE(_xlfn._xlws.FILTER(PTS!N:N, (PTS!$C:$C=A79) * ISNUMBER(PTS!N:N)))</f>
        <v>58</v>
      </c>
      <c r="K79" s="531" cm="1">
        <f t="array" ref="K79">AVERAGE(_xlfn._xlws.FILTER(PTS!O:O, (PTS!$C:$C=A79) * ISNUMBER(PTS!O:O)))</f>
        <v>37.916666666666671</v>
      </c>
      <c r="L79" s="10" cm="1">
        <f t="array" ref="L79">AVERAGE(_xlfn._xlws.FILTER(PTS!P:P, (PTS!$C:$C=A79) * ISNUMBER(PTS!P:P)))</f>
        <v>0</v>
      </c>
      <c r="M79" s="531">
        <f t="shared" si="11"/>
        <v>490.91666666666669</v>
      </c>
      <c r="N79" s="531">
        <f t="shared" si="12"/>
        <v>95.916666666666671</v>
      </c>
      <c r="O79" s="531" cm="1">
        <f t="array" ref="O79">AVERAGE(_xlfn._xlws.FILTER(PTS!S:S, (PTS!$C:$C=A79) * ISNUMBER(PTS!S:S)))</f>
        <v>0</v>
      </c>
      <c r="P79" s="531" cm="1">
        <f t="array" ref="P79">AVERAGE(_xlfn._xlws.FILTER(PTS!T:T, (PTS!$C:$C=A79) * ISNUMBER(PTS!T:T)))</f>
        <v>0</v>
      </c>
      <c r="Q79" s="531" cm="1">
        <f t="array" ref="Q79">AVERAGE(_xlfn._xlws.FILTER(PTS!U:U, (PTS!$C:$C=A79) * ISNUMBER(PTS!U:U)))</f>
        <v>140.90909090909091</v>
      </c>
      <c r="S79" s="531">
        <f t="shared" si="13"/>
        <v>140.90909090909091</v>
      </c>
      <c r="T79" s="531" cm="1">
        <f t="array" ref="T79">AVERAGE(_xlfn._xlws.FILTER(PTS!X:X, (PTS!$C:$C=A79) * ISNUMBER(PTS!X:X)))</f>
        <v>50</v>
      </c>
      <c r="U79" s="531" cm="1">
        <f t="array" ref="U79">AVERAGE(_xlfn._xlws.FILTER(PTS!Y:Y, (PTS!$C:$C=A79) * ISNUMBER(PTS!Y:Y)))</f>
        <v>33.6</v>
      </c>
      <c r="V79" s="531" cm="1">
        <f t="array" ref="V79">AVERAGE(_xlfn._xlws.FILTER(PTS!Z:Z, (PTS!$C:$C=A79) * ISNUMBER(PTS!Z:Z)))</f>
        <v>26.25</v>
      </c>
      <c r="X79" s="531">
        <f t="shared" si="14"/>
        <v>109.85</v>
      </c>
      <c r="Y79" s="531" cm="1">
        <f t="array" ref="Y79">AVERAGE(_xlfn._xlws.FILTER(PTS!AC:AC, (PTS!$C:$C=A79) * ISNUMBER(PTS!AC:AC)))</f>
        <v>146.02272727272725</v>
      </c>
      <c r="Z79" s="531" cm="1">
        <f t="array" ref="Z79">AVERAGE(_xlfn._xlws.FILTER(PTS!AD:AD, (PTS!$C:$C=A79) * ISNUMBER(PTS!AD:AD)))</f>
        <v>182.72727272727275</v>
      </c>
      <c r="AB79" s="531">
        <f t="shared" si="15"/>
        <v>328.75</v>
      </c>
      <c r="AC79" s="10" cm="1">
        <f t="array" ref="AC79">AVERAGE(_xlfn._xlws.FILTER(PTS!AG:AG, (PTS!$C:$C=A79) * ISNUMBER(PTS!AG:AG)))</f>
        <v>28.814300000000003</v>
      </c>
      <c r="AD79" s="531" cm="1">
        <f t="array" ref="AD79">AVERAGE(_xlfn._xlws.FILTER(PTS!AH:AH, (PTS!$C:$C=A79) * ISNUMBER(PTS!AH:AH)))</f>
        <v>6.973140495867769</v>
      </c>
      <c r="AE79" s="531" cm="1">
        <f t="array" ref="AE79">AVERAGE(_xlfn._xlws.FILTER(PTS!AI:AI, (PTS!$C:$C=A79) * ISNUMBER(PTS!AI:AI)))</f>
        <v>12.587317427197677</v>
      </c>
      <c r="AF79" s="531" cm="1">
        <f t="array" ref="AF79">AVERAGE(_xlfn._xlws.FILTER(PTS!AJ:AJ, (PTS!$C:$C=A79) * ISNUMBER(PTS!AJ:AJ)))</f>
        <v>6.7351999999999999</v>
      </c>
      <c r="AH79" s="531">
        <f t="shared" si="16"/>
        <v>55.109957923065444</v>
      </c>
      <c r="AI79" s="10" cm="1">
        <f t="array" ref="AI79">AVERAGE(_xlfn._xlws.FILTER(PTS!AM:AM, (PTS!$C:$C=A79) * ISNUMBER(PTS!AM:AM)))</f>
        <v>79.999999999999986</v>
      </c>
      <c r="AJ79" s="10" cm="1">
        <f t="array" ref="AJ79">AVERAGE(_xlfn._xlws.FILTER(PTS!AN:AN, (PTS!$C:$C=A79) * ISNUMBER(PTS!AN:AN)))</f>
        <v>26.17808219178082</v>
      </c>
      <c r="AK79" s="10" cm="1">
        <f t="array" ref="AK79">AVERAGE(_xlfn._xlws.FILTER(PTS!AO:AO, (PTS!$C:$C=A79) * ISNUMBER(PTS!AO:AO)))</f>
        <v>0</v>
      </c>
      <c r="AN79" s="10">
        <f t="shared" si="17"/>
        <v>106.1780821917808</v>
      </c>
      <c r="AR79" s="531">
        <f t="shared" si="18"/>
        <v>836.71379769060377</v>
      </c>
      <c r="AS79" s="531">
        <f t="shared" si="19"/>
        <v>1231.7137976906038</v>
      </c>
    </row>
    <row r="80" spans="1:45">
      <c r="A80" s="32" t="s">
        <v>299</v>
      </c>
      <c r="B80" s="319" t="s">
        <v>65</v>
      </c>
      <c r="C80" s="319" t="str">
        <f t="shared" si="10"/>
        <v>EclecticAL</v>
      </c>
      <c r="D80" s="10">
        <f>VLOOKUP(A:A,PTS!C:R,6,FALSE)</f>
        <v>1</v>
      </c>
      <c r="E80" s="531" cm="1">
        <f t="array" ref="E80">AVERAGE(_xlfn._xlws.FILTER(PTS!I:I, (PTS!$C:$C=A80) * ISNUMBER(PTS!I:I)))</f>
        <v>70</v>
      </c>
      <c r="F80" s="10" cm="1">
        <f t="array" ref="F80">AVERAGE(_xlfn._xlws.FILTER(PTS!J:J, (PTS!$C:$C=A80) * ISNUMBER(PTS!J:J)))</f>
        <v>100</v>
      </c>
      <c r="G80" s="531" cm="1">
        <f t="array" ref="G80">AVERAGE(_xlfn._xlws.FILTER(PTS!K:K, (PTS!$C:$C=A80) * ISNUMBER(PTS!K:K)))</f>
        <v>0</v>
      </c>
      <c r="H80" s="531" cm="1">
        <f t="array" ref="H80">AVERAGE(_xlfn._xlws.FILTER(PTS!L:L, (PTS!$C:$C=A80) * ISNUMBER(PTS!L:L)))</f>
        <v>0</v>
      </c>
      <c r="I80" s="531" cm="1">
        <f t="array" ref="I80">AVERAGE(_xlfn._xlws.FILTER(PTS!M:M, (PTS!$C:$C=A80) * ISNUMBER(PTS!M:M)))</f>
        <v>10</v>
      </c>
      <c r="J80" s="531" cm="1">
        <f t="array" ref="J80">AVERAGE(_xlfn._xlws.FILTER(PTS!N:N, (PTS!$C:$C=A80) * ISNUMBER(PTS!N:N)))</f>
        <v>50</v>
      </c>
      <c r="K80" s="531" cm="1">
        <f t="array" ref="K80">AVERAGE(_xlfn._xlws.FILTER(PTS!O:O, (PTS!$C:$C=A80) * ISNUMBER(PTS!O:O)))</f>
        <v>37.916666666666671</v>
      </c>
      <c r="L80" s="10" cm="1">
        <f t="array" ref="L80">AVERAGE(_xlfn._xlws.FILTER(PTS!P:P, (PTS!$C:$C=A80) * ISNUMBER(PTS!P:P)))</f>
        <v>0</v>
      </c>
      <c r="M80" s="531">
        <f t="shared" si="11"/>
        <v>267.91666666666669</v>
      </c>
      <c r="N80" s="531">
        <f t="shared" si="12"/>
        <v>87.916666666666671</v>
      </c>
      <c r="O80" s="531" cm="1">
        <f t="array" ref="O80">AVERAGE(_xlfn._xlws.FILTER(PTS!S:S, (PTS!$C:$C=A80) * ISNUMBER(PTS!S:S)))</f>
        <v>0</v>
      </c>
      <c r="P80" s="531" cm="1">
        <f t="array" ref="P80">AVERAGE(_xlfn._xlws.FILTER(PTS!T:T, (PTS!$C:$C=A80) * ISNUMBER(PTS!T:T)))</f>
        <v>0</v>
      </c>
      <c r="Q80" s="531" cm="1">
        <f t="array" ref="Q80">AVERAGE(_xlfn._xlws.FILTER(PTS!U:U, (PTS!$C:$C=A80) * ISNUMBER(PTS!U:U)))</f>
        <v>299.00568181818181</v>
      </c>
      <c r="S80" s="531">
        <f t="shared" si="13"/>
        <v>299.00568181818181</v>
      </c>
      <c r="T80" s="531" cm="1">
        <f t="array" ref="T80">AVERAGE(_xlfn._xlws.FILTER(PTS!X:X, (PTS!$C:$C=A80) * ISNUMBER(PTS!X:X)))</f>
        <v>52</v>
      </c>
      <c r="U80" s="531" cm="1">
        <f t="array" ref="U80">AVERAGE(_xlfn._xlws.FILTER(PTS!Y:Y, (PTS!$C:$C=A80) * ISNUMBER(PTS!Y:Y)))</f>
        <v>50.4</v>
      </c>
      <c r="V80" s="531" cm="1">
        <f t="array" ref="V80">AVERAGE(_xlfn._xlws.FILTER(PTS!Z:Z, (PTS!$C:$C=A80) * ISNUMBER(PTS!Z:Z)))</f>
        <v>26.25</v>
      </c>
      <c r="X80" s="531">
        <f t="shared" si="14"/>
        <v>128.65</v>
      </c>
      <c r="Y80" s="531" cm="1">
        <f t="array" ref="Y80">AVERAGE(_xlfn._xlws.FILTER(PTS!AC:AC, (PTS!$C:$C=A80) * ISNUMBER(PTS!AC:AC)))</f>
        <v>110.22727272727273</v>
      </c>
      <c r="Z80" s="531" cm="1">
        <f t="array" ref="Z80">AVERAGE(_xlfn._xlws.FILTER(PTS!AD:AD, (PTS!$C:$C=A80) * ISNUMBER(PTS!AD:AD)))</f>
        <v>107.04545454545455</v>
      </c>
      <c r="AB80" s="531">
        <f t="shared" si="15"/>
        <v>217.27272727272728</v>
      </c>
      <c r="AC80" s="10" cm="1">
        <f t="array" ref="AC80">AVERAGE(_xlfn._xlws.FILTER(PTS!AG:AG, (PTS!$C:$C=A80) * ISNUMBER(PTS!AG:AG)))</f>
        <v>28.814300000000003</v>
      </c>
      <c r="AD80" s="531" cm="1">
        <f t="array" ref="AD80">AVERAGE(_xlfn._xlws.FILTER(PTS!AH:AH, (PTS!$C:$C=A80) * ISNUMBER(PTS!AH:AH)))</f>
        <v>6.973140495867769</v>
      </c>
      <c r="AE80" s="531" cm="1">
        <f t="array" ref="AE80">AVERAGE(_xlfn._xlws.FILTER(PTS!AI:AI, (PTS!$C:$C=A80) * ISNUMBER(PTS!AI:AI)))</f>
        <v>12.587317427197677</v>
      </c>
      <c r="AF80" s="531" cm="1">
        <f t="array" ref="AF80">AVERAGE(_xlfn._xlws.FILTER(PTS!AJ:AJ, (PTS!$C:$C=A80) * ISNUMBER(PTS!AJ:AJ)))</f>
        <v>6.7351999999999999</v>
      </c>
      <c r="AH80" s="531">
        <f t="shared" si="16"/>
        <v>55.109957923065444</v>
      </c>
      <c r="AI80" s="10" cm="1">
        <f t="array" ref="AI80">AVERAGE(_xlfn._xlws.FILTER(PTS!AM:AM, (PTS!$C:$C=A80) * ISNUMBER(PTS!AM:AM)))</f>
        <v>79.999999999999986</v>
      </c>
      <c r="AJ80" s="10" cm="1">
        <f t="array" ref="AJ80">AVERAGE(_xlfn._xlws.FILTER(PTS!AN:AN, (PTS!$C:$C=A80) * ISNUMBER(PTS!AN:AN)))</f>
        <v>26.17808219178082</v>
      </c>
      <c r="AK80" s="10" cm="1">
        <f t="array" ref="AK80">AVERAGE(_xlfn._xlws.FILTER(PTS!AO:AO, (PTS!$C:$C=A80) * ISNUMBER(PTS!AO:AO)))</f>
        <v>0</v>
      </c>
      <c r="AN80" s="10">
        <f t="shared" si="17"/>
        <v>106.1780821917808</v>
      </c>
      <c r="AR80" s="531">
        <f t="shared" si="18"/>
        <v>894.13311587242197</v>
      </c>
      <c r="AS80" s="531">
        <f t="shared" si="19"/>
        <v>1074.133115872422</v>
      </c>
    </row>
    <row r="81" spans="1:45">
      <c r="A81" s="32" t="s">
        <v>301</v>
      </c>
      <c r="B81" s="319" t="s">
        <v>136</v>
      </c>
      <c r="C81" s="319" t="str">
        <f t="shared" si="10"/>
        <v>EdentonNC</v>
      </c>
      <c r="D81" s="10">
        <f>VLOOKUP(A:A,PTS!C:R,6,FALSE)</f>
        <v>1</v>
      </c>
      <c r="E81" s="531" cm="1">
        <f t="array" ref="E81">AVERAGE(_xlfn._xlws.FILTER(PTS!I:I, (PTS!$C:$C=A81) * ISNUMBER(PTS!I:I)))</f>
        <v>60</v>
      </c>
      <c r="F81" s="10" cm="1">
        <f t="array" ref="F81">AVERAGE(_xlfn._xlws.FILTER(PTS!J:J, (PTS!$C:$C=A81) * ISNUMBER(PTS!J:J)))</f>
        <v>88.5</v>
      </c>
      <c r="G81" s="531" cm="1">
        <f t="array" ref="G81">AVERAGE(_xlfn._xlws.FILTER(PTS!K:K, (PTS!$C:$C=A81) * ISNUMBER(PTS!K:K)))</f>
        <v>0</v>
      </c>
      <c r="H81" s="531" cm="1">
        <f t="array" ref="H81">AVERAGE(_xlfn._xlws.FILTER(PTS!L:L, (PTS!$C:$C=A81) * ISNUMBER(PTS!L:L)))</f>
        <v>0</v>
      </c>
      <c r="I81" s="531" cm="1">
        <f t="array" ref="I81">AVERAGE(_xlfn._xlws.FILTER(PTS!M:M, (PTS!$C:$C=A81) * ISNUMBER(PTS!M:M)))</f>
        <v>5</v>
      </c>
      <c r="J81" s="531" cm="1">
        <f t="array" ref="J81">AVERAGE(_xlfn._xlws.FILTER(PTS!N:N, (PTS!$C:$C=A81) * ISNUMBER(PTS!N:N)))</f>
        <v>47</v>
      </c>
      <c r="K81" s="531" cm="1">
        <f t="array" ref="K81">AVERAGE(_xlfn._xlws.FILTER(PTS!O:O, (PTS!$C:$C=A81) * ISNUMBER(PTS!O:O)))</f>
        <v>37.916666666666671</v>
      </c>
      <c r="L81" s="10" cm="1">
        <f t="array" ref="L81">AVERAGE(_xlfn._xlws.FILTER(PTS!P:P, (PTS!$C:$C=A81) * ISNUMBER(PTS!P:P)))</f>
        <v>0</v>
      </c>
      <c r="M81" s="531">
        <f t="shared" si="11"/>
        <v>238.41666666666669</v>
      </c>
      <c r="N81" s="531">
        <f t="shared" si="12"/>
        <v>84.916666666666671</v>
      </c>
      <c r="O81" s="531" cm="1">
        <f t="array" ref="O81">AVERAGE(_xlfn._xlws.FILTER(PTS!S:S, (PTS!$C:$C=A81) * ISNUMBER(PTS!S:S)))</f>
        <v>0</v>
      </c>
      <c r="P81" s="531" cm="1">
        <f t="array" ref="P81">AVERAGE(_xlfn._xlws.FILTER(PTS!T:T, (PTS!$C:$C=A81) * ISNUMBER(PTS!T:T)))</f>
        <v>0</v>
      </c>
      <c r="Q81" s="531" cm="1">
        <f t="array" ref="Q81">AVERAGE(_xlfn._xlws.FILTER(PTS!U:U, (PTS!$C:$C=A81) * ISNUMBER(PTS!U:U)))</f>
        <v>298.23522727272734</v>
      </c>
      <c r="S81" s="531">
        <f t="shared" si="13"/>
        <v>298.23522727272734</v>
      </c>
      <c r="T81" s="531" cm="1">
        <f t="array" ref="T81">AVERAGE(_xlfn._xlws.FILTER(PTS!X:X, (PTS!$C:$C=A81) * ISNUMBER(PTS!X:X)))</f>
        <v>52</v>
      </c>
      <c r="U81" s="531" cm="1">
        <f t="array" ref="U81">AVERAGE(_xlfn._xlws.FILTER(PTS!Y:Y, (PTS!$C:$C=A81) * ISNUMBER(PTS!Y:Y)))</f>
        <v>50.4</v>
      </c>
      <c r="V81" s="531" cm="1">
        <f t="array" ref="V81">AVERAGE(_xlfn._xlws.FILTER(PTS!Z:Z, (PTS!$C:$C=A81) * ISNUMBER(PTS!Z:Z)))</f>
        <v>26.25</v>
      </c>
      <c r="X81" s="531">
        <f t="shared" si="14"/>
        <v>128.65</v>
      </c>
      <c r="Y81" s="531" cm="1">
        <f t="array" ref="Y81">AVERAGE(_xlfn._xlws.FILTER(PTS!AC:AC, (PTS!$C:$C=A81) * ISNUMBER(PTS!AC:AC)))</f>
        <v>110.22727272727273</v>
      </c>
      <c r="Z81" s="531" cm="1">
        <f t="array" ref="Z81">AVERAGE(_xlfn._xlws.FILTER(PTS!AD:AD, (PTS!$C:$C=A81) * ISNUMBER(PTS!AD:AD)))</f>
        <v>107.04545454545455</v>
      </c>
      <c r="AB81" s="531">
        <f t="shared" si="15"/>
        <v>217.27272727272728</v>
      </c>
      <c r="AC81" s="10" cm="1">
        <f t="array" ref="AC81">AVERAGE(_xlfn._xlws.FILTER(PTS!AG:AG, (PTS!$C:$C=A81) * ISNUMBER(PTS!AG:AG)))</f>
        <v>28.814300000000003</v>
      </c>
      <c r="AD81" s="531" cm="1">
        <f t="array" ref="AD81">AVERAGE(_xlfn._xlws.FILTER(PTS!AH:AH, (PTS!$C:$C=A81) * ISNUMBER(PTS!AH:AH)))</f>
        <v>6.973140495867769</v>
      </c>
      <c r="AE81" s="531" cm="1">
        <f t="array" ref="AE81">AVERAGE(_xlfn._xlws.FILTER(PTS!AI:AI, (PTS!$C:$C=A81) * ISNUMBER(PTS!AI:AI)))</f>
        <v>12.587317427197677</v>
      </c>
      <c r="AF81" s="531" cm="1">
        <f t="array" ref="AF81">AVERAGE(_xlfn._xlws.FILTER(PTS!AJ:AJ, (PTS!$C:$C=A81) * ISNUMBER(PTS!AJ:AJ)))</f>
        <v>6.7351999999999999</v>
      </c>
      <c r="AH81" s="531">
        <f t="shared" si="16"/>
        <v>55.109957923065444</v>
      </c>
      <c r="AI81" s="10" cm="1">
        <f t="array" ref="AI81">AVERAGE(_xlfn._xlws.FILTER(PTS!AM:AM, (PTS!$C:$C=A81) * ISNUMBER(PTS!AM:AM)))</f>
        <v>79.999999999999986</v>
      </c>
      <c r="AJ81" s="10" cm="1">
        <f t="array" ref="AJ81">AVERAGE(_xlfn._xlws.FILTER(PTS!AN:AN, (PTS!$C:$C=A81) * ISNUMBER(PTS!AN:AN)))</f>
        <v>26.17808219178082</v>
      </c>
      <c r="AK81" s="10" cm="1">
        <f t="array" ref="AK81">AVERAGE(_xlfn._xlws.FILTER(PTS!AO:AO, (PTS!$C:$C=A81) * ISNUMBER(PTS!AO:AO)))</f>
        <v>0</v>
      </c>
      <c r="AN81" s="10">
        <f t="shared" si="17"/>
        <v>106.1780821917808</v>
      </c>
      <c r="AR81" s="531">
        <f t="shared" si="18"/>
        <v>890.36266132696755</v>
      </c>
      <c r="AS81" s="531">
        <f t="shared" si="19"/>
        <v>1043.8626613269676</v>
      </c>
    </row>
    <row r="82" spans="1:45">
      <c r="A82" s="32" t="s">
        <v>305</v>
      </c>
      <c r="B82" s="319" t="s">
        <v>71</v>
      </c>
      <c r="C82" s="319" t="str">
        <f t="shared" si="10"/>
        <v>El CampoTX</v>
      </c>
      <c r="D82" s="10">
        <f>VLOOKUP(A:A,PTS!C:R,6,FALSE)</f>
        <v>3</v>
      </c>
      <c r="E82" s="531" cm="1">
        <f t="array" ref="E82">AVERAGE(_xlfn._xlws.FILTER(PTS!I:I, (PTS!$C:$C=A82) * ISNUMBER(PTS!I:I)))</f>
        <v>110</v>
      </c>
      <c r="F82" s="10" cm="1">
        <f t="array" ref="F82">AVERAGE(_xlfn._xlws.FILTER(PTS!J:J, (PTS!$C:$C=A82) * ISNUMBER(PTS!J:J)))</f>
        <v>350</v>
      </c>
      <c r="G82" s="531" cm="1">
        <f t="array" ref="G82">AVERAGE(_xlfn._xlws.FILTER(PTS!K:K, (PTS!$C:$C=A82) * ISNUMBER(PTS!K:K)))</f>
        <v>0</v>
      </c>
      <c r="H82" s="531" cm="1">
        <f t="array" ref="H82">AVERAGE(_xlfn._xlws.FILTER(PTS!L:L, (PTS!$C:$C=A82) * ISNUMBER(PTS!L:L)))</f>
        <v>0</v>
      </c>
      <c r="I82" s="531" cm="1">
        <f t="array" ref="I82">AVERAGE(_xlfn._xlws.FILTER(PTS!M:M, (PTS!$C:$C=A82) * ISNUMBER(PTS!M:M)))</f>
        <v>0</v>
      </c>
      <c r="J82" s="531" cm="1">
        <f t="array" ref="J82">AVERAGE(_xlfn._xlws.FILTER(PTS!N:N, (PTS!$C:$C=A82) * ISNUMBER(PTS!N:N)))</f>
        <v>80</v>
      </c>
      <c r="K82" s="531" cm="1">
        <f t="array" ref="K82">AVERAGE(_xlfn._xlws.FILTER(PTS!O:O, (PTS!$C:$C=A82) * ISNUMBER(PTS!O:O)))</f>
        <v>37.916666666666671</v>
      </c>
      <c r="L82" s="10" cm="1">
        <f t="array" ref="L82">AVERAGE(_xlfn._xlws.FILTER(PTS!P:P, (PTS!$C:$C=A82) * ISNUMBER(PTS!P:P)))</f>
        <v>0</v>
      </c>
      <c r="M82" s="531">
        <f t="shared" si="11"/>
        <v>577.91666666666663</v>
      </c>
      <c r="N82" s="531">
        <f t="shared" si="12"/>
        <v>467.91666666666669</v>
      </c>
      <c r="O82" s="531" cm="1">
        <f t="array" ref="O82">AVERAGE(_xlfn._xlws.FILTER(PTS!S:S, (PTS!$C:$C=A82) * ISNUMBER(PTS!S:S)))</f>
        <v>0</v>
      </c>
      <c r="P82" s="531" cm="1">
        <f t="array" ref="P82">AVERAGE(_xlfn._xlws.FILTER(PTS!T:T, (PTS!$C:$C=A82) * ISNUMBER(PTS!T:T)))</f>
        <v>0</v>
      </c>
      <c r="Q82" s="531" cm="1">
        <f t="array" ref="Q82">AVERAGE(_xlfn._xlws.FILTER(PTS!U:U, (PTS!$C:$C=A82) * ISNUMBER(PTS!U:U)))</f>
        <v>164.77272727272725</v>
      </c>
      <c r="S82" s="531">
        <f t="shared" si="13"/>
        <v>164.77272727272725</v>
      </c>
      <c r="T82" s="531" cm="1">
        <f t="array" ref="T82">AVERAGE(_xlfn._xlws.FILTER(PTS!X:X, (PTS!$C:$C=A82) * ISNUMBER(PTS!X:X)))</f>
        <v>54</v>
      </c>
      <c r="U82" s="531" cm="1">
        <f t="array" ref="U82">AVERAGE(_xlfn._xlws.FILTER(PTS!Y:Y, (PTS!$C:$C=A82) * ISNUMBER(PTS!Y:Y)))</f>
        <v>50.4</v>
      </c>
      <c r="V82" s="531" cm="1">
        <f t="array" ref="V82">AVERAGE(_xlfn._xlws.FILTER(PTS!Z:Z, (PTS!$C:$C=A82) * ISNUMBER(PTS!Z:Z)))</f>
        <v>26.25</v>
      </c>
      <c r="X82" s="531">
        <f t="shared" si="14"/>
        <v>130.65</v>
      </c>
      <c r="Y82" s="531" cm="1">
        <f t="array" ref="Y82">AVERAGE(_xlfn._xlws.FILTER(PTS!AC:AC, (PTS!$C:$C=A82) * ISNUMBER(PTS!AC:AC)))</f>
        <v>132.95454545454544</v>
      </c>
      <c r="Z82" s="531" cm="1">
        <f t="array" ref="Z82">AVERAGE(_xlfn._xlws.FILTER(PTS!AD:AD, (PTS!$C:$C=A82) * ISNUMBER(PTS!AD:AD)))</f>
        <v>197.95454545454547</v>
      </c>
      <c r="AB82" s="531">
        <f t="shared" si="15"/>
        <v>330.90909090909088</v>
      </c>
      <c r="AC82" s="10" cm="1">
        <f t="array" ref="AC82">AVERAGE(_xlfn._xlws.FILTER(PTS!AG:AG, (PTS!$C:$C=A82) * ISNUMBER(PTS!AG:AG)))</f>
        <v>28.814300000000003</v>
      </c>
      <c r="AD82" s="531" cm="1">
        <f t="array" ref="AD82">AVERAGE(_xlfn._xlws.FILTER(PTS!AH:AH, (PTS!$C:$C=A82) * ISNUMBER(PTS!AH:AH)))</f>
        <v>6.973140495867769</v>
      </c>
      <c r="AE82" s="531" cm="1">
        <f t="array" ref="AE82">AVERAGE(_xlfn._xlws.FILTER(PTS!AI:AI, (PTS!$C:$C=A82) * ISNUMBER(PTS!AI:AI)))</f>
        <v>12.587317427197677</v>
      </c>
      <c r="AF82" s="531" cm="1">
        <f t="array" ref="AF82">AVERAGE(_xlfn._xlws.FILTER(PTS!AJ:AJ, (PTS!$C:$C=A82) * ISNUMBER(PTS!AJ:AJ)))</f>
        <v>6.7351999999999999</v>
      </c>
      <c r="AH82" s="531">
        <f t="shared" si="16"/>
        <v>55.109957923065444</v>
      </c>
      <c r="AI82" s="10" cm="1">
        <f t="array" ref="AI82">AVERAGE(_xlfn._xlws.FILTER(PTS!AM:AM, (PTS!$C:$C=A82) * ISNUMBER(PTS!AM:AM)))</f>
        <v>79.999999999999986</v>
      </c>
      <c r="AJ82" s="10" cm="1">
        <f t="array" ref="AJ82">AVERAGE(_xlfn._xlws.FILTER(PTS!AN:AN, (PTS!$C:$C=A82) * ISNUMBER(PTS!AN:AN)))</f>
        <v>26.17808219178082</v>
      </c>
      <c r="AK82" s="10" cm="1">
        <f t="array" ref="AK82">AVERAGE(_xlfn._xlws.FILTER(PTS!AO:AO, (PTS!$C:$C=A82) * ISNUMBER(PTS!AO:AO)))</f>
        <v>0</v>
      </c>
      <c r="AN82" s="10">
        <f t="shared" si="17"/>
        <v>106.1780821917808</v>
      </c>
      <c r="AR82" s="531">
        <f t="shared" si="18"/>
        <v>1255.536524963331</v>
      </c>
      <c r="AS82" s="531">
        <f t="shared" si="19"/>
        <v>1365.5365249633307</v>
      </c>
    </row>
    <row r="83" spans="1:45">
      <c r="A83" s="32" t="s">
        <v>308</v>
      </c>
      <c r="B83" s="319" t="s">
        <v>132</v>
      </c>
      <c r="C83" s="319" t="str">
        <f t="shared" si="10"/>
        <v>ElloreeSC</v>
      </c>
      <c r="D83" s="10">
        <f>VLOOKUP(A:A,PTS!C:R,6,FALSE)</f>
        <v>1</v>
      </c>
      <c r="E83" s="531" cm="1">
        <f t="array" ref="E83">AVERAGE(_xlfn._xlws.FILTER(PTS!I:I, (PTS!$C:$C=A83) * ISNUMBER(PTS!I:I)))</f>
        <v>55</v>
      </c>
      <c r="F83" s="10" cm="1">
        <f t="array" ref="F83">AVERAGE(_xlfn._xlws.FILTER(PTS!J:J, (PTS!$C:$C=A83) * ISNUMBER(PTS!J:J)))</f>
        <v>80</v>
      </c>
      <c r="G83" s="531" cm="1">
        <f t="array" ref="G83">AVERAGE(_xlfn._xlws.FILTER(PTS!K:K, (PTS!$C:$C=A83) * ISNUMBER(PTS!K:K)))</f>
        <v>0</v>
      </c>
      <c r="H83" s="531" cm="1">
        <f t="array" ref="H83">AVERAGE(_xlfn._xlws.FILTER(PTS!L:L, (PTS!$C:$C=A83) * ISNUMBER(PTS!L:L)))</f>
        <v>0</v>
      </c>
      <c r="I83" s="531" cm="1">
        <f t="array" ref="I83">AVERAGE(_xlfn._xlws.FILTER(PTS!M:M, (PTS!$C:$C=A83) * ISNUMBER(PTS!M:M)))</f>
        <v>20</v>
      </c>
      <c r="J83" s="531" cm="1">
        <f t="array" ref="J83">AVERAGE(_xlfn._xlws.FILTER(PTS!N:N, (PTS!$C:$C=A83) * ISNUMBER(PTS!N:N)))</f>
        <v>40</v>
      </c>
      <c r="K83" s="531" cm="1">
        <f t="array" ref="K83">AVERAGE(_xlfn._xlws.FILTER(PTS!O:O, (PTS!$C:$C=A83) * ISNUMBER(PTS!O:O)))</f>
        <v>37.916666666666671</v>
      </c>
      <c r="L83" s="10" cm="1">
        <f t="array" ref="L83">AVERAGE(_xlfn._xlws.FILTER(PTS!P:P, (PTS!$C:$C=A83) * ISNUMBER(PTS!P:P)))</f>
        <v>0</v>
      </c>
      <c r="M83" s="531">
        <f t="shared" si="11"/>
        <v>232.91666666666669</v>
      </c>
      <c r="N83" s="531">
        <f t="shared" si="12"/>
        <v>77.916666666666671</v>
      </c>
      <c r="O83" s="531" cm="1">
        <f t="array" ref="O83">AVERAGE(_xlfn._xlws.FILTER(PTS!S:S, (PTS!$C:$C=A83) * ISNUMBER(PTS!S:S)))</f>
        <v>0</v>
      </c>
      <c r="P83" s="531" cm="1">
        <f t="array" ref="P83">AVERAGE(_xlfn._xlws.FILTER(PTS!T:T, (PTS!$C:$C=A83) * ISNUMBER(PTS!T:T)))</f>
        <v>0</v>
      </c>
      <c r="Q83" s="531" cm="1">
        <f t="array" ref="Q83">AVERAGE(_xlfn._xlws.FILTER(PTS!U:U, (PTS!$C:$C=A83) * ISNUMBER(PTS!U:U)))</f>
        <v>179.40340909090909</v>
      </c>
      <c r="S83" s="531">
        <f t="shared" si="13"/>
        <v>179.40340909090909</v>
      </c>
      <c r="T83" s="531" cm="1">
        <f t="array" ref="T83">AVERAGE(_xlfn._xlws.FILTER(PTS!X:X, (PTS!$C:$C=A83) * ISNUMBER(PTS!X:X)))</f>
        <v>52</v>
      </c>
      <c r="U83" s="531" cm="1">
        <f t="array" ref="U83">AVERAGE(_xlfn._xlws.FILTER(PTS!Y:Y, (PTS!$C:$C=A83) * ISNUMBER(PTS!Y:Y)))</f>
        <v>50.4</v>
      </c>
      <c r="V83" s="531" cm="1">
        <f t="array" ref="V83">AVERAGE(_xlfn._xlws.FILTER(PTS!Z:Z, (PTS!$C:$C=A83) * ISNUMBER(PTS!Z:Z)))</f>
        <v>26.25</v>
      </c>
      <c r="X83" s="531">
        <f t="shared" si="14"/>
        <v>128.65</v>
      </c>
      <c r="Y83" s="531" cm="1">
        <f t="array" ref="Y83">AVERAGE(_xlfn._xlws.FILTER(PTS!AC:AC, (PTS!$C:$C=A83) * ISNUMBER(PTS!AC:AC)))</f>
        <v>110.22727272727273</v>
      </c>
      <c r="Z83" s="531" cm="1">
        <f t="array" ref="Z83">AVERAGE(_xlfn._xlws.FILTER(PTS!AD:AD, (PTS!$C:$C=A83) * ISNUMBER(PTS!AD:AD)))</f>
        <v>107.04545454545455</v>
      </c>
      <c r="AB83" s="531">
        <f t="shared" si="15"/>
        <v>217.27272727272728</v>
      </c>
      <c r="AC83" s="10" cm="1">
        <f t="array" ref="AC83">AVERAGE(_xlfn._xlws.FILTER(PTS!AG:AG, (PTS!$C:$C=A83) * ISNUMBER(PTS!AG:AG)))</f>
        <v>28.814300000000003</v>
      </c>
      <c r="AD83" s="531" cm="1">
        <f t="array" ref="AD83">AVERAGE(_xlfn._xlws.FILTER(PTS!AH:AH, (PTS!$C:$C=A83) * ISNUMBER(PTS!AH:AH)))</f>
        <v>6.973140495867769</v>
      </c>
      <c r="AE83" s="531" cm="1">
        <f t="array" ref="AE83">AVERAGE(_xlfn._xlws.FILTER(PTS!AI:AI, (PTS!$C:$C=A83) * ISNUMBER(PTS!AI:AI)))</f>
        <v>12.587317427197677</v>
      </c>
      <c r="AF83" s="531" cm="1">
        <f t="array" ref="AF83">AVERAGE(_xlfn._xlws.FILTER(PTS!AJ:AJ, (PTS!$C:$C=A83) * ISNUMBER(PTS!AJ:AJ)))</f>
        <v>6.7351999999999999</v>
      </c>
      <c r="AH83" s="531">
        <f t="shared" si="16"/>
        <v>55.109957923065444</v>
      </c>
      <c r="AI83" s="10" cm="1">
        <f t="array" ref="AI83">AVERAGE(_xlfn._xlws.FILTER(PTS!AM:AM, (PTS!$C:$C=A83) * ISNUMBER(PTS!AM:AM)))</f>
        <v>79.999999999999986</v>
      </c>
      <c r="AJ83" s="10" cm="1">
        <f t="array" ref="AJ83">AVERAGE(_xlfn._xlws.FILTER(PTS!AN:AN, (PTS!$C:$C=A83) * ISNUMBER(PTS!AN:AN)))</f>
        <v>26.17808219178082</v>
      </c>
      <c r="AK83" s="10" cm="1">
        <f t="array" ref="AK83">AVERAGE(_xlfn._xlws.FILTER(PTS!AO:AO, (PTS!$C:$C=A83) * ISNUMBER(PTS!AO:AO)))</f>
        <v>0</v>
      </c>
      <c r="AN83" s="10">
        <f t="shared" si="17"/>
        <v>106.1780821917808</v>
      </c>
      <c r="AR83" s="531">
        <f t="shared" si="18"/>
        <v>764.53084314514922</v>
      </c>
      <c r="AS83" s="531">
        <f t="shared" si="19"/>
        <v>919.53084314514922</v>
      </c>
    </row>
    <row r="84" spans="1:45">
      <c r="A84" s="32" t="s">
        <v>311</v>
      </c>
      <c r="B84" s="319" t="s">
        <v>136</v>
      </c>
      <c r="C84" s="319" t="str">
        <f t="shared" si="10"/>
        <v>Elm CityNC</v>
      </c>
      <c r="D84" s="10">
        <f>VLOOKUP(A:A,PTS!C:R,6,FALSE)</f>
        <v>1</v>
      </c>
      <c r="E84" s="531" cm="1">
        <f t="array" ref="E84">AVERAGE(_xlfn._xlws.FILTER(PTS!I:I, (PTS!$C:$C=A84) * ISNUMBER(PTS!I:I)))</f>
        <v>82.5</v>
      </c>
      <c r="F84" s="10" cm="1">
        <f t="array" ref="F84">AVERAGE(_xlfn._xlws.FILTER(PTS!J:J, (PTS!$C:$C=A84) * ISNUMBER(PTS!J:J)))</f>
        <v>82.5</v>
      </c>
      <c r="G84" s="531" cm="1">
        <f t="array" ref="G84">AVERAGE(_xlfn._xlws.FILTER(PTS!K:K, (PTS!$C:$C=A84) * ISNUMBER(PTS!K:K)))</f>
        <v>0</v>
      </c>
      <c r="H84" s="531" cm="1">
        <f t="array" ref="H84">AVERAGE(_xlfn._xlws.FILTER(PTS!L:L, (PTS!$C:$C=A84) * ISNUMBER(PTS!L:L)))</f>
        <v>0</v>
      </c>
      <c r="I84" s="531" cm="1">
        <f t="array" ref="I84">AVERAGE(_xlfn._xlws.FILTER(PTS!M:M, (PTS!$C:$C=A84) * ISNUMBER(PTS!M:M)))</f>
        <v>15</v>
      </c>
      <c r="J84" s="531" cm="1">
        <f t="array" ref="J84">AVERAGE(_xlfn._xlws.FILTER(PTS!N:N, (PTS!$C:$C=A84) * ISNUMBER(PTS!N:N)))</f>
        <v>45</v>
      </c>
      <c r="K84" s="531" cm="1">
        <f t="array" ref="K84">AVERAGE(_xlfn._xlws.FILTER(PTS!O:O, (PTS!$C:$C=A84) * ISNUMBER(PTS!O:O)))</f>
        <v>37.916666666666671</v>
      </c>
      <c r="L84" s="10" cm="1">
        <f t="array" ref="L84">AVERAGE(_xlfn._xlws.FILTER(PTS!P:P, (PTS!$C:$C=A84) * ISNUMBER(PTS!P:P)))</f>
        <v>0</v>
      </c>
      <c r="M84" s="531">
        <f t="shared" si="11"/>
        <v>262.91666666666669</v>
      </c>
      <c r="N84" s="531">
        <f t="shared" si="12"/>
        <v>82.916666666666671</v>
      </c>
      <c r="O84" s="531" cm="1">
        <f t="array" ref="O84">AVERAGE(_xlfn._xlws.FILTER(PTS!S:S, (PTS!$C:$C=A84) * ISNUMBER(PTS!S:S)))</f>
        <v>0</v>
      </c>
      <c r="P84" s="531" cm="1">
        <f t="array" ref="P84">AVERAGE(_xlfn._xlws.FILTER(PTS!T:T, (PTS!$C:$C=A84) * ISNUMBER(PTS!T:T)))</f>
        <v>0</v>
      </c>
      <c r="Q84" s="531" cm="1">
        <f t="array" ref="Q84">AVERAGE(_xlfn._xlws.FILTER(PTS!U:U, (PTS!$C:$C=A84) * ISNUMBER(PTS!U:U)))</f>
        <v>402.72727272727275</v>
      </c>
      <c r="S84" s="531">
        <f t="shared" si="13"/>
        <v>402.72727272727275</v>
      </c>
      <c r="T84" s="531" cm="1">
        <f t="array" ref="T84">AVERAGE(_xlfn._xlws.FILTER(PTS!X:X, (PTS!$C:$C=A84) * ISNUMBER(PTS!X:X)))</f>
        <v>52</v>
      </c>
      <c r="U84" s="531" cm="1">
        <f t="array" ref="U84">AVERAGE(_xlfn._xlws.FILTER(PTS!Y:Y, (PTS!$C:$C=A84) * ISNUMBER(PTS!Y:Y)))</f>
        <v>50.4</v>
      </c>
      <c r="V84" s="531" cm="1">
        <f t="array" ref="V84">AVERAGE(_xlfn._xlws.FILTER(PTS!Z:Z, (PTS!$C:$C=A84) * ISNUMBER(PTS!Z:Z)))</f>
        <v>26.25</v>
      </c>
      <c r="X84" s="531">
        <f t="shared" si="14"/>
        <v>128.65</v>
      </c>
      <c r="Y84" s="531" cm="1">
        <f t="array" ref="Y84">AVERAGE(_xlfn._xlws.FILTER(PTS!AC:AC, (PTS!$C:$C=A84) * ISNUMBER(PTS!AC:AC)))</f>
        <v>110.22727272727273</v>
      </c>
      <c r="Z84" s="531" cm="1">
        <f t="array" ref="Z84">AVERAGE(_xlfn._xlws.FILTER(PTS!AD:AD, (PTS!$C:$C=A84) * ISNUMBER(PTS!AD:AD)))</f>
        <v>107.04545454545455</v>
      </c>
      <c r="AB84" s="531">
        <f t="shared" si="15"/>
        <v>217.27272727272728</v>
      </c>
      <c r="AC84" s="10" cm="1">
        <f t="array" ref="AC84">AVERAGE(_xlfn._xlws.FILTER(PTS!AG:AG, (PTS!$C:$C=A84) * ISNUMBER(PTS!AG:AG)))</f>
        <v>28.814300000000003</v>
      </c>
      <c r="AD84" s="531" cm="1">
        <f t="array" ref="AD84">AVERAGE(_xlfn._xlws.FILTER(PTS!AH:AH, (PTS!$C:$C=A84) * ISNUMBER(PTS!AH:AH)))</f>
        <v>6.973140495867769</v>
      </c>
      <c r="AE84" s="531" cm="1">
        <f t="array" ref="AE84">AVERAGE(_xlfn._xlws.FILTER(PTS!AI:AI, (PTS!$C:$C=A84) * ISNUMBER(PTS!AI:AI)))</f>
        <v>12.587317427197677</v>
      </c>
      <c r="AF84" s="531" cm="1">
        <f t="array" ref="AF84">AVERAGE(_xlfn._xlws.FILTER(PTS!AJ:AJ, (PTS!$C:$C=A84) * ISNUMBER(PTS!AJ:AJ)))</f>
        <v>6.7351999999999999</v>
      </c>
      <c r="AH84" s="531">
        <f t="shared" si="16"/>
        <v>55.109957923065444</v>
      </c>
      <c r="AI84" s="10" cm="1">
        <f t="array" ref="AI84">AVERAGE(_xlfn._xlws.FILTER(PTS!AM:AM, (PTS!$C:$C=A84) * ISNUMBER(PTS!AM:AM)))</f>
        <v>79.999999999999986</v>
      </c>
      <c r="AJ84" s="10" cm="1">
        <f t="array" ref="AJ84">AVERAGE(_xlfn._xlws.FILTER(PTS!AN:AN, (PTS!$C:$C=A84) * ISNUMBER(PTS!AN:AN)))</f>
        <v>26.17808219178082</v>
      </c>
      <c r="AK84" s="10" cm="1">
        <f t="array" ref="AK84">AVERAGE(_xlfn._xlws.FILTER(PTS!AO:AO, (PTS!$C:$C=A84) * ISNUMBER(PTS!AO:AO)))</f>
        <v>0</v>
      </c>
      <c r="AN84" s="10">
        <f t="shared" si="17"/>
        <v>106.1780821917808</v>
      </c>
      <c r="AR84" s="531">
        <f t="shared" si="18"/>
        <v>992.85470678151296</v>
      </c>
      <c r="AS84" s="531">
        <f t="shared" si="19"/>
        <v>1172.854706781513</v>
      </c>
    </row>
    <row r="85" spans="1:45">
      <c r="A85" s="32" t="s">
        <v>315</v>
      </c>
      <c r="B85" s="319" t="s">
        <v>168</v>
      </c>
      <c r="C85" s="319" t="str">
        <f t="shared" si="10"/>
        <v>EloraTN</v>
      </c>
      <c r="D85" s="10">
        <f>VLOOKUP(A:A,PTS!C:R,6,FALSE)</f>
        <v>1</v>
      </c>
      <c r="E85" s="531" cm="1">
        <f t="array" ref="E85">AVERAGE(_xlfn._xlws.FILTER(PTS!I:I, (PTS!$C:$C=A85) * ISNUMBER(PTS!I:I)))</f>
        <v>80</v>
      </c>
      <c r="F85" s="10" cm="1">
        <f t="array" ref="F85">AVERAGE(_xlfn._xlws.FILTER(PTS!J:J, (PTS!$C:$C=A85) * ISNUMBER(PTS!J:J)))</f>
        <v>135</v>
      </c>
      <c r="G85" s="531" cm="1">
        <f t="array" ref="G85">AVERAGE(_xlfn._xlws.FILTER(PTS!K:K, (PTS!$C:$C=A85) * ISNUMBER(PTS!K:K)))</f>
        <v>160</v>
      </c>
      <c r="H85" s="531" cm="1">
        <f t="array" ref="H85">AVERAGE(_xlfn._xlws.FILTER(PTS!L:L, (PTS!$C:$C=A85) * ISNUMBER(PTS!L:L)))</f>
        <v>61</v>
      </c>
      <c r="I85" s="531" cm="1">
        <f t="array" ref="I85">AVERAGE(_xlfn._xlws.FILTER(PTS!M:M, (PTS!$C:$C=A85) * ISNUMBER(PTS!M:M)))</f>
        <v>10</v>
      </c>
      <c r="J85" s="531" cm="1">
        <f t="array" ref="J85">AVERAGE(_xlfn._xlws.FILTER(PTS!N:N, (PTS!$C:$C=A85) * ISNUMBER(PTS!N:N)))</f>
        <v>45</v>
      </c>
      <c r="K85" s="531" cm="1">
        <f t="array" ref="K85">AVERAGE(_xlfn._xlws.FILTER(PTS!O:O, (PTS!$C:$C=A85) * ISNUMBER(PTS!O:O)))</f>
        <v>37.916666666666671</v>
      </c>
      <c r="L85" s="10" cm="1">
        <f t="array" ref="L85">AVERAGE(_xlfn._xlws.FILTER(PTS!P:P, (PTS!$C:$C=A85) * ISNUMBER(PTS!P:P)))</f>
        <v>0</v>
      </c>
      <c r="M85" s="531">
        <f t="shared" si="11"/>
        <v>528.91666666666663</v>
      </c>
      <c r="N85" s="531">
        <f t="shared" si="12"/>
        <v>82.916666666666671</v>
      </c>
      <c r="O85" s="531" cm="1">
        <f t="array" ref="O85">AVERAGE(_xlfn._xlws.FILTER(PTS!S:S, (PTS!$C:$C=A85) * ISNUMBER(PTS!S:S)))</f>
        <v>0</v>
      </c>
      <c r="P85" s="531" cm="1">
        <f t="array" ref="P85">AVERAGE(_xlfn._xlws.FILTER(PTS!T:T, (PTS!$C:$C=A85) * ISNUMBER(PTS!T:T)))</f>
        <v>0</v>
      </c>
      <c r="Q85" s="531" cm="1">
        <f t="array" ref="Q85">AVERAGE(_xlfn._xlws.FILTER(PTS!U:U, (PTS!$C:$C=A85) * ISNUMBER(PTS!U:U)))</f>
        <v>446.02272727272725</v>
      </c>
      <c r="S85" s="531">
        <f t="shared" si="13"/>
        <v>446.02272727272725</v>
      </c>
      <c r="T85" s="531" cm="1">
        <f t="array" ref="T85">AVERAGE(_xlfn._xlws.FILTER(PTS!X:X, (PTS!$C:$C=A85) * ISNUMBER(PTS!X:X)))</f>
        <v>50</v>
      </c>
      <c r="U85" s="531" cm="1">
        <f t="array" ref="U85">AVERAGE(_xlfn._xlws.FILTER(PTS!Y:Y, (PTS!$C:$C=A85) * ISNUMBER(PTS!Y:Y)))</f>
        <v>33.6</v>
      </c>
      <c r="V85" s="531" cm="1">
        <f t="array" ref="V85">AVERAGE(_xlfn._xlws.FILTER(PTS!Z:Z, (PTS!$C:$C=A85) * ISNUMBER(PTS!Z:Z)))</f>
        <v>26.25</v>
      </c>
      <c r="X85" s="531">
        <f t="shared" si="14"/>
        <v>109.85</v>
      </c>
      <c r="Y85" s="531" cm="1">
        <f t="array" ref="Y85">AVERAGE(_xlfn._xlws.FILTER(PTS!AC:AC, (PTS!$C:$C=A85) * ISNUMBER(PTS!AC:AC)))</f>
        <v>146.02272727272725</v>
      </c>
      <c r="Z85" s="531" cm="1">
        <f t="array" ref="Z85">AVERAGE(_xlfn._xlws.FILTER(PTS!AD:AD, (PTS!$C:$C=A85) * ISNUMBER(PTS!AD:AD)))</f>
        <v>182.72727272727275</v>
      </c>
      <c r="AB85" s="531">
        <f t="shared" si="15"/>
        <v>328.75</v>
      </c>
      <c r="AC85" s="10" cm="1">
        <f t="array" ref="AC85">AVERAGE(_xlfn._xlws.FILTER(PTS!AG:AG, (PTS!$C:$C=A85) * ISNUMBER(PTS!AG:AG)))</f>
        <v>28.814300000000003</v>
      </c>
      <c r="AD85" s="531" cm="1">
        <f t="array" ref="AD85">AVERAGE(_xlfn._xlws.FILTER(PTS!AH:AH, (PTS!$C:$C=A85) * ISNUMBER(PTS!AH:AH)))</f>
        <v>6.973140495867769</v>
      </c>
      <c r="AE85" s="531" cm="1">
        <f t="array" ref="AE85">AVERAGE(_xlfn._xlws.FILTER(PTS!AI:AI, (PTS!$C:$C=A85) * ISNUMBER(PTS!AI:AI)))</f>
        <v>12.587317427197677</v>
      </c>
      <c r="AF85" s="531" cm="1">
        <f t="array" ref="AF85">AVERAGE(_xlfn._xlws.FILTER(PTS!AJ:AJ, (PTS!$C:$C=A85) * ISNUMBER(PTS!AJ:AJ)))</f>
        <v>6.7351999999999999</v>
      </c>
      <c r="AH85" s="531">
        <f t="shared" si="16"/>
        <v>55.109957923065444</v>
      </c>
      <c r="AI85" s="10" cm="1">
        <f t="array" ref="AI85">AVERAGE(_xlfn._xlws.FILTER(PTS!AM:AM, (PTS!$C:$C=A85) * ISNUMBER(PTS!AM:AM)))</f>
        <v>79.999999999999986</v>
      </c>
      <c r="AJ85" s="10" cm="1">
        <f t="array" ref="AJ85">AVERAGE(_xlfn._xlws.FILTER(PTS!AN:AN, (PTS!$C:$C=A85) * ISNUMBER(PTS!AN:AN)))</f>
        <v>26.17808219178082</v>
      </c>
      <c r="AK85" s="10" cm="1">
        <f t="array" ref="AK85">AVERAGE(_xlfn._xlws.FILTER(PTS!AO:AO, (PTS!$C:$C=A85) * ISNUMBER(PTS!AO:AO)))</f>
        <v>0</v>
      </c>
      <c r="AN85" s="10">
        <f t="shared" si="17"/>
        <v>106.1780821917808</v>
      </c>
      <c r="AR85" s="531">
        <f t="shared" si="18"/>
        <v>1128.82743405424</v>
      </c>
      <c r="AS85" s="531">
        <f t="shared" si="19"/>
        <v>1574.82743405424</v>
      </c>
    </row>
    <row r="86" spans="1:45">
      <c r="A86" s="32" t="s">
        <v>318</v>
      </c>
      <c r="B86" s="319" t="s">
        <v>319</v>
      </c>
      <c r="C86" s="319" t="str">
        <f t="shared" si="10"/>
        <v>EloyAZ</v>
      </c>
      <c r="D86" s="10">
        <f>VLOOKUP(A:A,PTS!C:R,6,FALSE)</f>
        <v>6</v>
      </c>
      <c r="E86" s="531" cm="1">
        <f t="array" ref="E86">AVERAGE(_xlfn._xlws.FILTER(PTS!I:I, (PTS!$C:$C=A86) * ISNUMBER(PTS!I:I)))</f>
        <v>0</v>
      </c>
      <c r="F86" s="10" cm="1">
        <f t="array" ref="F86">AVERAGE(_xlfn._xlws.FILTER(PTS!J:J, (PTS!$C:$C=A86) * ISNUMBER(PTS!J:J)))</f>
        <v>160</v>
      </c>
      <c r="G86" s="531" cm="1">
        <f t="array" ref="G86">AVERAGE(_xlfn._xlws.FILTER(PTS!K:K, (PTS!$C:$C=A86) * ISNUMBER(PTS!K:K)))</f>
        <v>162.5</v>
      </c>
      <c r="H86" s="531" cm="1">
        <f t="array" ref="H86">AVERAGE(_xlfn._xlws.FILTER(PTS!L:L, (PTS!$C:$C=A86) * ISNUMBER(PTS!L:L)))</f>
        <v>0</v>
      </c>
      <c r="I86" s="531" cm="1">
        <f t="array" ref="I86">AVERAGE(_xlfn._xlws.FILTER(PTS!M:M, (PTS!$C:$C=A86) * ISNUMBER(PTS!M:M)))</f>
        <v>5</v>
      </c>
      <c r="J86" s="531" cm="1">
        <f t="array" ref="J86">AVERAGE(_xlfn._xlws.FILTER(PTS!N:N, (PTS!$C:$C=A86) * ISNUMBER(PTS!N:N)))</f>
        <v>84</v>
      </c>
      <c r="K86" s="531" cm="1">
        <f t="array" ref="K86">AVERAGE(_xlfn._xlws.FILTER(PTS!O:O, (PTS!$C:$C=A86) * ISNUMBER(PTS!O:O)))</f>
        <v>37.916666666666671</v>
      </c>
      <c r="L86" s="10" t="e" cm="1" vm="1">
        <f t="array" ref="L86">AVERAGE(_xlfn._xlws.FILTER(PTS!P:P, (PTS!$C:$C=A86) * ISNUMBER(PTS!P:P)))</f>
        <v>#VALUE!</v>
      </c>
      <c r="M86" s="531" t="e" vm="2">
        <f t="shared" si="11"/>
        <v>#VALUE!</v>
      </c>
      <c r="N86" s="531" t="e">
        <f t="shared" si="12"/>
        <v>#VALUE!</v>
      </c>
      <c r="O86" s="531" cm="1">
        <f t="array" ref="O86">AVERAGE(_xlfn._xlws.FILTER(PTS!S:S, (PTS!$C:$C=A86) * ISNUMBER(PTS!S:S)))</f>
        <v>0</v>
      </c>
      <c r="P86" s="531" cm="1">
        <f t="array" ref="P86">AVERAGE(_xlfn._xlws.FILTER(PTS!T:T, (PTS!$C:$C=A86) * ISNUMBER(PTS!T:T)))</f>
        <v>0</v>
      </c>
      <c r="Q86" s="531" t="e" cm="1" vm="1">
        <f t="array" ref="Q86">AVERAGE(_xlfn._xlws.FILTER(PTS!U:U, (PTS!$C:$C=A86) * ISNUMBER(PTS!U:U)))</f>
        <v>#VALUE!</v>
      </c>
      <c r="S86" s="531" t="e" vm="2">
        <f t="shared" si="13"/>
        <v>#VALUE!</v>
      </c>
      <c r="T86" s="531" t="e" cm="1" vm="1">
        <f t="array" ref="T86">AVERAGE(_xlfn._xlws.FILTER(PTS!X:X, (PTS!$C:$C=A86) * ISNUMBER(PTS!X:X)))</f>
        <v>#VALUE!</v>
      </c>
      <c r="U86" s="531" t="e" cm="1" vm="1">
        <f t="array" ref="U86">AVERAGE(_xlfn._xlws.FILTER(PTS!Y:Y, (PTS!$C:$C=A86) * ISNUMBER(PTS!Y:Y)))</f>
        <v>#VALUE!</v>
      </c>
      <c r="V86" s="531" cm="1">
        <f t="array" ref="V86">AVERAGE(_xlfn._xlws.FILTER(PTS!Z:Z, (PTS!$C:$C=A86) * ISNUMBER(PTS!Z:Z)))</f>
        <v>26.25</v>
      </c>
      <c r="X86" s="531" t="e" vm="2">
        <f t="shared" si="14"/>
        <v>#VALUE!</v>
      </c>
      <c r="Y86" s="531" t="e" cm="1" vm="1">
        <f t="array" ref="Y86">AVERAGE(_xlfn._xlws.FILTER(PTS!AC:AC, (PTS!$C:$C=A86) * ISNUMBER(PTS!AC:AC)))</f>
        <v>#VALUE!</v>
      </c>
      <c r="Z86" s="531" t="e" cm="1" vm="1">
        <f t="array" ref="Z86">AVERAGE(_xlfn._xlws.FILTER(PTS!AD:AD, (PTS!$C:$C=A86) * ISNUMBER(PTS!AD:AD)))</f>
        <v>#VALUE!</v>
      </c>
      <c r="AB86" s="531" t="e" vm="2">
        <f t="shared" si="15"/>
        <v>#VALUE!</v>
      </c>
      <c r="AC86" s="10" cm="1">
        <f t="array" ref="AC86">AVERAGE(_xlfn._xlws.FILTER(PTS!AG:AG, (PTS!$C:$C=A86) * ISNUMBER(PTS!AG:AG)))</f>
        <v>28.814300000000003</v>
      </c>
      <c r="AD86" s="531" cm="1">
        <f t="array" ref="AD86">AVERAGE(_xlfn._xlws.FILTER(PTS!AH:AH, (PTS!$C:$C=A86) * ISNUMBER(PTS!AH:AH)))</f>
        <v>6.973140495867769</v>
      </c>
      <c r="AE86" s="531" cm="1">
        <f t="array" ref="AE86">AVERAGE(_xlfn._xlws.FILTER(PTS!AI:AI, (PTS!$C:$C=A86) * ISNUMBER(PTS!AI:AI)))</f>
        <v>12.587317427197677</v>
      </c>
      <c r="AF86" s="531" cm="1">
        <f t="array" ref="AF86">AVERAGE(_xlfn._xlws.FILTER(PTS!AJ:AJ, (PTS!$C:$C=A86) * ISNUMBER(PTS!AJ:AJ)))</f>
        <v>6.7351999999999999</v>
      </c>
      <c r="AH86" s="531">
        <f t="shared" si="16"/>
        <v>55.109957923065444</v>
      </c>
      <c r="AI86" s="10" cm="1">
        <f t="array" ref="AI86">AVERAGE(_xlfn._xlws.FILTER(PTS!AM:AM, (PTS!$C:$C=A86) * ISNUMBER(PTS!AM:AM)))</f>
        <v>79.999999999999986</v>
      </c>
      <c r="AJ86" s="10" cm="1">
        <f t="array" ref="AJ86">AVERAGE(_xlfn._xlws.FILTER(PTS!AN:AN, (PTS!$C:$C=A86) * ISNUMBER(PTS!AN:AN)))</f>
        <v>26.17808219178082</v>
      </c>
      <c r="AK86" s="10" cm="1">
        <f t="array" ref="AK86">AVERAGE(_xlfn._xlws.FILTER(PTS!AO:AO, (PTS!$C:$C=A86) * ISNUMBER(PTS!AO:AO)))</f>
        <v>0</v>
      </c>
      <c r="AN86" s="10">
        <f t="shared" si="17"/>
        <v>106.1780821917808</v>
      </c>
      <c r="AR86" s="531" t="e">
        <f t="shared" si="18"/>
        <v>#VALUE!</v>
      </c>
      <c r="AS86" s="531" t="e" vm="2">
        <f t="shared" si="19"/>
        <v>#VALUE!</v>
      </c>
    </row>
    <row r="87" spans="1:45">
      <c r="A87" s="32" t="s">
        <v>323</v>
      </c>
      <c r="B87" s="319" t="s">
        <v>324</v>
      </c>
      <c r="C87" s="319" t="str">
        <f t="shared" si="10"/>
        <v>EmporiaVA</v>
      </c>
      <c r="D87" s="10">
        <f>VLOOKUP(A:A,PTS!C:R,6,FALSE)</f>
        <v>1</v>
      </c>
      <c r="E87" s="531" cm="1">
        <f t="array" ref="E87">AVERAGE(_xlfn._xlws.FILTER(PTS!I:I, (PTS!$C:$C=A87) * ISNUMBER(PTS!I:I)))</f>
        <v>77.5</v>
      </c>
      <c r="F87" s="10" cm="1">
        <f t="array" ref="F87">AVERAGE(_xlfn._xlws.FILTER(PTS!J:J, (PTS!$C:$C=A87) * ISNUMBER(PTS!J:J)))</f>
        <v>97.5</v>
      </c>
      <c r="G87" s="531" cm="1">
        <f t="array" ref="G87">AVERAGE(_xlfn._xlws.FILTER(PTS!K:K, (PTS!$C:$C=A87) * ISNUMBER(PTS!K:K)))</f>
        <v>0</v>
      </c>
      <c r="H87" s="531" cm="1">
        <f t="array" ref="H87">AVERAGE(_xlfn._xlws.FILTER(PTS!L:L, (PTS!$C:$C=A87) * ISNUMBER(PTS!L:L)))</f>
        <v>0</v>
      </c>
      <c r="I87" s="531" cm="1">
        <f t="array" ref="I87">AVERAGE(_xlfn._xlws.FILTER(PTS!M:M, (PTS!$C:$C=A87) * ISNUMBER(PTS!M:M)))</f>
        <v>25</v>
      </c>
      <c r="J87" s="531" cm="1">
        <f t="array" ref="J87">AVERAGE(_xlfn._xlws.FILTER(PTS!N:N, (PTS!$C:$C=A87) * ISNUMBER(PTS!N:N)))</f>
        <v>50</v>
      </c>
      <c r="K87" s="531" cm="1">
        <f t="array" ref="K87">AVERAGE(_xlfn._xlws.FILTER(PTS!O:O, (PTS!$C:$C=A87) * ISNUMBER(PTS!O:O)))</f>
        <v>37.916666666666671</v>
      </c>
      <c r="L87" s="10" cm="1">
        <f t="array" ref="L87">AVERAGE(_xlfn._xlws.FILTER(PTS!P:P, (PTS!$C:$C=A87) * ISNUMBER(PTS!P:P)))</f>
        <v>0</v>
      </c>
      <c r="M87" s="531">
        <f t="shared" si="11"/>
        <v>287.91666666666669</v>
      </c>
      <c r="N87" s="531">
        <f t="shared" si="12"/>
        <v>87.916666666666671</v>
      </c>
      <c r="O87" s="531" cm="1">
        <f t="array" ref="O87">AVERAGE(_xlfn._xlws.FILTER(PTS!S:S, (PTS!$C:$C=A87) * ISNUMBER(PTS!S:S)))</f>
        <v>0</v>
      </c>
      <c r="P87" s="531" cm="1">
        <f t="array" ref="P87">AVERAGE(_xlfn._xlws.FILTER(PTS!T:T, (PTS!$C:$C=A87) * ISNUMBER(PTS!T:T)))</f>
        <v>0</v>
      </c>
      <c r="Q87" s="531" cm="1">
        <f t="array" ref="Q87">AVERAGE(_xlfn._xlws.FILTER(PTS!U:U, (PTS!$C:$C=A87) * ISNUMBER(PTS!U:U)))</f>
        <v>277.05965909090912</v>
      </c>
      <c r="S87" s="531">
        <f t="shared" si="13"/>
        <v>277.05965909090912</v>
      </c>
      <c r="T87" s="531" cm="1">
        <f t="array" ref="T87">AVERAGE(_xlfn._xlws.FILTER(PTS!X:X, (PTS!$C:$C=A87) * ISNUMBER(PTS!X:X)))</f>
        <v>52</v>
      </c>
      <c r="U87" s="531" cm="1">
        <f t="array" ref="U87">AVERAGE(_xlfn._xlws.FILTER(PTS!Y:Y, (PTS!$C:$C=A87) * ISNUMBER(PTS!Y:Y)))</f>
        <v>50.4</v>
      </c>
      <c r="V87" s="531" cm="1">
        <f t="array" ref="V87">AVERAGE(_xlfn._xlws.FILTER(PTS!Z:Z, (PTS!$C:$C=A87) * ISNUMBER(PTS!Z:Z)))</f>
        <v>26.25</v>
      </c>
      <c r="X87" s="531">
        <f t="shared" si="14"/>
        <v>128.65</v>
      </c>
      <c r="Y87" s="531" cm="1">
        <f t="array" ref="Y87">AVERAGE(_xlfn._xlws.FILTER(PTS!AC:AC, (PTS!$C:$C=A87) * ISNUMBER(PTS!AC:AC)))</f>
        <v>110.22727272727273</v>
      </c>
      <c r="Z87" s="531" cm="1">
        <f t="array" ref="Z87">AVERAGE(_xlfn._xlws.FILTER(PTS!AD:AD, (PTS!$C:$C=A87) * ISNUMBER(PTS!AD:AD)))</f>
        <v>107.04545454545455</v>
      </c>
      <c r="AB87" s="531">
        <f t="shared" si="15"/>
        <v>217.27272727272728</v>
      </c>
      <c r="AC87" s="10" cm="1">
        <f t="array" ref="AC87">AVERAGE(_xlfn._xlws.FILTER(PTS!AG:AG, (PTS!$C:$C=A87) * ISNUMBER(PTS!AG:AG)))</f>
        <v>28.814300000000003</v>
      </c>
      <c r="AD87" s="531" cm="1">
        <f t="array" ref="AD87">AVERAGE(_xlfn._xlws.FILTER(PTS!AH:AH, (PTS!$C:$C=A87) * ISNUMBER(PTS!AH:AH)))</f>
        <v>6.973140495867769</v>
      </c>
      <c r="AE87" s="531" cm="1">
        <f t="array" ref="AE87">AVERAGE(_xlfn._xlws.FILTER(PTS!AI:AI, (PTS!$C:$C=A87) * ISNUMBER(PTS!AI:AI)))</f>
        <v>12.587317427197677</v>
      </c>
      <c r="AF87" s="531" cm="1">
        <f t="array" ref="AF87">AVERAGE(_xlfn._xlws.FILTER(PTS!AJ:AJ, (PTS!$C:$C=A87) * ISNUMBER(PTS!AJ:AJ)))</f>
        <v>6.7351999999999999</v>
      </c>
      <c r="AH87" s="531">
        <f t="shared" si="16"/>
        <v>55.109957923065444</v>
      </c>
      <c r="AI87" s="10" cm="1">
        <f t="array" ref="AI87">AVERAGE(_xlfn._xlws.FILTER(PTS!AM:AM, (PTS!$C:$C=A87) * ISNUMBER(PTS!AM:AM)))</f>
        <v>79.999999999999986</v>
      </c>
      <c r="AJ87" s="10" cm="1">
        <f t="array" ref="AJ87">AVERAGE(_xlfn._xlws.FILTER(PTS!AN:AN, (PTS!$C:$C=A87) * ISNUMBER(PTS!AN:AN)))</f>
        <v>26.17808219178082</v>
      </c>
      <c r="AK87" s="10" cm="1">
        <f t="array" ref="AK87">AVERAGE(_xlfn._xlws.FILTER(PTS!AO:AO, (PTS!$C:$C=A87) * ISNUMBER(PTS!AO:AO)))</f>
        <v>0</v>
      </c>
      <c r="AN87" s="10">
        <f t="shared" si="17"/>
        <v>106.1780821917808</v>
      </c>
      <c r="AR87" s="531">
        <f t="shared" si="18"/>
        <v>872.18709314514933</v>
      </c>
      <c r="AS87" s="531">
        <f t="shared" si="19"/>
        <v>1072.1870931451492</v>
      </c>
    </row>
    <row r="88" spans="1:45">
      <c r="A88" s="32" t="s">
        <v>329</v>
      </c>
      <c r="B88" s="319" t="s">
        <v>136</v>
      </c>
      <c r="C88" s="319" t="str">
        <f t="shared" si="10"/>
        <v>EnfieldNC</v>
      </c>
      <c r="D88" s="10">
        <f>VLOOKUP(A:A,PTS!C:R,6,FALSE)</f>
        <v>1</v>
      </c>
      <c r="E88" s="531" cm="1">
        <f t="array" ref="E88">AVERAGE(_xlfn._xlws.FILTER(PTS!I:I, (PTS!$C:$C=A88) * ISNUMBER(PTS!I:I)))</f>
        <v>70</v>
      </c>
      <c r="F88" s="10" cm="1">
        <f t="array" ref="F88">AVERAGE(_xlfn._xlws.FILTER(PTS!J:J, (PTS!$C:$C=A88) * ISNUMBER(PTS!J:J)))</f>
        <v>100</v>
      </c>
      <c r="G88" s="531" cm="1">
        <f t="array" ref="G88">AVERAGE(_xlfn._xlws.FILTER(PTS!K:K, (PTS!$C:$C=A88) * ISNUMBER(PTS!K:K)))</f>
        <v>0</v>
      </c>
      <c r="H88" s="531" cm="1">
        <f t="array" ref="H88">AVERAGE(_xlfn._xlws.FILTER(PTS!L:L, (PTS!$C:$C=A88) * ISNUMBER(PTS!L:L)))</f>
        <v>0</v>
      </c>
      <c r="I88" s="531" cm="1">
        <f t="array" ref="I88">AVERAGE(_xlfn._xlws.FILTER(PTS!M:M, (PTS!$C:$C=A88) * ISNUMBER(PTS!M:M)))</f>
        <v>0</v>
      </c>
      <c r="J88" s="531" cm="1">
        <f t="array" ref="J88">AVERAGE(_xlfn._xlws.FILTER(PTS!N:N, (PTS!$C:$C=A88) * ISNUMBER(PTS!N:N)))</f>
        <v>34</v>
      </c>
      <c r="K88" s="531" cm="1">
        <f t="array" ref="K88">AVERAGE(_xlfn._xlws.FILTER(PTS!O:O, (PTS!$C:$C=A88) * ISNUMBER(PTS!O:O)))</f>
        <v>37.916666666666671</v>
      </c>
      <c r="L88" s="10" cm="1">
        <f t="array" ref="L88">AVERAGE(_xlfn._xlws.FILTER(PTS!P:P, (PTS!$C:$C=A88) * ISNUMBER(PTS!P:P)))</f>
        <v>0</v>
      </c>
      <c r="M88" s="531">
        <f t="shared" si="11"/>
        <v>241.91666666666669</v>
      </c>
      <c r="N88" s="531">
        <f t="shared" si="12"/>
        <v>71.916666666666671</v>
      </c>
      <c r="O88" s="531" cm="1">
        <f t="array" ref="O88">AVERAGE(_xlfn._xlws.FILTER(PTS!S:S, (PTS!$C:$C=A88) * ISNUMBER(PTS!S:S)))</f>
        <v>0</v>
      </c>
      <c r="P88" s="531" cm="1">
        <f t="array" ref="P88">AVERAGE(_xlfn._xlws.FILTER(PTS!T:T, (PTS!$C:$C=A88) * ISNUMBER(PTS!T:T)))</f>
        <v>0</v>
      </c>
      <c r="Q88" s="531" cm="1">
        <f t="array" ref="Q88">AVERAGE(_xlfn._xlws.FILTER(PTS!U:U, (PTS!$C:$C=A88) * ISNUMBER(PTS!U:U)))</f>
        <v>268.53693181818181</v>
      </c>
      <c r="S88" s="531">
        <f t="shared" si="13"/>
        <v>268.53693181818181</v>
      </c>
      <c r="T88" s="531" cm="1">
        <f t="array" ref="T88">AVERAGE(_xlfn._xlws.FILTER(PTS!X:X, (PTS!$C:$C=A88) * ISNUMBER(PTS!X:X)))</f>
        <v>52</v>
      </c>
      <c r="U88" s="531" cm="1">
        <f t="array" ref="U88">AVERAGE(_xlfn._xlws.FILTER(PTS!Y:Y, (PTS!$C:$C=A88) * ISNUMBER(PTS!Y:Y)))</f>
        <v>50.4</v>
      </c>
      <c r="V88" s="531" cm="1">
        <f t="array" ref="V88">AVERAGE(_xlfn._xlws.FILTER(PTS!Z:Z, (PTS!$C:$C=A88) * ISNUMBER(PTS!Z:Z)))</f>
        <v>26.25</v>
      </c>
      <c r="X88" s="531">
        <f t="shared" si="14"/>
        <v>128.65</v>
      </c>
      <c r="Y88" s="531" cm="1">
        <f t="array" ref="Y88">AVERAGE(_xlfn._xlws.FILTER(PTS!AC:AC, (PTS!$C:$C=A88) * ISNUMBER(PTS!AC:AC)))</f>
        <v>110.22727272727273</v>
      </c>
      <c r="Z88" s="531" cm="1">
        <f t="array" ref="Z88">AVERAGE(_xlfn._xlws.FILTER(PTS!AD:AD, (PTS!$C:$C=A88) * ISNUMBER(PTS!AD:AD)))</f>
        <v>107.04545454545455</v>
      </c>
      <c r="AB88" s="531">
        <f t="shared" si="15"/>
        <v>217.27272727272728</v>
      </c>
      <c r="AC88" s="10" cm="1">
        <f t="array" ref="AC88">AVERAGE(_xlfn._xlws.FILTER(PTS!AG:AG, (PTS!$C:$C=A88) * ISNUMBER(PTS!AG:AG)))</f>
        <v>28.814300000000003</v>
      </c>
      <c r="AD88" s="531" cm="1">
        <f t="array" ref="AD88">AVERAGE(_xlfn._xlws.FILTER(PTS!AH:AH, (PTS!$C:$C=A88) * ISNUMBER(PTS!AH:AH)))</f>
        <v>6.973140495867769</v>
      </c>
      <c r="AE88" s="531" cm="1">
        <f t="array" ref="AE88">AVERAGE(_xlfn._xlws.FILTER(PTS!AI:AI, (PTS!$C:$C=A88) * ISNUMBER(PTS!AI:AI)))</f>
        <v>12.587317427197677</v>
      </c>
      <c r="AF88" s="531" cm="1">
        <f t="array" ref="AF88">AVERAGE(_xlfn._xlws.FILTER(PTS!AJ:AJ, (PTS!$C:$C=A88) * ISNUMBER(PTS!AJ:AJ)))</f>
        <v>6.7351999999999999</v>
      </c>
      <c r="AH88" s="531">
        <f t="shared" si="16"/>
        <v>55.109957923065444</v>
      </c>
      <c r="AI88" s="10" cm="1">
        <f t="array" ref="AI88">AVERAGE(_xlfn._xlws.FILTER(PTS!AM:AM, (PTS!$C:$C=A88) * ISNUMBER(PTS!AM:AM)))</f>
        <v>79.999999999999986</v>
      </c>
      <c r="AJ88" s="10" cm="1">
        <f t="array" ref="AJ88">AVERAGE(_xlfn._xlws.FILTER(PTS!AN:AN, (PTS!$C:$C=A88) * ISNUMBER(PTS!AN:AN)))</f>
        <v>26.17808219178082</v>
      </c>
      <c r="AK88" s="10" cm="1">
        <f t="array" ref="AK88">AVERAGE(_xlfn._xlws.FILTER(PTS!AO:AO, (PTS!$C:$C=A88) * ISNUMBER(PTS!AO:AO)))</f>
        <v>0</v>
      </c>
      <c r="AN88" s="10">
        <f t="shared" si="17"/>
        <v>106.1780821917808</v>
      </c>
      <c r="AR88" s="531">
        <f t="shared" si="18"/>
        <v>847.66436587242197</v>
      </c>
      <c r="AS88" s="531">
        <f t="shared" si="19"/>
        <v>1017.664365872422</v>
      </c>
    </row>
    <row r="89" spans="1:45">
      <c r="A89" s="32" t="s">
        <v>332</v>
      </c>
      <c r="B89" s="319" t="s">
        <v>76</v>
      </c>
      <c r="C89" s="319" t="str">
        <f t="shared" si="10"/>
        <v>EnigmaGA</v>
      </c>
      <c r="D89" s="10">
        <f>VLOOKUP(A:A,PTS!C:R,6,FALSE)</f>
        <v>4</v>
      </c>
      <c r="E89" s="531" cm="1">
        <f t="array" ref="E89">AVERAGE(_xlfn._xlws.FILTER(PTS!I:I, (PTS!$C:$C=A89) * ISNUMBER(PTS!I:I)))</f>
        <v>0</v>
      </c>
      <c r="F89" s="10" cm="1">
        <f t="array" ref="F89">AVERAGE(_xlfn._xlws.FILTER(PTS!J:J, (PTS!$C:$C=A89) * ISNUMBER(PTS!J:J)))</f>
        <v>0</v>
      </c>
      <c r="G89" s="531" cm="1">
        <f t="array" ref="G89">AVERAGE(_xlfn._xlws.FILTER(PTS!K:K, (PTS!$C:$C=A89) * ISNUMBER(PTS!K:K)))</f>
        <v>0</v>
      </c>
      <c r="H89" s="531" cm="1">
        <f t="array" ref="H89">AVERAGE(_xlfn._xlws.FILTER(PTS!L:L, (PTS!$C:$C=A89) * ISNUMBER(PTS!L:L)))</f>
        <v>0</v>
      </c>
      <c r="I89" s="531" cm="1">
        <f t="array" ref="I89">AVERAGE(_xlfn._xlws.FILTER(PTS!M:M, (PTS!$C:$C=A89) * ISNUMBER(PTS!M:M)))</f>
        <v>15</v>
      </c>
      <c r="J89" s="531" cm="1">
        <f t="array" ref="J89">AVERAGE(_xlfn._xlws.FILTER(PTS!N:N, (PTS!$C:$C=A89) * ISNUMBER(PTS!N:N)))</f>
        <v>55</v>
      </c>
      <c r="K89" s="531" cm="1">
        <f t="array" ref="K89">AVERAGE(_xlfn._xlws.FILTER(PTS!O:O, (PTS!$C:$C=A89) * ISNUMBER(PTS!O:O)))</f>
        <v>37.916666666666671</v>
      </c>
      <c r="L89" s="10" cm="1">
        <f t="array" ref="L89">AVERAGE(_xlfn._xlws.FILTER(PTS!P:P, (PTS!$C:$C=A89) * ISNUMBER(PTS!P:P)))</f>
        <v>0</v>
      </c>
      <c r="M89" s="531">
        <f t="shared" si="11"/>
        <v>107.91666666666667</v>
      </c>
      <c r="N89" s="531">
        <f t="shared" si="12"/>
        <v>37.916666666666671</v>
      </c>
      <c r="O89" s="531" cm="1">
        <f t="array" ref="O89">AVERAGE(_xlfn._xlws.FILTER(PTS!S:S, (PTS!$C:$C=A89) * ISNUMBER(PTS!S:S)))</f>
        <v>0</v>
      </c>
      <c r="P89" s="531" cm="1">
        <f t="array" ref="P89">AVERAGE(_xlfn._xlws.FILTER(PTS!T:T, (PTS!$C:$C=A89) * ISNUMBER(PTS!T:T)))</f>
        <v>0</v>
      </c>
      <c r="Q89" s="531" cm="1">
        <f t="array" ref="Q89">AVERAGE(_xlfn._xlws.FILTER(PTS!U:U, (PTS!$C:$C=A89) * ISNUMBER(PTS!U:U)))</f>
        <v>208.34545454545457</v>
      </c>
      <c r="S89" s="531">
        <f t="shared" si="13"/>
        <v>208.34545454545457</v>
      </c>
      <c r="T89" s="531" cm="1">
        <f t="array" ref="T89">AVERAGE(_xlfn._xlws.FILTER(PTS!X:X, (PTS!$C:$C=A89) * ISNUMBER(PTS!X:X)))</f>
        <v>52</v>
      </c>
      <c r="U89" s="531" cm="1">
        <f t="array" ref="U89">AVERAGE(_xlfn._xlws.FILTER(PTS!Y:Y, (PTS!$C:$C=A89) * ISNUMBER(PTS!Y:Y)))</f>
        <v>50.4</v>
      </c>
      <c r="V89" s="531" cm="1">
        <f t="array" ref="V89">AVERAGE(_xlfn._xlws.FILTER(PTS!Z:Z, (PTS!$C:$C=A89) * ISNUMBER(PTS!Z:Z)))</f>
        <v>26.25</v>
      </c>
      <c r="X89" s="531">
        <f t="shared" si="14"/>
        <v>128.65</v>
      </c>
      <c r="Y89" s="531" cm="1">
        <f t="array" ref="Y89">AVERAGE(_xlfn._xlws.FILTER(PTS!AC:AC, (PTS!$C:$C=A89) * ISNUMBER(PTS!AC:AC)))</f>
        <v>110.22727272727273</v>
      </c>
      <c r="Z89" s="531" cm="1">
        <f t="array" ref="Z89">AVERAGE(_xlfn._xlws.FILTER(PTS!AD:AD, (PTS!$C:$C=A89) * ISNUMBER(PTS!AD:AD)))</f>
        <v>107.04545454545455</v>
      </c>
      <c r="AB89" s="531">
        <f t="shared" si="15"/>
        <v>217.27272727272728</v>
      </c>
      <c r="AC89" s="10" cm="1">
        <f t="array" ref="AC89">AVERAGE(_xlfn._xlws.FILTER(PTS!AG:AG, (PTS!$C:$C=A89) * ISNUMBER(PTS!AG:AG)))</f>
        <v>28.814300000000003</v>
      </c>
      <c r="AD89" s="531" cm="1">
        <f t="array" ref="AD89">AVERAGE(_xlfn._xlws.FILTER(PTS!AH:AH, (PTS!$C:$C=A89) * ISNUMBER(PTS!AH:AH)))</f>
        <v>6.973140495867769</v>
      </c>
      <c r="AE89" s="531" cm="1">
        <f t="array" ref="AE89">AVERAGE(_xlfn._xlws.FILTER(PTS!AI:AI, (PTS!$C:$C=A89) * ISNUMBER(PTS!AI:AI)))</f>
        <v>12.587317427197677</v>
      </c>
      <c r="AF89" s="531" cm="1">
        <f t="array" ref="AF89">AVERAGE(_xlfn._xlws.FILTER(PTS!AJ:AJ, (PTS!$C:$C=A89) * ISNUMBER(PTS!AJ:AJ)))</f>
        <v>6.7351999999999999</v>
      </c>
      <c r="AH89" s="531">
        <f t="shared" si="16"/>
        <v>55.109957923065444</v>
      </c>
      <c r="AI89" s="10" cm="1">
        <f t="array" ref="AI89">AVERAGE(_xlfn._xlws.FILTER(PTS!AM:AM, (PTS!$C:$C=A89) * ISNUMBER(PTS!AM:AM)))</f>
        <v>79.999999999999986</v>
      </c>
      <c r="AJ89" s="10" cm="1">
        <f t="array" ref="AJ89">AVERAGE(_xlfn._xlws.FILTER(PTS!AN:AN, (PTS!$C:$C=A89) * ISNUMBER(PTS!AN:AN)))</f>
        <v>26.17808219178082</v>
      </c>
      <c r="AK89" s="10" cm="1">
        <f t="array" ref="AK89">AVERAGE(_xlfn._xlws.FILTER(PTS!AO:AO, (PTS!$C:$C=A89) * ISNUMBER(PTS!AO:AO)))</f>
        <v>0</v>
      </c>
      <c r="AN89" s="10">
        <f t="shared" si="17"/>
        <v>106.1780821917808</v>
      </c>
      <c r="AR89" s="531">
        <f t="shared" si="18"/>
        <v>753.47288859969478</v>
      </c>
      <c r="AS89" s="531">
        <f t="shared" si="19"/>
        <v>823.47288859969478</v>
      </c>
    </row>
    <row r="90" spans="1:45">
      <c r="A90" s="32" t="s">
        <v>335</v>
      </c>
      <c r="B90" s="319" t="s">
        <v>76</v>
      </c>
      <c r="C90" s="319" t="str">
        <f t="shared" si="10"/>
        <v>Enigma GA</v>
      </c>
      <c r="D90" s="10">
        <f>VLOOKUP(A:A,PTS!C:R,6,FALSE)</f>
        <v>4</v>
      </c>
      <c r="E90" s="531" cm="1">
        <f t="array" ref="E90">AVERAGE(_xlfn._xlws.FILTER(PTS!I:I, (PTS!$C:$C=A90) * ISNUMBER(PTS!I:I)))</f>
        <v>60</v>
      </c>
      <c r="F90" s="10" cm="1">
        <f t="array" ref="F90">AVERAGE(_xlfn._xlws.FILTER(PTS!J:J, (PTS!$C:$C=A90) * ISNUMBER(PTS!J:J)))</f>
        <v>100</v>
      </c>
      <c r="G90" s="531" cm="1">
        <f t="array" ref="G90">AVERAGE(_xlfn._xlws.FILTER(PTS!K:K, (PTS!$C:$C=A90) * ISNUMBER(PTS!K:K)))</f>
        <v>0</v>
      </c>
      <c r="H90" s="531" cm="1">
        <f t="array" ref="H90">AVERAGE(_xlfn._xlws.FILTER(PTS!L:L, (PTS!$C:$C=A90) * ISNUMBER(PTS!L:L)))</f>
        <v>0</v>
      </c>
      <c r="I90" s="531" cm="1">
        <f t="array" ref="I90">AVERAGE(_xlfn._xlws.FILTER(PTS!M:M, (PTS!$C:$C=A90) * ISNUMBER(PTS!M:M)))</f>
        <v>0</v>
      </c>
      <c r="J90" s="531" cm="1">
        <f t="array" ref="J90">AVERAGE(_xlfn._xlws.FILTER(PTS!N:N, (PTS!$C:$C=A90) * ISNUMBER(PTS!N:N)))</f>
        <v>60</v>
      </c>
      <c r="K90" s="531" cm="1">
        <f t="array" ref="K90">AVERAGE(_xlfn._xlws.FILTER(PTS!O:O, (PTS!$C:$C=A90) * ISNUMBER(PTS!O:O)))</f>
        <v>37.916666666666671</v>
      </c>
      <c r="L90" s="10" cm="1">
        <f t="array" ref="L90">AVERAGE(_xlfn._xlws.FILTER(PTS!P:P, (PTS!$C:$C=A90) * ISNUMBER(PTS!P:P)))</f>
        <v>0</v>
      </c>
      <c r="M90" s="531">
        <f t="shared" si="11"/>
        <v>257.91666666666669</v>
      </c>
      <c r="N90" s="531">
        <f t="shared" si="12"/>
        <v>37.916666666666671</v>
      </c>
      <c r="O90" s="531" cm="1">
        <f t="array" ref="O90">AVERAGE(_xlfn._xlws.FILTER(PTS!S:S, (PTS!$C:$C=A90) * ISNUMBER(PTS!S:S)))</f>
        <v>0</v>
      </c>
      <c r="P90" s="531" cm="1">
        <f t="array" ref="P90">AVERAGE(_xlfn._xlws.FILTER(PTS!T:T, (PTS!$C:$C=A90) * ISNUMBER(PTS!T:T)))</f>
        <v>0</v>
      </c>
      <c r="Q90" s="531" cm="1">
        <f t="array" ref="Q90">AVERAGE(_xlfn._xlws.FILTER(PTS!U:U, (PTS!$C:$C=A90) * ISNUMBER(PTS!U:U)))</f>
        <v>208.34545454545457</v>
      </c>
      <c r="S90" s="531">
        <f t="shared" si="13"/>
        <v>208.34545454545457</v>
      </c>
      <c r="T90" s="531" cm="1">
        <f t="array" ref="T90">AVERAGE(_xlfn._xlws.FILTER(PTS!X:X, (PTS!$C:$C=A90) * ISNUMBER(PTS!X:X)))</f>
        <v>52</v>
      </c>
      <c r="U90" s="531" cm="1">
        <f t="array" ref="U90">AVERAGE(_xlfn._xlws.FILTER(PTS!Y:Y, (PTS!$C:$C=A90) * ISNUMBER(PTS!Y:Y)))</f>
        <v>50.4</v>
      </c>
      <c r="V90" s="531" cm="1">
        <f t="array" ref="V90">AVERAGE(_xlfn._xlws.FILTER(PTS!Z:Z, (PTS!$C:$C=A90) * ISNUMBER(PTS!Z:Z)))</f>
        <v>26.25</v>
      </c>
      <c r="X90" s="531">
        <f t="shared" si="14"/>
        <v>128.65</v>
      </c>
      <c r="Y90" s="531" cm="1">
        <f t="array" ref="Y90">AVERAGE(_xlfn._xlws.FILTER(PTS!AC:AC, (PTS!$C:$C=A90) * ISNUMBER(PTS!AC:AC)))</f>
        <v>110.22727272727273</v>
      </c>
      <c r="Z90" s="531" cm="1">
        <f t="array" ref="Z90">AVERAGE(_xlfn._xlws.FILTER(PTS!AD:AD, (PTS!$C:$C=A90) * ISNUMBER(PTS!AD:AD)))</f>
        <v>107.04545454545455</v>
      </c>
      <c r="AB90" s="531">
        <f t="shared" si="15"/>
        <v>217.27272727272728</v>
      </c>
      <c r="AC90" s="10" cm="1">
        <f t="array" ref="AC90">AVERAGE(_xlfn._xlws.FILTER(PTS!AG:AG, (PTS!$C:$C=A90) * ISNUMBER(PTS!AG:AG)))</f>
        <v>28.814300000000003</v>
      </c>
      <c r="AD90" s="531" cm="1">
        <f t="array" ref="AD90">AVERAGE(_xlfn._xlws.FILTER(PTS!AH:AH, (PTS!$C:$C=A90) * ISNUMBER(PTS!AH:AH)))</f>
        <v>6.973140495867769</v>
      </c>
      <c r="AE90" s="531" cm="1">
        <f t="array" ref="AE90">AVERAGE(_xlfn._xlws.FILTER(PTS!AI:AI, (PTS!$C:$C=A90) * ISNUMBER(PTS!AI:AI)))</f>
        <v>12.587317427197677</v>
      </c>
      <c r="AF90" s="531" cm="1">
        <f t="array" ref="AF90">AVERAGE(_xlfn._xlws.FILTER(PTS!AJ:AJ, (PTS!$C:$C=A90) * ISNUMBER(PTS!AJ:AJ)))</f>
        <v>6.7351999999999999</v>
      </c>
      <c r="AH90" s="531">
        <f t="shared" si="16"/>
        <v>55.109957923065444</v>
      </c>
      <c r="AI90" s="10" cm="1">
        <f t="array" ref="AI90">AVERAGE(_xlfn._xlws.FILTER(PTS!AM:AM, (PTS!$C:$C=A90) * ISNUMBER(PTS!AM:AM)))</f>
        <v>79.999999999999986</v>
      </c>
      <c r="AJ90" s="10" cm="1">
        <f t="array" ref="AJ90">AVERAGE(_xlfn._xlws.FILTER(PTS!AN:AN, (PTS!$C:$C=A90) * ISNUMBER(PTS!AN:AN)))</f>
        <v>26.17808219178082</v>
      </c>
      <c r="AK90" s="10" cm="1">
        <f t="array" ref="AK90">AVERAGE(_xlfn._xlws.FILTER(PTS!AO:AO, (PTS!$C:$C=A90) * ISNUMBER(PTS!AO:AO)))</f>
        <v>0</v>
      </c>
      <c r="AN90" s="10">
        <f t="shared" si="17"/>
        <v>106.1780821917808</v>
      </c>
      <c r="AR90" s="531">
        <f t="shared" si="18"/>
        <v>753.47288859969478</v>
      </c>
      <c r="AS90" s="531">
        <f t="shared" si="19"/>
        <v>973.47288859969478</v>
      </c>
    </row>
    <row r="91" spans="1:45">
      <c r="A91" s="32" t="s">
        <v>337</v>
      </c>
      <c r="B91" s="319" t="s">
        <v>65</v>
      </c>
      <c r="C91" s="319" t="str">
        <f t="shared" si="10"/>
        <v>EnterpriseAL</v>
      </c>
      <c r="D91" s="10">
        <f>VLOOKUP(A:A,PTS!C:R,6,FALSE)</f>
        <v>1</v>
      </c>
      <c r="E91" s="531" cm="1">
        <f t="array" ref="E91">AVERAGE(_xlfn._xlws.FILTER(PTS!I:I, (PTS!$C:$C=A91) * ISNUMBER(PTS!I:I)))</f>
        <v>0</v>
      </c>
      <c r="F91" s="10" cm="1">
        <f t="array" ref="F91">AVERAGE(_xlfn._xlws.FILTER(PTS!J:J, (PTS!$C:$C=A91) * ISNUMBER(PTS!J:J)))</f>
        <v>0</v>
      </c>
      <c r="G91" s="531" cm="1">
        <f t="array" ref="G91">AVERAGE(_xlfn._xlws.FILTER(PTS!K:K, (PTS!$C:$C=A91) * ISNUMBER(PTS!K:K)))</f>
        <v>0</v>
      </c>
      <c r="H91" s="531" cm="1">
        <f t="array" ref="H91">AVERAGE(_xlfn._xlws.FILTER(PTS!L:L, (PTS!$C:$C=A91) * ISNUMBER(PTS!L:L)))</f>
        <v>0</v>
      </c>
      <c r="I91" s="531" cm="1">
        <f t="array" ref="I91">AVERAGE(_xlfn._xlws.FILTER(PTS!M:M, (PTS!$C:$C=A91) * ISNUMBER(PTS!M:M)))</f>
        <v>10</v>
      </c>
      <c r="J91" s="531" cm="1">
        <f t="array" ref="J91">AVERAGE(_xlfn._xlws.FILTER(PTS!N:N, (PTS!$C:$C=A91) * ISNUMBER(PTS!N:N)))</f>
        <v>50</v>
      </c>
      <c r="K91" s="531" cm="1">
        <f t="array" ref="K91">AVERAGE(_xlfn._xlws.FILTER(PTS!O:O, (PTS!$C:$C=A91) * ISNUMBER(PTS!O:O)))</f>
        <v>37.916666666666671</v>
      </c>
      <c r="L91" s="10" cm="1">
        <f t="array" ref="L91">AVERAGE(_xlfn._xlws.FILTER(PTS!P:P, (PTS!$C:$C=A91) * ISNUMBER(PTS!P:P)))</f>
        <v>0</v>
      </c>
      <c r="M91" s="531">
        <f t="shared" si="11"/>
        <v>97.916666666666671</v>
      </c>
      <c r="N91" s="531">
        <f t="shared" si="12"/>
        <v>87.916666666666671</v>
      </c>
      <c r="O91" s="531" cm="1">
        <f t="array" ref="O91">AVERAGE(_xlfn._xlws.FILTER(PTS!S:S, (PTS!$C:$C=A91) * ISNUMBER(PTS!S:S)))</f>
        <v>0</v>
      </c>
      <c r="P91" s="531" cm="1">
        <f t="array" ref="P91">AVERAGE(_xlfn._xlws.FILTER(PTS!T:T, (PTS!$C:$C=A91) * ISNUMBER(PTS!T:T)))</f>
        <v>0</v>
      </c>
      <c r="Q91" s="531" cm="1">
        <f t="array" ref="Q91">AVERAGE(_xlfn._xlws.FILTER(PTS!U:U, (PTS!$C:$C=A91) * ISNUMBER(PTS!U:U)))</f>
        <v>290.4829545454545</v>
      </c>
      <c r="S91" s="531">
        <f t="shared" si="13"/>
        <v>290.4829545454545</v>
      </c>
      <c r="T91" s="531" cm="1">
        <f t="array" ref="T91">AVERAGE(_xlfn._xlws.FILTER(PTS!X:X, (PTS!$C:$C=A91) * ISNUMBER(PTS!X:X)))</f>
        <v>52</v>
      </c>
      <c r="U91" s="531" cm="1">
        <f t="array" ref="U91">AVERAGE(_xlfn._xlws.FILTER(PTS!Y:Y, (PTS!$C:$C=A91) * ISNUMBER(PTS!Y:Y)))</f>
        <v>50.4</v>
      </c>
      <c r="V91" s="531" cm="1">
        <f t="array" ref="V91">AVERAGE(_xlfn._xlws.FILTER(PTS!Z:Z, (PTS!$C:$C=A91) * ISNUMBER(PTS!Z:Z)))</f>
        <v>26.25</v>
      </c>
      <c r="X91" s="531">
        <f t="shared" si="14"/>
        <v>128.65</v>
      </c>
      <c r="Y91" s="531" cm="1">
        <f t="array" ref="Y91">AVERAGE(_xlfn._xlws.FILTER(PTS!AC:AC, (PTS!$C:$C=A91) * ISNUMBER(PTS!AC:AC)))</f>
        <v>110.22727272727273</v>
      </c>
      <c r="Z91" s="531" cm="1">
        <f t="array" ref="Z91">AVERAGE(_xlfn._xlws.FILTER(PTS!AD:AD, (PTS!$C:$C=A91) * ISNUMBER(PTS!AD:AD)))</f>
        <v>107.04545454545455</v>
      </c>
      <c r="AB91" s="531">
        <f t="shared" si="15"/>
        <v>217.27272727272728</v>
      </c>
      <c r="AC91" s="10" cm="1">
        <f t="array" ref="AC91">AVERAGE(_xlfn._xlws.FILTER(PTS!AG:AG, (PTS!$C:$C=A91) * ISNUMBER(PTS!AG:AG)))</f>
        <v>28.814300000000003</v>
      </c>
      <c r="AD91" s="531" cm="1">
        <f t="array" ref="AD91">AVERAGE(_xlfn._xlws.FILTER(PTS!AH:AH, (PTS!$C:$C=A91) * ISNUMBER(PTS!AH:AH)))</f>
        <v>6.973140495867769</v>
      </c>
      <c r="AE91" s="531" cm="1">
        <f t="array" ref="AE91">AVERAGE(_xlfn._xlws.FILTER(PTS!AI:AI, (PTS!$C:$C=A91) * ISNUMBER(PTS!AI:AI)))</f>
        <v>12.587317427197677</v>
      </c>
      <c r="AF91" s="531" cm="1">
        <f t="array" ref="AF91">AVERAGE(_xlfn._xlws.FILTER(PTS!AJ:AJ, (PTS!$C:$C=A91) * ISNUMBER(PTS!AJ:AJ)))</f>
        <v>6.7351999999999999</v>
      </c>
      <c r="AH91" s="531">
        <f t="shared" si="16"/>
        <v>55.109957923065444</v>
      </c>
      <c r="AI91" s="10" cm="1">
        <f t="array" ref="AI91">AVERAGE(_xlfn._xlws.FILTER(PTS!AM:AM, (PTS!$C:$C=A91) * ISNUMBER(PTS!AM:AM)))</f>
        <v>79.999999999999986</v>
      </c>
      <c r="AJ91" s="10" cm="1">
        <f t="array" ref="AJ91">AVERAGE(_xlfn._xlws.FILTER(PTS!AN:AN, (PTS!$C:$C=A91) * ISNUMBER(PTS!AN:AN)))</f>
        <v>26.17808219178082</v>
      </c>
      <c r="AK91" s="10" cm="1">
        <f t="array" ref="AK91">AVERAGE(_xlfn._xlws.FILTER(PTS!AO:AO, (PTS!$C:$C=A91) * ISNUMBER(PTS!AO:AO)))</f>
        <v>0</v>
      </c>
      <c r="AN91" s="10">
        <f t="shared" si="17"/>
        <v>106.1780821917808</v>
      </c>
      <c r="AR91" s="531">
        <f t="shared" si="18"/>
        <v>885.61038859969472</v>
      </c>
      <c r="AS91" s="531">
        <f t="shared" si="19"/>
        <v>895.61038859969472</v>
      </c>
    </row>
    <row r="92" spans="1:45">
      <c r="A92" s="32" t="s">
        <v>339</v>
      </c>
      <c r="B92" s="319" t="s">
        <v>136</v>
      </c>
      <c r="C92" s="319" t="str">
        <f t="shared" si="10"/>
        <v>ErwinNC</v>
      </c>
      <c r="D92" s="10">
        <f>VLOOKUP(A:A,PTS!C:R,6,FALSE)</f>
        <v>1</v>
      </c>
      <c r="E92" s="531" cm="1">
        <f t="array" ref="E92">AVERAGE(_xlfn._xlws.FILTER(PTS!I:I, (PTS!$C:$C=A92) * ISNUMBER(PTS!I:I)))</f>
        <v>80</v>
      </c>
      <c r="F92" s="10" cm="1">
        <f t="array" ref="F92">AVERAGE(_xlfn._xlws.FILTER(PTS!J:J, (PTS!$C:$C=A92) * ISNUMBER(PTS!J:J)))</f>
        <v>97</v>
      </c>
      <c r="G92" s="531" cm="1">
        <f t="array" ref="G92">AVERAGE(_xlfn._xlws.FILTER(PTS!K:K, (PTS!$C:$C=A92) * ISNUMBER(PTS!K:K)))</f>
        <v>0</v>
      </c>
      <c r="H92" s="531" cm="1">
        <f t="array" ref="H92">AVERAGE(_xlfn._xlws.FILTER(PTS!L:L, (PTS!$C:$C=A92) * ISNUMBER(PTS!L:L)))</f>
        <v>0</v>
      </c>
      <c r="I92" s="531" cm="1">
        <f t="array" ref="I92">AVERAGE(_xlfn._xlws.FILTER(PTS!M:M, (PTS!$C:$C=A92) * ISNUMBER(PTS!M:M)))</f>
        <v>0</v>
      </c>
      <c r="J92" s="531" cm="1">
        <f t="array" ref="J92">AVERAGE(_xlfn._xlws.FILTER(PTS!N:N, (PTS!$C:$C=A92) * ISNUMBER(PTS!N:N)))</f>
        <v>60</v>
      </c>
      <c r="K92" s="531" cm="1">
        <f t="array" ref="K92">AVERAGE(_xlfn._xlws.FILTER(PTS!O:O, (PTS!$C:$C=A92) * ISNUMBER(PTS!O:O)))</f>
        <v>37.916666666666671</v>
      </c>
      <c r="L92" s="10" cm="1">
        <f t="array" ref="L92">AVERAGE(_xlfn._xlws.FILTER(PTS!P:P, (PTS!$C:$C=A92) * ISNUMBER(PTS!P:P)))</f>
        <v>0</v>
      </c>
      <c r="M92" s="531">
        <f t="shared" si="11"/>
        <v>274.91666666666669</v>
      </c>
      <c r="N92" s="531">
        <f t="shared" si="12"/>
        <v>97.916666666666671</v>
      </c>
      <c r="O92" s="531" cm="1">
        <f t="array" ref="O92">AVERAGE(_xlfn._xlws.FILTER(PTS!S:S, (PTS!$C:$C=A92) * ISNUMBER(PTS!S:S)))</f>
        <v>0</v>
      </c>
      <c r="P92" s="531" cm="1">
        <f t="array" ref="P92">AVERAGE(_xlfn._xlws.FILTER(PTS!T:T, (PTS!$C:$C=A92) * ISNUMBER(PTS!T:T)))</f>
        <v>0</v>
      </c>
      <c r="Q92" s="531" cm="1">
        <f t="array" ref="Q92">AVERAGE(_xlfn._xlws.FILTER(PTS!U:U, (PTS!$C:$C=A92) * ISNUMBER(PTS!U:U)))</f>
        <v>233.73863636363635</v>
      </c>
      <c r="S92" s="531">
        <f t="shared" si="13"/>
        <v>233.73863636363635</v>
      </c>
      <c r="T92" s="531" cm="1">
        <f t="array" ref="T92">AVERAGE(_xlfn._xlws.FILTER(PTS!X:X, (PTS!$C:$C=A92) * ISNUMBER(PTS!X:X)))</f>
        <v>52</v>
      </c>
      <c r="U92" s="531" cm="1">
        <f t="array" ref="U92">AVERAGE(_xlfn._xlws.FILTER(PTS!Y:Y, (PTS!$C:$C=A92) * ISNUMBER(PTS!Y:Y)))</f>
        <v>50.4</v>
      </c>
      <c r="V92" s="531" cm="1">
        <f t="array" ref="V92">AVERAGE(_xlfn._xlws.FILTER(PTS!Z:Z, (PTS!$C:$C=A92) * ISNUMBER(PTS!Z:Z)))</f>
        <v>26.25</v>
      </c>
      <c r="X92" s="531">
        <f t="shared" si="14"/>
        <v>128.65</v>
      </c>
      <c r="Y92" s="531" cm="1">
        <f t="array" ref="Y92">AVERAGE(_xlfn._xlws.FILTER(PTS!AC:AC, (PTS!$C:$C=A92) * ISNUMBER(PTS!AC:AC)))</f>
        <v>110.22727272727273</v>
      </c>
      <c r="Z92" s="531" cm="1">
        <f t="array" ref="Z92">AVERAGE(_xlfn._xlws.FILTER(PTS!AD:AD, (PTS!$C:$C=A92) * ISNUMBER(PTS!AD:AD)))</f>
        <v>107.04545454545455</v>
      </c>
      <c r="AB92" s="531">
        <f t="shared" si="15"/>
        <v>217.27272727272728</v>
      </c>
      <c r="AC92" s="10" cm="1">
        <f t="array" ref="AC92">AVERAGE(_xlfn._xlws.FILTER(PTS!AG:AG, (PTS!$C:$C=A92) * ISNUMBER(PTS!AG:AG)))</f>
        <v>28.814300000000003</v>
      </c>
      <c r="AD92" s="531" cm="1">
        <f t="array" ref="AD92">AVERAGE(_xlfn._xlws.FILTER(PTS!AH:AH, (PTS!$C:$C=A92) * ISNUMBER(PTS!AH:AH)))</f>
        <v>6.973140495867769</v>
      </c>
      <c r="AE92" s="531" cm="1">
        <f t="array" ref="AE92">AVERAGE(_xlfn._xlws.FILTER(PTS!AI:AI, (PTS!$C:$C=A92) * ISNUMBER(PTS!AI:AI)))</f>
        <v>12.587317427197677</v>
      </c>
      <c r="AF92" s="531" cm="1">
        <f t="array" ref="AF92">AVERAGE(_xlfn._xlws.FILTER(PTS!AJ:AJ, (PTS!$C:$C=A92) * ISNUMBER(PTS!AJ:AJ)))</f>
        <v>6.7351999999999999</v>
      </c>
      <c r="AH92" s="531">
        <f t="shared" si="16"/>
        <v>55.109957923065444</v>
      </c>
      <c r="AI92" s="10" cm="1">
        <f t="array" ref="AI92">AVERAGE(_xlfn._xlws.FILTER(PTS!AM:AM, (PTS!$C:$C=A92) * ISNUMBER(PTS!AM:AM)))</f>
        <v>79.999999999999986</v>
      </c>
      <c r="AJ92" s="10" cm="1">
        <f t="array" ref="AJ92">AVERAGE(_xlfn._xlws.FILTER(PTS!AN:AN, (PTS!$C:$C=A92) * ISNUMBER(PTS!AN:AN)))</f>
        <v>26.17808219178082</v>
      </c>
      <c r="AK92" s="10" cm="1">
        <f t="array" ref="AK92">AVERAGE(_xlfn._xlws.FILTER(PTS!AO:AO, (PTS!$C:$C=A92) * ISNUMBER(PTS!AO:AO)))</f>
        <v>0</v>
      </c>
      <c r="AN92" s="10">
        <f t="shared" si="17"/>
        <v>106.1780821917808</v>
      </c>
      <c r="AR92" s="531">
        <f t="shared" si="18"/>
        <v>838.86607041787647</v>
      </c>
      <c r="AS92" s="531">
        <f t="shared" si="19"/>
        <v>1015.8660704178765</v>
      </c>
    </row>
    <row r="93" spans="1:45">
      <c r="A93" s="32" t="s">
        <v>342</v>
      </c>
      <c r="B93" s="319" t="s">
        <v>136</v>
      </c>
      <c r="C93" s="319" t="str">
        <f t="shared" si="10"/>
        <v>EverettsNC</v>
      </c>
      <c r="D93" s="10">
        <f>VLOOKUP(A:A,PTS!C:R,6,FALSE)</f>
        <v>1</v>
      </c>
      <c r="E93" s="531" cm="1">
        <f t="array" ref="E93">AVERAGE(_xlfn._xlws.FILTER(PTS!I:I, (PTS!$C:$C=A93) * ISNUMBER(PTS!I:I)))</f>
        <v>75</v>
      </c>
      <c r="F93" s="10" cm="1">
        <f t="array" ref="F93">AVERAGE(_xlfn._xlws.FILTER(PTS!J:J, (PTS!$C:$C=A93) * ISNUMBER(PTS!J:J)))</f>
        <v>75</v>
      </c>
      <c r="G93" s="531" cm="1">
        <f t="array" ref="G93">AVERAGE(_xlfn._xlws.FILTER(PTS!K:K, (PTS!$C:$C=A93) * ISNUMBER(PTS!K:K)))</f>
        <v>0</v>
      </c>
      <c r="H93" s="531" cm="1">
        <f t="array" ref="H93">AVERAGE(_xlfn._xlws.FILTER(PTS!L:L, (PTS!$C:$C=A93) * ISNUMBER(PTS!L:L)))</f>
        <v>0</v>
      </c>
      <c r="I93" s="531" cm="1">
        <f t="array" ref="I93">AVERAGE(_xlfn._xlws.FILTER(PTS!M:M, (PTS!$C:$C=A93) * ISNUMBER(PTS!M:M)))</f>
        <v>0</v>
      </c>
      <c r="J93" s="531" cm="1">
        <f t="array" ref="J93">AVERAGE(_xlfn._xlws.FILTER(PTS!N:N, (PTS!$C:$C=A93) * ISNUMBER(PTS!N:N)))</f>
        <v>50</v>
      </c>
      <c r="K93" s="531" cm="1">
        <f t="array" ref="K93">AVERAGE(_xlfn._xlws.FILTER(PTS!O:O, (PTS!$C:$C=A93) * ISNUMBER(PTS!O:O)))</f>
        <v>37.916666666666671</v>
      </c>
      <c r="L93" s="10" cm="1">
        <f t="array" ref="L93">AVERAGE(_xlfn._xlws.FILTER(PTS!P:P, (PTS!$C:$C=A93) * ISNUMBER(PTS!P:P)))</f>
        <v>0</v>
      </c>
      <c r="M93" s="531">
        <f t="shared" si="11"/>
        <v>237.91666666666669</v>
      </c>
      <c r="N93" s="531">
        <f t="shared" si="12"/>
        <v>87.916666666666671</v>
      </c>
      <c r="O93" s="531" cm="1">
        <f t="array" ref="O93">AVERAGE(_xlfn._xlws.FILTER(PTS!S:S, (PTS!$C:$C=A93) * ISNUMBER(PTS!S:S)))</f>
        <v>0</v>
      </c>
      <c r="P93" s="531" cm="1">
        <f t="array" ref="P93">AVERAGE(_xlfn._xlws.FILTER(PTS!T:T, (PTS!$C:$C=A93) * ISNUMBER(PTS!T:T)))</f>
        <v>0</v>
      </c>
      <c r="Q93" s="531" cm="1">
        <f t="array" ref="Q93">AVERAGE(_xlfn._xlws.FILTER(PTS!U:U, (PTS!$C:$C=A93) * ISNUMBER(PTS!U:U)))</f>
        <v>268.53693181818181</v>
      </c>
      <c r="S93" s="531">
        <f t="shared" si="13"/>
        <v>268.53693181818181</v>
      </c>
      <c r="T93" s="531" cm="1">
        <f t="array" ref="T93">AVERAGE(_xlfn._xlws.FILTER(PTS!X:X, (PTS!$C:$C=A93) * ISNUMBER(PTS!X:X)))</f>
        <v>52</v>
      </c>
      <c r="U93" s="531" cm="1">
        <f t="array" ref="U93">AVERAGE(_xlfn._xlws.FILTER(PTS!Y:Y, (PTS!$C:$C=A93) * ISNUMBER(PTS!Y:Y)))</f>
        <v>50.4</v>
      </c>
      <c r="V93" s="531" cm="1">
        <f t="array" ref="V93">AVERAGE(_xlfn._xlws.FILTER(PTS!Z:Z, (PTS!$C:$C=A93) * ISNUMBER(PTS!Z:Z)))</f>
        <v>26.25</v>
      </c>
      <c r="X93" s="531">
        <f t="shared" si="14"/>
        <v>128.65</v>
      </c>
      <c r="Y93" s="531" cm="1">
        <f t="array" ref="Y93">AVERAGE(_xlfn._xlws.FILTER(PTS!AC:AC, (PTS!$C:$C=A93) * ISNUMBER(PTS!AC:AC)))</f>
        <v>110.22727272727273</v>
      </c>
      <c r="Z93" s="531" cm="1">
        <f t="array" ref="Z93">AVERAGE(_xlfn._xlws.FILTER(PTS!AD:AD, (PTS!$C:$C=A93) * ISNUMBER(PTS!AD:AD)))</f>
        <v>107.04545454545455</v>
      </c>
      <c r="AB93" s="531">
        <f t="shared" si="15"/>
        <v>217.27272727272728</v>
      </c>
      <c r="AC93" s="10" cm="1">
        <f t="array" ref="AC93">AVERAGE(_xlfn._xlws.FILTER(PTS!AG:AG, (PTS!$C:$C=A93) * ISNUMBER(PTS!AG:AG)))</f>
        <v>28.814300000000003</v>
      </c>
      <c r="AD93" s="531" cm="1">
        <f t="array" ref="AD93">AVERAGE(_xlfn._xlws.FILTER(PTS!AH:AH, (PTS!$C:$C=A93) * ISNUMBER(PTS!AH:AH)))</f>
        <v>6.973140495867769</v>
      </c>
      <c r="AE93" s="531" cm="1">
        <f t="array" ref="AE93">AVERAGE(_xlfn._xlws.FILTER(PTS!AI:AI, (PTS!$C:$C=A93) * ISNUMBER(PTS!AI:AI)))</f>
        <v>12.587317427197677</v>
      </c>
      <c r="AF93" s="531" cm="1">
        <f t="array" ref="AF93">AVERAGE(_xlfn._xlws.FILTER(PTS!AJ:AJ, (PTS!$C:$C=A93) * ISNUMBER(PTS!AJ:AJ)))</f>
        <v>6.7351999999999999</v>
      </c>
      <c r="AH93" s="531">
        <f t="shared" si="16"/>
        <v>55.109957923065444</v>
      </c>
      <c r="AI93" s="10" cm="1">
        <f t="array" ref="AI93">AVERAGE(_xlfn._xlws.FILTER(PTS!AM:AM, (PTS!$C:$C=A93) * ISNUMBER(PTS!AM:AM)))</f>
        <v>79.999999999999986</v>
      </c>
      <c r="AJ93" s="10" cm="1">
        <f t="array" ref="AJ93">AVERAGE(_xlfn._xlws.FILTER(PTS!AN:AN, (PTS!$C:$C=A93) * ISNUMBER(PTS!AN:AN)))</f>
        <v>26.17808219178082</v>
      </c>
      <c r="AK93" s="10" cm="1">
        <f t="array" ref="AK93">AVERAGE(_xlfn._xlws.FILTER(PTS!AO:AO, (PTS!$C:$C=A93) * ISNUMBER(PTS!AO:AO)))</f>
        <v>0</v>
      </c>
      <c r="AN93" s="10">
        <f t="shared" si="17"/>
        <v>106.1780821917808</v>
      </c>
      <c r="AR93" s="531">
        <f t="shared" si="18"/>
        <v>863.66436587242197</v>
      </c>
      <c r="AS93" s="531">
        <f t="shared" si="19"/>
        <v>1013.664365872422</v>
      </c>
    </row>
    <row r="94" spans="1:45">
      <c r="A94" s="32" t="s">
        <v>344</v>
      </c>
      <c r="B94" s="319" t="s">
        <v>71</v>
      </c>
      <c r="C94" s="319" t="str">
        <f t="shared" si="10"/>
        <v>FabensTX</v>
      </c>
      <c r="D94" s="10">
        <f>VLOOKUP(A:A,PTS!C:R,6,FALSE)</f>
        <v>6</v>
      </c>
      <c r="E94" s="531" cm="1">
        <f t="array" ref="E94">AVERAGE(_xlfn._xlws.FILTER(PTS!I:I, (PTS!$C:$C=A94) * ISNUMBER(PTS!I:I)))</f>
        <v>80</v>
      </c>
      <c r="F94" s="10" cm="1">
        <f t="array" ref="F94">AVERAGE(_xlfn._xlws.FILTER(PTS!J:J, (PTS!$C:$C=A94) * ISNUMBER(PTS!J:J)))</f>
        <v>180</v>
      </c>
      <c r="G94" s="531" cm="1">
        <f t="array" ref="G94">AVERAGE(_xlfn._xlws.FILTER(PTS!K:K, (PTS!$C:$C=A94) * ISNUMBER(PTS!K:K)))</f>
        <v>190</v>
      </c>
      <c r="H94" s="531" cm="1">
        <f t="array" ref="H94">AVERAGE(_xlfn._xlws.FILTER(PTS!L:L, (PTS!$C:$C=A94) * ISNUMBER(PTS!L:L)))</f>
        <v>0</v>
      </c>
      <c r="I94" s="531" cm="1">
        <f t="array" ref="I94">AVERAGE(_xlfn._xlws.FILTER(PTS!M:M, (PTS!$C:$C=A94) * ISNUMBER(PTS!M:M)))</f>
        <v>20</v>
      </c>
      <c r="J94" s="531" cm="1">
        <f t="array" ref="J94">AVERAGE(_xlfn._xlws.FILTER(PTS!N:N, (PTS!$C:$C=A94) * ISNUMBER(PTS!N:N)))</f>
        <v>96</v>
      </c>
      <c r="K94" s="531" cm="1">
        <f t="array" ref="K94">AVERAGE(_xlfn._xlws.FILTER(PTS!O:O, (PTS!$C:$C=A94) * ISNUMBER(PTS!O:O)))</f>
        <v>37.916666666666671</v>
      </c>
      <c r="L94" s="10" cm="1">
        <f t="array" ref="L94">AVERAGE(_xlfn._xlws.FILTER(PTS!P:P, (PTS!$C:$C=A94) * ISNUMBER(PTS!P:P)))</f>
        <v>0</v>
      </c>
      <c r="M94" s="531">
        <f t="shared" si="11"/>
        <v>603.91666666666663</v>
      </c>
      <c r="N94" s="531" t="e">
        <f t="shared" si="12"/>
        <v>#VALUE!</v>
      </c>
      <c r="O94" s="531" cm="1">
        <f t="array" ref="O94">AVERAGE(_xlfn._xlws.FILTER(PTS!S:S, (PTS!$C:$C=A94) * ISNUMBER(PTS!S:S)))</f>
        <v>0</v>
      </c>
      <c r="P94" s="531" cm="1">
        <f t="array" ref="P94">AVERAGE(_xlfn._xlws.FILTER(PTS!T:T, (PTS!$C:$C=A94) * ISNUMBER(PTS!T:T)))</f>
        <v>0</v>
      </c>
      <c r="Q94" s="531" t="e" cm="1" vm="1">
        <f t="array" ref="Q94">AVERAGE(_xlfn._xlws.FILTER(PTS!U:U, (PTS!$C:$C=A94) * ISNUMBER(PTS!U:U)))</f>
        <v>#VALUE!</v>
      </c>
      <c r="S94" s="531" t="e" vm="2">
        <f t="shared" si="13"/>
        <v>#VALUE!</v>
      </c>
      <c r="T94" s="531" cm="1">
        <f t="array" ref="T94">AVERAGE(_xlfn._xlws.FILTER(PTS!X:X, (PTS!$C:$C=A94) * ISNUMBER(PTS!X:X)))</f>
        <v>54</v>
      </c>
      <c r="U94" s="531" cm="1">
        <f t="array" ref="U94">AVERAGE(_xlfn._xlws.FILTER(PTS!Y:Y, (PTS!$C:$C=A94) * ISNUMBER(PTS!Y:Y)))</f>
        <v>50.4</v>
      </c>
      <c r="V94" s="531" cm="1">
        <f t="array" ref="V94">AVERAGE(_xlfn._xlws.FILTER(PTS!Z:Z, (PTS!$C:$C=A94) * ISNUMBER(PTS!Z:Z)))</f>
        <v>26.25</v>
      </c>
      <c r="X94" s="531">
        <f t="shared" si="14"/>
        <v>130.65</v>
      </c>
      <c r="Y94" s="531" cm="1">
        <f t="array" ref="Y94">AVERAGE(_xlfn._xlws.FILTER(PTS!AC:AC, (PTS!$C:$C=A94) * ISNUMBER(PTS!AC:AC)))</f>
        <v>147.72727272727272</v>
      </c>
      <c r="Z94" s="531" cm="1">
        <f t="array" ref="Z94">AVERAGE(_xlfn._xlws.FILTER(PTS!AD:AD, (PTS!$C:$C=A94) * ISNUMBER(PTS!AD:AD)))</f>
        <v>233.06818181818181</v>
      </c>
      <c r="AB94" s="531">
        <f t="shared" si="15"/>
        <v>380.7954545454545</v>
      </c>
      <c r="AC94" s="10" cm="1">
        <f t="array" ref="AC94">AVERAGE(_xlfn._xlws.FILTER(PTS!AG:AG, (PTS!$C:$C=A94) * ISNUMBER(PTS!AG:AG)))</f>
        <v>28.814300000000003</v>
      </c>
      <c r="AD94" s="531" cm="1">
        <f t="array" ref="AD94">AVERAGE(_xlfn._xlws.FILTER(PTS!AH:AH, (PTS!$C:$C=A94) * ISNUMBER(PTS!AH:AH)))</f>
        <v>6.973140495867769</v>
      </c>
      <c r="AE94" s="531" cm="1">
        <f t="array" ref="AE94">AVERAGE(_xlfn._xlws.FILTER(PTS!AI:AI, (PTS!$C:$C=A94) * ISNUMBER(PTS!AI:AI)))</f>
        <v>12.587317427197677</v>
      </c>
      <c r="AF94" s="531" cm="1">
        <f t="array" ref="AF94">AVERAGE(_xlfn._xlws.FILTER(PTS!AJ:AJ, (PTS!$C:$C=A94) * ISNUMBER(PTS!AJ:AJ)))</f>
        <v>6.7351999999999999</v>
      </c>
      <c r="AH94" s="531">
        <f t="shared" si="16"/>
        <v>55.109957923065444</v>
      </c>
      <c r="AI94" s="10" cm="1">
        <f t="array" ref="AI94">AVERAGE(_xlfn._xlws.FILTER(PTS!AM:AM, (PTS!$C:$C=A94) * ISNUMBER(PTS!AM:AM)))</f>
        <v>79.999999999999986</v>
      </c>
      <c r="AJ94" s="10" cm="1">
        <f t="array" ref="AJ94">AVERAGE(_xlfn._xlws.FILTER(PTS!AN:AN, (PTS!$C:$C=A94) * ISNUMBER(PTS!AN:AN)))</f>
        <v>26.17808219178082</v>
      </c>
      <c r="AK94" s="10" cm="1">
        <f t="array" ref="AK94">AVERAGE(_xlfn._xlws.FILTER(PTS!AO:AO, (PTS!$C:$C=A94) * ISNUMBER(PTS!AO:AO)))</f>
        <v>0</v>
      </c>
      <c r="AN94" s="10">
        <f t="shared" si="17"/>
        <v>106.1780821917808</v>
      </c>
      <c r="AR94" s="531" t="e">
        <f t="shared" si="18"/>
        <v>#VALUE!</v>
      </c>
      <c r="AS94" s="531" t="e" vm="2">
        <f t="shared" si="19"/>
        <v>#VALUE!</v>
      </c>
    </row>
    <row r="95" spans="1:45">
      <c r="A95" s="32" t="s">
        <v>347</v>
      </c>
      <c r="B95" s="319" t="s">
        <v>80</v>
      </c>
      <c r="C95" s="319" t="str">
        <f t="shared" si="10"/>
        <v>FerridayLA</v>
      </c>
      <c r="D95" s="10">
        <f>VLOOKUP(A:A,PTS!C:R,6,FALSE)</f>
        <v>1</v>
      </c>
      <c r="E95" s="531" cm="1">
        <f t="array" ref="E95">AVERAGE(_xlfn._xlws.FILTER(PTS!I:I, (PTS!$C:$C=A95) * ISNUMBER(PTS!I:I)))</f>
        <v>94</v>
      </c>
      <c r="F95" s="10" cm="1">
        <f t="array" ref="F95">AVERAGE(_xlfn._xlws.FILTER(PTS!J:J, (PTS!$C:$C=A95) * ISNUMBER(PTS!J:J)))</f>
        <v>170</v>
      </c>
      <c r="G95" s="531" cm="1">
        <f t="array" ref="G95">AVERAGE(_xlfn._xlws.FILTER(PTS!K:K, (PTS!$C:$C=A95) * ISNUMBER(PTS!K:K)))</f>
        <v>165</v>
      </c>
      <c r="H95" s="531" cm="1">
        <f t="array" ref="H95">AVERAGE(_xlfn._xlws.FILTER(PTS!L:L, (PTS!$C:$C=A95) * ISNUMBER(PTS!L:L)))</f>
        <v>0</v>
      </c>
      <c r="I95" s="531" cm="1">
        <f t="array" ref="I95">AVERAGE(_xlfn._xlws.FILTER(PTS!M:M, (PTS!$C:$C=A95) * ISNUMBER(PTS!M:M)))</f>
        <v>0</v>
      </c>
      <c r="J95" s="531" cm="1">
        <f t="array" ref="J95">AVERAGE(_xlfn._xlws.FILTER(PTS!N:N, (PTS!$C:$C=A95) * ISNUMBER(PTS!N:N)))</f>
        <v>60</v>
      </c>
      <c r="K95" s="531" cm="1">
        <f t="array" ref="K95">AVERAGE(_xlfn._xlws.FILTER(PTS!O:O, (PTS!$C:$C=A95) * ISNUMBER(PTS!O:O)))</f>
        <v>37.916666666666671</v>
      </c>
      <c r="L95" s="10" cm="1">
        <f t="array" ref="L95">AVERAGE(_xlfn._xlws.FILTER(PTS!P:P, (PTS!$C:$C=A95) * ISNUMBER(PTS!P:P)))</f>
        <v>0</v>
      </c>
      <c r="M95" s="531">
        <f t="shared" si="11"/>
        <v>526.91666666666663</v>
      </c>
      <c r="N95" s="531">
        <f t="shared" si="12"/>
        <v>97.916666666666671</v>
      </c>
      <c r="O95" s="531" cm="1">
        <f t="array" ref="O95">AVERAGE(_xlfn._xlws.FILTER(PTS!S:S, (PTS!$C:$C=A95) * ISNUMBER(PTS!S:S)))</f>
        <v>0</v>
      </c>
      <c r="P95" s="531" cm="1">
        <f t="array" ref="P95">AVERAGE(_xlfn._xlws.FILTER(PTS!T:T, (PTS!$C:$C=A95) * ISNUMBER(PTS!T:T)))</f>
        <v>0</v>
      </c>
      <c r="Q95" s="531" cm="1">
        <f t="array" ref="Q95">AVERAGE(_xlfn._xlws.FILTER(PTS!U:U, (PTS!$C:$C=A95) * ISNUMBER(PTS!U:U)))</f>
        <v>321.93181818181819</v>
      </c>
      <c r="S95" s="531">
        <f t="shared" si="13"/>
        <v>321.93181818181819</v>
      </c>
      <c r="T95" s="531" cm="1">
        <f t="array" ref="T95">AVERAGE(_xlfn._xlws.FILTER(PTS!X:X, (PTS!$C:$C=A95) * ISNUMBER(PTS!X:X)))</f>
        <v>54</v>
      </c>
      <c r="U95" s="531" cm="1">
        <f t="array" ref="U95">AVERAGE(_xlfn._xlws.FILTER(PTS!Y:Y, (PTS!$C:$C=A95) * ISNUMBER(PTS!Y:Y)))</f>
        <v>50.4</v>
      </c>
      <c r="V95" s="531" cm="1">
        <f t="array" ref="V95">AVERAGE(_xlfn._xlws.FILTER(PTS!Z:Z, (PTS!$C:$C=A95) * ISNUMBER(PTS!Z:Z)))</f>
        <v>26.25</v>
      </c>
      <c r="X95" s="531">
        <f t="shared" si="14"/>
        <v>130.65</v>
      </c>
      <c r="Y95" s="531" cm="1">
        <f t="array" ref="Y95">AVERAGE(_xlfn._xlws.FILTER(PTS!AC:AC, (PTS!$C:$C=A95) * ISNUMBER(PTS!AC:AC)))</f>
        <v>132.95454545454544</v>
      </c>
      <c r="Z95" s="531" cm="1">
        <f t="array" ref="Z95">AVERAGE(_xlfn._xlws.FILTER(PTS!AD:AD, (PTS!$C:$C=A95) * ISNUMBER(PTS!AD:AD)))</f>
        <v>197.95454545454547</v>
      </c>
      <c r="AB95" s="531">
        <f t="shared" si="15"/>
        <v>330.90909090909088</v>
      </c>
      <c r="AC95" s="10" cm="1">
        <f t="array" ref="AC95">AVERAGE(_xlfn._xlws.FILTER(PTS!AG:AG, (PTS!$C:$C=A95) * ISNUMBER(PTS!AG:AG)))</f>
        <v>28.814300000000003</v>
      </c>
      <c r="AD95" s="531" cm="1">
        <f t="array" ref="AD95">AVERAGE(_xlfn._xlws.FILTER(PTS!AH:AH, (PTS!$C:$C=A95) * ISNUMBER(PTS!AH:AH)))</f>
        <v>6.973140495867769</v>
      </c>
      <c r="AE95" s="531" cm="1">
        <f t="array" ref="AE95">AVERAGE(_xlfn._xlws.FILTER(PTS!AI:AI, (PTS!$C:$C=A95) * ISNUMBER(PTS!AI:AI)))</f>
        <v>12.587317427197677</v>
      </c>
      <c r="AF95" s="531" cm="1">
        <f t="array" ref="AF95">AVERAGE(_xlfn._xlws.FILTER(PTS!AJ:AJ, (PTS!$C:$C=A95) * ISNUMBER(PTS!AJ:AJ)))</f>
        <v>6.7351999999999999</v>
      </c>
      <c r="AH95" s="531">
        <f t="shared" si="16"/>
        <v>55.109957923065444</v>
      </c>
      <c r="AI95" s="10" cm="1">
        <f t="array" ref="AI95">AVERAGE(_xlfn._xlws.FILTER(PTS!AM:AM, (PTS!$C:$C=A95) * ISNUMBER(PTS!AM:AM)))</f>
        <v>79.999999999999986</v>
      </c>
      <c r="AJ95" s="10" cm="1">
        <f t="array" ref="AJ95">AVERAGE(_xlfn._xlws.FILTER(PTS!AN:AN, (PTS!$C:$C=A95) * ISNUMBER(PTS!AN:AN)))</f>
        <v>26.17808219178082</v>
      </c>
      <c r="AK95" s="10" cm="1">
        <f t="array" ref="AK95">AVERAGE(_xlfn._xlws.FILTER(PTS!AO:AO, (PTS!$C:$C=A95) * ISNUMBER(PTS!AO:AO)))</f>
        <v>0</v>
      </c>
      <c r="AN95" s="10">
        <f t="shared" si="17"/>
        <v>106.1780821917808</v>
      </c>
      <c r="AR95" s="531">
        <f t="shared" si="18"/>
        <v>1042.695615872422</v>
      </c>
      <c r="AS95" s="531">
        <f t="shared" si="19"/>
        <v>1471.6956158724217</v>
      </c>
    </row>
    <row r="96" spans="1:45">
      <c r="A96" s="32" t="s">
        <v>350</v>
      </c>
      <c r="B96" s="319" t="s">
        <v>65</v>
      </c>
      <c r="C96" s="319" t="str">
        <f t="shared" si="10"/>
        <v>FlorenceAL</v>
      </c>
      <c r="D96" s="10">
        <f>VLOOKUP(A:A,PTS!C:R,6,FALSE)</f>
        <v>1</v>
      </c>
      <c r="E96" s="531" cm="1">
        <f t="array" ref="E96">AVERAGE(_xlfn._xlws.FILTER(PTS!I:I, (PTS!$C:$C=A96) * ISNUMBER(PTS!I:I)))</f>
        <v>63</v>
      </c>
      <c r="F96" s="10" cm="1">
        <f t="array" ref="F96">AVERAGE(_xlfn._xlws.FILTER(PTS!J:J, (PTS!$C:$C=A96) * ISNUMBER(PTS!J:J)))</f>
        <v>120</v>
      </c>
      <c r="G96" s="531" cm="1">
        <f t="array" ref="G96">AVERAGE(_xlfn._xlws.FILTER(PTS!K:K, (PTS!$C:$C=A96) * ISNUMBER(PTS!K:K)))</f>
        <v>0</v>
      </c>
      <c r="H96" s="531" cm="1">
        <f t="array" ref="H96">AVERAGE(_xlfn._xlws.FILTER(PTS!L:L, (PTS!$C:$C=A96) * ISNUMBER(PTS!L:L)))</f>
        <v>0</v>
      </c>
      <c r="I96" s="531" cm="1">
        <f t="array" ref="I96">AVERAGE(_xlfn._xlws.FILTER(PTS!M:M, (PTS!$C:$C=A96) * ISNUMBER(PTS!M:M)))</f>
        <v>0</v>
      </c>
      <c r="J96" s="531" cm="1">
        <f t="array" ref="J96">AVERAGE(_xlfn._xlws.FILTER(PTS!N:N, (PTS!$C:$C=A96) * ISNUMBER(PTS!N:N)))</f>
        <v>45</v>
      </c>
      <c r="K96" s="531" cm="1">
        <f t="array" ref="K96">AVERAGE(_xlfn._xlws.FILTER(PTS!O:O, (PTS!$C:$C=A96) * ISNUMBER(PTS!O:O)))</f>
        <v>37.916666666666671</v>
      </c>
      <c r="L96" s="10" cm="1">
        <f t="array" ref="L96">AVERAGE(_xlfn._xlws.FILTER(PTS!P:P, (PTS!$C:$C=A96) * ISNUMBER(PTS!P:P)))</f>
        <v>0</v>
      </c>
      <c r="M96" s="531">
        <f t="shared" si="11"/>
        <v>265.91666666666669</v>
      </c>
      <c r="N96" s="531">
        <f t="shared" si="12"/>
        <v>82.916666666666671</v>
      </c>
      <c r="O96" s="531" cm="1">
        <f t="array" ref="O96">AVERAGE(_xlfn._xlws.FILTER(PTS!S:S, (PTS!$C:$C=A96) * ISNUMBER(PTS!S:S)))</f>
        <v>0</v>
      </c>
      <c r="P96" s="531" cm="1">
        <f t="array" ref="P96">AVERAGE(_xlfn._xlws.FILTER(PTS!T:T, (PTS!$C:$C=A96) * ISNUMBER(PTS!T:T)))</f>
        <v>0</v>
      </c>
      <c r="Q96" s="531" cm="1">
        <f t="array" ref="Q96">AVERAGE(_xlfn._xlws.FILTER(PTS!U:U, (PTS!$C:$C=A96) * ISNUMBER(PTS!U:U)))</f>
        <v>224.43181818181816</v>
      </c>
      <c r="S96" s="531">
        <f t="shared" si="13"/>
        <v>224.43181818181816</v>
      </c>
      <c r="T96" s="531" cm="1">
        <f t="array" ref="T96">AVERAGE(_xlfn._xlws.FILTER(PTS!X:X, (PTS!$C:$C=A96) * ISNUMBER(PTS!X:X)))</f>
        <v>50</v>
      </c>
      <c r="U96" s="531" cm="1">
        <f t="array" ref="U96">AVERAGE(_xlfn._xlws.FILTER(PTS!Y:Y, (PTS!$C:$C=A96) * ISNUMBER(PTS!Y:Y)))</f>
        <v>33.6</v>
      </c>
      <c r="V96" s="531" cm="1">
        <f t="array" ref="V96">AVERAGE(_xlfn._xlws.FILTER(PTS!Z:Z, (PTS!$C:$C=A96) * ISNUMBER(PTS!Z:Z)))</f>
        <v>26.25</v>
      </c>
      <c r="X96" s="531">
        <f t="shared" si="14"/>
        <v>109.85</v>
      </c>
      <c r="Y96" s="531" cm="1">
        <f t="array" ref="Y96">AVERAGE(_xlfn._xlws.FILTER(PTS!AC:AC, (PTS!$C:$C=A96) * ISNUMBER(PTS!AC:AC)))</f>
        <v>146.02272727272725</v>
      </c>
      <c r="Z96" s="531" cm="1">
        <f t="array" ref="Z96">AVERAGE(_xlfn._xlws.FILTER(PTS!AD:AD, (PTS!$C:$C=A96) * ISNUMBER(PTS!AD:AD)))</f>
        <v>182.72727272727275</v>
      </c>
      <c r="AB96" s="531">
        <f t="shared" si="15"/>
        <v>328.75</v>
      </c>
      <c r="AC96" s="10" cm="1">
        <f t="array" ref="AC96">AVERAGE(_xlfn._xlws.FILTER(PTS!AG:AG, (PTS!$C:$C=A96) * ISNUMBER(PTS!AG:AG)))</f>
        <v>28.814300000000003</v>
      </c>
      <c r="AD96" s="531" cm="1">
        <f t="array" ref="AD96">AVERAGE(_xlfn._xlws.FILTER(PTS!AH:AH, (PTS!$C:$C=A96) * ISNUMBER(PTS!AH:AH)))</f>
        <v>6.973140495867769</v>
      </c>
      <c r="AE96" s="531" cm="1">
        <f t="array" ref="AE96">AVERAGE(_xlfn._xlws.FILTER(PTS!AI:AI, (PTS!$C:$C=A96) * ISNUMBER(PTS!AI:AI)))</f>
        <v>12.587317427197677</v>
      </c>
      <c r="AF96" s="531" cm="1">
        <f t="array" ref="AF96">AVERAGE(_xlfn._xlws.FILTER(PTS!AJ:AJ, (PTS!$C:$C=A96) * ISNUMBER(PTS!AJ:AJ)))</f>
        <v>6.7351999999999999</v>
      </c>
      <c r="AH96" s="531">
        <f t="shared" si="16"/>
        <v>55.109957923065444</v>
      </c>
      <c r="AI96" s="10" cm="1">
        <f t="array" ref="AI96">AVERAGE(_xlfn._xlws.FILTER(PTS!AM:AM, (PTS!$C:$C=A96) * ISNUMBER(PTS!AM:AM)))</f>
        <v>79.999999999999986</v>
      </c>
      <c r="AJ96" s="10" cm="1">
        <f t="array" ref="AJ96">AVERAGE(_xlfn._xlws.FILTER(PTS!AN:AN, (PTS!$C:$C=A96) * ISNUMBER(PTS!AN:AN)))</f>
        <v>26.17808219178082</v>
      </c>
      <c r="AK96" s="10" cm="1">
        <f t="array" ref="AK96">AVERAGE(_xlfn._xlws.FILTER(PTS!AO:AO, (PTS!$C:$C=A96) * ISNUMBER(PTS!AO:AO)))</f>
        <v>0</v>
      </c>
      <c r="AN96" s="10">
        <f t="shared" si="17"/>
        <v>106.1780821917808</v>
      </c>
      <c r="AR96" s="531">
        <f t="shared" si="18"/>
        <v>907.23652496333102</v>
      </c>
      <c r="AS96" s="531">
        <f t="shared" si="19"/>
        <v>1090.236524963331</v>
      </c>
    </row>
    <row r="97" spans="1:45">
      <c r="A97" s="32" t="s">
        <v>353</v>
      </c>
      <c r="B97" s="319" t="s">
        <v>65</v>
      </c>
      <c r="C97" s="319" t="str">
        <f t="shared" si="10"/>
        <v>Florence AL</v>
      </c>
      <c r="D97" s="10">
        <f>VLOOKUP(A:A,PTS!C:R,6,FALSE)</f>
        <v>1</v>
      </c>
      <c r="E97" s="531" cm="1">
        <f t="array" ref="E97">AVERAGE(_xlfn._xlws.FILTER(PTS!I:I, (PTS!$C:$C=A97) * ISNUMBER(PTS!I:I)))</f>
        <v>100</v>
      </c>
      <c r="F97" s="10" cm="1">
        <f t="array" ref="F97">AVERAGE(_xlfn._xlws.FILTER(PTS!J:J, (PTS!$C:$C=A97) * ISNUMBER(PTS!J:J)))</f>
        <v>100</v>
      </c>
      <c r="G97" s="531" cm="1">
        <f t="array" ref="G97">AVERAGE(_xlfn._xlws.FILTER(PTS!K:K, (PTS!$C:$C=A97) * ISNUMBER(PTS!K:K)))</f>
        <v>0</v>
      </c>
      <c r="H97" s="531" cm="1">
        <f t="array" ref="H97">AVERAGE(_xlfn._xlws.FILTER(PTS!L:L, (PTS!$C:$C=A97) * ISNUMBER(PTS!L:L)))</f>
        <v>85</v>
      </c>
      <c r="I97" s="531" cm="1">
        <f t="array" ref="I97">AVERAGE(_xlfn._xlws.FILTER(PTS!M:M, (PTS!$C:$C=A97) * ISNUMBER(PTS!M:M)))</f>
        <v>0</v>
      </c>
      <c r="J97" s="531" cm="1">
        <f t="array" ref="J97">AVERAGE(_xlfn._xlws.FILTER(PTS!N:N, (PTS!$C:$C=A97) * ISNUMBER(PTS!N:N)))</f>
        <v>50</v>
      </c>
      <c r="K97" s="531" cm="1">
        <f t="array" ref="K97">AVERAGE(_xlfn._xlws.FILTER(PTS!O:O, (PTS!$C:$C=A97) * ISNUMBER(PTS!O:O)))</f>
        <v>37.916666666666671</v>
      </c>
      <c r="L97" s="10" cm="1">
        <f t="array" ref="L97">AVERAGE(_xlfn._xlws.FILTER(PTS!P:P, (PTS!$C:$C=A97) * ISNUMBER(PTS!P:P)))</f>
        <v>0</v>
      </c>
      <c r="M97" s="531">
        <f t="shared" si="11"/>
        <v>372.91666666666669</v>
      </c>
      <c r="N97" s="531">
        <f t="shared" si="12"/>
        <v>87.916666666666671</v>
      </c>
      <c r="O97" s="531" cm="1">
        <f t="array" ref="O97">AVERAGE(_xlfn._xlws.FILTER(PTS!S:S, (PTS!$C:$C=A97) * ISNUMBER(PTS!S:S)))</f>
        <v>0</v>
      </c>
      <c r="P97" s="531" cm="1">
        <f t="array" ref="P97">AVERAGE(_xlfn._xlws.FILTER(PTS!T:T, (PTS!$C:$C=A97) * ISNUMBER(PTS!T:T)))</f>
        <v>0</v>
      </c>
      <c r="Q97" s="531" cm="1">
        <f t="array" ref="Q97">AVERAGE(_xlfn._xlws.FILTER(PTS!U:U, (PTS!$C:$C=A97) * ISNUMBER(PTS!U:U)))</f>
        <v>224.43181818181816</v>
      </c>
      <c r="S97" s="531">
        <f t="shared" si="13"/>
        <v>224.43181818181816</v>
      </c>
      <c r="T97" s="531" cm="1">
        <f t="array" ref="T97">AVERAGE(_xlfn._xlws.FILTER(PTS!X:X, (PTS!$C:$C=A97) * ISNUMBER(PTS!X:X)))</f>
        <v>50</v>
      </c>
      <c r="U97" s="531" cm="1">
        <f t="array" ref="U97">AVERAGE(_xlfn._xlws.FILTER(PTS!Y:Y, (PTS!$C:$C=A97) * ISNUMBER(PTS!Y:Y)))</f>
        <v>33.6</v>
      </c>
      <c r="V97" s="531" cm="1">
        <f t="array" ref="V97">AVERAGE(_xlfn._xlws.FILTER(PTS!Z:Z, (PTS!$C:$C=A97) * ISNUMBER(PTS!Z:Z)))</f>
        <v>26.25</v>
      </c>
      <c r="X97" s="531">
        <f t="shared" si="14"/>
        <v>109.85</v>
      </c>
      <c r="Y97" s="531" cm="1">
        <f t="array" ref="Y97">AVERAGE(_xlfn._xlws.FILTER(PTS!AC:AC, (PTS!$C:$C=A97) * ISNUMBER(PTS!AC:AC)))</f>
        <v>146.02272727272725</v>
      </c>
      <c r="Z97" s="531" cm="1">
        <f t="array" ref="Z97">AVERAGE(_xlfn._xlws.FILTER(PTS!AD:AD, (PTS!$C:$C=A97) * ISNUMBER(PTS!AD:AD)))</f>
        <v>182.72727272727275</v>
      </c>
      <c r="AB97" s="531">
        <f t="shared" si="15"/>
        <v>328.75</v>
      </c>
      <c r="AC97" s="10" cm="1">
        <f t="array" ref="AC97">AVERAGE(_xlfn._xlws.FILTER(PTS!AG:AG, (PTS!$C:$C=A97) * ISNUMBER(PTS!AG:AG)))</f>
        <v>28.814300000000003</v>
      </c>
      <c r="AD97" s="531" cm="1">
        <f t="array" ref="AD97">AVERAGE(_xlfn._xlws.FILTER(PTS!AH:AH, (PTS!$C:$C=A97) * ISNUMBER(PTS!AH:AH)))</f>
        <v>6.973140495867769</v>
      </c>
      <c r="AE97" s="531" cm="1">
        <f t="array" ref="AE97">AVERAGE(_xlfn._xlws.FILTER(PTS!AI:AI, (PTS!$C:$C=A97) * ISNUMBER(PTS!AI:AI)))</f>
        <v>12.587317427197677</v>
      </c>
      <c r="AF97" s="531" cm="1">
        <f t="array" ref="AF97">AVERAGE(_xlfn._xlws.FILTER(PTS!AJ:AJ, (PTS!$C:$C=A97) * ISNUMBER(PTS!AJ:AJ)))</f>
        <v>6.7351999999999999</v>
      </c>
      <c r="AH97" s="531">
        <f t="shared" si="16"/>
        <v>55.109957923065444</v>
      </c>
      <c r="AI97" s="10" cm="1">
        <f t="array" ref="AI97">AVERAGE(_xlfn._xlws.FILTER(PTS!AM:AM, (PTS!$C:$C=A97) * ISNUMBER(PTS!AM:AM)))</f>
        <v>79.999999999999986</v>
      </c>
      <c r="AJ97" s="10" cm="1">
        <f t="array" ref="AJ97">AVERAGE(_xlfn._xlws.FILTER(PTS!AN:AN, (PTS!$C:$C=A97) * ISNUMBER(PTS!AN:AN)))</f>
        <v>26.17808219178082</v>
      </c>
      <c r="AK97" s="10" cm="1">
        <f t="array" ref="AK97">AVERAGE(_xlfn._xlws.FILTER(PTS!AO:AO, (PTS!$C:$C=A97) * ISNUMBER(PTS!AO:AO)))</f>
        <v>0</v>
      </c>
      <c r="AN97" s="10">
        <f t="shared" si="17"/>
        <v>106.1780821917808</v>
      </c>
      <c r="AR97" s="531">
        <f t="shared" si="18"/>
        <v>912.23652496333102</v>
      </c>
      <c r="AS97" s="531">
        <f t="shared" si="19"/>
        <v>1197.236524963331</v>
      </c>
    </row>
    <row r="98" spans="1:45">
      <c r="A98" s="32" t="s">
        <v>355</v>
      </c>
      <c r="B98" s="319" t="s">
        <v>149</v>
      </c>
      <c r="C98" s="319" t="str">
        <f t="shared" si="10"/>
        <v>Forrest CityAR</v>
      </c>
      <c r="D98" s="10">
        <f>VLOOKUP(A:A,PTS!C:R,6,FALSE)</f>
        <v>1</v>
      </c>
      <c r="E98" s="531" cm="1">
        <f t="array" ref="E98">AVERAGE(_xlfn._xlws.FILTER(PTS!I:I, (PTS!$C:$C=A98) * ISNUMBER(PTS!I:I)))</f>
        <v>35</v>
      </c>
      <c r="F98" s="10" cm="1">
        <f t="array" ref="F98">AVERAGE(_xlfn._xlws.FILTER(PTS!J:J, (PTS!$C:$C=A98) * ISNUMBER(PTS!J:J)))</f>
        <v>365</v>
      </c>
      <c r="G98" s="531" cm="1">
        <f t="array" ref="G98">AVERAGE(_xlfn._xlws.FILTER(PTS!K:K, (PTS!$C:$C=A98) * ISNUMBER(PTS!K:K)))</f>
        <v>0</v>
      </c>
      <c r="H98" s="531" cm="1">
        <f t="array" ref="H98">AVERAGE(_xlfn._xlws.FILTER(PTS!L:L, (PTS!$C:$C=A98) * ISNUMBER(PTS!L:L)))</f>
        <v>61</v>
      </c>
      <c r="I98" s="531" cm="1">
        <f t="array" ref="I98">AVERAGE(_xlfn._xlws.FILTER(PTS!M:M, (PTS!$C:$C=A98) * ISNUMBER(PTS!M:M)))</f>
        <v>0</v>
      </c>
      <c r="J98" s="531" cm="1">
        <f t="array" ref="J98">AVERAGE(_xlfn._xlws.FILTER(PTS!N:N, (PTS!$C:$C=A98) * ISNUMBER(PTS!N:N)))</f>
        <v>70</v>
      </c>
      <c r="K98" s="531" cm="1">
        <f t="array" ref="K98">AVERAGE(_xlfn._xlws.FILTER(PTS!O:O, (PTS!$C:$C=A98) * ISNUMBER(PTS!O:O)))</f>
        <v>37.916666666666671</v>
      </c>
      <c r="L98" s="10" cm="1">
        <f t="array" ref="L98">AVERAGE(_xlfn._xlws.FILTER(PTS!P:P, (PTS!$C:$C=A98) * ISNUMBER(PTS!P:P)))</f>
        <v>0</v>
      </c>
      <c r="M98" s="531">
        <f t="shared" si="11"/>
        <v>568.91666666666663</v>
      </c>
      <c r="N98" s="531">
        <f t="shared" si="12"/>
        <v>107.91666666666667</v>
      </c>
      <c r="O98" s="531" cm="1">
        <f t="array" ref="O98">AVERAGE(_xlfn._xlws.FILTER(PTS!S:S, (PTS!$C:$C=A98) * ISNUMBER(PTS!S:S)))</f>
        <v>0</v>
      </c>
      <c r="P98" s="531" cm="1">
        <f t="array" ref="P98">AVERAGE(_xlfn._xlws.FILTER(PTS!T:T, (PTS!$C:$C=A98) * ISNUMBER(PTS!T:T)))</f>
        <v>0</v>
      </c>
      <c r="Q98" s="531" cm="1">
        <f t="array" ref="Q98">AVERAGE(_xlfn._xlws.FILTER(PTS!U:U, (PTS!$C:$C=A98) * ISNUMBER(PTS!U:U)))</f>
        <v>145.34090909090909</v>
      </c>
      <c r="S98" s="531">
        <f t="shared" si="13"/>
        <v>145.34090909090909</v>
      </c>
      <c r="T98" s="531" cm="1">
        <f t="array" ref="T98">AVERAGE(_xlfn._xlws.FILTER(PTS!X:X, (PTS!$C:$C=A98) * ISNUMBER(PTS!X:X)))</f>
        <v>50</v>
      </c>
      <c r="U98" s="531" cm="1">
        <f t="array" ref="U98">AVERAGE(_xlfn._xlws.FILTER(PTS!Y:Y, (PTS!$C:$C=A98) * ISNUMBER(PTS!Y:Y)))</f>
        <v>33.6</v>
      </c>
      <c r="V98" s="531" cm="1">
        <f t="array" ref="V98">AVERAGE(_xlfn._xlws.FILTER(PTS!Z:Z, (PTS!$C:$C=A98) * ISNUMBER(PTS!Z:Z)))</f>
        <v>26.25</v>
      </c>
      <c r="X98" s="531">
        <f t="shared" si="14"/>
        <v>109.85</v>
      </c>
      <c r="Y98" s="531" cm="1">
        <f t="array" ref="Y98">AVERAGE(_xlfn._xlws.FILTER(PTS!AC:AC, (PTS!$C:$C=A98) * ISNUMBER(PTS!AC:AC)))</f>
        <v>146.02272727272725</v>
      </c>
      <c r="Z98" s="531" cm="1">
        <f t="array" ref="Z98">AVERAGE(_xlfn._xlws.FILTER(PTS!AD:AD, (PTS!$C:$C=A98) * ISNUMBER(PTS!AD:AD)))</f>
        <v>182.72727272727275</v>
      </c>
      <c r="AB98" s="531">
        <f t="shared" si="15"/>
        <v>328.75</v>
      </c>
      <c r="AC98" s="10" cm="1">
        <f t="array" ref="AC98">AVERAGE(_xlfn._xlws.FILTER(PTS!AG:AG, (PTS!$C:$C=A98) * ISNUMBER(PTS!AG:AG)))</f>
        <v>28.814300000000003</v>
      </c>
      <c r="AD98" s="531" cm="1">
        <f t="array" ref="AD98">AVERAGE(_xlfn._xlws.FILTER(PTS!AH:AH, (PTS!$C:$C=A98) * ISNUMBER(PTS!AH:AH)))</f>
        <v>6.973140495867769</v>
      </c>
      <c r="AE98" s="531" cm="1">
        <f t="array" ref="AE98">AVERAGE(_xlfn._xlws.FILTER(PTS!AI:AI, (PTS!$C:$C=A98) * ISNUMBER(PTS!AI:AI)))</f>
        <v>12.587317427197677</v>
      </c>
      <c r="AF98" s="531" cm="1">
        <f t="array" ref="AF98">AVERAGE(_xlfn._xlws.FILTER(PTS!AJ:AJ, (PTS!$C:$C=A98) * ISNUMBER(PTS!AJ:AJ)))</f>
        <v>6.7351999999999999</v>
      </c>
      <c r="AH98" s="531">
        <f t="shared" si="16"/>
        <v>55.109957923065444</v>
      </c>
      <c r="AI98" s="10" cm="1">
        <f t="array" ref="AI98">AVERAGE(_xlfn._xlws.FILTER(PTS!AM:AM, (PTS!$C:$C=A98) * ISNUMBER(PTS!AM:AM)))</f>
        <v>79.999999999999986</v>
      </c>
      <c r="AJ98" s="10" cm="1">
        <f t="array" ref="AJ98">AVERAGE(_xlfn._xlws.FILTER(PTS!AN:AN, (PTS!$C:$C=A98) * ISNUMBER(PTS!AN:AN)))</f>
        <v>26.17808219178082</v>
      </c>
      <c r="AK98" s="10" cm="1">
        <f t="array" ref="AK98">AVERAGE(_xlfn._xlws.FILTER(PTS!AO:AO, (PTS!$C:$C=A98) * ISNUMBER(PTS!AO:AO)))</f>
        <v>0</v>
      </c>
      <c r="AN98" s="10">
        <f t="shared" si="17"/>
        <v>106.1780821917808</v>
      </c>
      <c r="AR98" s="531">
        <f t="shared" si="18"/>
        <v>853.14561587242201</v>
      </c>
      <c r="AS98" s="531">
        <f t="shared" si="19"/>
        <v>1314.145615872422</v>
      </c>
    </row>
    <row r="99" spans="1:45">
      <c r="A99" s="32" t="s">
        <v>357</v>
      </c>
      <c r="B99" s="319" t="s">
        <v>108</v>
      </c>
      <c r="C99" s="319" t="str">
        <f t="shared" si="10"/>
        <v>FresnoCA</v>
      </c>
      <c r="D99" s="10">
        <f>VLOOKUP(A:A,PTS!C:R,6,FALSE)</f>
        <v>5</v>
      </c>
      <c r="E99" s="531" cm="1">
        <f t="array" ref="E99">AVERAGE(_xlfn._xlws.FILTER(PTS!I:I, (PTS!$C:$C=A99) * ISNUMBER(PTS!I:I)))</f>
        <v>0</v>
      </c>
      <c r="F99" s="10" cm="1">
        <f t="array" ref="F99">AVERAGE(_xlfn._xlws.FILTER(PTS!J:J, (PTS!$C:$C=A99) * ISNUMBER(PTS!J:J)))</f>
        <v>190</v>
      </c>
      <c r="G99" s="531" cm="1">
        <f t="array" ref="G99">AVERAGE(_xlfn._xlws.FILTER(PTS!K:K, (PTS!$C:$C=A99) * ISNUMBER(PTS!K:K)))</f>
        <v>0</v>
      </c>
      <c r="H99" s="531" cm="1">
        <f t="array" ref="H99">AVERAGE(_xlfn._xlws.FILTER(PTS!L:L, (PTS!$C:$C=A99) * ISNUMBER(PTS!L:L)))</f>
        <v>0</v>
      </c>
      <c r="I99" s="531" cm="1">
        <f t="array" ref="I99">AVERAGE(_xlfn._xlws.FILTER(PTS!M:M, (PTS!$C:$C=A99) * ISNUMBER(PTS!M:M)))</f>
        <v>10</v>
      </c>
      <c r="J99" s="531" cm="1">
        <f t="array" ref="J99">AVERAGE(_xlfn._xlws.FILTER(PTS!N:N, (PTS!$C:$C=A99) * ISNUMBER(PTS!N:N)))</f>
        <v>96</v>
      </c>
      <c r="K99" s="531" cm="1">
        <f t="array" ref="K99">AVERAGE(_xlfn._xlws.FILTER(PTS!O:O, (PTS!$C:$C=A99) * ISNUMBER(PTS!O:O)))</f>
        <v>37.916666666666671</v>
      </c>
      <c r="L99" s="10" t="e" cm="1" vm="1">
        <f t="array" ref="L99">AVERAGE(_xlfn._xlws.FILTER(PTS!P:P, (PTS!$C:$C=A99) * ISNUMBER(PTS!P:P)))</f>
        <v>#VALUE!</v>
      </c>
      <c r="M99" s="531" t="e" vm="2">
        <f t="shared" si="11"/>
        <v>#VALUE!</v>
      </c>
      <c r="N99" s="531" t="e">
        <f t="shared" si="12"/>
        <v>#VALUE!</v>
      </c>
      <c r="O99" s="531" cm="1">
        <f t="array" ref="O99">AVERAGE(_xlfn._xlws.FILTER(PTS!S:S, (PTS!$C:$C=A99) * ISNUMBER(PTS!S:S)))</f>
        <v>0</v>
      </c>
      <c r="P99" s="531" cm="1">
        <f t="array" ref="P99">AVERAGE(_xlfn._xlws.FILTER(PTS!T:T, (PTS!$C:$C=A99) * ISNUMBER(PTS!T:T)))</f>
        <v>0</v>
      </c>
      <c r="Q99" s="531" t="e" cm="1" vm="1">
        <f t="array" ref="Q99">AVERAGE(_xlfn._xlws.FILTER(PTS!U:U, (PTS!$C:$C=A99) * ISNUMBER(PTS!U:U)))</f>
        <v>#VALUE!</v>
      </c>
      <c r="S99" s="531" t="e" vm="2">
        <f t="shared" si="13"/>
        <v>#VALUE!</v>
      </c>
      <c r="T99" s="531" t="e" cm="1" vm="1">
        <f t="array" ref="T99">AVERAGE(_xlfn._xlws.FILTER(PTS!X:X, (PTS!$C:$C=A99) * ISNUMBER(PTS!X:X)))</f>
        <v>#VALUE!</v>
      </c>
      <c r="U99" s="531" t="e" cm="1" vm="1">
        <f t="array" ref="U99">AVERAGE(_xlfn._xlws.FILTER(PTS!Y:Y, (PTS!$C:$C=A99) * ISNUMBER(PTS!Y:Y)))</f>
        <v>#VALUE!</v>
      </c>
      <c r="V99" s="531" cm="1">
        <f t="array" ref="V99">AVERAGE(_xlfn._xlws.FILTER(PTS!Z:Z, (PTS!$C:$C=A99) * ISNUMBER(PTS!Z:Z)))</f>
        <v>26.25</v>
      </c>
      <c r="X99" s="531" t="e" vm="2">
        <f t="shared" si="14"/>
        <v>#VALUE!</v>
      </c>
      <c r="Y99" s="531" t="e" cm="1" vm="1">
        <f t="array" ref="Y99">AVERAGE(_xlfn._xlws.FILTER(PTS!AC:AC, (PTS!$C:$C=A99) * ISNUMBER(PTS!AC:AC)))</f>
        <v>#VALUE!</v>
      </c>
      <c r="Z99" s="531" t="e" cm="1" vm="1">
        <f t="array" ref="Z99">AVERAGE(_xlfn._xlws.FILTER(PTS!AD:AD, (PTS!$C:$C=A99) * ISNUMBER(PTS!AD:AD)))</f>
        <v>#VALUE!</v>
      </c>
      <c r="AB99" s="531" t="e" vm="2">
        <f t="shared" si="15"/>
        <v>#VALUE!</v>
      </c>
      <c r="AC99" s="10" cm="1">
        <f t="array" ref="AC99">AVERAGE(_xlfn._xlws.FILTER(PTS!AG:AG, (PTS!$C:$C=A99) * ISNUMBER(PTS!AG:AG)))</f>
        <v>28.814300000000003</v>
      </c>
      <c r="AD99" s="531" cm="1">
        <f t="array" ref="AD99">AVERAGE(_xlfn._xlws.FILTER(PTS!AH:AH, (PTS!$C:$C=A99) * ISNUMBER(PTS!AH:AH)))</f>
        <v>6.973140495867769</v>
      </c>
      <c r="AE99" s="531" cm="1">
        <f t="array" ref="AE99">AVERAGE(_xlfn._xlws.FILTER(PTS!AI:AI, (PTS!$C:$C=A99) * ISNUMBER(PTS!AI:AI)))</f>
        <v>12.587317427197677</v>
      </c>
      <c r="AF99" s="531" cm="1">
        <f t="array" ref="AF99">AVERAGE(_xlfn._xlws.FILTER(PTS!AJ:AJ, (PTS!$C:$C=A99) * ISNUMBER(PTS!AJ:AJ)))</f>
        <v>6.7351999999999999</v>
      </c>
      <c r="AH99" s="531">
        <f t="shared" si="16"/>
        <v>55.109957923065444</v>
      </c>
      <c r="AI99" s="10" cm="1">
        <f t="array" ref="AI99">AVERAGE(_xlfn._xlws.FILTER(PTS!AM:AM, (PTS!$C:$C=A99) * ISNUMBER(PTS!AM:AM)))</f>
        <v>79.999999999999986</v>
      </c>
      <c r="AJ99" s="10" cm="1">
        <f t="array" ref="AJ99">AVERAGE(_xlfn._xlws.FILTER(PTS!AN:AN, (PTS!$C:$C=A99) * ISNUMBER(PTS!AN:AN)))</f>
        <v>26.17808219178082</v>
      </c>
      <c r="AK99" s="10" cm="1">
        <f t="array" ref="AK99">AVERAGE(_xlfn._xlws.FILTER(PTS!AO:AO, (PTS!$C:$C=A99) * ISNUMBER(PTS!AO:AO)))</f>
        <v>0</v>
      </c>
      <c r="AN99" s="10">
        <f t="shared" si="17"/>
        <v>106.1780821917808</v>
      </c>
      <c r="AR99" s="531" t="e">
        <f t="shared" si="18"/>
        <v>#VALUE!</v>
      </c>
      <c r="AS99" s="531" t="e" vm="2">
        <f t="shared" si="19"/>
        <v>#VALUE!</v>
      </c>
    </row>
    <row r="100" spans="1:45">
      <c r="A100" s="32" t="s">
        <v>360</v>
      </c>
      <c r="B100" s="319" t="s">
        <v>71</v>
      </c>
      <c r="C100" s="319" t="str">
        <f t="shared" si="10"/>
        <v>Ft Worth TX</v>
      </c>
      <c r="D100" s="10">
        <f>VLOOKUP(A:A,PTS!C:R,6,FALSE)</f>
        <v>2</v>
      </c>
      <c r="E100" s="531" cm="1">
        <f t="array" ref="E100">AVERAGE(_xlfn._xlws.FILTER(PTS!I:I, (PTS!$C:$C=A100) * ISNUMBER(PTS!I:I)))</f>
        <v>110</v>
      </c>
      <c r="F100" s="10" cm="1">
        <f t="array" ref="F100">AVERAGE(_xlfn._xlws.FILTER(PTS!J:J, (PTS!$C:$C=A100) * ISNUMBER(PTS!J:J)))</f>
        <v>120</v>
      </c>
      <c r="G100" s="531" cm="1">
        <f t="array" ref="G100">AVERAGE(_xlfn._xlws.FILTER(PTS!K:K, (PTS!$C:$C=A100) * ISNUMBER(PTS!K:K)))</f>
        <v>370</v>
      </c>
      <c r="H100" s="531" cm="1">
        <f t="array" ref="H100">AVERAGE(_xlfn._xlws.FILTER(PTS!L:L, (PTS!$C:$C=A100) * ISNUMBER(PTS!L:L)))</f>
        <v>0</v>
      </c>
      <c r="I100" s="531" cm="1">
        <f t="array" ref="I100">AVERAGE(_xlfn._xlws.FILTER(PTS!M:M, (PTS!$C:$C=A100) * ISNUMBER(PTS!M:M)))</f>
        <v>10</v>
      </c>
      <c r="J100" s="531" cm="1">
        <f t="array" ref="J100">AVERAGE(_xlfn._xlws.FILTER(PTS!N:N, (PTS!$C:$C=A100) * ISNUMBER(PTS!N:N)))</f>
        <v>70</v>
      </c>
      <c r="K100" s="531" cm="1">
        <f t="array" ref="K100">AVERAGE(_xlfn._xlws.FILTER(PTS!O:O, (PTS!$C:$C=A100) * ISNUMBER(PTS!O:O)))</f>
        <v>37.916666666666671</v>
      </c>
      <c r="L100" s="10" cm="1">
        <f t="array" ref="L100">AVERAGE(_xlfn._xlws.FILTER(PTS!P:P, (PTS!$C:$C=A100) * ISNUMBER(PTS!P:P)))</f>
        <v>0</v>
      </c>
      <c r="M100" s="531">
        <f t="shared" si="11"/>
        <v>717.91666666666663</v>
      </c>
      <c r="N100" s="531">
        <f t="shared" si="12"/>
        <v>477.91666666666669</v>
      </c>
      <c r="O100" s="531" cm="1">
        <f t="array" ref="O100">AVERAGE(_xlfn._xlws.FILTER(PTS!S:S, (PTS!$C:$C=A100) * ISNUMBER(PTS!S:S)))</f>
        <v>0</v>
      </c>
      <c r="P100" s="531" cm="1">
        <f t="array" ref="P100">AVERAGE(_xlfn._xlws.FILTER(PTS!T:T, (PTS!$C:$C=A100) * ISNUMBER(PTS!T:T)))</f>
        <v>0</v>
      </c>
      <c r="Q100" s="531" cm="1">
        <f t="array" ref="Q100">AVERAGE(_xlfn._xlws.FILTER(PTS!U:U, (PTS!$C:$C=A100) * ISNUMBER(PTS!U:U)))</f>
        <v>149.26136363636363</v>
      </c>
      <c r="S100" s="531">
        <f t="shared" si="13"/>
        <v>149.26136363636363</v>
      </c>
      <c r="T100" s="531" cm="1">
        <f t="array" ref="T100">AVERAGE(_xlfn._xlws.FILTER(PTS!X:X, (PTS!$C:$C=A100) * ISNUMBER(PTS!X:X)))</f>
        <v>54</v>
      </c>
      <c r="U100" s="531" cm="1">
        <f t="array" ref="U100">AVERAGE(_xlfn._xlws.FILTER(PTS!Y:Y, (PTS!$C:$C=A100) * ISNUMBER(PTS!Y:Y)))</f>
        <v>50.4</v>
      </c>
      <c r="V100" s="531" cm="1">
        <f t="array" ref="V100">AVERAGE(_xlfn._xlws.FILTER(PTS!Z:Z, (PTS!$C:$C=A100) * ISNUMBER(PTS!Z:Z)))</f>
        <v>26.25</v>
      </c>
      <c r="X100" s="531">
        <f t="shared" si="14"/>
        <v>130.65</v>
      </c>
      <c r="Y100" s="531" cm="1">
        <f t="array" ref="Y100">AVERAGE(_xlfn._xlws.FILTER(PTS!AC:AC, (PTS!$C:$C=A100) * ISNUMBER(PTS!AC:AC)))</f>
        <v>147.72727272727272</v>
      </c>
      <c r="Z100" s="531" cm="1">
        <f t="array" ref="Z100">AVERAGE(_xlfn._xlws.FILTER(PTS!AD:AD, (PTS!$C:$C=A100) * ISNUMBER(PTS!AD:AD)))</f>
        <v>233.06818181818181</v>
      </c>
      <c r="AB100" s="531">
        <f t="shared" si="15"/>
        <v>380.7954545454545</v>
      </c>
      <c r="AC100" s="10" cm="1">
        <f t="array" ref="AC100">AVERAGE(_xlfn._xlws.FILTER(PTS!AG:AG, (PTS!$C:$C=A100) * ISNUMBER(PTS!AG:AG)))</f>
        <v>28.814300000000003</v>
      </c>
      <c r="AD100" s="531" cm="1">
        <f t="array" ref="AD100">AVERAGE(_xlfn._xlws.FILTER(PTS!AH:AH, (PTS!$C:$C=A100) * ISNUMBER(PTS!AH:AH)))</f>
        <v>6.973140495867769</v>
      </c>
      <c r="AE100" s="531" cm="1">
        <f t="array" ref="AE100">AVERAGE(_xlfn._xlws.FILTER(PTS!AI:AI, (PTS!$C:$C=A100) * ISNUMBER(PTS!AI:AI)))</f>
        <v>12.587317427197677</v>
      </c>
      <c r="AF100" s="531" cm="1">
        <f t="array" ref="AF100">AVERAGE(_xlfn._xlws.FILTER(PTS!AJ:AJ, (PTS!$C:$C=A100) * ISNUMBER(PTS!AJ:AJ)))</f>
        <v>6.7351999999999999</v>
      </c>
      <c r="AH100" s="531">
        <f t="shared" si="16"/>
        <v>55.109957923065444</v>
      </c>
      <c r="AI100" s="10" cm="1">
        <f t="array" ref="AI100">AVERAGE(_xlfn._xlws.FILTER(PTS!AM:AM, (PTS!$C:$C=A100) * ISNUMBER(PTS!AM:AM)))</f>
        <v>79.999999999999986</v>
      </c>
      <c r="AJ100" s="10" cm="1">
        <f t="array" ref="AJ100">AVERAGE(_xlfn._xlws.FILTER(PTS!AN:AN, (PTS!$C:$C=A100) * ISNUMBER(PTS!AN:AN)))</f>
        <v>26.17808219178082</v>
      </c>
      <c r="AK100" s="10" cm="1">
        <f t="array" ref="AK100">AVERAGE(_xlfn._xlws.FILTER(PTS!AO:AO, (PTS!$C:$C=A100) * ISNUMBER(PTS!AO:AO)))</f>
        <v>0</v>
      </c>
      <c r="AN100" s="10">
        <f t="shared" si="17"/>
        <v>106.1780821917808</v>
      </c>
      <c r="AR100" s="531">
        <f t="shared" si="18"/>
        <v>1299.9115249633307</v>
      </c>
      <c r="AS100" s="531">
        <f t="shared" si="19"/>
        <v>1539.9115249633307</v>
      </c>
    </row>
    <row r="101" spans="1:45">
      <c r="A101" s="32" t="s">
        <v>363</v>
      </c>
      <c r="B101" s="319" t="s">
        <v>76</v>
      </c>
      <c r="C101" s="319" t="str">
        <f t="shared" si="10"/>
        <v>FunstonGA</v>
      </c>
      <c r="D101" s="10">
        <f>VLOOKUP(A:A,PTS!C:R,6,FALSE)</f>
        <v>1</v>
      </c>
      <c r="E101" s="531" cm="1">
        <f t="array" ref="E101">AVERAGE(_xlfn._xlws.FILTER(PTS!I:I, (PTS!$C:$C=A101) * ISNUMBER(PTS!I:I)))</f>
        <v>80</v>
      </c>
      <c r="F101" s="10" cm="1">
        <f t="array" ref="F101">AVERAGE(_xlfn._xlws.FILTER(PTS!J:J, (PTS!$C:$C=A101) * ISNUMBER(PTS!J:J)))</f>
        <v>120</v>
      </c>
      <c r="G101" s="531" cm="1">
        <f t="array" ref="G101">AVERAGE(_xlfn._xlws.FILTER(PTS!K:K, (PTS!$C:$C=A101) * ISNUMBER(PTS!K:K)))</f>
        <v>0</v>
      </c>
      <c r="H101" s="531" cm="1">
        <f t="array" ref="H101">AVERAGE(_xlfn._xlws.FILTER(PTS!L:L, (PTS!$C:$C=A101) * ISNUMBER(PTS!L:L)))</f>
        <v>0</v>
      </c>
      <c r="I101" s="531" cm="1">
        <f t="array" ref="I101">AVERAGE(_xlfn._xlws.FILTER(PTS!M:M, (PTS!$C:$C=A101) * ISNUMBER(PTS!M:M)))</f>
        <v>20</v>
      </c>
      <c r="J101" s="531" cm="1">
        <f t="array" ref="J101">AVERAGE(_xlfn._xlws.FILTER(PTS!N:N, (PTS!$C:$C=A101) * ISNUMBER(PTS!N:N)))</f>
        <v>60</v>
      </c>
      <c r="K101" s="531" cm="1">
        <f t="array" ref="K101">AVERAGE(_xlfn._xlws.FILTER(PTS!O:O, (PTS!$C:$C=A101) * ISNUMBER(PTS!O:O)))</f>
        <v>37.916666666666671</v>
      </c>
      <c r="L101" s="10" cm="1">
        <f t="array" ref="L101">AVERAGE(_xlfn._xlws.FILTER(PTS!P:P, (PTS!$C:$C=A101) * ISNUMBER(PTS!P:P)))</f>
        <v>0</v>
      </c>
      <c r="M101" s="531">
        <f t="shared" si="11"/>
        <v>317.91666666666669</v>
      </c>
      <c r="N101" s="531">
        <f t="shared" si="12"/>
        <v>97.916666666666671</v>
      </c>
      <c r="O101" s="531" cm="1">
        <f t="array" ref="O101">AVERAGE(_xlfn._xlws.FILTER(PTS!S:S, (PTS!$C:$C=A101) * ISNUMBER(PTS!S:S)))</f>
        <v>0</v>
      </c>
      <c r="P101" s="531" cm="1">
        <f t="array" ref="P101">AVERAGE(_xlfn._xlws.FILTER(PTS!T:T, (PTS!$C:$C=A101) * ISNUMBER(PTS!T:T)))</f>
        <v>0</v>
      </c>
      <c r="Q101" s="531" cm="1">
        <f t="array" ref="Q101">AVERAGE(_xlfn._xlws.FILTER(PTS!U:U, (PTS!$C:$C=A101) * ISNUMBER(PTS!U:U)))</f>
        <v>232.77727272727273</v>
      </c>
      <c r="S101" s="531">
        <f t="shared" si="13"/>
        <v>232.77727272727273</v>
      </c>
      <c r="T101" s="531" cm="1">
        <f t="array" ref="T101">AVERAGE(_xlfn._xlws.FILTER(PTS!X:X, (PTS!$C:$C=A101) * ISNUMBER(PTS!X:X)))</f>
        <v>52</v>
      </c>
      <c r="U101" s="531" cm="1">
        <f t="array" ref="U101">AVERAGE(_xlfn._xlws.FILTER(PTS!Y:Y, (PTS!$C:$C=A101) * ISNUMBER(PTS!Y:Y)))</f>
        <v>50.4</v>
      </c>
      <c r="V101" s="531" cm="1">
        <f t="array" ref="V101">AVERAGE(_xlfn._xlws.FILTER(PTS!Z:Z, (PTS!$C:$C=A101) * ISNUMBER(PTS!Z:Z)))</f>
        <v>26.25</v>
      </c>
      <c r="X101" s="531">
        <f t="shared" si="14"/>
        <v>128.65</v>
      </c>
      <c r="Y101" s="531" cm="1">
        <f t="array" ref="Y101">AVERAGE(_xlfn._xlws.FILTER(PTS!AC:AC, (PTS!$C:$C=A101) * ISNUMBER(PTS!AC:AC)))</f>
        <v>110.22727272727273</v>
      </c>
      <c r="Z101" s="531" cm="1">
        <f t="array" ref="Z101">AVERAGE(_xlfn._xlws.FILTER(PTS!AD:AD, (PTS!$C:$C=A101) * ISNUMBER(PTS!AD:AD)))</f>
        <v>107.04545454545455</v>
      </c>
      <c r="AB101" s="531">
        <f t="shared" si="15"/>
        <v>217.27272727272728</v>
      </c>
      <c r="AC101" s="10" cm="1">
        <f t="array" ref="AC101">AVERAGE(_xlfn._xlws.FILTER(PTS!AG:AG, (PTS!$C:$C=A101) * ISNUMBER(PTS!AG:AG)))</f>
        <v>28.814300000000003</v>
      </c>
      <c r="AD101" s="531" cm="1">
        <f t="array" ref="AD101">AVERAGE(_xlfn._xlws.FILTER(PTS!AH:AH, (PTS!$C:$C=A101) * ISNUMBER(PTS!AH:AH)))</f>
        <v>6.973140495867769</v>
      </c>
      <c r="AE101" s="531" cm="1">
        <f t="array" ref="AE101">AVERAGE(_xlfn._xlws.FILTER(PTS!AI:AI, (PTS!$C:$C=A101) * ISNUMBER(PTS!AI:AI)))</f>
        <v>12.587317427197677</v>
      </c>
      <c r="AF101" s="531" cm="1">
        <f t="array" ref="AF101">AVERAGE(_xlfn._xlws.FILTER(PTS!AJ:AJ, (PTS!$C:$C=A101) * ISNUMBER(PTS!AJ:AJ)))</f>
        <v>6.7351999999999999</v>
      </c>
      <c r="AH101" s="531">
        <f t="shared" si="16"/>
        <v>55.109957923065444</v>
      </c>
      <c r="AI101" s="10" cm="1">
        <f t="array" ref="AI101">AVERAGE(_xlfn._xlws.FILTER(PTS!AM:AM, (PTS!$C:$C=A101) * ISNUMBER(PTS!AM:AM)))</f>
        <v>79.999999999999986</v>
      </c>
      <c r="AJ101" s="10" cm="1">
        <f t="array" ref="AJ101">AVERAGE(_xlfn._xlws.FILTER(PTS!AN:AN, (PTS!$C:$C=A101) * ISNUMBER(PTS!AN:AN)))</f>
        <v>26.17808219178082</v>
      </c>
      <c r="AK101" s="10" cm="1">
        <f t="array" ref="AK101">AVERAGE(_xlfn._xlws.FILTER(PTS!AO:AO, (PTS!$C:$C=A101) * ISNUMBER(PTS!AO:AO)))</f>
        <v>0</v>
      </c>
      <c r="AN101" s="10">
        <f t="shared" si="17"/>
        <v>106.1780821917808</v>
      </c>
      <c r="AR101" s="531">
        <f t="shared" si="18"/>
        <v>837.90470678151291</v>
      </c>
      <c r="AS101" s="531">
        <f t="shared" si="19"/>
        <v>1057.9047067815129</v>
      </c>
    </row>
    <row r="102" spans="1:45">
      <c r="A102" s="32" t="s">
        <v>377</v>
      </c>
      <c r="B102" s="319" t="s">
        <v>71</v>
      </c>
      <c r="C102" s="319" t="str">
        <f t="shared" si="10"/>
        <v>Garden City TX</v>
      </c>
      <c r="D102" s="10">
        <f>VLOOKUP(A:A,PTS!C:R,6,FALSE)</f>
        <v>2</v>
      </c>
      <c r="E102" s="531" cm="1">
        <f t="array" ref="E102">AVERAGE(_xlfn._xlws.FILTER(PTS!I:I, (PTS!$C:$C=A102) * ISNUMBER(PTS!I:I)))</f>
        <v>105</v>
      </c>
      <c r="F102" s="10" cm="1">
        <f t="array" ref="F102">AVERAGE(_xlfn._xlws.FILTER(PTS!J:J, (PTS!$C:$C=A102) * ISNUMBER(PTS!J:J)))</f>
        <v>125</v>
      </c>
      <c r="G102" s="531" cm="1">
        <f t="array" ref="G102">AVERAGE(_xlfn._xlws.FILTER(PTS!K:K, (PTS!$C:$C=A102) * ISNUMBER(PTS!K:K)))</f>
        <v>220</v>
      </c>
      <c r="H102" s="531" cm="1">
        <f t="array" ref="H102">AVERAGE(_xlfn._xlws.FILTER(PTS!L:L, (PTS!$C:$C=A102) * ISNUMBER(PTS!L:L)))</f>
        <v>0</v>
      </c>
      <c r="I102" s="531" cm="1">
        <f t="array" ref="I102">AVERAGE(_xlfn._xlws.FILTER(PTS!M:M, (PTS!$C:$C=A102) * ISNUMBER(PTS!M:M)))</f>
        <v>0</v>
      </c>
      <c r="J102" s="531" cm="1">
        <f t="array" ref="J102">AVERAGE(_xlfn._xlws.FILTER(PTS!N:N, (PTS!$C:$C=A102) * ISNUMBER(PTS!N:N)))</f>
        <v>53</v>
      </c>
      <c r="K102" s="531" cm="1">
        <f t="array" ref="K102">AVERAGE(_xlfn._xlws.FILTER(PTS!O:O, (PTS!$C:$C=A102) * ISNUMBER(PTS!O:O)))</f>
        <v>37.916666666666671</v>
      </c>
      <c r="L102" s="10" cm="1">
        <f t="array" ref="L102">AVERAGE(_xlfn._xlws.FILTER(PTS!P:P, (PTS!$C:$C=A102) * ISNUMBER(PTS!P:P)))</f>
        <v>0</v>
      </c>
      <c r="M102" s="531">
        <f t="shared" si="11"/>
        <v>540.91666666666663</v>
      </c>
      <c r="N102" s="531">
        <f t="shared" si="12"/>
        <v>310.91666666666669</v>
      </c>
      <c r="O102" s="531" cm="1">
        <f t="array" ref="O102">AVERAGE(_xlfn._xlws.FILTER(PTS!S:S, (PTS!$C:$C=A102) * ISNUMBER(PTS!S:S)))</f>
        <v>0</v>
      </c>
      <c r="P102" s="531" cm="1">
        <f t="array" ref="P102">AVERAGE(_xlfn._xlws.FILTER(PTS!T:T, (PTS!$C:$C=A102) * ISNUMBER(PTS!T:T)))</f>
        <v>0</v>
      </c>
      <c r="Q102" s="531" cm="1">
        <f t="array" ref="Q102">AVERAGE(_xlfn._xlws.FILTER(PTS!U:U, (PTS!$C:$C=A102) * ISNUMBER(PTS!U:U)))</f>
        <v>223.57954545454544</v>
      </c>
      <c r="S102" s="531">
        <f t="shared" si="13"/>
        <v>223.57954545454544</v>
      </c>
      <c r="T102" s="531" cm="1">
        <f t="array" ref="T102">AVERAGE(_xlfn._xlws.FILTER(PTS!X:X, (PTS!$C:$C=A102) * ISNUMBER(PTS!X:X)))</f>
        <v>54</v>
      </c>
      <c r="U102" s="531" cm="1">
        <f t="array" ref="U102">AVERAGE(_xlfn._xlws.FILTER(PTS!Y:Y, (PTS!$C:$C=A102) * ISNUMBER(PTS!Y:Y)))</f>
        <v>50.4</v>
      </c>
      <c r="V102" s="531" cm="1">
        <f t="array" ref="V102">AVERAGE(_xlfn._xlws.FILTER(PTS!Z:Z, (PTS!$C:$C=A102) * ISNUMBER(PTS!Z:Z)))</f>
        <v>26.25</v>
      </c>
      <c r="X102" s="531">
        <f t="shared" si="14"/>
        <v>130.65</v>
      </c>
      <c r="Y102" s="531" cm="1">
        <f t="array" ref="Y102">AVERAGE(_xlfn._xlws.FILTER(PTS!AC:AC, (PTS!$C:$C=A102) * ISNUMBER(PTS!AC:AC)))</f>
        <v>147.72727272727272</v>
      </c>
      <c r="Z102" s="531" cm="1">
        <f t="array" ref="Z102">AVERAGE(_xlfn._xlws.FILTER(PTS!AD:AD, (PTS!$C:$C=A102) * ISNUMBER(PTS!AD:AD)))</f>
        <v>233.06818181818181</v>
      </c>
      <c r="AB102" s="531">
        <f t="shared" si="15"/>
        <v>380.7954545454545</v>
      </c>
      <c r="AC102" s="10" cm="1">
        <f t="array" ref="AC102">AVERAGE(_xlfn._xlws.FILTER(PTS!AG:AG, (PTS!$C:$C=A102) * ISNUMBER(PTS!AG:AG)))</f>
        <v>28.814300000000003</v>
      </c>
      <c r="AD102" s="531" cm="1">
        <f t="array" ref="AD102">AVERAGE(_xlfn._xlws.FILTER(PTS!AH:AH, (PTS!$C:$C=A102) * ISNUMBER(PTS!AH:AH)))</f>
        <v>6.973140495867769</v>
      </c>
      <c r="AE102" s="531" cm="1">
        <f t="array" ref="AE102">AVERAGE(_xlfn._xlws.FILTER(PTS!AI:AI, (PTS!$C:$C=A102) * ISNUMBER(PTS!AI:AI)))</f>
        <v>12.587317427197677</v>
      </c>
      <c r="AF102" s="531" cm="1">
        <f t="array" ref="AF102">AVERAGE(_xlfn._xlws.FILTER(PTS!AJ:AJ, (PTS!$C:$C=A102) * ISNUMBER(PTS!AJ:AJ)))</f>
        <v>6.7351999999999999</v>
      </c>
      <c r="AH102" s="531">
        <f t="shared" si="16"/>
        <v>55.109957923065444</v>
      </c>
      <c r="AI102" s="10" cm="1">
        <f t="array" ref="AI102">AVERAGE(_xlfn._xlws.FILTER(PTS!AM:AM, (PTS!$C:$C=A102) * ISNUMBER(PTS!AM:AM)))</f>
        <v>79.999999999999986</v>
      </c>
      <c r="AJ102" s="10" cm="1">
        <f t="array" ref="AJ102">AVERAGE(_xlfn._xlws.FILTER(PTS!AN:AN, (PTS!$C:$C=A102) * ISNUMBER(PTS!AN:AN)))</f>
        <v>26.17808219178082</v>
      </c>
      <c r="AK102" s="10" cm="1">
        <f t="array" ref="AK102">AVERAGE(_xlfn._xlws.FILTER(PTS!AO:AO, (PTS!$C:$C=A102) * ISNUMBER(PTS!AO:AO)))</f>
        <v>0</v>
      </c>
      <c r="AN102" s="10">
        <f t="shared" si="17"/>
        <v>106.1780821917808</v>
      </c>
      <c r="AR102" s="531">
        <f t="shared" si="18"/>
        <v>1207.2297067815127</v>
      </c>
      <c r="AS102" s="531">
        <f t="shared" si="19"/>
        <v>1437.2297067815127</v>
      </c>
    </row>
    <row r="103" spans="1:45">
      <c r="A103" s="32" t="s">
        <v>380</v>
      </c>
      <c r="B103" s="319" t="s">
        <v>136</v>
      </c>
      <c r="C103" s="319" t="str">
        <f t="shared" si="10"/>
        <v>GarysburgNC</v>
      </c>
      <c r="D103" s="10">
        <f>VLOOKUP(A:A,PTS!C:R,6,FALSE)</f>
        <v>1</v>
      </c>
      <c r="E103" s="531" cm="1">
        <f t="array" ref="E103">AVERAGE(_xlfn._xlws.FILTER(PTS!I:I, (PTS!$C:$C=A103) * ISNUMBER(PTS!I:I)))</f>
        <v>80</v>
      </c>
      <c r="F103" s="10" cm="1">
        <f t="array" ref="F103">AVERAGE(_xlfn._xlws.FILTER(PTS!J:J, (PTS!$C:$C=A103) * ISNUMBER(PTS!J:J)))</f>
        <v>100</v>
      </c>
      <c r="G103" s="531" cm="1">
        <f t="array" ref="G103">AVERAGE(_xlfn._xlws.FILTER(PTS!K:K, (PTS!$C:$C=A103) * ISNUMBER(PTS!K:K)))</f>
        <v>0</v>
      </c>
      <c r="H103" s="531" cm="1">
        <f t="array" ref="H103">AVERAGE(_xlfn._xlws.FILTER(PTS!L:L, (PTS!$C:$C=A103) * ISNUMBER(PTS!L:L)))</f>
        <v>0</v>
      </c>
      <c r="I103" s="531" cm="1">
        <f t="array" ref="I103">AVERAGE(_xlfn._xlws.FILTER(PTS!M:M, (PTS!$C:$C=A103) * ISNUMBER(PTS!M:M)))</f>
        <v>20</v>
      </c>
      <c r="J103" s="531" cm="1">
        <f t="array" ref="J103">AVERAGE(_xlfn._xlws.FILTER(PTS!N:N, (PTS!$C:$C=A103) * ISNUMBER(PTS!N:N)))</f>
        <v>40</v>
      </c>
      <c r="K103" s="531" cm="1">
        <f t="array" ref="K103">AVERAGE(_xlfn._xlws.FILTER(PTS!O:O, (PTS!$C:$C=A103) * ISNUMBER(PTS!O:O)))</f>
        <v>37.916666666666671</v>
      </c>
      <c r="L103" s="10" cm="1">
        <f t="array" ref="L103">AVERAGE(_xlfn._xlws.FILTER(PTS!P:P, (PTS!$C:$C=A103) * ISNUMBER(PTS!P:P)))</f>
        <v>0</v>
      </c>
      <c r="M103" s="531">
        <f t="shared" si="11"/>
        <v>277.91666666666669</v>
      </c>
      <c r="N103" s="531">
        <f t="shared" si="12"/>
        <v>77.916666666666671</v>
      </c>
      <c r="O103" s="531" cm="1">
        <f t="array" ref="O103">AVERAGE(_xlfn._xlws.FILTER(PTS!S:S, (PTS!$C:$C=A103) * ISNUMBER(PTS!S:S)))</f>
        <v>0</v>
      </c>
      <c r="P103" s="531" cm="1">
        <f t="array" ref="P103">AVERAGE(_xlfn._xlws.FILTER(PTS!T:T, (PTS!$C:$C=A103) * ISNUMBER(PTS!T:T)))</f>
        <v>0</v>
      </c>
      <c r="Q103" s="531" cm="1">
        <f t="array" ref="Q103">AVERAGE(_xlfn._xlws.FILTER(PTS!U:U, (PTS!$C:$C=A103) * ISNUMBER(PTS!U:U)))</f>
        <v>295.41590909090905</v>
      </c>
      <c r="S103" s="531">
        <f t="shared" si="13"/>
        <v>295.41590909090905</v>
      </c>
      <c r="T103" s="531" cm="1">
        <f t="array" ref="T103">AVERAGE(_xlfn._xlws.FILTER(PTS!X:X, (PTS!$C:$C=A103) * ISNUMBER(PTS!X:X)))</f>
        <v>52</v>
      </c>
      <c r="U103" s="531" cm="1">
        <f t="array" ref="U103">AVERAGE(_xlfn._xlws.FILTER(PTS!Y:Y, (PTS!$C:$C=A103) * ISNUMBER(PTS!Y:Y)))</f>
        <v>50.4</v>
      </c>
      <c r="V103" s="531" cm="1">
        <f t="array" ref="V103">AVERAGE(_xlfn._xlws.FILTER(PTS!Z:Z, (PTS!$C:$C=A103) * ISNUMBER(PTS!Z:Z)))</f>
        <v>26.25</v>
      </c>
      <c r="X103" s="531">
        <f t="shared" si="14"/>
        <v>128.65</v>
      </c>
      <c r="Y103" s="531" cm="1">
        <f t="array" ref="Y103">AVERAGE(_xlfn._xlws.FILTER(PTS!AC:AC, (PTS!$C:$C=A103) * ISNUMBER(PTS!AC:AC)))</f>
        <v>110.22727272727273</v>
      </c>
      <c r="Z103" s="531" cm="1">
        <f t="array" ref="Z103">AVERAGE(_xlfn._xlws.FILTER(PTS!AD:AD, (PTS!$C:$C=A103) * ISNUMBER(PTS!AD:AD)))</f>
        <v>107.04545454545455</v>
      </c>
      <c r="AB103" s="531">
        <f t="shared" si="15"/>
        <v>217.27272727272728</v>
      </c>
      <c r="AC103" s="10" cm="1">
        <f t="array" ref="AC103">AVERAGE(_xlfn._xlws.FILTER(PTS!AG:AG, (PTS!$C:$C=A103) * ISNUMBER(PTS!AG:AG)))</f>
        <v>28.814300000000003</v>
      </c>
      <c r="AD103" s="531" cm="1">
        <f t="array" ref="AD103">AVERAGE(_xlfn._xlws.FILTER(PTS!AH:AH, (PTS!$C:$C=A103) * ISNUMBER(PTS!AH:AH)))</f>
        <v>6.973140495867769</v>
      </c>
      <c r="AE103" s="531" cm="1">
        <f t="array" ref="AE103">AVERAGE(_xlfn._xlws.FILTER(PTS!AI:AI, (PTS!$C:$C=A103) * ISNUMBER(PTS!AI:AI)))</f>
        <v>12.587317427197677</v>
      </c>
      <c r="AF103" s="531" cm="1">
        <f t="array" ref="AF103">AVERAGE(_xlfn._xlws.FILTER(PTS!AJ:AJ, (PTS!$C:$C=A103) * ISNUMBER(PTS!AJ:AJ)))</f>
        <v>6.7351999999999999</v>
      </c>
      <c r="AH103" s="531">
        <f t="shared" si="16"/>
        <v>55.109957923065444</v>
      </c>
      <c r="AI103" s="10" cm="1">
        <f t="array" ref="AI103">AVERAGE(_xlfn._xlws.FILTER(PTS!AM:AM, (PTS!$C:$C=A103) * ISNUMBER(PTS!AM:AM)))</f>
        <v>79.999999999999986</v>
      </c>
      <c r="AJ103" s="10" cm="1">
        <f t="array" ref="AJ103">AVERAGE(_xlfn._xlws.FILTER(PTS!AN:AN, (PTS!$C:$C=A103) * ISNUMBER(PTS!AN:AN)))</f>
        <v>26.17808219178082</v>
      </c>
      <c r="AK103" s="10" cm="1">
        <f t="array" ref="AK103">AVERAGE(_xlfn._xlws.FILTER(PTS!AO:AO, (PTS!$C:$C=A103) * ISNUMBER(PTS!AO:AO)))</f>
        <v>0</v>
      </c>
      <c r="AN103" s="10">
        <f t="shared" si="17"/>
        <v>106.1780821917808</v>
      </c>
      <c r="AR103" s="531">
        <f t="shared" si="18"/>
        <v>880.54334314514927</v>
      </c>
      <c r="AS103" s="531">
        <f t="shared" si="19"/>
        <v>1080.5433431451493</v>
      </c>
    </row>
    <row r="104" spans="1:45">
      <c r="A104" s="32" t="s">
        <v>383</v>
      </c>
      <c r="B104" s="319" t="s">
        <v>136</v>
      </c>
      <c r="C104" s="319" t="str">
        <f t="shared" si="10"/>
        <v>GastoniaNC</v>
      </c>
      <c r="D104" s="10">
        <f>VLOOKUP(A:A,PTS!C:R,6,FALSE)</f>
        <v>1</v>
      </c>
      <c r="E104" s="531" cm="1">
        <f t="array" ref="E104">AVERAGE(_xlfn._xlws.FILTER(PTS!I:I, (PTS!$C:$C=A104) * ISNUMBER(PTS!I:I)))</f>
        <v>51</v>
      </c>
      <c r="F104" s="10" cm="1">
        <f t="array" ref="F104">AVERAGE(_xlfn._xlws.FILTER(PTS!J:J, (PTS!$C:$C=A104) * ISNUMBER(PTS!J:J)))</f>
        <v>60</v>
      </c>
      <c r="G104" s="531" cm="1">
        <f t="array" ref="G104">AVERAGE(_xlfn._xlws.FILTER(PTS!K:K, (PTS!$C:$C=A104) * ISNUMBER(PTS!K:K)))</f>
        <v>0</v>
      </c>
      <c r="H104" s="531" cm="1">
        <f t="array" ref="H104">AVERAGE(_xlfn._xlws.FILTER(PTS!L:L, (PTS!$C:$C=A104) * ISNUMBER(PTS!L:L)))</f>
        <v>0</v>
      </c>
      <c r="I104" s="531" cm="1">
        <f t="array" ref="I104">AVERAGE(_xlfn._xlws.FILTER(PTS!M:M, (PTS!$C:$C=A104) * ISNUMBER(PTS!M:M)))</f>
        <v>10</v>
      </c>
      <c r="J104" s="531" cm="1">
        <f t="array" ref="J104">AVERAGE(_xlfn._xlws.FILTER(PTS!N:N, (PTS!$C:$C=A104) * ISNUMBER(PTS!N:N)))</f>
        <v>37</v>
      </c>
      <c r="K104" s="531" cm="1">
        <f t="array" ref="K104">AVERAGE(_xlfn._xlws.FILTER(PTS!O:O, (PTS!$C:$C=A104) * ISNUMBER(PTS!O:O)))</f>
        <v>37.916666666666671</v>
      </c>
      <c r="L104" s="10" cm="1">
        <f t="array" ref="L104">AVERAGE(_xlfn._xlws.FILTER(PTS!P:P, (PTS!$C:$C=A104) * ISNUMBER(PTS!P:P)))</f>
        <v>0</v>
      </c>
      <c r="M104" s="531">
        <f t="shared" si="11"/>
        <v>195.91666666666669</v>
      </c>
      <c r="N104" s="531">
        <f t="shared" si="12"/>
        <v>74.916666666666671</v>
      </c>
      <c r="O104" s="531" cm="1">
        <f t="array" ref="O104">AVERAGE(_xlfn._xlws.FILTER(PTS!S:S, (PTS!$C:$C=A104) * ISNUMBER(PTS!S:S)))</f>
        <v>0</v>
      </c>
      <c r="P104" s="531" cm="1">
        <f t="array" ref="P104">AVERAGE(_xlfn._xlws.FILTER(PTS!T:T, (PTS!$C:$C=A104) * ISNUMBER(PTS!T:T)))</f>
        <v>0</v>
      </c>
      <c r="Q104" s="531" cm="1">
        <f t="array" ref="Q104">AVERAGE(_xlfn._xlws.FILTER(PTS!U:U, (PTS!$C:$C=A104) * ISNUMBER(PTS!U:U)))</f>
        <v>217.02727272727273</v>
      </c>
      <c r="S104" s="531">
        <f t="shared" si="13"/>
        <v>217.02727272727273</v>
      </c>
      <c r="T104" s="531" cm="1">
        <f t="array" ref="T104">AVERAGE(_xlfn._xlws.FILTER(PTS!X:X, (PTS!$C:$C=A104) * ISNUMBER(PTS!X:X)))</f>
        <v>52</v>
      </c>
      <c r="U104" s="531" cm="1">
        <f t="array" ref="U104">AVERAGE(_xlfn._xlws.FILTER(PTS!Y:Y, (PTS!$C:$C=A104) * ISNUMBER(PTS!Y:Y)))</f>
        <v>50.4</v>
      </c>
      <c r="V104" s="531" cm="1">
        <f t="array" ref="V104">AVERAGE(_xlfn._xlws.FILTER(PTS!Z:Z, (PTS!$C:$C=A104) * ISNUMBER(PTS!Z:Z)))</f>
        <v>26.25</v>
      </c>
      <c r="X104" s="531">
        <f t="shared" si="14"/>
        <v>128.65</v>
      </c>
      <c r="Y104" s="531" cm="1">
        <f t="array" ref="Y104">AVERAGE(_xlfn._xlws.FILTER(PTS!AC:AC, (PTS!$C:$C=A104) * ISNUMBER(PTS!AC:AC)))</f>
        <v>110.22727272727273</v>
      </c>
      <c r="Z104" s="531" cm="1">
        <f t="array" ref="Z104">AVERAGE(_xlfn._xlws.FILTER(PTS!AD:AD, (PTS!$C:$C=A104) * ISNUMBER(PTS!AD:AD)))</f>
        <v>107.04545454545455</v>
      </c>
      <c r="AB104" s="531">
        <f t="shared" si="15"/>
        <v>217.27272727272728</v>
      </c>
      <c r="AC104" s="10" cm="1">
        <f t="array" ref="AC104">AVERAGE(_xlfn._xlws.FILTER(PTS!AG:AG, (PTS!$C:$C=A104) * ISNUMBER(PTS!AG:AG)))</f>
        <v>28.814300000000003</v>
      </c>
      <c r="AD104" s="531" cm="1">
        <f t="array" ref="AD104">AVERAGE(_xlfn._xlws.FILTER(PTS!AH:AH, (PTS!$C:$C=A104) * ISNUMBER(PTS!AH:AH)))</f>
        <v>6.973140495867769</v>
      </c>
      <c r="AE104" s="531" cm="1">
        <f t="array" ref="AE104">AVERAGE(_xlfn._xlws.FILTER(PTS!AI:AI, (PTS!$C:$C=A104) * ISNUMBER(PTS!AI:AI)))</f>
        <v>12.587317427197677</v>
      </c>
      <c r="AF104" s="531" cm="1">
        <f t="array" ref="AF104">AVERAGE(_xlfn._xlws.FILTER(PTS!AJ:AJ, (PTS!$C:$C=A104) * ISNUMBER(PTS!AJ:AJ)))</f>
        <v>6.7351999999999999</v>
      </c>
      <c r="AH104" s="531">
        <f t="shared" si="16"/>
        <v>55.109957923065444</v>
      </c>
      <c r="AI104" s="10" cm="1">
        <f t="array" ref="AI104">AVERAGE(_xlfn._xlws.FILTER(PTS!AM:AM, (PTS!$C:$C=A104) * ISNUMBER(PTS!AM:AM)))</f>
        <v>79.999999999999986</v>
      </c>
      <c r="AJ104" s="10" cm="1">
        <f t="array" ref="AJ104">AVERAGE(_xlfn._xlws.FILTER(PTS!AN:AN, (PTS!$C:$C=A104) * ISNUMBER(PTS!AN:AN)))</f>
        <v>26.17808219178082</v>
      </c>
      <c r="AK104" s="10" cm="1">
        <f t="array" ref="AK104">AVERAGE(_xlfn._xlws.FILTER(PTS!AO:AO, (PTS!$C:$C=A104) * ISNUMBER(PTS!AO:AO)))</f>
        <v>0</v>
      </c>
      <c r="AN104" s="10">
        <f t="shared" si="17"/>
        <v>106.1780821917808</v>
      </c>
      <c r="AR104" s="531">
        <f t="shared" si="18"/>
        <v>799.15470678151291</v>
      </c>
      <c r="AS104" s="531">
        <f t="shared" si="19"/>
        <v>920.15470678151291</v>
      </c>
    </row>
    <row r="105" spans="1:45">
      <c r="A105" s="32" t="s">
        <v>386</v>
      </c>
      <c r="B105" s="319" t="s">
        <v>136</v>
      </c>
      <c r="C105" s="319" t="str">
        <f t="shared" si="10"/>
        <v>GatesNC</v>
      </c>
      <c r="D105" s="10">
        <f>VLOOKUP(A:A,PTS!C:R,6,FALSE)</f>
        <v>1</v>
      </c>
      <c r="E105" s="531" cm="1">
        <f t="array" ref="E105">AVERAGE(_xlfn._xlws.FILTER(PTS!I:I, (PTS!$C:$C=A105) * ISNUMBER(PTS!I:I)))</f>
        <v>40</v>
      </c>
      <c r="F105" s="10" cm="1">
        <f t="array" ref="F105">AVERAGE(_xlfn._xlws.FILTER(PTS!J:J, (PTS!$C:$C=A105) * ISNUMBER(PTS!J:J)))</f>
        <v>80</v>
      </c>
      <c r="G105" s="531" cm="1">
        <f t="array" ref="G105">AVERAGE(_xlfn._xlws.FILTER(PTS!K:K, (PTS!$C:$C=A105) * ISNUMBER(PTS!K:K)))</f>
        <v>0</v>
      </c>
      <c r="H105" s="531" cm="1">
        <f t="array" ref="H105">AVERAGE(_xlfn._xlws.FILTER(PTS!L:L, (PTS!$C:$C=A105) * ISNUMBER(PTS!L:L)))</f>
        <v>0</v>
      </c>
      <c r="I105" s="531" cm="1">
        <f t="array" ref="I105">AVERAGE(_xlfn._xlws.FILTER(PTS!M:M, (PTS!$C:$C=A105) * ISNUMBER(PTS!M:M)))</f>
        <v>5</v>
      </c>
      <c r="J105" s="531" cm="1">
        <f t="array" ref="J105">AVERAGE(_xlfn._xlws.FILTER(PTS!N:N, (PTS!$C:$C=A105) * ISNUMBER(PTS!N:N)))</f>
        <v>34</v>
      </c>
      <c r="K105" s="531" cm="1">
        <f t="array" ref="K105">AVERAGE(_xlfn._xlws.FILTER(PTS!O:O, (PTS!$C:$C=A105) * ISNUMBER(PTS!O:O)))</f>
        <v>37.916666666666671</v>
      </c>
      <c r="L105" s="10" cm="1">
        <f t="array" ref="L105">AVERAGE(_xlfn._xlws.FILTER(PTS!P:P, (PTS!$C:$C=A105) * ISNUMBER(PTS!P:P)))</f>
        <v>0</v>
      </c>
      <c r="M105" s="531">
        <f t="shared" si="11"/>
        <v>196.91666666666669</v>
      </c>
      <c r="N105" s="531">
        <f t="shared" si="12"/>
        <v>71.916666666666671</v>
      </c>
      <c r="O105" s="531" cm="1">
        <f t="array" ref="O105">AVERAGE(_xlfn._xlws.FILTER(PTS!S:S, (PTS!$C:$C=A105) * ISNUMBER(PTS!S:S)))</f>
        <v>0</v>
      </c>
      <c r="P105" s="531" cm="1">
        <f t="array" ref="P105">AVERAGE(_xlfn._xlws.FILTER(PTS!T:T, (PTS!$C:$C=A105) * ISNUMBER(PTS!T:T)))</f>
        <v>0</v>
      </c>
      <c r="Q105" s="531" cm="1">
        <f t="array" ref="Q105">AVERAGE(_xlfn._xlws.FILTER(PTS!U:U, (PTS!$C:$C=A105) * ISNUMBER(PTS!U:U)))</f>
        <v>301.45681818181822</v>
      </c>
      <c r="S105" s="531">
        <f t="shared" si="13"/>
        <v>301.45681818181822</v>
      </c>
      <c r="T105" s="531" cm="1">
        <f t="array" ref="T105">AVERAGE(_xlfn._xlws.FILTER(PTS!X:X, (PTS!$C:$C=A105) * ISNUMBER(PTS!X:X)))</f>
        <v>52</v>
      </c>
      <c r="U105" s="531" cm="1">
        <f t="array" ref="U105">AVERAGE(_xlfn._xlws.FILTER(PTS!Y:Y, (PTS!$C:$C=A105) * ISNUMBER(PTS!Y:Y)))</f>
        <v>50.4</v>
      </c>
      <c r="V105" s="531" cm="1">
        <f t="array" ref="V105">AVERAGE(_xlfn._xlws.FILTER(PTS!Z:Z, (PTS!$C:$C=A105) * ISNUMBER(PTS!Z:Z)))</f>
        <v>26.25</v>
      </c>
      <c r="X105" s="531">
        <f t="shared" si="14"/>
        <v>128.65</v>
      </c>
      <c r="Y105" s="531" cm="1">
        <f t="array" ref="Y105">AVERAGE(_xlfn._xlws.FILTER(PTS!AC:AC, (PTS!$C:$C=A105) * ISNUMBER(PTS!AC:AC)))</f>
        <v>110.22727272727273</v>
      </c>
      <c r="Z105" s="531" cm="1">
        <f t="array" ref="Z105">AVERAGE(_xlfn._xlws.FILTER(PTS!AD:AD, (PTS!$C:$C=A105) * ISNUMBER(PTS!AD:AD)))</f>
        <v>107.04545454545455</v>
      </c>
      <c r="AB105" s="531">
        <f t="shared" si="15"/>
        <v>217.27272727272728</v>
      </c>
      <c r="AC105" s="10" cm="1">
        <f t="array" ref="AC105">AVERAGE(_xlfn._xlws.FILTER(PTS!AG:AG, (PTS!$C:$C=A105) * ISNUMBER(PTS!AG:AG)))</f>
        <v>28.814300000000003</v>
      </c>
      <c r="AD105" s="531" cm="1">
        <f t="array" ref="AD105">AVERAGE(_xlfn._xlws.FILTER(PTS!AH:AH, (PTS!$C:$C=A105) * ISNUMBER(PTS!AH:AH)))</f>
        <v>6.973140495867769</v>
      </c>
      <c r="AE105" s="531" cm="1">
        <f t="array" ref="AE105">AVERAGE(_xlfn._xlws.FILTER(PTS!AI:AI, (PTS!$C:$C=A105) * ISNUMBER(PTS!AI:AI)))</f>
        <v>12.587317427197677</v>
      </c>
      <c r="AF105" s="531" cm="1">
        <f t="array" ref="AF105">AVERAGE(_xlfn._xlws.FILTER(PTS!AJ:AJ, (PTS!$C:$C=A105) * ISNUMBER(PTS!AJ:AJ)))</f>
        <v>6.7351999999999999</v>
      </c>
      <c r="AH105" s="531">
        <f t="shared" si="16"/>
        <v>55.109957923065444</v>
      </c>
      <c r="AI105" s="10" cm="1">
        <f t="array" ref="AI105">AVERAGE(_xlfn._xlws.FILTER(PTS!AM:AM, (PTS!$C:$C=A105) * ISNUMBER(PTS!AM:AM)))</f>
        <v>79.999999999999986</v>
      </c>
      <c r="AJ105" s="10" cm="1">
        <f t="array" ref="AJ105">AVERAGE(_xlfn._xlws.FILTER(PTS!AN:AN, (PTS!$C:$C=A105) * ISNUMBER(PTS!AN:AN)))</f>
        <v>26.17808219178082</v>
      </c>
      <c r="AK105" s="10" cm="1">
        <f t="array" ref="AK105">AVERAGE(_xlfn._xlws.FILTER(PTS!AO:AO, (PTS!$C:$C=A105) * ISNUMBER(PTS!AO:AO)))</f>
        <v>0</v>
      </c>
      <c r="AN105" s="10">
        <f t="shared" si="17"/>
        <v>106.1780821917808</v>
      </c>
      <c r="AR105" s="531">
        <f t="shared" si="18"/>
        <v>880.58425223605843</v>
      </c>
      <c r="AS105" s="531">
        <f t="shared" si="19"/>
        <v>1005.5842522360584</v>
      </c>
    </row>
    <row r="106" spans="1:45">
      <c r="A106" s="32" t="s">
        <v>389</v>
      </c>
      <c r="B106" s="319" t="s">
        <v>136</v>
      </c>
      <c r="C106" s="319" t="str">
        <f t="shared" si="10"/>
        <v>GatesvilleNC</v>
      </c>
      <c r="D106" s="10">
        <f>VLOOKUP(A:A,PTS!C:R,6,FALSE)</f>
        <v>1</v>
      </c>
      <c r="E106" s="531" cm="1">
        <f t="array" ref="E106">AVERAGE(_xlfn._xlws.FILTER(PTS!I:I, (PTS!$C:$C=A106) * ISNUMBER(PTS!I:I)))</f>
        <v>40</v>
      </c>
      <c r="F106" s="10" cm="1">
        <f t="array" ref="F106">AVERAGE(_xlfn._xlws.FILTER(PTS!J:J, (PTS!$C:$C=A106) * ISNUMBER(PTS!J:J)))</f>
        <v>80</v>
      </c>
      <c r="G106" s="531" cm="1">
        <f t="array" ref="G106">AVERAGE(_xlfn._xlws.FILTER(PTS!K:K, (PTS!$C:$C=A106) * ISNUMBER(PTS!K:K)))</f>
        <v>0</v>
      </c>
      <c r="H106" s="531" cm="1">
        <f t="array" ref="H106">AVERAGE(_xlfn._xlws.FILTER(PTS!L:L, (PTS!$C:$C=A106) * ISNUMBER(PTS!L:L)))</f>
        <v>0</v>
      </c>
      <c r="I106" s="531" cm="1">
        <f t="array" ref="I106">AVERAGE(_xlfn._xlws.FILTER(PTS!M:M, (PTS!$C:$C=A106) * ISNUMBER(PTS!M:M)))</f>
        <v>15</v>
      </c>
      <c r="J106" s="531" cm="1">
        <f t="array" ref="J106">AVERAGE(_xlfn._xlws.FILTER(PTS!N:N, (PTS!$C:$C=A106) * ISNUMBER(PTS!N:N)))</f>
        <v>34</v>
      </c>
      <c r="K106" s="531" cm="1">
        <f t="array" ref="K106">AVERAGE(_xlfn._xlws.FILTER(PTS!O:O, (PTS!$C:$C=A106) * ISNUMBER(PTS!O:O)))</f>
        <v>37.916666666666671</v>
      </c>
      <c r="L106" s="10" cm="1">
        <f t="array" ref="L106">AVERAGE(_xlfn._xlws.FILTER(PTS!P:P, (PTS!$C:$C=A106) * ISNUMBER(PTS!P:P)))</f>
        <v>0</v>
      </c>
      <c r="M106" s="531">
        <f t="shared" si="11"/>
        <v>206.91666666666669</v>
      </c>
      <c r="N106" s="531">
        <f t="shared" si="12"/>
        <v>71.916666666666671</v>
      </c>
      <c r="O106" s="531" cm="1">
        <f t="array" ref="O106">AVERAGE(_xlfn._xlws.FILTER(PTS!S:S, (PTS!$C:$C=A106) * ISNUMBER(PTS!S:S)))</f>
        <v>0</v>
      </c>
      <c r="P106" s="531" cm="1">
        <f t="array" ref="P106">AVERAGE(_xlfn._xlws.FILTER(PTS!T:T, (PTS!$C:$C=A106) * ISNUMBER(PTS!T:T)))</f>
        <v>0</v>
      </c>
      <c r="Q106" s="531" cm="1">
        <f t="array" ref="Q106">AVERAGE(_xlfn._xlws.FILTER(PTS!U:U, (PTS!$C:$C=A106) * ISNUMBER(PTS!U:U)))</f>
        <v>301.45681818181822</v>
      </c>
      <c r="S106" s="531">
        <f t="shared" si="13"/>
        <v>301.45681818181822</v>
      </c>
      <c r="T106" s="531" cm="1">
        <f t="array" ref="T106">AVERAGE(_xlfn._xlws.FILTER(PTS!X:X, (PTS!$C:$C=A106) * ISNUMBER(PTS!X:X)))</f>
        <v>52</v>
      </c>
      <c r="U106" s="531" cm="1">
        <f t="array" ref="U106">AVERAGE(_xlfn._xlws.FILTER(PTS!Y:Y, (PTS!$C:$C=A106) * ISNUMBER(PTS!Y:Y)))</f>
        <v>50.4</v>
      </c>
      <c r="V106" s="531" cm="1">
        <f t="array" ref="V106">AVERAGE(_xlfn._xlws.FILTER(PTS!Z:Z, (PTS!$C:$C=A106) * ISNUMBER(PTS!Z:Z)))</f>
        <v>26.25</v>
      </c>
      <c r="X106" s="531">
        <f t="shared" si="14"/>
        <v>128.65</v>
      </c>
      <c r="Y106" s="531" cm="1">
        <f t="array" ref="Y106">AVERAGE(_xlfn._xlws.FILTER(PTS!AC:AC, (PTS!$C:$C=A106) * ISNUMBER(PTS!AC:AC)))</f>
        <v>110.22727272727273</v>
      </c>
      <c r="Z106" s="531" cm="1">
        <f t="array" ref="Z106">AVERAGE(_xlfn._xlws.FILTER(PTS!AD:AD, (PTS!$C:$C=A106) * ISNUMBER(PTS!AD:AD)))</f>
        <v>107.04545454545455</v>
      </c>
      <c r="AB106" s="531">
        <f t="shared" si="15"/>
        <v>217.27272727272728</v>
      </c>
      <c r="AC106" s="10" cm="1">
        <f t="array" ref="AC106">AVERAGE(_xlfn._xlws.FILTER(PTS!AG:AG, (PTS!$C:$C=A106) * ISNUMBER(PTS!AG:AG)))</f>
        <v>28.814300000000003</v>
      </c>
      <c r="AD106" s="531" cm="1">
        <f t="array" ref="AD106">AVERAGE(_xlfn._xlws.FILTER(PTS!AH:AH, (PTS!$C:$C=A106) * ISNUMBER(PTS!AH:AH)))</f>
        <v>6.973140495867769</v>
      </c>
      <c r="AE106" s="531" cm="1">
        <f t="array" ref="AE106">AVERAGE(_xlfn._xlws.FILTER(PTS!AI:AI, (PTS!$C:$C=A106) * ISNUMBER(PTS!AI:AI)))</f>
        <v>12.587317427197677</v>
      </c>
      <c r="AF106" s="531" cm="1">
        <f t="array" ref="AF106">AVERAGE(_xlfn._xlws.FILTER(PTS!AJ:AJ, (PTS!$C:$C=A106) * ISNUMBER(PTS!AJ:AJ)))</f>
        <v>6.7351999999999999</v>
      </c>
      <c r="AH106" s="531">
        <f t="shared" si="16"/>
        <v>55.109957923065444</v>
      </c>
      <c r="AI106" s="10" cm="1">
        <f t="array" ref="AI106">AVERAGE(_xlfn._xlws.FILTER(PTS!AM:AM, (PTS!$C:$C=A106) * ISNUMBER(PTS!AM:AM)))</f>
        <v>79.999999999999986</v>
      </c>
      <c r="AJ106" s="10" cm="1">
        <f t="array" ref="AJ106">AVERAGE(_xlfn._xlws.FILTER(PTS!AN:AN, (PTS!$C:$C=A106) * ISNUMBER(PTS!AN:AN)))</f>
        <v>26.17808219178082</v>
      </c>
      <c r="AK106" s="10" cm="1">
        <f t="array" ref="AK106">AVERAGE(_xlfn._xlws.FILTER(PTS!AO:AO, (PTS!$C:$C=A106) * ISNUMBER(PTS!AO:AO)))</f>
        <v>0</v>
      </c>
      <c r="AN106" s="10">
        <f t="shared" si="17"/>
        <v>106.1780821917808</v>
      </c>
      <c r="AR106" s="531">
        <f t="shared" si="18"/>
        <v>880.58425223605843</v>
      </c>
      <c r="AS106" s="531">
        <f t="shared" si="19"/>
        <v>1015.5842522360584</v>
      </c>
    </row>
    <row r="107" spans="1:45">
      <c r="A107" s="32" t="s">
        <v>391</v>
      </c>
      <c r="B107" s="319" t="s">
        <v>319</v>
      </c>
      <c r="C107" s="319" t="str">
        <f t="shared" si="10"/>
        <v>GlendaleAZ</v>
      </c>
      <c r="D107" s="10">
        <f>VLOOKUP(A:A,PTS!C:R,6,FALSE)</f>
        <v>6</v>
      </c>
      <c r="E107" s="531" cm="1">
        <f t="array" ref="E107">AVERAGE(_xlfn._xlws.FILTER(PTS!I:I, (PTS!$C:$C=A107) * ISNUMBER(PTS!I:I)))</f>
        <v>80</v>
      </c>
      <c r="F107" s="10" cm="1">
        <f t="array" ref="F107">AVERAGE(_xlfn._xlws.FILTER(PTS!J:J, (PTS!$C:$C=A107) * ISNUMBER(PTS!J:J)))</f>
        <v>180</v>
      </c>
      <c r="G107" s="531" cm="1">
        <f t="array" ref="G107">AVERAGE(_xlfn._xlws.FILTER(PTS!K:K, (PTS!$C:$C=A107) * ISNUMBER(PTS!K:K)))</f>
        <v>190</v>
      </c>
      <c r="H107" s="531" cm="1">
        <f t="array" ref="H107">AVERAGE(_xlfn._xlws.FILTER(PTS!L:L, (PTS!$C:$C=A107) * ISNUMBER(PTS!L:L)))</f>
        <v>0</v>
      </c>
      <c r="I107" s="531" cm="1">
        <f t="array" ref="I107">AVERAGE(_xlfn._xlws.FILTER(PTS!M:M, (PTS!$C:$C=A107) * ISNUMBER(PTS!M:M)))</f>
        <v>20</v>
      </c>
      <c r="J107" s="531" cm="1">
        <f t="array" ref="J107">AVERAGE(_xlfn._xlws.FILTER(PTS!N:N, (PTS!$C:$C=A107) * ISNUMBER(PTS!N:N)))</f>
        <v>96</v>
      </c>
      <c r="K107" s="531" cm="1">
        <f t="array" ref="K107">AVERAGE(_xlfn._xlws.FILTER(PTS!O:O, (PTS!$C:$C=A107) * ISNUMBER(PTS!O:O)))</f>
        <v>37.916666666666671</v>
      </c>
      <c r="L107" s="10" t="e" cm="1" vm="1">
        <f t="array" ref="L107">AVERAGE(_xlfn._xlws.FILTER(PTS!P:P, (PTS!$C:$C=A107) * ISNUMBER(PTS!P:P)))</f>
        <v>#VALUE!</v>
      </c>
      <c r="M107" s="531" t="e" vm="2">
        <f t="shared" si="11"/>
        <v>#VALUE!</v>
      </c>
      <c r="N107" s="531" t="e">
        <f t="shared" si="12"/>
        <v>#VALUE!</v>
      </c>
      <c r="O107" s="531" cm="1">
        <f t="array" ref="O107">AVERAGE(_xlfn._xlws.FILTER(PTS!S:S, (PTS!$C:$C=A107) * ISNUMBER(PTS!S:S)))</f>
        <v>0</v>
      </c>
      <c r="P107" s="531" cm="1">
        <f t="array" ref="P107">AVERAGE(_xlfn._xlws.FILTER(PTS!T:T, (PTS!$C:$C=A107) * ISNUMBER(PTS!T:T)))</f>
        <v>0</v>
      </c>
      <c r="Q107" s="531" t="e" cm="1" vm="1">
        <f t="array" ref="Q107">AVERAGE(_xlfn._xlws.FILTER(PTS!U:U, (PTS!$C:$C=A107) * ISNUMBER(PTS!U:U)))</f>
        <v>#VALUE!</v>
      </c>
      <c r="S107" s="531" t="e" vm="2">
        <f t="shared" si="13"/>
        <v>#VALUE!</v>
      </c>
      <c r="T107" s="531" t="e" cm="1" vm="1">
        <f t="array" ref="T107">AVERAGE(_xlfn._xlws.FILTER(PTS!X:X, (PTS!$C:$C=A107) * ISNUMBER(PTS!X:X)))</f>
        <v>#VALUE!</v>
      </c>
      <c r="U107" s="531" t="e" cm="1" vm="1">
        <f t="array" ref="U107">AVERAGE(_xlfn._xlws.FILTER(PTS!Y:Y, (PTS!$C:$C=A107) * ISNUMBER(PTS!Y:Y)))</f>
        <v>#VALUE!</v>
      </c>
      <c r="V107" s="531" cm="1">
        <f t="array" ref="V107">AVERAGE(_xlfn._xlws.FILTER(PTS!Z:Z, (PTS!$C:$C=A107) * ISNUMBER(PTS!Z:Z)))</f>
        <v>26.25</v>
      </c>
      <c r="X107" s="531" t="e" vm="2">
        <f t="shared" si="14"/>
        <v>#VALUE!</v>
      </c>
      <c r="Y107" s="531" t="e" cm="1" vm="1">
        <f t="array" ref="Y107">AVERAGE(_xlfn._xlws.FILTER(PTS!AC:AC, (PTS!$C:$C=A107) * ISNUMBER(PTS!AC:AC)))</f>
        <v>#VALUE!</v>
      </c>
      <c r="Z107" s="531" t="e" cm="1" vm="1">
        <f t="array" ref="Z107">AVERAGE(_xlfn._xlws.FILTER(PTS!AD:AD, (PTS!$C:$C=A107) * ISNUMBER(PTS!AD:AD)))</f>
        <v>#VALUE!</v>
      </c>
      <c r="AB107" s="531" t="e" vm="2">
        <f t="shared" si="15"/>
        <v>#VALUE!</v>
      </c>
      <c r="AC107" s="10" cm="1">
        <f t="array" ref="AC107">AVERAGE(_xlfn._xlws.FILTER(PTS!AG:AG, (PTS!$C:$C=A107) * ISNUMBER(PTS!AG:AG)))</f>
        <v>28.814300000000003</v>
      </c>
      <c r="AD107" s="531" cm="1">
        <f t="array" ref="AD107">AVERAGE(_xlfn._xlws.FILTER(PTS!AH:AH, (PTS!$C:$C=A107) * ISNUMBER(PTS!AH:AH)))</f>
        <v>6.973140495867769</v>
      </c>
      <c r="AE107" s="531" cm="1">
        <f t="array" ref="AE107">AVERAGE(_xlfn._xlws.FILTER(PTS!AI:AI, (PTS!$C:$C=A107) * ISNUMBER(PTS!AI:AI)))</f>
        <v>12.587317427197677</v>
      </c>
      <c r="AF107" s="531" cm="1">
        <f t="array" ref="AF107">AVERAGE(_xlfn._xlws.FILTER(PTS!AJ:AJ, (PTS!$C:$C=A107) * ISNUMBER(PTS!AJ:AJ)))</f>
        <v>6.7351999999999999</v>
      </c>
      <c r="AH107" s="531">
        <f t="shared" si="16"/>
        <v>55.109957923065444</v>
      </c>
      <c r="AI107" s="10" cm="1">
        <f t="array" ref="AI107">AVERAGE(_xlfn._xlws.FILTER(PTS!AM:AM, (PTS!$C:$C=A107) * ISNUMBER(PTS!AM:AM)))</f>
        <v>79.999999999999986</v>
      </c>
      <c r="AJ107" s="10" cm="1">
        <f t="array" ref="AJ107">AVERAGE(_xlfn._xlws.FILTER(PTS!AN:AN, (PTS!$C:$C=A107) * ISNUMBER(PTS!AN:AN)))</f>
        <v>26.17808219178082</v>
      </c>
      <c r="AK107" s="10" cm="1">
        <f t="array" ref="AK107">AVERAGE(_xlfn._xlws.FILTER(PTS!AO:AO, (PTS!$C:$C=A107) * ISNUMBER(PTS!AO:AO)))</f>
        <v>0</v>
      </c>
      <c r="AN107" s="10">
        <f t="shared" si="17"/>
        <v>106.1780821917808</v>
      </c>
      <c r="AR107" s="531" t="e">
        <f t="shared" si="18"/>
        <v>#VALUE!</v>
      </c>
      <c r="AS107" s="531" t="e" vm="2">
        <f t="shared" si="19"/>
        <v>#VALUE!</v>
      </c>
    </row>
    <row r="108" spans="1:45">
      <c r="A108" s="32" t="s">
        <v>394</v>
      </c>
      <c r="B108" s="319" t="s">
        <v>71</v>
      </c>
      <c r="C108" s="319" t="str">
        <f t="shared" si="10"/>
        <v>Grand PrairieTX</v>
      </c>
      <c r="D108" s="10">
        <f>VLOOKUP(A:A,PTS!C:R,6,FALSE)</f>
        <v>2</v>
      </c>
      <c r="E108" s="531" cm="1">
        <f t="array" ref="E108">AVERAGE(_xlfn._xlws.FILTER(PTS!I:I, (PTS!$C:$C=A108) * ISNUMBER(PTS!I:I)))</f>
        <v>95</v>
      </c>
      <c r="F108" s="10" cm="1">
        <f t="array" ref="F108">AVERAGE(_xlfn._xlws.FILTER(PTS!J:J, (PTS!$C:$C=A108) * ISNUMBER(PTS!J:J)))</f>
        <v>150</v>
      </c>
      <c r="G108" s="531" cm="1">
        <f t="array" ref="G108">AVERAGE(_xlfn._xlws.FILTER(PTS!K:K, (PTS!$C:$C=A108) * ISNUMBER(PTS!K:K)))</f>
        <v>210</v>
      </c>
      <c r="H108" s="531" cm="1">
        <f t="array" ref="H108">AVERAGE(_xlfn._xlws.FILTER(PTS!L:L, (PTS!$C:$C=A108) * ISNUMBER(PTS!L:L)))</f>
        <v>0</v>
      </c>
      <c r="I108" s="531" cm="1">
        <f t="array" ref="I108">AVERAGE(_xlfn._xlws.FILTER(PTS!M:M, (PTS!$C:$C=A108) * ISNUMBER(PTS!M:M)))</f>
        <v>32</v>
      </c>
      <c r="J108" s="531" cm="1">
        <f t="array" ref="J108">AVERAGE(_xlfn._xlws.FILTER(PTS!N:N, (PTS!$C:$C=A108) * ISNUMBER(PTS!N:N)))</f>
        <v>85</v>
      </c>
      <c r="K108" s="531" cm="1">
        <f t="array" ref="K108">AVERAGE(_xlfn._xlws.FILTER(PTS!O:O, (PTS!$C:$C=A108) * ISNUMBER(PTS!O:O)))</f>
        <v>37.916666666666671</v>
      </c>
      <c r="L108" s="10" cm="1">
        <f t="array" ref="L108">AVERAGE(_xlfn._xlws.FILTER(PTS!P:P, (PTS!$C:$C=A108) * ISNUMBER(PTS!P:P)))</f>
        <v>0</v>
      </c>
      <c r="M108" s="531">
        <f t="shared" si="11"/>
        <v>609.91666666666663</v>
      </c>
      <c r="N108" s="531">
        <f t="shared" si="12"/>
        <v>332.91666666666669</v>
      </c>
      <c r="O108" s="531" cm="1">
        <f t="array" ref="O108">AVERAGE(_xlfn._xlws.FILTER(PTS!S:S, (PTS!$C:$C=A108) * ISNUMBER(PTS!S:S)))</f>
        <v>0</v>
      </c>
      <c r="P108" s="531" cm="1">
        <f t="array" ref="P108">AVERAGE(_xlfn._xlws.FILTER(PTS!T:T, (PTS!$C:$C=A108) * ISNUMBER(PTS!T:T)))</f>
        <v>0</v>
      </c>
      <c r="Q108" s="531" cm="1">
        <f t="array" ref="Q108">AVERAGE(_xlfn._xlws.FILTER(PTS!U:U, (PTS!$C:$C=A108) * ISNUMBER(PTS!U:U)))</f>
        <v>170.05681818181819</v>
      </c>
      <c r="S108" s="531">
        <f t="shared" si="13"/>
        <v>170.05681818181819</v>
      </c>
      <c r="T108" s="531" cm="1">
        <f t="array" ref="T108">AVERAGE(_xlfn._xlws.FILTER(PTS!X:X, (PTS!$C:$C=A108) * ISNUMBER(PTS!X:X)))</f>
        <v>54</v>
      </c>
      <c r="U108" s="531" cm="1">
        <f t="array" ref="U108">AVERAGE(_xlfn._xlws.FILTER(PTS!Y:Y, (PTS!$C:$C=A108) * ISNUMBER(PTS!Y:Y)))</f>
        <v>50.4</v>
      </c>
      <c r="V108" s="531" cm="1">
        <f t="array" ref="V108">AVERAGE(_xlfn._xlws.FILTER(PTS!Z:Z, (PTS!$C:$C=A108) * ISNUMBER(PTS!Z:Z)))</f>
        <v>26.25</v>
      </c>
      <c r="X108" s="531">
        <f t="shared" si="14"/>
        <v>130.65</v>
      </c>
      <c r="Y108" s="531" cm="1">
        <f t="array" ref="Y108">AVERAGE(_xlfn._xlws.FILTER(PTS!AC:AC, (PTS!$C:$C=A108) * ISNUMBER(PTS!AC:AC)))</f>
        <v>147.72727272727272</v>
      </c>
      <c r="Z108" s="531" cm="1">
        <f t="array" ref="Z108">AVERAGE(_xlfn._xlws.FILTER(PTS!AD:AD, (PTS!$C:$C=A108) * ISNUMBER(PTS!AD:AD)))</f>
        <v>233.06818181818181</v>
      </c>
      <c r="AB108" s="531">
        <f t="shared" si="15"/>
        <v>380.7954545454545</v>
      </c>
      <c r="AC108" s="10" cm="1">
        <f t="array" ref="AC108">AVERAGE(_xlfn._xlws.FILTER(PTS!AG:AG, (PTS!$C:$C=A108) * ISNUMBER(PTS!AG:AG)))</f>
        <v>28.814300000000003</v>
      </c>
      <c r="AD108" s="531" cm="1">
        <f t="array" ref="AD108">AVERAGE(_xlfn._xlws.FILTER(PTS!AH:AH, (PTS!$C:$C=A108) * ISNUMBER(PTS!AH:AH)))</f>
        <v>6.973140495867769</v>
      </c>
      <c r="AE108" s="531" cm="1">
        <f t="array" ref="AE108">AVERAGE(_xlfn._xlws.FILTER(PTS!AI:AI, (PTS!$C:$C=A108) * ISNUMBER(PTS!AI:AI)))</f>
        <v>12.587317427197677</v>
      </c>
      <c r="AF108" s="531" cm="1">
        <f t="array" ref="AF108">AVERAGE(_xlfn._xlws.FILTER(PTS!AJ:AJ, (PTS!$C:$C=A108) * ISNUMBER(PTS!AJ:AJ)))</f>
        <v>6.7351999999999999</v>
      </c>
      <c r="AH108" s="531">
        <f t="shared" si="16"/>
        <v>55.109957923065444</v>
      </c>
      <c r="AI108" s="10" cm="1">
        <f t="array" ref="AI108">AVERAGE(_xlfn._xlws.FILTER(PTS!AM:AM, (PTS!$C:$C=A108) * ISNUMBER(PTS!AM:AM)))</f>
        <v>79.999999999999986</v>
      </c>
      <c r="AJ108" s="10" cm="1">
        <f t="array" ref="AJ108">AVERAGE(_xlfn._xlws.FILTER(PTS!AN:AN, (PTS!$C:$C=A108) * ISNUMBER(PTS!AN:AN)))</f>
        <v>26.17808219178082</v>
      </c>
      <c r="AK108" s="10" cm="1">
        <f t="array" ref="AK108">AVERAGE(_xlfn._xlws.FILTER(PTS!AO:AO, (PTS!$C:$C=A108) * ISNUMBER(PTS!AO:AO)))</f>
        <v>0</v>
      </c>
      <c r="AN108" s="10">
        <f t="shared" si="17"/>
        <v>106.1780821917808</v>
      </c>
      <c r="AR108" s="531">
        <f t="shared" si="18"/>
        <v>1175.7069795087855</v>
      </c>
      <c r="AS108" s="531">
        <f t="shared" si="19"/>
        <v>1452.7069795087853</v>
      </c>
    </row>
    <row r="109" spans="1:45">
      <c r="A109" s="32" t="s">
        <v>396</v>
      </c>
      <c r="B109" s="319" t="s">
        <v>128</v>
      </c>
      <c r="C109" s="319" t="str">
        <f t="shared" si="10"/>
        <v>GreenwoodMS</v>
      </c>
      <c r="D109" s="10">
        <f>VLOOKUP(A:A,PTS!C:R,6,FALSE)</f>
        <v>1</v>
      </c>
      <c r="E109" s="531" cm="1">
        <f t="array" ref="E109">AVERAGE(_xlfn._xlws.FILTER(PTS!I:I, (PTS!$C:$C=A109) * ISNUMBER(PTS!I:I)))</f>
        <v>32.333333333333336</v>
      </c>
      <c r="F109" s="10" cm="1">
        <f t="array" ref="F109">AVERAGE(_xlfn._xlws.FILTER(PTS!J:J, (PTS!$C:$C=A109) * ISNUMBER(PTS!J:J)))</f>
        <v>76.666666666666671</v>
      </c>
      <c r="G109" s="531" cm="1">
        <f t="array" ref="G109">AVERAGE(_xlfn._xlws.FILTER(PTS!K:K, (PTS!$C:$C=A109) * ISNUMBER(PTS!K:K)))</f>
        <v>153.33333333333334</v>
      </c>
      <c r="H109" s="531" cm="1">
        <f t="array" ref="H109">AVERAGE(_xlfn._xlws.FILTER(PTS!L:L, (PTS!$C:$C=A109) * ISNUMBER(PTS!L:L)))</f>
        <v>61</v>
      </c>
      <c r="I109" s="531" cm="1">
        <f t="array" ref="I109">AVERAGE(_xlfn._xlws.FILTER(PTS!M:M, (PTS!$C:$C=A109) * ISNUMBER(PTS!M:M)))</f>
        <v>6.666666666666667</v>
      </c>
      <c r="J109" s="531" cm="1">
        <f t="array" ref="J109">AVERAGE(_xlfn._xlws.FILTER(PTS!N:N, (PTS!$C:$C=A109) * ISNUMBER(PTS!N:N)))</f>
        <v>62</v>
      </c>
      <c r="K109" s="531" cm="1">
        <f t="array" ref="K109">AVERAGE(_xlfn._xlws.FILTER(PTS!O:O, (PTS!$C:$C=A109) * ISNUMBER(PTS!O:O)))</f>
        <v>37.916666666666671</v>
      </c>
      <c r="L109" s="10" cm="1">
        <f t="array" ref="L109">AVERAGE(_xlfn._xlws.FILTER(PTS!P:P, (PTS!$C:$C=A109) * ISNUMBER(PTS!P:P)))</f>
        <v>0</v>
      </c>
      <c r="M109" s="531">
        <f t="shared" si="11"/>
        <v>429.91666666666674</v>
      </c>
      <c r="N109" s="531">
        <f t="shared" si="12"/>
        <v>99.916666666666671</v>
      </c>
      <c r="O109" s="531" cm="1">
        <f t="array" ref="O109">AVERAGE(_xlfn._xlws.FILTER(PTS!S:S, (PTS!$C:$C=A109) * ISNUMBER(PTS!S:S)))</f>
        <v>0</v>
      </c>
      <c r="P109" s="531" cm="1">
        <f t="array" ref="P109">AVERAGE(_xlfn._xlws.FILTER(PTS!T:T, (PTS!$C:$C=A109) * ISNUMBER(PTS!T:T)))</f>
        <v>0</v>
      </c>
      <c r="Q109" s="531" cm="1">
        <f t="array" ref="Q109">AVERAGE(_xlfn._xlws.FILTER(PTS!U:U, (PTS!$C:$C=A109) * ISNUMBER(PTS!U:U)))</f>
        <v>217.61363636363637</v>
      </c>
      <c r="S109" s="531">
        <f t="shared" si="13"/>
        <v>217.61363636363637</v>
      </c>
      <c r="T109" s="531" cm="1">
        <f t="array" ref="T109">AVERAGE(_xlfn._xlws.FILTER(PTS!X:X, (PTS!$C:$C=A109) * ISNUMBER(PTS!X:X)))</f>
        <v>50</v>
      </c>
      <c r="U109" s="531" cm="1">
        <f t="array" ref="U109">AVERAGE(_xlfn._xlws.FILTER(PTS!Y:Y, (PTS!$C:$C=A109) * ISNUMBER(PTS!Y:Y)))</f>
        <v>33.6</v>
      </c>
      <c r="V109" s="531" cm="1">
        <f t="array" ref="V109">AVERAGE(_xlfn._xlws.FILTER(PTS!Z:Z, (PTS!$C:$C=A109) * ISNUMBER(PTS!Z:Z)))</f>
        <v>26.25</v>
      </c>
      <c r="X109" s="531">
        <f t="shared" si="14"/>
        <v>109.85</v>
      </c>
      <c r="Y109" s="531" cm="1">
        <f t="array" ref="Y109">AVERAGE(_xlfn._xlws.FILTER(PTS!AC:AC, (PTS!$C:$C=A109) * ISNUMBER(PTS!AC:AC)))</f>
        <v>146.02272727272725</v>
      </c>
      <c r="Z109" s="531" cm="1">
        <f t="array" ref="Z109">AVERAGE(_xlfn._xlws.FILTER(PTS!AD:AD, (PTS!$C:$C=A109) * ISNUMBER(PTS!AD:AD)))</f>
        <v>182.72727272727275</v>
      </c>
      <c r="AB109" s="531">
        <f t="shared" si="15"/>
        <v>328.75</v>
      </c>
      <c r="AC109" s="10" cm="1">
        <f t="array" ref="AC109">AVERAGE(_xlfn._xlws.FILTER(PTS!AG:AG, (PTS!$C:$C=A109) * ISNUMBER(PTS!AG:AG)))</f>
        <v>28.814300000000003</v>
      </c>
      <c r="AD109" s="531" cm="1">
        <f t="array" ref="AD109">AVERAGE(_xlfn._xlws.FILTER(PTS!AH:AH, (PTS!$C:$C=A109) * ISNUMBER(PTS!AH:AH)))</f>
        <v>6.9731404958677699</v>
      </c>
      <c r="AE109" s="531" cm="1">
        <f t="array" ref="AE109">AVERAGE(_xlfn._xlws.FILTER(PTS!AI:AI, (PTS!$C:$C=A109) * ISNUMBER(PTS!AI:AI)))</f>
        <v>12.587317427197677</v>
      </c>
      <c r="AF109" s="531" cm="1">
        <f t="array" ref="AF109">AVERAGE(_xlfn._xlws.FILTER(PTS!AJ:AJ, (PTS!$C:$C=A109) * ISNUMBER(PTS!AJ:AJ)))</f>
        <v>6.7351999999999999</v>
      </c>
      <c r="AH109" s="531">
        <f t="shared" si="16"/>
        <v>55.109957923065444</v>
      </c>
      <c r="AI109" s="10" cm="1">
        <f t="array" ref="AI109">AVERAGE(_xlfn._xlws.FILTER(PTS!AM:AM, (PTS!$C:$C=A109) * ISNUMBER(PTS!AM:AM)))</f>
        <v>79.999999999999986</v>
      </c>
      <c r="AJ109" s="10" cm="1">
        <f t="array" ref="AJ109">AVERAGE(_xlfn._xlws.FILTER(PTS!AN:AN, (PTS!$C:$C=A109) * ISNUMBER(PTS!AN:AN)))</f>
        <v>26.17808219178082</v>
      </c>
      <c r="AK109" s="10" cm="1">
        <f t="array" ref="AK109">AVERAGE(_xlfn._xlws.FILTER(PTS!AO:AO, (PTS!$C:$C=A109) * ISNUMBER(PTS!AO:AO)))</f>
        <v>0</v>
      </c>
      <c r="AN109" s="10">
        <f t="shared" si="17"/>
        <v>106.1780821917808</v>
      </c>
      <c r="AR109" s="531">
        <f t="shared" si="18"/>
        <v>917.41834314514927</v>
      </c>
      <c r="AS109" s="531">
        <f t="shared" si="19"/>
        <v>1247.4183431451493</v>
      </c>
    </row>
    <row r="110" spans="1:45">
      <c r="A110" s="32" t="s">
        <v>400</v>
      </c>
      <c r="B110" s="319" t="s">
        <v>128</v>
      </c>
      <c r="C110" s="319" t="str">
        <f t="shared" si="10"/>
        <v>Greenwood MS</v>
      </c>
      <c r="D110" s="10" t="e">
        <f>VLOOKUP(A:A,PTS!C:R,6,FALSE)</f>
        <v>#N/A</v>
      </c>
      <c r="E110" s="531" t="e" cm="1" vm="1">
        <f t="array" ref="E110">AVERAGE(_xlfn._xlws.FILTER(PTS!I:I, (PTS!$C:$C=A110) * ISNUMBER(PTS!I:I)))</f>
        <v>#VALUE!</v>
      </c>
      <c r="F110" s="10" t="e" cm="1" vm="1">
        <f t="array" ref="F110">AVERAGE(_xlfn._xlws.FILTER(PTS!J:J, (PTS!$C:$C=A110) * ISNUMBER(PTS!J:J)))</f>
        <v>#VALUE!</v>
      </c>
      <c r="G110" s="531" t="e" cm="1" vm="1">
        <f t="array" ref="G110">AVERAGE(_xlfn._xlws.FILTER(PTS!K:K, (PTS!$C:$C=A110) * ISNUMBER(PTS!K:K)))</f>
        <v>#VALUE!</v>
      </c>
      <c r="H110" s="531" t="e" cm="1" vm="1">
        <f t="array" ref="H110">AVERAGE(_xlfn._xlws.FILTER(PTS!L:L, (PTS!$C:$C=A110) * ISNUMBER(PTS!L:L)))</f>
        <v>#VALUE!</v>
      </c>
      <c r="I110" s="531" t="e" cm="1" vm="1">
        <f t="array" ref="I110">AVERAGE(_xlfn._xlws.FILTER(PTS!M:M, (PTS!$C:$C=A110) * ISNUMBER(PTS!M:M)))</f>
        <v>#VALUE!</v>
      </c>
      <c r="J110" s="531" t="e" cm="1" vm="1">
        <f t="array" ref="J110">AVERAGE(_xlfn._xlws.FILTER(PTS!N:N, (PTS!$C:$C=A110) * ISNUMBER(PTS!N:N)))</f>
        <v>#VALUE!</v>
      </c>
      <c r="K110" s="531" t="e" cm="1" vm="1">
        <f t="array" ref="K110">AVERAGE(_xlfn._xlws.FILTER(PTS!O:O, (PTS!$C:$C=A110) * ISNUMBER(PTS!O:O)))</f>
        <v>#VALUE!</v>
      </c>
      <c r="L110" s="10" t="e" cm="1" vm="1">
        <f t="array" ref="L110">AVERAGE(_xlfn._xlws.FILTER(PTS!P:P, (PTS!$C:$C=A110) * ISNUMBER(PTS!P:P)))</f>
        <v>#VALUE!</v>
      </c>
      <c r="M110" s="531" t="e" vm="2">
        <f t="shared" si="11"/>
        <v>#VALUE!</v>
      </c>
      <c r="N110" s="531" t="e">
        <f t="shared" si="12"/>
        <v>#N/A</v>
      </c>
      <c r="O110" s="531" t="e" cm="1" vm="1">
        <f t="array" ref="O110">AVERAGE(_xlfn._xlws.FILTER(PTS!S:S, (PTS!$C:$C=A110) * ISNUMBER(PTS!S:S)))</f>
        <v>#VALUE!</v>
      </c>
      <c r="P110" s="531" t="e" cm="1" vm="1">
        <f t="array" ref="P110">AVERAGE(_xlfn._xlws.FILTER(PTS!T:T, (PTS!$C:$C=A110) * ISNUMBER(PTS!T:T)))</f>
        <v>#VALUE!</v>
      </c>
      <c r="Q110" s="531" t="e" cm="1" vm="1">
        <f t="array" ref="Q110">AVERAGE(_xlfn._xlws.FILTER(PTS!U:U, (PTS!$C:$C=A110) * ISNUMBER(PTS!U:U)))</f>
        <v>#VALUE!</v>
      </c>
      <c r="S110" s="531" t="e" vm="2">
        <f t="shared" si="13"/>
        <v>#VALUE!</v>
      </c>
      <c r="T110" s="531" t="e" cm="1" vm="1">
        <f t="array" ref="T110">AVERAGE(_xlfn._xlws.FILTER(PTS!X:X, (PTS!$C:$C=A110) * ISNUMBER(PTS!X:X)))</f>
        <v>#VALUE!</v>
      </c>
      <c r="U110" s="531" t="e" cm="1" vm="1">
        <f t="array" ref="U110">AVERAGE(_xlfn._xlws.FILTER(PTS!Y:Y, (PTS!$C:$C=A110) * ISNUMBER(PTS!Y:Y)))</f>
        <v>#VALUE!</v>
      </c>
      <c r="V110" s="531" t="e" cm="1" vm="1">
        <f t="array" ref="V110">AVERAGE(_xlfn._xlws.FILTER(PTS!Z:Z, (PTS!$C:$C=A110) * ISNUMBER(PTS!Z:Z)))</f>
        <v>#VALUE!</v>
      </c>
      <c r="X110" s="531" t="e" vm="2">
        <f t="shared" si="14"/>
        <v>#VALUE!</v>
      </c>
      <c r="Y110" s="531" t="e" cm="1" vm="1">
        <f t="array" ref="Y110">AVERAGE(_xlfn._xlws.FILTER(PTS!AC:AC, (PTS!$C:$C=A110) * ISNUMBER(PTS!AC:AC)))</f>
        <v>#VALUE!</v>
      </c>
      <c r="Z110" s="531" t="e" cm="1" vm="1">
        <f t="array" ref="Z110">AVERAGE(_xlfn._xlws.FILTER(PTS!AD:AD, (PTS!$C:$C=A110) * ISNUMBER(PTS!AD:AD)))</f>
        <v>#VALUE!</v>
      </c>
      <c r="AB110" s="531" t="e" vm="2">
        <f t="shared" si="15"/>
        <v>#VALUE!</v>
      </c>
      <c r="AC110" s="10" t="e" cm="1" vm="1">
        <f t="array" ref="AC110">AVERAGE(_xlfn._xlws.FILTER(PTS!AG:AG, (PTS!$C:$C=A110) * ISNUMBER(PTS!AG:AG)))</f>
        <v>#VALUE!</v>
      </c>
      <c r="AD110" s="531" t="e" cm="1" vm="1">
        <f t="array" ref="AD110">AVERAGE(_xlfn._xlws.FILTER(PTS!AH:AH, (PTS!$C:$C=A110) * ISNUMBER(PTS!AH:AH)))</f>
        <v>#VALUE!</v>
      </c>
      <c r="AE110" s="531" t="e" cm="1" vm="1">
        <f t="array" ref="AE110">AVERAGE(_xlfn._xlws.FILTER(PTS!AI:AI, (PTS!$C:$C=A110) * ISNUMBER(PTS!AI:AI)))</f>
        <v>#VALUE!</v>
      </c>
      <c r="AF110" s="531" t="e" cm="1" vm="1">
        <f t="array" ref="AF110">AVERAGE(_xlfn._xlws.FILTER(PTS!AJ:AJ, (PTS!$C:$C=A110) * ISNUMBER(PTS!AJ:AJ)))</f>
        <v>#VALUE!</v>
      </c>
      <c r="AH110" s="531" t="e" vm="2">
        <f t="shared" si="16"/>
        <v>#VALUE!</v>
      </c>
      <c r="AI110" s="10" t="e" cm="1" vm="1">
        <f t="array" ref="AI110">AVERAGE(_xlfn._xlws.FILTER(PTS!AM:AM, (PTS!$C:$C=A110) * ISNUMBER(PTS!AM:AM)))</f>
        <v>#VALUE!</v>
      </c>
      <c r="AJ110" s="10" t="e" cm="1" vm="1">
        <f t="array" ref="AJ110">AVERAGE(_xlfn._xlws.FILTER(PTS!AN:AN, (PTS!$C:$C=A110) * ISNUMBER(PTS!AN:AN)))</f>
        <v>#VALUE!</v>
      </c>
      <c r="AK110" s="10" t="e" cm="1" vm="1">
        <f t="array" ref="AK110">AVERAGE(_xlfn._xlws.FILTER(PTS!AO:AO, (PTS!$C:$C=A110) * ISNUMBER(PTS!AO:AO)))</f>
        <v>#VALUE!</v>
      </c>
      <c r="AN110" s="10" t="e" vm="2">
        <f t="shared" si="17"/>
        <v>#VALUE!</v>
      </c>
      <c r="AR110" s="531" t="e">
        <f t="shared" si="18"/>
        <v>#N/A</v>
      </c>
      <c r="AS110" s="531" t="e" vm="2">
        <f t="shared" si="19"/>
        <v>#VALUE!</v>
      </c>
    </row>
    <row r="111" spans="1:45">
      <c r="A111" s="32" t="s">
        <v>402</v>
      </c>
      <c r="B111" s="319" t="s">
        <v>132</v>
      </c>
      <c r="C111" s="319" t="str">
        <f t="shared" si="10"/>
        <v>GreerSC</v>
      </c>
      <c r="D111" s="10">
        <f>VLOOKUP(A:A,PTS!C:R,6,FALSE)</f>
        <v>1</v>
      </c>
      <c r="E111" s="531" cm="1">
        <f t="array" ref="E111">AVERAGE(_xlfn._xlws.FILTER(PTS!I:I, (PTS!$C:$C=A111) * ISNUMBER(PTS!I:I)))</f>
        <v>80</v>
      </c>
      <c r="F111" s="10" cm="1">
        <f t="array" ref="F111">AVERAGE(_xlfn._xlws.FILTER(PTS!J:J, (PTS!$C:$C=A111) * ISNUMBER(PTS!J:J)))</f>
        <v>97</v>
      </c>
      <c r="G111" s="531" cm="1">
        <f t="array" ref="G111">AVERAGE(_xlfn._xlws.FILTER(PTS!K:K, (PTS!$C:$C=A111) * ISNUMBER(PTS!K:K)))</f>
        <v>0</v>
      </c>
      <c r="H111" s="531" cm="1">
        <f t="array" ref="H111">AVERAGE(_xlfn._xlws.FILTER(PTS!L:L, (PTS!$C:$C=A111) * ISNUMBER(PTS!L:L)))</f>
        <v>0</v>
      </c>
      <c r="I111" s="531" cm="1">
        <f t="array" ref="I111">AVERAGE(_xlfn._xlws.FILTER(PTS!M:M, (PTS!$C:$C=A111) * ISNUMBER(PTS!M:M)))</f>
        <v>0</v>
      </c>
      <c r="J111" s="531" cm="1">
        <f t="array" ref="J111">AVERAGE(_xlfn._xlws.FILTER(PTS!N:N, (PTS!$C:$C=A111) * ISNUMBER(PTS!N:N)))</f>
        <v>60</v>
      </c>
      <c r="K111" s="531" cm="1">
        <f t="array" ref="K111">AVERAGE(_xlfn._xlws.FILTER(PTS!O:O, (PTS!$C:$C=A111) * ISNUMBER(PTS!O:O)))</f>
        <v>37.916666666666671</v>
      </c>
      <c r="L111" s="10" cm="1">
        <f t="array" ref="L111">AVERAGE(_xlfn._xlws.FILTER(PTS!P:P, (PTS!$C:$C=A111) * ISNUMBER(PTS!P:P)))</f>
        <v>0</v>
      </c>
      <c r="M111" s="531">
        <f t="shared" si="11"/>
        <v>274.91666666666669</v>
      </c>
      <c r="N111" s="531">
        <f t="shared" si="12"/>
        <v>97.916666666666671</v>
      </c>
      <c r="O111" s="531" cm="1">
        <f t="array" ref="O111">AVERAGE(_xlfn._xlws.FILTER(PTS!S:S, (PTS!$C:$C=A111) * ISNUMBER(PTS!S:S)))</f>
        <v>0</v>
      </c>
      <c r="P111" s="531" cm="1">
        <f t="array" ref="P111">AVERAGE(_xlfn._xlws.FILTER(PTS!T:T, (PTS!$C:$C=A111) * ISNUMBER(PTS!T:T)))</f>
        <v>0</v>
      </c>
      <c r="Q111" s="531" cm="1">
        <f t="array" ref="Q111">AVERAGE(_xlfn._xlws.FILTER(PTS!U:U, (PTS!$C:$C=A111) * ISNUMBER(PTS!U:U)))</f>
        <v>270.9375</v>
      </c>
      <c r="S111" s="531">
        <f t="shared" si="13"/>
        <v>270.9375</v>
      </c>
      <c r="T111" s="531" cm="1">
        <f t="array" ref="T111">AVERAGE(_xlfn._xlws.FILTER(PTS!X:X, (PTS!$C:$C=A111) * ISNUMBER(PTS!X:X)))</f>
        <v>52</v>
      </c>
      <c r="U111" s="531" cm="1">
        <f t="array" ref="U111">AVERAGE(_xlfn._xlws.FILTER(PTS!Y:Y, (PTS!$C:$C=A111) * ISNUMBER(PTS!Y:Y)))</f>
        <v>50.4</v>
      </c>
      <c r="V111" s="531" cm="1">
        <f t="array" ref="V111">AVERAGE(_xlfn._xlws.FILTER(PTS!Z:Z, (PTS!$C:$C=A111) * ISNUMBER(PTS!Z:Z)))</f>
        <v>26.25</v>
      </c>
      <c r="X111" s="531">
        <f t="shared" si="14"/>
        <v>128.65</v>
      </c>
      <c r="Y111" s="531" cm="1">
        <f t="array" ref="Y111">AVERAGE(_xlfn._xlws.FILTER(PTS!AC:AC, (PTS!$C:$C=A111) * ISNUMBER(PTS!AC:AC)))</f>
        <v>110.22727272727273</v>
      </c>
      <c r="Z111" s="531" cm="1">
        <f t="array" ref="Z111">AVERAGE(_xlfn._xlws.FILTER(PTS!AD:AD, (PTS!$C:$C=A111) * ISNUMBER(PTS!AD:AD)))</f>
        <v>107.04545454545455</v>
      </c>
      <c r="AB111" s="531">
        <f t="shared" si="15"/>
        <v>217.27272727272728</v>
      </c>
      <c r="AC111" s="10" cm="1">
        <f t="array" ref="AC111">AVERAGE(_xlfn._xlws.FILTER(PTS!AG:AG, (PTS!$C:$C=A111) * ISNUMBER(PTS!AG:AG)))</f>
        <v>28.814300000000003</v>
      </c>
      <c r="AD111" s="531" cm="1">
        <f t="array" ref="AD111">AVERAGE(_xlfn._xlws.FILTER(PTS!AH:AH, (PTS!$C:$C=A111) * ISNUMBER(PTS!AH:AH)))</f>
        <v>6.973140495867769</v>
      </c>
      <c r="AE111" s="531" cm="1">
        <f t="array" ref="AE111">AVERAGE(_xlfn._xlws.FILTER(PTS!AI:AI, (PTS!$C:$C=A111) * ISNUMBER(PTS!AI:AI)))</f>
        <v>12.587317427197677</v>
      </c>
      <c r="AF111" s="531" cm="1">
        <f t="array" ref="AF111">AVERAGE(_xlfn._xlws.FILTER(PTS!AJ:AJ, (PTS!$C:$C=A111) * ISNUMBER(PTS!AJ:AJ)))</f>
        <v>6.7351999999999999</v>
      </c>
      <c r="AH111" s="531">
        <f t="shared" si="16"/>
        <v>55.109957923065444</v>
      </c>
      <c r="AI111" s="10" cm="1">
        <f t="array" ref="AI111">AVERAGE(_xlfn._xlws.FILTER(PTS!AM:AM, (PTS!$C:$C=A111) * ISNUMBER(PTS!AM:AM)))</f>
        <v>79.999999999999986</v>
      </c>
      <c r="AJ111" s="10" cm="1">
        <f t="array" ref="AJ111">AVERAGE(_xlfn._xlws.FILTER(PTS!AN:AN, (PTS!$C:$C=A111) * ISNUMBER(PTS!AN:AN)))</f>
        <v>26.17808219178082</v>
      </c>
      <c r="AK111" s="10" cm="1">
        <f t="array" ref="AK111">AVERAGE(_xlfn._xlws.FILTER(PTS!AO:AO, (PTS!$C:$C=A111) * ISNUMBER(PTS!AO:AO)))</f>
        <v>0</v>
      </c>
      <c r="AN111" s="10">
        <f t="shared" si="17"/>
        <v>106.1780821917808</v>
      </c>
      <c r="AR111" s="531">
        <f t="shared" si="18"/>
        <v>876.06493405424021</v>
      </c>
      <c r="AS111" s="531">
        <f t="shared" si="19"/>
        <v>1053.0649340542402</v>
      </c>
    </row>
    <row r="112" spans="1:45">
      <c r="A112" s="32" t="s">
        <v>405</v>
      </c>
      <c r="B112" s="319" t="s">
        <v>128</v>
      </c>
      <c r="C112" s="319" t="str">
        <f t="shared" si="10"/>
        <v>GrenadaMS</v>
      </c>
      <c r="D112" s="10">
        <f>VLOOKUP(A:A,PTS!C:R,6,FALSE)</f>
        <v>1</v>
      </c>
      <c r="E112" s="531" cm="1">
        <f t="array" ref="E112">AVERAGE(_xlfn._xlws.FILTER(PTS!I:I, (PTS!$C:$C=A112) * ISNUMBER(PTS!I:I)))</f>
        <v>30</v>
      </c>
      <c r="F112" s="10" cm="1">
        <f t="array" ref="F112">AVERAGE(_xlfn._xlws.FILTER(PTS!J:J, (PTS!$C:$C=A112) * ISNUMBER(PTS!J:J)))</f>
        <v>75</v>
      </c>
      <c r="G112" s="531" cm="1">
        <f t="array" ref="G112">AVERAGE(_xlfn._xlws.FILTER(PTS!K:K, (PTS!$C:$C=A112) * ISNUMBER(PTS!K:K)))</f>
        <v>160</v>
      </c>
      <c r="H112" s="531" cm="1">
        <f t="array" ref="H112">AVERAGE(_xlfn._xlws.FILTER(PTS!L:L, (PTS!$C:$C=A112) * ISNUMBER(PTS!L:L)))</f>
        <v>61</v>
      </c>
      <c r="I112" s="531" cm="1">
        <f t="array" ref="I112">AVERAGE(_xlfn._xlws.FILTER(PTS!M:M, (PTS!$C:$C=A112) * ISNUMBER(PTS!M:M)))</f>
        <v>10</v>
      </c>
      <c r="J112" s="531" cm="1">
        <f t="array" ref="J112">AVERAGE(_xlfn._xlws.FILTER(PTS!N:N, (PTS!$C:$C=A112) * ISNUMBER(PTS!N:N)))</f>
        <v>63</v>
      </c>
      <c r="K112" s="531" cm="1">
        <f t="array" ref="K112">AVERAGE(_xlfn._xlws.FILTER(PTS!O:O, (PTS!$C:$C=A112) * ISNUMBER(PTS!O:O)))</f>
        <v>37.916666666666671</v>
      </c>
      <c r="L112" s="10" cm="1">
        <f t="array" ref="L112">AVERAGE(_xlfn._xlws.FILTER(PTS!P:P, (PTS!$C:$C=A112) * ISNUMBER(PTS!P:P)))</f>
        <v>0</v>
      </c>
      <c r="M112" s="531">
        <f t="shared" si="11"/>
        <v>436.91666666666669</v>
      </c>
      <c r="N112" s="531">
        <f t="shared" si="12"/>
        <v>100.91666666666667</v>
      </c>
      <c r="O112" s="531" cm="1">
        <f t="array" ref="O112">AVERAGE(_xlfn._xlws.FILTER(PTS!S:S, (PTS!$C:$C=A112) * ISNUMBER(PTS!S:S)))</f>
        <v>0</v>
      </c>
      <c r="P112" s="531" cm="1">
        <f t="array" ref="P112">AVERAGE(_xlfn._xlws.FILTER(PTS!T:T, (PTS!$C:$C=A112) * ISNUMBER(PTS!T:T)))</f>
        <v>0</v>
      </c>
      <c r="Q112" s="531" cm="1">
        <f t="array" ref="Q112">AVERAGE(_xlfn._xlws.FILTER(PTS!U:U, (PTS!$C:$C=A112) * ISNUMBER(PTS!U:U)))</f>
        <v>200.56818181818184</v>
      </c>
      <c r="S112" s="531">
        <f t="shared" si="13"/>
        <v>200.56818181818184</v>
      </c>
      <c r="T112" s="531" cm="1">
        <f t="array" ref="T112">AVERAGE(_xlfn._xlws.FILTER(PTS!X:X, (PTS!$C:$C=A112) * ISNUMBER(PTS!X:X)))</f>
        <v>50</v>
      </c>
      <c r="U112" s="531" cm="1">
        <f t="array" ref="U112">AVERAGE(_xlfn._xlws.FILTER(PTS!Y:Y, (PTS!$C:$C=A112) * ISNUMBER(PTS!Y:Y)))</f>
        <v>33.6</v>
      </c>
      <c r="V112" s="531" cm="1">
        <f t="array" ref="V112">AVERAGE(_xlfn._xlws.FILTER(PTS!Z:Z, (PTS!$C:$C=A112) * ISNUMBER(PTS!Z:Z)))</f>
        <v>26.25</v>
      </c>
      <c r="X112" s="531">
        <f t="shared" si="14"/>
        <v>109.85</v>
      </c>
      <c r="Y112" s="531" cm="1">
        <f t="array" ref="Y112">AVERAGE(_xlfn._xlws.FILTER(PTS!AC:AC, (PTS!$C:$C=A112) * ISNUMBER(PTS!AC:AC)))</f>
        <v>146.02272727272725</v>
      </c>
      <c r="Z112" s="531" cm="1">
        <f t="array" ref="Z112">AVERAGE(_xlfn._xlws.FILTER(PTS!AD:AD, (PTS!$C:$C=A112) * ISNUMBER(PTS!AD:AD)))</f>
        <v>182.72727272727275</v>
      </c>
      <c r="AB112" s="531">
        <f t="shared" si="15"/>
        <v>328.75</v>
      </c>
      <c r="AC112" s="10" cm="1">
        <f t="array" ref="AC112">AVERAGE(_xlfn._xlws.FILTER(PTS!AG:AG, (PTS!$C:$C=A112) * ISNUMBER(PTS!AG:AG)))</f>
        <v>28.814300000000003</v>
      </c>
      <c r="AD112" s="531" cm="1">
        <f t="array" ref="AD112">AVERAGE(_xlfn._xlws.FILTER(PTS!AH:AH, (PTS!$C:$C=A112) * ISNUMBER(PTS!AH:AH)))</f>
        <v>6.973140495867769</v>
      </c>
      <c r="AE112" s="531" cm="1">
        <f t="array" ref="AE112">AVERAGE(_xlfn._xlws.FILTER(PTS!AI:AI, (PTS!$C:$C=A112) * ISNUMBER(PTS!AI:AI)))</f>
        <v>12.587317427197677</v>
      </c>
      <c r="AF112" s="531" cm="1">
        <f t="array" ref="AF112">AVERAGE(_xlfn._xlws.FILTER(PTS!AJ:AJ, (PTS!$C:$C=A112) * ISNUMBER(PTS!AJ:AJ)))</f>
        <v>6.7351999999999999</v>
      </c>
      <c r="AH112" s="531">
        <f t="shared" si="16"/>
        <v>55.109957923065444</v>
      </c>
      <c r="AI112" s="10" cm="1">
        <f t="array" ref="AI112">AVERAGE(_xlfn._xlws.FILTER(PTS!AM:AM, (PTS!$C:$C=A112) * ISNUMBER(PTS!AM:AM)))</f>
        <v>79.999999999999986</v>
      </c>
      <c r="AJ112" s="10" cm="1">
        <f t="array" ref="AJ112">AVERAGE(_xlfn._xlws.FILTER(PTS!AN:AN, (PTS!$C:$C=A112) * ISNUMBER(PTS!AN:AN)))</f>
        <v>26.17808219178082</v>
      </c>
      <c r="AK112" s="10" cm="1">
        <f t="array" ref="AK112">AVERAGE(_xlfn._xlws.FILTER(PTS!AO:AO, (PTS!$C:$C=A112) * ISNUMBER(PTS!AO:AO)))</f>
        <v>0</v>
      </c>
      <c r="AN112" s="10">
        <f t="shared" si="17"/>
        <v>106.1780821917808</v>
      </c>
      <c r="AR112" s="531">
        <f t="shared" si="18"/>
        <v>901.37288859969476</v>
      </c>
      <c r="AS112" s="531">
        <f t="shared" si="19"/>
        <v>1237.3728885996945</v>
      </c>
    </row>
    <row r="113" spans="1:45">
      <c r="A113" s="32" t="s">
        <v>408</v>
      </c>
      <c r="B113" s="319" t="s">
        <v>168</v>
      </c>
      <c r="C113" s="319" t="str">
        <f t="shared" si="10"/>
        <v>Halls TN</v>
      </c>
      <c r="D113" s="10" t="e">
        <f>VLOOKUP(A:A,PTS!C:R,6,FALSE)</f>
        <v>#N/A</v>
      </c>
      <c r="E113" s="531" t="e" cm="1" vm="1">
        <f t="array" ref="E113">AVERAGE(_xlfn._xlws.FILTER(PTS!I:I, (PTS!$C:$C=A113) * ISNUMBER(PTS!I:I)))</f>
        <v>#VALUE!</v>
      </c>
      <c r="F113" s="10" t="e" cm="1" vm="1">
        <f t="array" ref="F113">AVERAGE(_xlfn._xlws.FILTER(PTS!J:J, (PTS!$C:$C=A113) * ISNUMBER(PTS!J:J)))</f>
        <v>#VALUE!</v>
      </c>
      <c r="G113" s="531" t="e" cm="1" vm="1">
        <f t="array" ref="G113">AVERAGE(_xlfn._xlws.FILTER(PTS!K:K, (PTS!$C:$C=A113) * ISNUMBER(PTS!K:K)))</f>
        <v>#VALUE!</v>
      </c>
      <c r="H113" s="531" t="e" cm="1" vm="1">
        <f t="array" ref="H113">AVERAGE(_xlfn._xlws.FILTER(PTS!L:L, (PTS!$C:$C=A113) * ISNUMBER(PTS!L:L)))</f>
        <v>#VALUE!</v>
      </c>
      <c r="I113" s="531" t="e" cm="1" vm="1">
        <f t="array" ref="I113">AVERAGE(_xlfn._xlws.FILTER(PTS!M:M, (PTS!$C:$C=A113) * ISNUMBER(PTS!M:M)))</f>
        <v>#VALUE!</v>
      </c>
      <c r="J113" s="531" t="e" cm="1" vm="1">
        <f t="array" ref="J113">AVERAGE(_xlfn._xlws.FILTER(PTS!N:N, (PTS!$C:$C=A113) * ISNUMBER(PTS!N:N)))</f>
        <v>#VALUE!</v>
      </c>
      <c r="K113" s="531" t="e" cm="1" vm="1">
        <f t="array" ref="K113">AVERAGE(_xlfn._xlws.FILTER(PTS!O:O, (PTS!$C:$C=A113) * ISNUMBER(PTS!O:O)))</f>
        <v>#VALUE!</v>
      </c>
      <c r="L113" s="10" t="e" cm="1" vm="1">
        <f t="array" ref="L113">AVERAGE(_xlfn._xlws.FILTER(PTS!P:P, (PTS!$C:$C=A113) * ISNUMBER(PTS!P:P)))</f>
        <v>#VALUE!</v>
      </c>
      <c r="M113" s="531" t="e" vm="2">
        <f t="shared" si="11"/>
        <v>#VALUE!</v>
      </c>
      <c r="N113" s="531" t="e">
        <f t="shared" si="12"/>
        <v>#N/A</v>
      </c>
      <c r="O113" s="531" t="e" cm="1" vm="1">
        <f t="array" ref="O113">AVERAGE(_xlfn._xlws.FILTER(PTS!S:S, (PTS!$C:$C=A113) * ISNUMBER(PTS!S:S)))</f>
        <v>#VALUE!</v>
      </c>
      <c r="P113" s="531" t="e" cm="1" vm="1">
        <f t="array" ref="P113">AVERAGE(_xlfn._xlws.FILTER(PTS!T:T, (PTS!$C:$C=A113) * ISNUMBER(PTS!T:T)))</f>
        <v>#VALUE!</v>
      </c>
      <c r="Q113" s="531" t="e" cm="1" vm="1">
        <f t="array" ref="Q113">AVERAGE(_xlfn._xlws.FILTER(PTS!U:U, (PTS!$C:$C=A113) * ISNUMBER(PTS!U:U)))</f>
        <v>#VALUE!</v>
      </c>
      <c r="S113" s="531" t="e" vm="2">
        <f t="shared" si="13"/>
        <v>#VALUE!</v>
      </c>
      <c r="T113" s="531" t="e" cm="1" vm="1">
        <f t="array" ref="T113">AVERAGE(_xlfn._xlws.FILTER(PTS!X:X, (PTS!$C:$C=A113) * ISNUMBER(PTS!X:X)))</f>
        <v>#VALUE!</v>
      </c>
      <c r="U113" s="531" t="e" cm="1" vm="1">
        <f t="array" ref="U113">AVERAGE(_xlfn._xlws.FILTER(PTS!Y:Y, (PTS!$C:$C=A113) * ISNUMBER(PTS!Y:Y)))</f>
        <v>#VALUE!</v>
      </c>
      <c r="V113" s="531" t="e" cm="1" vm="1">
        <f t="array" ref="V113">AVERAGE(_xlfn._xlws.FILTER(PTS!Z:Z, (PTS!$C:$C=A113) * ISNUMBER(PTS!Z:Z)))</f>
        <v>#VALUE!</v>
      </c>
      <c r="X113" s="531" t="e" vm="2">
        <f t="shared" si="14"/>
        <v>#VALUE!</v>
      </c>
      <c r="Y113" s="531" t="e" cm="1" vm="1">
        <f t="array" ref="Y113">AVERAGE(_xlfn._xlws.FILTER(PTS!AC:AC, (PTS!$C:$C=A113) * ISNUMBER(PTS!AC:AC)))</f>
        <v>#VALUE!</v>
      </c>
      <c r="Z113" s="531" t="e" cm="1" vm="1">
        <f t="array" ref="Z113">AVERAGE(_xlfn._xlws.FILTER(PTS!AD:AD, (PTS!$C:$C=A113) * ISNUMBER(PTS!AD:AD)))</f>
        <v>#VALUE!</v>
      </c>
      <c r="AB113" s="531" t="e" vm="2">
        <f t="shared" si="15"/>
        <v>#VALUE!</v>
      </c>
      <c r="AC113" s="10" t="e" cm="1" vm="1">
        <f t="array" ref="AC113">AVERAGE(_xlfn._xlws.FILTER(PTS!AG:AG, (PTS!$C:$C=A113) * ISNUMBER(PTS!AG:AG)))</f>
        <v>#VALUE!</v>
      </c>
      <c r="AD113" s="531" t="e" cm="1" vm="1">
        <f t="array" ref="AD113">AVERAGE(_xlfn._xlws.FILTER(PTS!AH:AH, (PTS!$C:$C=A113) * ISNUMBER(PTS!AH:AH)))</f>
        <v>#VALUE!</v>
      </c>
      <c r="AE113" s="531" t="e" cm="1" vm="1">
        <f t="array" ref="AE113">AVERAGE(_xlfn._xlws.FILTER(PTS!AI:AI, (PTS!$C:$C=A113) * ISNUMBER(PTS!AI:AI)))</f>
        <v>#VALUE!</v>
      </c>
      <c r="AF113" s="531" t="e" cm="1" vm="1">
        <f t="array" ref="AF113">AVERAGE(_xlfn._xlws.FILTER(PTS!AJ:AJ, (PTS!$C:$C=A113) * ISNUMBER(PTS!AJ:AJ)))</f>
        <v>#VALUE!</v>
      </c>
      <c r="AH113" s="531" t="e" vm="2">
        <f t="shared" si="16"/>
        <v>#VALUE!</v>
      </c>
      <c r="AI113" s="10" t="e" cm="1" vm="1">
        <f t="array" ref="AI113">AVERAGE(_xlfn._xlws.FILTER(PTS!AM:AM, (PTS!$C:$C=A113) * ISNUMBER(PTS!AM:AM)))</f>
        <v>#VALUE!</v>
      </c>
      <c r="AJ113" s="10" t="e" cm="1" vm="1">
        <f t="array" ref="AJ113">AVERAGE(_xlfn._xlws.FILTER(PTS!AN:AN, (PTS!$C:$C=A113) * ISNUMBER(PTS!AN:AN)))</f>
        <v>#VALUE!</v>
      </c>
      <c r="AK113" s="10" t="e" cm="1" vm="1">
        <f t="array" ref="AK113">AVERAGE(_xlfn._xlws.FILTER(PTS!AO:AO, (PTS!$C:$C=A113) * ISNUMBER(PTS!AO:AO)))</f>
        <v>#VALUE!</v>
      </c>
      <c r="AN113" s="10" t="e" vm="2">
        <f t="shared" si="17"/>
        <v>#VALUE!</v>
      </c>
      <c r="AR113" s="531" t="e">
        <f t="shared" si="18"/>
        <v>#N/A</v>
      </c>
      <c r="AS113" s="531" t="e" vm="2">
        <f t="shared" si="19"/>
        <v>#VALUE!</v>
      </c>
    </row>
    <row r="114" spans="1:45">
      <c r="A114" s="32" t="s">
        <v>410</v>
      </c>
      <c r="B114" s="319" t="s">
        <v>71</v>
      </c>
      <c r="C114" s="319" t="str">
        <f t="shared" si="10"/>
        <v>HarlingenTX</v>
      </c>
      <c r="D114" s="10">
        <f>VLOOKUP(A:A,PTS!C:R,6,FALSE)</f>
        <v>3</v>
      </c>
      <c r="E114" s="531" cm="1">
        <f t="array" ref="E114">AVERAGE(_xlfn._xlws.FILTER(PTS!I:I, (PTS!$C:$C=A114) * ISNUMBER(PTS!I:I)))</f>
        <v>60</v>
      </c>
      <c r="F114" s="10" cm="1">
        <f t="array" ref="F114">AVERAGE(_xlfn._xlws.FILTER(PTS!J:J, (PTS!$C:$C=A114) * ISNUMBER(PTS!J:J)))</f>
        <v>185</v>
      </c>
      <c r="G114" s="531" cm="1">
        <f t="array" ref="G114">AVERAGE(_xlfn._xlws.FILTER(PTS!K:K, (PTS!$C:$C=A114) * ISNUMBER(PTS!K:K)))</f>
        <v>160</v>
      </c>
      <c r="H114" s="531" cm="1">
        <f t="array" ref="H114">AVERAGE(_xlfn._xlws.FILTER(PTS!L:L, (PTS!$C:$C=A114) * ISNUMBER(PTS!L:L)))</f>
        <v>0</v>
      </c>
      <c r="I114" s="531" cm="1">
        <f t="array" ref="I114">AVERAGE(_xlfn._xlws.FILTER(PTS!M:M, (PTS!$C:$C=A114) * ISNUMBER(PTS!M:M)))</f>
        <v>0</v>
      </c>
      <c r="J114" s="531" cm="1">
        <f t="array" ref="J114">AVERAGE(_xlfn._xlws.FILTER(PTS!N:N, (PTS!$C:$C=A114) * ISNUMBER(PTS!N:N)))</f>
        <v>58</v>
      </c>
      <c r="K114" s="531" cm="1">
        <f t="array" ref="K114">AVERAGE(_xlfn._xlws.FILTER(PTS!O:O, (PTS!$C:$C=A114) * ISNUMBER(PTS!O:O)))</f>
        <v>37.916666666666671</v>
      </c>
      <c r="L114" s="10" cm="1">
        <f t="array" ref="L114">AVERAGE(_xlfn._xlws.FILTER(PTS!P:P, (PTS!$C:$C=A114) * ISNUMBER(PTS!P:P)))</f>
        <v>0</v>
      </c>
      <c r="M114" s="531">
        <f t="shared" si="11"/>
        <v>500.91666666666669</v>
      </c>
      <c r="N114" s="531">
        <f t="shared" si="12"/>
        <v>440.91666666666669</v>
      </c>
      <c r="O114" s="531" cm="1">
        <f t="array" ref="O114">AVERAGE(_xlfn._xlws.FILTER(PTS!S:S, (PTS!$C:$C=A114) * ISNUMBER(PTS!S:S)))</f>
        <v>0</v>
      </c>
      <c r="P114" s="531" cm="1">
        <f t="array" ref="P114">AVERAGE(_xlfn._xlws.FILTER(PTS!T:T, (PTS!$C:$C=A114) * ISNUMBER(PTS!T:T)))</f>
        <v>0</v>
      </c>
      <c r="Q114" s="531" cm="1">
        <f t="array" ref="Q114">AVERAGE(_xlfn._xlws.FILTER(PTS!U:U, (PTS!$C:$C=A114) * ISNUMBER(PTS!U:U)))</f>
        <v>318.18181818181819</v>
      </c>
      <c r="S114" s="531">
        <f t="shared" si="13"/>
        <v>318.18181818181819</v>
      </c>
      <c r="T114" s="531" cm="1">
        <f t="array" ref="T114">AVERAGE(_xlfn._xlws.FILTER(PTS!X:X, (PTS!$C:$C=A114) * ISNUMBER(PTS!X:X)))</f>
        <v>54</v>
      </c>
      <c r="U114" s="531" cm="1">
        <f t="array" ref="U114">AVERAGE(_xlfn._xlws.FILTER(PTS!Y:Y, (PTS!$C:$C=A114) * ISNUMBER(PTS!Y:Y)))</f>
        <v>50.4</v>
      </c>
      <c r="V114" s="531" cm="1">
        <f t="array" ref="V114">AVERAGE(_xlfn._xlws.FILTER(PTS!Z:Z, (PTS!$C:$C=A114) * ISNUMBER(PTS!Z:Z)))</f>
        <v>26.25</v>
      </c>
      <c r="X114" s="531">
        <f t="shared" si="14"/>
        <v>130.65</v>
      </c>
      <c r="Y114" s="531" cm="1">
        <f t="array" ref="Y114">AVERAGE(_xlfn._xlws.FILTER(PTS!AC:AC, (PTS!$C:$C=A114) * ISNUMBER(PTS!AC:AC)))</f>
        <v>132.95454545454544</v>
      </c>
      <c r="Z114" s="531" cm="1">
        <f t="array" ref="Z114">AVERAGE(_xlfn._xlws.FILTER(PTS!AD:AD, (PTS!$C:$C=A114) * ISNUMBER(PTS!AD:AD)))</f>
        <v>197.95454545454547</v>
      </c>
      <c r="AB114" s="531">
        <f t="shared" si="15"/>
        <v>330.90909090909088</v>
      </c>
      <c r="AC114" s="10" cm="1">
        <f t="array" ref="AC114">AVERAGE(_xlfn._xlws.FILTER(PTS!AG:AG, (PTS!$C:$C=A114) * ISNUMBER(PTS!AG:AG)))</f>
        <v>28.814300000000003</v>
      </c>
      <c r="AD114" s="531" cm="1">
        <f t="array" ref="AD114">AVERAGE(_xlfn._xlws.FILTER(PTS!AH:AH, (PTS!$C:$C=A114) * ISNUMBER(PTS!AH:AH)))</f>
        <v>6.973140495867769</v>
      </c>
      <c r="AE114" s="531" cm="1">
        <f t="array" ref="AE114">AVERAGE(_xlfn._xlws.FILTER(PTS!AI:AI, (PTS!$C:$C=A114) * ISNUMBER(PTS!AI:AI)))</f>
        <v>12.587317427197677</v>
      </c>
      <c r="AF114" s="531" cm="1">
        <f t="array" ref="AF114">AVERAGE(_xlfn._xlws.FILTER(PTS!AJ:AJ, (PTS!$C:$C=A114) * ISNUMBER(PTS!AJ:AJ)))</f>
        <v>6.7351999999999999</v>
      </c>
      <c r="AH114" s="531">
        <f t="shared" si="16"/>
        <v>55.109957923065444</v>
      </c>
      <c r="AI114" s="10" cm="1">
        <f t="array" ref="AI114">AVERAGE(_xlfn._xlws.FILTER(PTS!AM:AM, (PTS!$C:$C=A114) * ISNUMBER(PTS!AM:AM)))</f>
        <v>79.999999999999986</v>
      </c>
      <c r="AJ114" s="10" cm="1">
        <f t="array" ref="AJ114">AVERAGE(_xlfn._xlws.FILTER(PTS!AN:AN, (PTS!$C:$C=A114) * ISNUMBER(PTS!AN:AN)))</f>
        <v>26.17808219178082</v>
      </c>
      <c r="AK114" s="10" cm="1">
        <f t="array" ref="AK114">AVERAGE(_xlfn._xlws.FILTER(PTS!AO:AO, (PTS!$C:$C=A114) * ISNUMBER(PTS!AO:AO)))</f>
        <v>0</v>
      </c>
      <c r="AN114" s="10">
        <f t="shared" si="17"/>
        <v>106.1780821917808</v>
      </c>
      <c r="AR114" s="531">
        <f t="shared" si="18"/>
        <v>1381.9456158724217</v>
      </c>
      <c r="AS114" s="531">
        <f t="shared" si="19"/>
        <v>1441.9456158724217</v>
      </c>
    </row>
    <row r="115" spans="1:45">
      <c r="A115" s="32" t="s">
        <v>414</v>
      </c>
      <c r="B115" s="319" t="s">
        <v>65</v>
      </c>
      <c r="C115" s="319" t="str">
        <f t="shared" si="10"/>
        <v>HartfordAL</v>
      </c>
      <c r="D115" s="10">
        <f>VLOOKUP(A:A,PTS!C:R,6,FALSE)</f>
        <v>1</v>
      </c>
      <c r="E115" s="531" cm="1">
        <f t="array" ref="E115">AVERAGE(_xlfn._xlws.FILTER(PTS!I:I, (PTS!$C:$C=A115) * ISNUMBER(PTS!I:I)))</f>
        <v>0</v>
      </c>
      <c r="F115" s="10" cm="1">
        <f t="array" ref="F115">AVERAGE(_xlfn._xlws.FILTER(PTS!J:J, (PTS!$C:$C=A115) * ISNUMBER(PTS!J:J)))</f>
        <v>0</v>
      </c>
      <c r="G115" s="531" cm="1">
        <f t="array" ref="G115">AVERAGE(_xlfn._xlws.FILTER(PTS!K:K, (PTS!$C:$C=A115) * ISNUMBER(PTS!K:K)))</f>
        <v>0</v>
      </c>
      <c r="H115" s="531" cm="1">
        <f t="array" ref="H115">AVERAGE(_xlfn._xlws.FILTER(PTS!L:L, (PTS!$C:$C=A115) * ISNUMBER(PTS!L:L)))</f>
        <v>0</v>
      </c>
      <c r="I115" s="531" cm="1">
        <f t="array" ref="I115">AVERAGE(_xlfn._xlws.FILTER(PTS!M:M, (PTS!$C:$C=A115) * ISNUMBER(PTS!M:M)))</f>
        <v>0</v>
      </c>
      <c r="J115" s="531" cm="1">
        <f t="array" ref="J115">AVERAGE(_xlfn._xlws.FILTER(PTS!N:N, (PTS!$C:$C=A115) * ISNUMBER(PTS!N:N)))</f>
        <v>60</v>
      </c>
      <c r="K115" s="531" cm="1">
        <f t="array" ref="K115">AVERAGE(_xlfn._xlws.FILTER(PTS!O:O, (PTS!$C:$C=A115) * ISNUMBER(PTS!O:O)))</f>
        <v>37.916666666666671</v>
      </c>
      <c r="L115" s="10" cm="1">
        <f t="array" ref="L115">AVERAGE(_xlfn._xlws.FILTER(PTS!P:P, (PTS!$C:$C=A115) * ISNUMBER(PTS!P:P)))</f>
        <v>0</v>
      </c>
      <c r="M115" s="531">
        <f t="shared" si="11"/>
        <v>97.916666666666671</v>
      </c>
      <c r="N115" s="531">
        <f t="shared" si="12"/>
        <v>97.916666666666671</v>
      </c>
      <c r="O115" s="531" cm="1">
        <f t="array" ref="O115">AVERAGE(_xlfn._xlws.FILTER(PTS!S:S, (PTS!$C:$C=A115) * ISNUMBER(PTS!S:S)))</f>
        <v>0</v>
      </c>
      <c r="P115" s="531" cm="1">
        <f t="array" ref="P115">AVERAGE(_xlfn._xlws.FILTER(PTS!T:T, (PTS!$C:$C=A115) * ISNUMBER(PTS!T:T)))</f>
        <v>0</v>
      </c>
      <c r="Q115" s="531" cm="1">
        <f t="array" ref="Q115">AVERAGE(_xlfn._xlws.FILTER(PTS!U:U, (PTS!$C:$C=A115) * ISNUMBER(PTS!U:U)))</f>
        <v>290.4829545454545</v>
      </c>
      <c r="S115" s="531">
        <f t="shared" si="13"/>
        <v>290.4829545454545</v>
      </c>
      <c r="T115" s="531" cm="1">
        <f t="array" ref="T115">AVERAGE(_xlfn._xlws.FILTER(PTS!X:X, (PTS!$C:$C=A115) * ISNUMBER(PTS!X:X)))</f>
        <v>52</v>
      </c>
      <c r="U115" s="531" cm="1">
        <f t="array" ref="U115">AVERAGE(_xlfn._xlws.FILTER(PTS!Y:Y, (PTS!$C:$C=A115) * ISNUMBER(PTS!Y:Y)))</f>
        <v>50.4</v>
      </c>
      <c r="V115" s="531" cm="1">
        <f t="array" ref="V115">AVERAGE(_xlfn._xlws.FILTER(PTS!Z:Z, (PTS!$C:$C=A115) * ISNUMBER(PTS!Z:Z)))</f>
        <v>26.25</v>
      </c>
      <c r="X115" s="531">
        <f t="shared" si="14"/>
        <v>128.65</v>
      </c>
      <c r="Y115" s="531" cm="1">
        <f t="array" ref="Y115">AVERAGE(_xlfn._xlws.FILTER(PTS!AC:AC, (PTS!$C:$C=A115) * ISNUMBER(PTS!AC:AC)))</f>
        <v>110.22727272727273</v>
      </c>
      <c r="Z115" s="531" cm="1">
        <f t="array" ref="Z115">AVERAGE(_xlfn._xlws.FILTER(PTS!AD:AD, (PTS!$C:$C=A115) * ISNUMBER(PTS!AD:AD)))</f>
        <v>107.04545454545455</v>
      </c>
      <c r="AB115" s="531">
        <f t="shared" si="15"/>
        <v>217.27272727272728</v>
      </c>
      <c r="AC115" s="10" cm="1">
        <f t="array" ref="AC115">AVERAGE(_xlfn._xlws.FILTER(PTS!AG:AG, (PTS!$C:$C=A115) * ISNUMBER(PTS!AG:AG)))</f>
        <v>28.814300000000003</v>
      </c>
      <c r="AD115" s="531" cm="1">
        <f t="array" ref="AD115">AVERAGE(_xlfn._xlws.FILTER(PTS!AH:AH, (PTS!$C:$C=A115) * ISNUMBER(PTS!AH:AH)))</f>
        <v>6.973140495867769</v>
      </c>
      <c r="AE115" s="531" cm="1">
        <f t="array" ref="AE115">AVERAGE(_xlfn._xlws.FILTER(PTS!AI:AI, (PTS!$C:$C=A115) * ISNUMBER(PTS!AI:AI)))</f>
        <v>12.587317427197677</v>
      </c>
      <c r="AF115" s="531" cm="1">
        <f t="array" ref="AF115">AVERAGE(_xlfn._xlws.FILTER(PTS!AJ:AJ, (PTS!$C:$C=A115) * ISNUMBER(PTS!AJ:AJ)))</f>
        <v>6.7351999999999999</v>
      </c>
      <c r="AH115" s="531">
        <f t="shared" si="16"/>
        <v>55.109957923065444</v>
      </c>
      <c r="AI115" s="10" cm="1">
        <f t="array" ref="AI115">AVERAGE(_xlfn._xlws.FILTER(PTS!AM:AM, (PTS!$C:$C=A115) * ISNUMBER(PTS!AM:AM)))</f>
        <v>79.999999999999986</v>
      </c>
      <c r="AJ115" s="10" cm="1">
        <f t="array" ref="AJ115">AVERAGE(_xlfn._xlws.FILTER(PTS!AN:AN, (PTS!$C:$C=A115) * ISNUMBER(PTS!AN:AN)))</f>
        <v>26.17808219178082</v>
      </c>
      <c r="AK115" s="10" cm="1">
        <f t="array" ref="AK115">AVERAGE(_xlfn._xlws.FILTER(PTS!AO:AO, (PTS!$C:$C=A115) * ISNUMBER(PTS!AO:AO)))</f>
        <v>0</v>
      </c>
      <c r="AN115" s="10">
        <f t="shared" si="17"/>
        <v>106.1780821917808</v>
      </c>
      <c r="AR115" s="531">
        <f t="shared" si="18"/>
        <v>895.61038859969472</v>
      </c>
      <c r="AS115" s="531">
        <f t="shared" si="19"/>
        <v>895.61038859969472</v>
      </c>
    </row>
    <row r="116" spans="1:45">
      <c r="A116" s="32" t="s">
        <v>417</v>
      </c>
      <c r="B116" s="319" t="s">
        <v>132</v>
      </c>
      <c r="C116" s="319" t="str">
        <f t="shared" si="10"/>
        <v>HartsvilleSC</v>
      </c>
      <c r="D116" s="10">
        <f>VLOOKUP(A:A,PTS!C:R,6,FALSE)</f>
        <v>1</v>
      </c>
      <c r="E116" s="531" cm="1">
        <f t="array" ref="E116">AVERAGE(_xlfn._xlws.FILTER(PTS!I:I, (PTS!$C:$C=A116) * ISNUMBER(PTS!I:I)))</f>
        <v>60</v>
      </c>
      <c r="F116" s="10" cm="1">
        <f t="array" ref="F116">AVERAGE(_xlfn._xlws.FILTER(PTS!J:J, (PTS!$C:$C=A116) * ISNUMBER(PTS!J:J)))</f>
        <v>120</v>
      </c>
      <c r="G116" s="531" cm="1">
        <f t="array" ref="G116">AVERAGE(_xlfn._xlws.FILTER(PTS!K:K, (PTS!$C:$C=A116) * ISNUMBER(PTS!K:K)))</f>
        <v>0</v>
      </c>
      <c r="H116" s="531" cm="1">
        <f t="array" ref="H116">AVERAGE(_xlfn._xlws.FILTER(PTS!L:L, (PTS!$C:$C=A116) * ISNUMBER(PTS!L:L)))</f>
        <v>0</v>
      </c>
      <c r="I116" s="531" cm="1">
        <f t="array" ref="I116">AVERAGE(_xlfn._xlws.FILTER(PTS!M:M, (PTS!$C:$C=A116) * ISNUMBER(PTS!M:M)))</f>
        <v>10</v>
      </c>
      <c r="J116" s="531" cm="1">
        <f t="array" ref="J116">AVERAGE(_xlfn._xlws.FILTER(PTS!N:N, (PTS!$C:$C=A116) * ISNUMBER(PTS!N:N)))</f>
        <v>55</v>
      </c>
      <c r="K116" s="531" cm="1">
        <f t="array" ref="K116">AVERAGE(_xlfn._xlws.FILTER(PTS!O:O, (PTS!$C:$C=A116) * ISNUMBER(PTS!O:O)))</f>
        <v>37.916666666666671</v>
      </c>
      <c r="L116" s="10" cm="1">
        <f t="array" ref="L116">AVERAGE(_xlfn._xlws.FILTER(PTS!P:P, (PTS!$C:$C=A116) * ISNUMBER(PTS!P:P)))</f>
        <v>0</v>
      </c>
      <c r="M116" s="531">
        <f t="shared" si="11"/>
        <v>282.91666666666669</v>
      </c>
      <c r="N116" s="531">
        <f t="shared" si="12"/>
        <v>92.916666666666671</v>
      </c>
      <c r="O116" s="531" cm="1">
        <f t="array" ref="O116">AVERAGE(_xlfn._xlws.FILTER(PTS!S:S, (PTS!$C:$C=A116) * ISNUMBER(PTS!S:S)))</f>
        <v>0</v>
      </c>
      <c r="P116" s="531" cm="1">
        <f t="array" ref="P116">AVERAGE(_xlfn._xlws.FILTER(PTS!T:T, (PTS!$C:$C=A116) * ISNUMBER(PTS!T:T)))</f>
        <v>0</v>
      </c>
      <c r="Q116" s="531" cm="1">
        <f t="array" ref="Q116">AVERAGE(_xlfn._xlws.FILTER(PTS!U:U, (PTS!$C:$C=A116) * ISNUMBER(PTS!U:U)))</f>
        <v>230.29090909090908</v>
      </c>
      <c r="S116" s="531">
        <f t="shared" si="13"/>
        <v>230.29090909090908</v>
      </c>
      <c r="T116" s="531" cm="1">
        <f t="array" ref="T116">AVERAGE(_xlfn._xlws.FILTER(PTS!X:X, (PTS!$C:$C=A116) * ISNUMBER(PTS!X:X)))</f>
        <v>52</v>
      </c>
      <c r="U116" s="531" cm="1">
        <f t="array" ref="U116">AVERAGE(_xlfn._xlws.FILTER(PTS!Y:Y, (PTS!$C:$C=A116) * ISNUMBER(PTS!Y:Y)))</f>
        <v>50.4</v>
      </c>
      <c r="V116" s="531" cm="1">
        <f t="array" ref="V116">AVERAGE(_xlfn._xlws.FILTER(PTS!Z:Z, (PTS!$C:$C=A116) * ISNUMBER(PTS!Z:Z)))</f>
        <v>26.25</v>
      </c>
      <c r="X116" s="531">
        <f t="shared" si="14"/>
        <v>128.65</v>
      </c>
      <c r="Y116" s="531" cm="1">
        <f t="array" ref="Y116">AVERAGE(_xlfn._xlws.FILTER(PTS!AC:AC, (PTS!$C:$C=A116) * ISNUMBER(PTS!AC:AC)))</f>
        <v>110.22727272727273</v>
      </c>
      <c r="Z116" s="531" cm="1">
        <f t="array" ref="Z116">AVERAGE(_xlfn._xlws.FILTER(PTS!AD:AD, (PTS!$C:$C=A116) * ISNUMBER(PTS!AD:AD)))</f>
        <v>107.04545454545455</v>
      </c>
      <c r="AB116" s="531">
        <f t="shared" si="15"/>
        <v>217.27272727272728</v>
      </c>
      <c r="AC116" s="10" cm="1">
        <f t="array" ref="AC116">AVERAGE(_xlfn._xlws.FILTER(PTS!AG:AG, (PTS!$C:$C=A116) * ISNUMBER(PTS!AG:AG)))</f>
        <v>28.814300000000003</v>
      </c>
      <c r="AD116" s="531" cm="1">
        <f t="array" ref="AD116">AVERAGE(_xlfn._xlws.FILTER(PTS!AH:AH, (PTS!$C:$C=A116) * ISNUMBER(PTS!AH:AH)))</f>
        <v>6.973140495867769</v>
      </c>
      <c r="AE116" s="531" cm="1">
        <f t="array" ref="AE116">AVERAGE(_xlfn._xlws.FILTER(PTS!AI:AI, (PTS!$C:$C=A116) * ISNUMBER(PTS!AI:AI)))</f>
        <v>12.587317427197677</v>
      </c>
      <c r="AF116" s="531" cm="1">
        <f t="array" ref="AF116">AVERAGE(_xlfn._xlws.FILTER(PTS!AJ:AJ, (PTS!$C:$C=A116) * ISNUMBER(PTS!AJ:AJ)))</f>
        <v>6.7351999999999999</v>
      </c>
      <c r="AH116" s="531">
        <f t="shared" si="16"/>
        <v>55.109957923065444</v>
      </c>
      <c r="AI116" s="10" cm="1">
        <f t="array" ref="AI116">AVERAGE(_xlfn._xlws.FILTER(PTS!AM:AM, (PTS!$C:$C=A116) * ISNUMBER(PTS!AM:AM)))</f>
        <v>79.999999999999986</v>
      </c>
      <c r="AJ116" s="10" cm="1">
        <f t="array" ref="AJ116">AVERAGE(_xlfn._xlws.FILTER(PTS!AN:AN, (PTS!$C:$C=A116) * ISNUMBER(PTS!AN:AN)))</f>
        <v>26.17808219178082</v>
      </c>
      <c r="AK116" s="10" cm="1">
        <f t="array" ref="AK116">AVERAGE(_xlfn._xlws.FILTER(PTS!AO:AO, (PTS!$C:$C=A116) * ISNUMBER(PTS!AO:AO)))</f>
        <v>0</v>
      </c>
      <c r="AN116" s="10">
        <f t="shared" si="17"/>
        <v>106.1780821917808</v>
      </c>
      <c r="AR116" s="531">
        <f t="shared" si="18"/>
        <v>830.41834314514927</v>
      </c>
      <c r="AS116" s="531">
        <f t="shared" si="19"/>
        <v>1020.4183431451493</v>
      </c>
    </row>
    <row r="117" spans="1:45">
      <c r="A117" s="32" t="s">
        <v>420</v>
      </c>
      <c r="B117" s="319" t="s">
        <v>76</v>
      </c>
      <c r="C117" s="319" t="str">
        <f t="shared" si="10"/>
        <v>HawkinsvilleGA</v>
      </c>
      <c r="D117" s="10">
        <f>VLOOKUP(A:A,PTS!C:R,6,FALSE)</f>
        <v>4</v>
      </c>
      <c r="E117" s="531" cm="1">
        <f t="array" ref="E117">AVERAGE(_xlfn._xlws.FILTER(PTS!I:I, (PTS!$C:$C=A117) * ISNUMBER(PTS!I:I)))</f>
        <v>80</v>
      </c>
      <c r="F117" s="10" cm="1">
        <f t="array" ref="F117">AVERAGE(_xlfn._xlws.FILTER(PTS!J:J, (PTS!$C:$C=A117) * ISNUMBER(PTS!J:J)))</f>
        <v>0</v>
      </c>
      <c r="G117" s="531" cm="1">
        <f t="array" ref="G117">AVERAGE(_xlfn._xlws.FILTER(PTS!K:K, (PTS!$C:$C=A117) * ISNUMBER(PTS!K:K)))</f>
        <v>0</v>
      </c>
      <c r="H117" s="531" cm="1">
        <f t="array" ref="H117">AVERAGE(_xlfn._xlws.FILTER(PTS!L:L, (PTS!$C:$C=A117) * ISNUMBER(PTS!L:L)))</f>
        <v>0</v>
      </c>
      <c r="I117" s="531" cm="1">
        <f t="array" ref="I117">AVERAGE(_xlfn._xlws.FILTER(PTS!M:M, (PTS!$C:$C=A117) * ISNUMBER(PTS!M:M)))</f>
        <v>0</v>
      </c>
      <c r="J117" s="531" cm="1">
        <f t="array" ref="J117">AVERAGE(_xlfn._xlws.FILTER(PTS!N:N, (PTS!$C:$C=A117) * ISNUMBER(PTS!N:N)))</f>
        <v>60</v>
      </c>
      <c r="K117" s="531" cm="1">
        <f t="array" ref="K117">AVERAGE(_xlfn._xlws.FILTER(PTS!O:O, (PTS!$C:$C=A117) * ISNUMBER(PTS!O:O)))</f>
        <v>37.916666666666671</v>
      </c>
      <c r="L117" s="10" cm="1">
        <f t="array" ref="L117">AVERAGE(_xlfn._xlws.FILTER(PTS!P:P, (PTS!$C:$C=A117) * ISNUMBER(PTS!P:P)))</f>
        <v>0</v>
      </c>
      <c r="M117" s="531">
        <f t="shared" si="11"/>
        <v>177.91666666666669</v>
      </c>
      <c r="N117" s="531">
        <f t="shared" si="12"/>
        <v>37.916666666666671</v>
      </c>
      <c r="O117" s="531" cm="1">
        <f t="array" ref="O117">AVERAGE(_xlfn._xlws.FILTER(PTS!S:S, (PTS!$C:$C=A117) * ISNUMBER(PTS!S:S)))</f>
        <v>0</v>
      </c>
      <c r="P117" s="531" cm="1">
        <f t="array" ref="P117">AVERAGE(_xlfn._xlws.FILTER(PTS!T:T, (PTS!$C:$C=A117) * ISNUMBER(PTS!T:T)))</f>
        <v>0</v>
      </c>
      <c r="Q117" s="531" cm="1">
        <f t="array" ref="Q117">AVERAGE(_xlfn._xlws.FILTER(PTS!U:U, (PTS!$C:$C=A117) * ISNUMBER(PTS!U:U)))</f>
        <v>216.08636363636364</v>
      </c>
      <c r="S117" s="531">
        <f t="shared" si="13"/>
        <v>216.08636363636364</v>
      </c>
      <c r="T117" s="531" cm="1">
        <f t="array" ref="T117">AVERAGE(_xlfn._xlws.FILTER(PTS!X:X, (PTS!$C:$C=A117) * ISNUMBER(PTS!X:X)))</f>
        <v>52</v>
      </c>
      <c r="U117" s="531" cm="1">
        <f t="array" ref="U117">AVERAGE(_xlfn._xlws.FILTER(PTS!Y:Y, (PTS!$C:$C=A117) * ISNUMBER(PTS!Y:Y)))</f>
        <v>50.4</v>
      </c>
      <c r="V117" s="531" cm="1">
        <f t="array" ref="V117">AVERAGE(_xlfn._xlws.FILTER(PTS!Z:Z, (PTS!$C:$C=A117) * ISNUMBER(PTS!Z:Z)))</f>
        <v>26.25</v>
      </c>
      <c r="X117" s="531">
        <f t="shared" si="14"/>
        <v>128.65</v>
      </c>
      <c r="Y117" s="531" cm="1">
        <f t="array" ref="Y117">AVERAGE(_xlfn._xlws.FILTER(PTS!AC:AC, (PTS!$C:$C=A117) * ISNUMBER(PTS!AC:AC)))</f>
        <v>110.22727272727273</v>
      </c>
      <c r="Z117" s="531" cm="1">
        <f t="array" ref="Z117">AVERAGE(_xlfn._xlws.FILTER(PTS!AD:AD, (PTS!$C:$C=A117) * ISNUMBER(PTS!AD:AD)))</f>
        <v>107.04545454545455</v>
      </c>
      <c r="AB117" s="531">
        <f t="shared" si="15"/>
        <v>217.27272727272728</v>
      </c>
      <c r="AC117" s="10" cm="1">
        <f t="array" ref="AC117">AVERAGE(_xlfn._xlws.FILTER(PTS!AG:AG, (PTS!$C:$C=A117) * ISNUMBER(PTS!AG:AG)))</f>
        <v>28.814300000000003</v>
      </c>
      <c r="AD117" s="531" cm="1">
        <f t="array" ref="AD117">AVERAGE(_xlfn._xlws.FILTER(PTS!AH:AH, (PTS!$C:$C=A117) * ISNUMBER(PTS!AH:AH)))</f>
        <v>6.973140495867769</v>
      </c>
      <c r="AE117" s="531" cm="1">
        <f t="array" ref="AE117">AVERAGE(_xlfn._xlws.FILTER(PTS!AI:AI, (PTS!$C:$C=A117) * ISNUMBER(PTS!AI:AI)))</f>
        <v>12.587317427197677</v>
      </c>
      <c r="AF117" s="531" cm="1">
        <f t="array" ref="AF117">AVERAGE(_xlfn._xlws.FILTER(PTS!AJ:AJ, (PTS!$C:$C=A117) * ISNUMBER(PTS!AJ:AJ)))</f>
        <v>6.7351999999999999</v>
      </c>
      <c r="AH117" s="531">
        <f t="shared" si="16"/>
        <v>55.109957923065444</v>
      </c>
      <c r="AI117" s="10" cm="1">
        <f t="array" ref="AI117">AVERAGE(_xlfn._xlws.FILTER(PTS!AM:AM, (PTS!$C:$C=A117) * ISNUMBER(PTS!AM:AM)))</f>
        <v>79.999999999999986</v>
      </c>
      <c r="AJ117" s="10" cm="1">
        <f t="array" ref="AJ117">AVERAGE(_xlfn._xlws.FILTER(PTS!AN:AN, (PTS!$C:$C=A117) * ISNUMBER(PTS!AN:AN)))</f>
        <v>26.17808219178082</v>
      </c>
      <c r="AK117" s="10" cm="1">
        <f t="array" ref="AK117">AVERAGE(_xlfn._xlws.FILTER(PTS!AO:AO, (PTS!$C:$C=A117) * ISNUMBER(PTS!AO:AO)))</f>
        <v>0</v>
      </c>
      <c r="AN117" s="10">
        <f t="shared" si="17"/>
        <v>106.1780821917808</v>
      </c>
      <c r="AR117" s="531">
        <f t="shared" si="18"/>
        <v>761.21379769060377</v>
      </c>
      <c r="AS117" s="531">
        <f t="shared" si="19"/>
        <v>901.21379769060377</v>
      </c>
    </row>
    <row r="118" spans="1:45">
      <c r="A118" s="32" t="s">
        <v>423</v>
      </c>
      <c r="B118" s="319" t="s">
        <v>190</v>
      </c>
      <c r="C118" s="319" t="str">
        <f t="shared" si="10"/>
        <v>HaytiMO</v>
      </c>
      <c r="D118" s="10">
        <f>VLOOKUP(A:A,PTS!C:R,6,FALSE)</f>
        <v>1</v>
      </c>
      <c r="E118" s="531" cm="1">
        <f t="array" ref="E118">AVERAGE(_xlfn._xlws.FILTER(PTS!I:I, (PTS!$C:$C=A118) * ISNUMBER(PTS!I:I)))</f>
        <v>42</v>
      </c>
      <c r="F118" s="10" cm="1">
        <f t="array" ref="F118">AVERAGE(_xlfn._xlws.FILTER(PTS!J:J, (PTS!$C:$C=A118) * ISNUMBER(PTS!J:J)))</f>
        <v>415</v>
      </c>
      <c r="G118" s="531" cm="1">
        <f t="array" ref="G118">AVERAGE(_xlfn._xlws.FILTER(PTS!K:K, (PTS!$C:$C=A118) * ISNUMBER(PTS!K:K)))</f>
        <v>0</v>
      </c>
      <c r="H118" s="531" cm="1">
        <f t="array" ref="H118">AVERAGE(_xlfn._xlws.FILTER(PTS!L:L, (PTS!$C:$C=A118) * ISNUMBER(PTS!L:L)))</f>
        <v>0</v>
      </c>
      <c r="I118" s="531" cm="1">
        <f t="array" ref="I118">AVERAGE(_xlfn._xlws.FILTER(PTS!M:M, (PTS!$C:$C=A118) * ISNUMBER(PTS!M:M)))</f>
        <v>10</v>
      </c>
      <c r="J118" s="531" cm="1">
        <f t="array" ref="J118">AVERAGE(_xlfn._xlws.FILTER(PTS!N:N, (PTS!$C:$C=A118) * ISNUMBER(PTS!N:N)))</f>
        <v>65</v>
      </c>
      <c r="K118" s="531" cm="1">
        <f t="array" ref="K118">AVERAGE(_xlfn._xlws.FILTER(PTS!O:O, (PTS!$C:$C=A118) * ISNUMBER(PTS!O:O)))</f>
        <v>37.916666666666671</v>
      </c>
      <c r="L118" s="10" cm="1">
        <f t="array" ref="L118">AVERAGE(_xlfn._xlws.FILTER(PTS!P:P, (PTS!$C:$C=A118) * ISNUMBER(PTS!P:P)))</f>
        <v>0</v>
      </c>
      <c r="M118" s="531">
        <f t="shared" si="11"/>
        <v>569.91666666666663</v>
      </c>
      <c r="N118" s="531">
        <f t="shared" si="12"/>
        <v>102.91666666666667</v>
      </c>
      <c r="O118" s="531" cm="1">
        <f t="array" ref="O118">AVERAGE(_xlfn._xlws.FILTER(PTS!S:S, (PTS!$C:$C=A118) * ISNUMBER(PTS!S:S)))</f>
        <v>0</v>
      </c>
      <c r="P118" s="531" cm="1">
        <f t="array" ref="P118">AVERAGE(_xlfn._xlws.FILTER(PTS!T:T, (PTS!$C:$C=A118) * ISNUMBER(PTS!T:T)))</f>
        <v>0</v>
      </c>
      <c r="Q118" s="531" cm="1">
        <f t="array" ref="Q118">AVERAGE(_xlfn._xlws.FILTER(PTS!U:U, (PTS!$C:$C=A118) * ISNUMBER(PTS!U:U)))</f>
        <v>215.34659090909091</v>
      </c>
      <c r="S118" s="531">
        <f t="shared" si="13"/>
        <v>215.34659090909091</v>
      </c>
      <c r="T118" s="531" cm="1">
        <f t="array" ref="T118">AVERAGE(_xlfn._xlws.FILTER(PTS!X:X, (PTS!$C:$C=A118) * ISNUMBER(PTS!X:X)))</f>
        <v>50</v>
      </c>
      <c r="U118" s="531" cm="1">
        <f t="array" ref="U118">AVERAGE(_xlfn._xlws.FILTER(PTS!Y:Y, (PTS!$C:$C=A118) * ISNUMBER(PTS!Y:Y)))</f>
        <v>33.6</v>
      </c>
      <c r="V118" s="531" cm="1">
        <f t="array" ref="V118">AVERAGE(_xlfn._xlws.FILTER(PTS!Z:Z, (PTS!$C:$C=A118) * ISNUMBER(PTS!Z:Z)))</f>
        <v>26.25</v>
      </c>
      <c r="X118" s="531">
        <f t="shared" si="14"/>
        <v>109.85</v>
      </c>
      <c r="Y118" s="531" cm="1">
        <f t="array" ref="Y118">AVERAGE(_xlfn._xlws.FILTER(PTS!AC:AC, (PTS!$C:$C=A118) * ISNUMBER(PTS!AC:AC)))</f>
        <v>146.02272727272725</v>
      </c>
      <c r="Z118" s="531" cm="1">
        <f t="array" ref="Z118">AVERAGE(_xlfn._xlws.FILTER(PTS!AD:AD, (PTS!$C:$C=A118) * ISNUMBER(PTS!AD:AD)))</f>
        <v>182.72727272727275</v>
      </c>
      <c r="AB118" s="531">
        <f t="shared" si="15"/>
        <v>328.75</v>
      </c>
      <c r="AC118" s="10" cm="1">
        <f t="array" ref="AC118">AVERAGE(_xlfn._xlws.FILTER(PTS!AG:AG, (PTS!$C:$C=A118) * ISNUMBER(PTS!AG:AG)))</f>
        <v>28.814300000000003</v>
      </c>
      <c r="AD118" s="531" cm="1">
        <f t="array" ref="AD118">AVERAGE(_xlfn._xlws.FILTER(PTS!AH:AH, (PTS!$C:$C=A118) * ISNUMBER(PTS!AH:AH)))</f>
        <v>6.973140495867769</v>
      </c>
      <c r="AE118" s="531" cm="1">
        <f t="array" ref="AE118">AVERAGE(_xlfn._xlws.FILTER(PTS!AI:AI, (PTS!$C:$C=A118) * ISNUMBER(PTS!AI:AI)))</f>
        <v>12.587317427197677</v>
      </c>
      <c r="AF118" s="531" cm="1">
        <f t="array" ref="AF118">AVERAGE(_xlfn._xlws.FILTER(PTS!AJ:AJ, (PTS!$C:$C=A118) * ISNUMBER(PTS!AJ:AJ)))</f>
        <v>6.7351999999999999</v>
      </c>
      <c r="AH118" s="531">
        <f t="shared" si="16"/>
        <v>55.109957923065444</v>
      </c>
      <c r="AI118" s="10" cm="1">
        <f t="array" ref="AI118">AVERAGE(_xlfn._xlws.FILTER(PTS!AM:AM, (PTS!$C:$C=A118) * ISNUMBER(PTS!AM:AM)))</f>
        <v>79.999999999999986</v>
      </c>
      <c r="AJ118" s="10" cm="1">
        <f t="array" ref="AJ118">AVERAGE(_xlfn._xlws.FILTER(PTS!AN:AN, (PTS!$C:$C=A118) * ISNUMBER(PTS!AN:AN)))</f>
        <v>26.17808219178082</v>
      </c>
      <c r="AK118" s="10" cm="1">
        <f t="array" ref="AK118">AVERAGE(_xlfn._xlws.FILTER(PTS!AO:AO, (PTS!$C:$C=A118) * ISNUMBER(PTS!AO:AO)))</f>
        <v>0</v>
      </c>
      <c r="AN118" s="10">
        <f t="shared" si="17"/>
        <v>106.1780821917808</v>
      </c>
      <c r="AR118" s="531">
        <f t="shared" si="18"/>
        <v>918.15129769060377</v>
      </c>
      <c r="AS118" s="531">
        <f t="shared" si="19"/>
        <v>1385.1512976906035</v>
      </c>
    </row>
    <row r="119" spans="1:45">
      <c r="A119" s="32" t="s">
        <v>425</v>
      </c>
      <c r="B119" s="319" t="s">
        <v>76</v>
      </c>
      <c r="C119" s="319" t="str">
        <f t="shared" si="10"/>
        <v>HazelhurstGA</v>
      </c>
      <c r="D119" s="10">
        <f>VLOOKUP(A:A,PTS!C:R,6,FALSE)</f>
        <v>4</v>
      </c>
      <c r="E119" s="531" cm="1">
        <f t="array" ref="E119">AVERAGE(_xlfn._xlws.FILTER(PTS!I:I, (PTS!$C:$C=A119) * ISNUMBER(PTS!I:I)))</f>
        <v>59</v>
      </c>
      <c r="F119" s="10" cm="1">
        <f t="array" ref="F119">AVERAGE(_xlfn._xlws.FILTER(PTS!J:J, (PTS!$C:$C=A119) * ISNUMBER(PTS!J:J)))</f>
        <v>100</v>
      </c>
      <c r="G119" s="531" cm="1">
        <f t="array" ref="G119">AVERAGE(_xlfn._xlws.FILTER(PTS!K:K, (PTS!$C:$C=A119) * ISNUMBER(PTS!K:K)))</f>
        <v>0</v>
      </c>
      <c r="H119" s="531" cm="1">
        <f t="array" ref="H119">AVERAGE(_xlfn._xlws.FILTER(PTS!L:L, (PTS!$C:$C=A119) * ISNUMBER(PTS!L:L)))</f>
        <v>0</v>
      </c>
      <c r="I119" s="531" cm="1">
        <f t="array" ref="I119">AVERAGE(_xlfn._xlws.FILTER(PTS!M:M, (PTS!$C:$C=A119) * ISNUMBER(PTS!M:M)))</f>
        <v>0</v>
      </c>
      <c r="J119" s="531" cm="1">
        <f t="array" ref="J119">AVERAGE(_xlfn._xlws.FILTER(PTS!N:N, (PTS!$C:$C=A119) * ISNUMBER(PTS!N:N)))</f>
        <v>60</v>
      </c>
      <c r="K119" s="531" cm="1">
        <f t="array" ref="K119">AVERAGE(_xlfn._xlws.FILTER(PTS!O:O, (PTS!$C:$C=A119) * ISNUMBER(PTS!O:O)))</f>
        <v>37.916666666666671</v>
      </c>
      <c r="L119" s="10" cm="1">
        <f t="array" ref="L119">AVERAGE(_xlfn._xlws.FILTER(PTS!P:P, (PTS!$C:$C=A119) * ISNUMBER(PTS!P:P)))</f>
        <v>0</v>
      </c>
      <c r="M119" s="531">
        <f t="shared" si="11"/>
        <v>256.91666666666669</v>
      </c>
      <c r="N119" s="531">
        <f t="shared" si="12"/>
        <v>37.916666666666671</v>
      </c>
      <c r="O119" s="531" cm="1">
        <f t="array" ref="O119">AVERAGE(_xlfn._xlws.FILTER(PTS!S:S, (PTS!$C:$C=A119) * ISNUMBER(PTS!S:S)))</f>
        <v>0</v>
      </c>
      <c r="P119" s="531" cm="1">
        <f t="array" ref="P119">AVERAGE(_xlfn._xlws.FILTER(PTS!T:T, (PTS!$C:$C=A119) * ISNUMBER(PTS!T:T)))</f>
        <v>0</v>
      </c>
      <c r="Q119" s="531" cm="1">
        <f t="array" ref="Q119">AVERAGE(_xlfn._xlws.FILTER(PTS!U:U, (PTS!$C:$C=A119) * ISNUMBER(PTS!U:U)))</f>
        <v>182.7409090909091</v>
      </c>
      <c r="S119" s="531">
        <f t="shared" si="13"/>
        <v>182.7409090909091</v>
      </c>
      <c r="T119" s="531" cm="1">
        <f t="array" ref="T119">AVERAGE(_xlfn._xlws.FILTER(PTS!X:X, (PTS!$C:$C=A119) * ISNUMBER(PTS!X:X)))</f>
        <v>52</v>
      </c>
      <c r="U119" s="531" cm="1">
        <f t="array" ref="U119">AVERAGE(_xlfn._xlws.FILTER(PTS!Y:Y, (PTS!$C:$C=A119) * ISNUMBER(PTS!Y:Y)))</f>
        <v>50.4</v>
      </c>
      <c r="V119" s="531" cm="1">
        <f t="array" ref="V119">AVERAGE(_xlfn._xlws.FILTER(PTS!Z:Z, (PTS!$C:$C=A119) * ISNUMBER(PTS!Z:Z)))</f>
        <v>26.25</v>
      </c>
      <c r="X119" s="531">
        <f t="shared" si="14"/>
        <v>128.65</v>
      </c>
      <c r="Y119" s="531" cm="1">
        <f t="array" ref="Y119">AVERAGE(_xlfn._xlws.FILTER(PTS!AC:AC, (PTS!$C:$C=A119) * ISNUMBER(PTS!AC:AC)))</f>
        <v>110.22727272727273</v>
      </c>
      <c r="Z119" s="531" cm="1">
        <f t="array" ref="Z119">AVERAGE(_xlfn._xlws.FILTER(PTS!AD:AD, (PTS!$C:$C=A119) * ISNUMBER(PTS!AD:AD)))</f>
        <v>107.04545454545455</v>
      </c>
      <c r="AB119" s="531">
        <f t="shared" si="15"/>
        <v>217.27272727272728</v>
      </c>
      <c r="AC119" s="10" cm="1">
        <f t="array" ref="AC119">AVERAGE(_xlfn._xlws.FILTER(PTS!AG:AG, (PTS!$C:$C=A119) * ISNUMBER(PTS!AG:AG)))</f>
        <v>28.814300000000003</v>
      </c>
      <c r="AD119" s="531" cm="1">
        <f t="array" ref="AD119">AVERAGE(_xlfn._xlws.FILTER(PTS!AH:AH, (PTS!$C:$C=A119) * ISNUMBER(PTS!AH:AH)))</f>
        <v>6.973140495867769</v>
      </c>
      <c r="AE119" s="531" cm="1">
        <f t="array" ref="AE119">AVERAGE(_xlfn._xlws.FILTER(PTS!AI:AI, (PTS!$C:$C=A119) * ISNUMBER(PTS!AI:AI)))</f>
        <v>12.587317427197677</v>
      </c>
      <c r="AF119" s="531" cm="1">
        <f t="array" ref="AF119">AVERAGE(_xlfn._xlws.FILTER(PTS!AJ:AJ, (PTS!$C:$C=A119) * ISNUMBER(PTS!AJ:AJ)))</f>
        <v>6.7351999999999999</v>
      </c>
      <c r="AH119" s="531">
        <f t="shared" si="16"/>
        <v>55.109957923065444</v>
      </c>
      <c r="AI119" s="10" cm="1">
        <f t="array" ref="AI119">AVERAGE(_xlfn._xlws.FILTER(PTS!AM:AM, (PTS!$C:$C=A119) * ISNUMBER(PTS!AM:AM)))</f>
        <v>79.999999999999986</v>
      </c>
      <c r="AJ119" s="10" cm="1">
        <f t="array" ref="AJ119">AVERAGE(_xlfn._xlws.FILTER(PTS!AN:AN, (PTS!$C:$C=A119) * ISNUMBER(PTS!AN:AN)))</f>
        <v>26.17808219178082</v>
      </c>
      <c r="AK119" s="10" cm="1">
        <f t="array" ref="AK119">AVERAGE(_xlfn._xlws.FILTER(PTS!AO:AO, (PTS!$C:$C=A119) * ISNUMBER(PTS!AO:AO)))</f>
        <v>0</v>
      </c>
      <c r="AN119" s="10">
        <f t="shared" si="17"/>
        <v>106.1780821917808</v>
      </c>
      <c r="AR119" s="531">
        <f t="shared" si="18"/>
        <v>727.86834314514931</v>
      </c>
      <c r="AS119" s="531">
        <f t="shared" si="19"/>
        <v>946.86834314514931</v>
      </c>
    </row>
    <row r="120" spans="1:45">
      <c r="A120" s="32" t="s">
        <v>428</v>
      </c>
      <c r="B120" s="319" t="s">
        <v>76</v>
      </c>
      <c r="C120" s="319" t="str">
        <f t="shared" si="10"/>
        <v>HazlehurstGA</v>
      </c>
      <c r="D120" s="10">
        <f>VLOOKUP(A:A,PTS!C:R,6,FALSE)</f>
        <v>4</v>
      </c>
      <c r="E120" s="531" cm="1">
        <f t="array" ref="E120">AVERAGE(_xlfn._xlws.FILTER(PTS!I:I, (PTS!$C:$C=A120) * ISNUMBER(PTS!I:I)))</f>
        <v>59</v>
      </c>
      <c r="F120" s="10" cm="1">
        <f t="array" ref="F120">AVERAGE(_xlfn._xlws.FILTER(PTS!J:J, (PTS!$C:$C=A120) * ISNUMBER(PTS!J:J)))</f>
        <v>100</v>
      </c>
      <c r="G120" s="531" cm="1">
        <f t="array" ref="G120">AVERAGE(_xlfn._xlws.FILTER(PTS!K:K, (PTS!$C:$C=A120) * ISNUMBER(PTS!K:K)))</f>
        <v>0</v>
      </c>
      <c r="H120" s="531" cm="1">
        <f t="array" ref="H120">AVERAGE(_xlfn._xlws.FILTER(PTS!L:L, (PTS!$C:$C=A120) * ISNUMBER(PTS!L:L)))</f>
        <v>0</v>
      </c>
      <c r="I120" s="531" cm="1">
        <f t="array" ref="I120">AVERAGE(_xlfn._xlws.FILTER(PTS!M:M, (PTS!$C:$C=A120) * ISNUMBER(PTS!M:M)))</f>
        <v>0</v>
      </c>
      <c r="J120" s="531" cm="1">
        <f t="array" ref="J120">AVERAGE(_xlfn._xlws.FILTER(PTS!N:N, (PTS!$C:$C=A120) * ISNUMBER(PTS!N:N)))</f>
        <v>60</v>
      </c>
      <c r="K120" s="531" cm="1">
        <f t="array" ref="K120">AVERAGE(_xlfn._xlws.FILTER(PTS!O:O, (PTS!$C:$C=A120) * ISNUMBER(PTS!O:O)))</f>
        <v>37.916666666666671</v>
      </c>
      <c r="L120" s="10" cm="1">
        <f t="array" ref="L120">AVERAGE(_xlfn._xlws.FILTER(PTS!P:P, (PTS!$C:$C=A120) * ISNUMBER(PTS!P:P)))</f>
        <v>0</v>
      </c>
      <c r="M120" s="531">
        <f t="shared" si="11"/>
        <v>256.91666666666669</v>
      </c>
      <c r="N120" s="531">
        <f t="shared" si="12"/>
        <v>37.916666666666671</v>
      </c>
      <c r="O120" s="531" cm="1">
        <f t="array" ref="O120">AVERAGE(_xlfn._xlws.FILTER(PTS!S:S, (PTS!$C:$C=A120) * ISNUMBER(PTS!S:S)))</f>
        <v>0</v>
      </c>
      <c r="P120" s="531" cm="1">
        <f t="array" ref="P120">AVERAGE(_xlfn._xlws.FILTER(PTS!T:T, (PTS!$C:$C=A120) * ISNUMBER(PTS!T:T)))</f>
        <v>0</v>
      </c>
      <c r="Q120" s="531" cm="1">
        <f t="array" ref="Q120">AVERAGE(_xlfn._xlws.FILTER(PTS!U:U, (PTS!$C:$C=A120) * ISNUMBER(PTS!U:U)))</f>
        <v>166.1585227272727</v>
      </c>
      <c r="S120" s="531">
        <f t="shared" si="13"/>
        <v>166.1585227272727</v>
      </c>
      <c r="T120" s="531" cm="1">
        <f t="array" ref="T120">AVERAGE(_xlfn._xlws.FILTER(PTS!X:X, (PTS!$C:$C=A120) * ISNUMBER(PTS!X:X)))</f>
        <v>52</v>
      </c>
      <c r="U120" s="531" cm="1">
        <f t="array" ref="U120">AVERAGE(_xlfn._xlws.FILTER(PTS!Y:Y, (PTS!$C:$C=A120) * ISNUMBER(PTS!Y:Y)))</f>
        <v>50.4</v>
      </c>
      <c r="V120" s="531" cm="1">
        <f t="array" ref="V120">AVERAGE(_xlfn._xlws.FILTER(PTS!Z:Z, (PTS!$C:$C=A120) * ISNUMBER(PTS!Z:Z)))</f>
        <v>26.25</v>
      </c>
      <c r="X120" s="531">
        <f t="shared" si="14"/>
        <v>128.65</v>
      </c>
      <c r="Y120" s="531" cm="1">
        <f t="array" ref="Y120">AVERAGE(_xlfn._xlws.FILTER(PTS!AC:AC, (PTS!$C:$C=A120) * ISNUMBER(PTS!AC:AC)))</f>
        <v>110.22727272727273</v>
      </c>
      <c r="Z120" s="531" cm="1">
        <f t="array" ref="Z120">AVERAGE(_xlfn._xlws.FILTER(PTS!AD:AD, (PTS!$C:$C=A120) * ISNUMBER(PTS!AD:AD)))</f>
        <v>107.04545454545455</v>
      </c>
      <c r="AB120" s="531">
        <f t="shared" si="15"/>
        <v>217.27272727272728</v>
      </c>
      <c r="AC120" s="10" cm="1">
        <f t="array" ref="AC120">AVERAGE(_xlfn._xlws.FILTER(PTS!AG:AG, (PTS!$C:$C=A120) * ISNUMBER(PTS!AG:AG)))</f>
        <v>28.814300000000003</v>
      </c>
      <c r="AD120" s="531" cm="1">
        <f t="array" ref="AD120">AVERAGE(_xlfn._xlws.FILTER(PTS!AH:AH, (PTS!$C:$C=A120) * ISNUMBER(PTS!AH:AH)))</f>
        <v>6.973140495867769</v>
      </c>
      <c r="AE120" s="531" cm="1">
        <f t="array" ref="AE120">AVERAGE(_xlfn._xlws.FILTER(PTS!AI:AI, (PTS!$C:$C=A120) * ISNUMBER(PTS!AI:AI)))</f>
        <v>12.587317427197677</v>
      </c>
      <c r="AF120" s="531" cm="1">
        <f t="array" ref="AF120">AVERAGE(_xlfn._xlws.FILTER(PTS!AJ:AJ, (PTS!$C:$C=A120) * ISNUMBER(PTS!AJ:AJ)))</f>
        <v>6.7351999999999999</v>
      </c>
      <c r="AH120" s="531">
        <f t="shared" si="16"/>
        <v>55.109957923065444</v>
      </c>
      <c r="AI120" s="10" cm="1">
        <f t="array" ref="AI120">AVERAGE(_xlfn._xlws.FILTER(PTS!AM:AM, (PTS!$C:$C=A120) * ISNUMBER(PTS!AM:AM)))</f>
        <v>79.999999999999986</v>
      </c>
      <c r="AJ120" s="10" cm="1">
        <f t="array" ref="AJ120">AVERAGE(_xlfn._xlws.FILTER(PTS!AN:AN, (PTS!$C:$C=A120) * ISNUMBER(PTS!AN:AN)))</f>
        <v>26.17808219178082</v>
      </c>
      <c r="AK120" s="10" cm="1">
        <f t="array" ref="AK120">AVERAGE(_xlfn._xlws.FILTER(PTS!AO:AO, (PTS!$C:$C=A120) * ISNUMBER(PTS!AO:AO)))</f>
        <v>0</v>
      </c>
      <c r="AN120" s="10">
        <f t="shared" si="17"/>
        <v>106.1780821917808</v>
      </c>
      <c r="AR120" s="531">
        <f t="shared" si="18"/>
        <v>711.28595678151282</v>
      </c>
      <c r="AS120" s="531">
        <f t="shared" si="19"/>
        <v>930.28595678151282</v>
      </c>
    </row>
    <row r="121" spans="1:45">
      <c r="A121" s="32" t="s">
        <v>430</v>
      </c>
      <c r="B121" s="319" t="s">
        <v>65</v>
      </c>
      <c r="C121" s="319" t="str">
        <f t="shared" si="10"/>
        <v>HeadlandAL</v>
      </c>
      <c r="D121" s="10">
        <f>VLOOKUP(A:A,PTS!C:R,6,FALSE)</f>
        <v>1</v>
      </c>
      <c r="E121" s="531" cm="1">
        <f t="array" ref="E121">AVERAGE(_xlfn._xlws.FILTER(PTS!I:I, (PTS!$C:$C=A121) * ISNUMBER(PTS!I:I)))</f>
        <v>0</v>
      </c>
      <c r="F121" s="10" cm="1">
        <f t="array" ref="F121">AVERAGE(_xlfn._xlws.FILTER(PTS!J:J, (PTS!$C:$C=A121) * ISNUMBER(PTS!J:J)))</f>
        <v>0</v>
      </c>
      <c r="G121" s="531" cm="1">
        <f t="array" ref="G121">AVERAGE(_xlfn._xlws.FILTER(PTS!K:K, (PTS!$C:$C=A121) * ISNUMBER(PTS!K:K)))</f>
        <v>0</v>
      </c>
      <c r="H121" s="531" cm="1">
        <f t="array" ref="H121">AVERAGE(_xlfn._xlws.FILTER(PTS!L:L, (PTS!$C:$C=A121) * ISNUMBER(PTS!L:L)))</f>
        <v>0</v>
      </c>
      <c r="I121" s="531" cm="1">
        <f t="array" ref="I121">AVERAGE(_xlfn._xlws.FILTER(PTS!M:M, (PTS!$C:$C=A121) * ISNUMBER(PTS!M:M)))</f>
        <v>0</v>
      </c>
      <c r="J121" s="531" cm="1">
        <f t="array" ref="J121">AVERAGE(_xlfn._xlws.FILTER(PTS!N:N, (PTS!$C:$C=A121) * ISNUMBER(PTS!N:N)))</f>
        <v>57</v>
      </c>
      <c r="K121" s="531" cm="1">
        <f t="array" ref="K121">AVERAGE(_xlfn._xlws.FILTER(PTS!O:O, (PTS!$C:$C=A121) * ISNUMBER(PTS!O:O)))</f>
        <v>37.916666666666671</v>
      </c>
      <c r="L121" s="10" cm="1">
        <f t="array" ref="L121">AVERAGE(_xlfn._xlws.FILTER(PTS!P:P, (PTS!$C:$C=A121) * ISNUMBER(PTS!P:P)))</f>
        <v>0</v>
      </c>
      <c r="M121" s="531">
        <f t="shared" si="11"/>
        <v>94.916666666666671</v>
      </c>
      <c r="N121" s="531">
        <f t="shared" si="12"/>
        <v>94.916666666666671</v>
      </c>
      <c r="O121" s="531" cm="1">
        <f t="array" ref="O121">AVERAGE(_xlfn._xlws.FILTER(PTS!S:S, (PTS!$C:$C=A121) * ISNUMBER(PTS!S:S)))</f>
        <v>0</v>
      </c>
      <c r="P121" s="531" cm="1">
        <f t="array" ref="P121">AVERAGE(_xlfn._xlws.FILTER(PTS!T:T, (PTS!$C:$C=A121) * ISNUMBER(PTS!T:T)))</f>
        <v>0</v>
      </c>
      <c r="Q121" s="531" cm="1">
        <f t="array" ref="Q121">AVERAGE(_xlfn._xlws.FILTER(PTS!U:U, (PTS!$C:$C=A121) * ISNUMBER(PTS!U:U)))</f>
        <v>280.41590909090905</v>
      </c>
      <c r="S121" s="531">
        <f t="shared" si="13"/>
        <v>280.41590909090905</v>
      </c>
      <c r="T121" s="531" cm="1">
        <f t="array" ref="T121">AVERAGE(_xlfn._xlws.FILTER(PTS!X:X, (PTS!$C:$C=A121) * ISNUMBER(PTS!X:X)))</f>
        <v>52</v>
      </c>
      <c r="U121" s="531" cm="1">
        <f t="array" ref="U121">AVERAGE(_xlfn._xlws.FILTER(PTS!Y:Y, (PTS!$C:$C=A121) * ISNUMBER(PTS!Y:Y)))</f>
        <v>50.4</v>
      </c>
      <c r="V121" s="531" cm="1">
        <f t="array" ref="V121">AVERAGE(_xlfn._xlws.FILTER(PTS!Z:Z, (PTS!$C:$C=A121) * ISNUMBER(PTS!Z:Z)))</f>
        <v>26.25</v>
      </c>
      <c r="X121" s="531">
        <f t="shared" si="14"/>
        <v>128.65</v>
      </c>
      <c r="Y121" s="531" cm="1">
        <f t="array" ref="Y121">AVERAGE(_xlfn._xlws.FILTER(PTS!AC:AC, (PTS!$C:$C=A121) * ISNUMBER(PTS!AC:AC)))</f>
        <v>110.22727272727273</v>
      </c>
      <c r="Z121" s="531" cm="1">
        <f t="array" ref="Z121">AVERAGE(_xlfn._xlws.FILTER(PTS!AD:AD, (PTS!$C:$C=A121) * ISNUMBER(PTS!AD:AD)))</f>
        <v>107.04545454545455</v>
      </c>
      <c r="AB121" s="531">
        <f t="shared" si="15"/>
        <v>217.27272727272728</v>
      </c>
      <c r="AC121" s="10" cm="1">
        <f t="array" ref="AC121">AVERAGE(_xlfn._xlws.FILTER(PTS!AG:AG, (PTS!$C:$C=A121) * ISNUMBER(PTS!AG:AG)))</f>
        <v>28.814300000000003</v>
      </c>
      <c r="AD121" s="531" cm="1">
        <f t="array" ref="AD121">AVERAGE(_xlfn._xlws.FILTER(PTS!AH:AH, (PTS!$C:$C=A121) * ISNUMBER(PTS!AH:AH)))</f>
        <v>6.973140495867769</v>
      </c>
      <c r="AE121" s="531" cm="1">
        <f t="array" ref="AE121">AVERAGE(_xlfn._xlws.FILTER(PTS!AI:AI, (PTS!$C:$C=A121) * ISNUMBER(PTS!AI:AI)))</f>
        <v>12.587317427197677</v>
      </c>
      <c r="AF121" s="531" cm="1">
        <f t="array" ref="AF121">AVERAGE(_xlfn._xlws.FILTER(PTS!AJ:AJ, (PTS!$C:$C=A121) * ISNUMBER(PTS!AJ:AJ)))</f>
        <v>6.7351999999999999</v>
      </c>
      <c r="AH121" s="531">
        <f t="shared" si="16"/>
        <v>55.109957923065444</v>
      </c>
      <c r="AI121" s="10" cm="1">
        <f t="array" ref="AI121">AVERAGE(_xlfn._xlws.FILTER(PTS!AM:AM, (PTS!$C:$C=A121) * ISNUMBER(PTS!AM:AM)))</f>
        <v>79.999999999999986</v>
      </c>
      <c r="AJ121" s="10" cm="1">
        <f t="array" ref="AJ121">AVERAGE(_xlfn._xlws.FILTER(PTS!AN:AN, (PTS!$C:$C=A121) * ISNUMBER(PTS!AN:AN)))</f>
        <v>26.17808219178082</v>
      </c>
      <c r="AK121" s="10" cm="1">
        <f t="array" ref="AK121">AVERAGE(_xlfn._xlws.FILTER(PTS!AO:AO, (PTS!$C:$C=A121) * ISNUMBER(PTS!AO:AO)))</f>
        <v>0</v>
      </c>
      <c r="AN121" s="10">
        <f t="shared" si="17"/>
        <v>106.1780821917808</v>
      </c>
      <c r="AR121" s="531">
        <f t="shared" si="18"/>
        <v>882.54334314514927</v>
      </c>
      <c r="AS121" s="531">
        <f t="shared" si="19"/>
        <v>882.54334314514927</v>
      </c>
    </row>
    <row r="122" spans="1:45">
      <c r="A122" s="32" t="s">
        <v>432</v>
      </c>
      <c r="B122" s="319" t="s">
        <v>136</v>
      </c>
      <c r="C122" s="319" t="str">
        <f t="shared" si="10"/>
        <v>HerfordNC</v>
      </c>
      <c r="D122" s="10">
        <f>VLOOKUP(A:A,PTS!C:R,6,FALSE)</f>
        <v>1</v>
      </c>
      <c r="E122" s="531" cm="1">
        <f t="array" ref="E122">AVERAGE(_xlfn._xlws.FILTER(PTS!I:I, (PTS!$C:$C=A122) * ISNUMBER(PTS!I:I)))</f>
        <v>40</v>
      </c>
      <c r="F122" s="10" cm="1">
        <f t="array" ref="F122">AVERAGE(_xlfn._xlws.FILTER(PTS!J:J, (PTS!$C:$C=A122) * ISNUMBER(PTS!J:J)))</f>
        <v>80</v>
      </c>
      <c r="G122" s="531" cm="1">
        <f t="array" ref="G122">AVERAGE(_xlfn._xlws.FILTER(PTS!K:K, (PTS!$C:$C=A122) * ISNUMBER(PTS!K:K)))</f>
        <v>0</v>
      </c>
      <c r="H122" s="531" cm="1">
        <f t="array" ref="H122">AVERAGE(_xlfn._xlws.FILTER(PTS!L:L, (PTS!$C:$C=A122) * ISNUMBER(PTS!L:L)))</f>
        <v>0</v>
      </c>
      <c r="I122" s="531" cm="1">
        <f t="array" ref="I122">AVERAGE(_xlfn._xlws.FILTER(PTS!M:M, (PTS!$C:$C=A122) * ISNUMBER(PTS!M:M)))</f>
        <v>15</v>
      </c>
      <c r="J122" s="531" cm="1">
        <f t="array" ref="J122">AVERAGE(_xlfn._xlws.FILTER(PTS!N:N, (PTS!$C:$C=A122) * ISNUMBER(PTS!N:N)))</f>
        <v>34</v>
      </c>
      <c r="K122" s="531" cm="1">
        <f t="array" ref="K122">AVERAGE(_xlfn._xlws.FILTER(PTS!O:O, (PTS!$C:$C=A122) * ISNUMBER(PTS!O:O)))</f>
        <v>37.916666666666671</v>
      </c>
      <c r="L122" s="10" cm="1">
        <f t="array" ref="L122">AVERAGE(_xlfn._xlws.FILTER(PTS!P:P, (PTS!$C:$C=A122) * ISNUMBER(PTS!P:P)))</f>
        <v>0</v>
      </c>
      <c r="M122" s="531">
        <f t="shared" si="11"/>
        <v>206.91666666666669</v>
      </c>
      <c r="N122" s="531">
        <f t="shared" si="12"/>
        <v>71.916666666666671</v>
      </c>
      <c r="O122" s="531" cm="1">
        <f t="array" ref="O122">AVERAGE(_xlfn._xlws.FILTER(PTS!S:S, (PTS!$C:$C=A122) * ISNUMBER(PTS!S:S)))</f>
        <v>0</v>
      </c>
      <c r="P122" s="531" cm="1">
        <f t="array" ref="P122">AVERAGE(_xlfn._xlws.FILTER(PTS!T:T, (PTS!$C:$C=A122) * ISNUMBER(PTS!T:T)))</f>
        <v>0</v>
      </c>
      <c r="Q122" s="531" t="e" cm="1" vm="1">
        <f t="array" ref="Q122">AVERAGE(_xlfn._xlws.FILTER(PTS!U:U, (PTS!$C:$C=A122) * ISNUMBER(PTS!U:U)))</f>
        <v>#VALUE!</v>
      </c>
      <c r="S122" s="531" t="e" vm="2">
        <f t="shared" si="13"/>
        <v>#VALUE!</v>
      </c>
      <c r="T122" s="531" cm="1">
        <f t="array" ref="T122">AVERAGE(_xlfn._xlws.FILTER(PTS!X:X, (PTS!$C:$C=A122) * ISNUMBER(PTS!X:X)))</f>
        <v>52</v>
      </c>
      <c r="U122" s="531" cm="1">
        <f t="array" ref="U122">AVERAGE(_xlfn._xlws.FILTER(PTS!Y:Y, (PTS!$C:$C=A122) * ISNUMBER(PTS!Y:Y)))</f>
        <v>50.4</v>
      </c>
      <c r="V122" s="531" cm="1">
        <f t="array" ref="V122">AVERAGE(_xlfn._xlws.FILTER(PTS!Z:Z, (PTS!$C:$C=A122) * ISNUMBER(PTS!Z:Z)))</f>
        <v>26.25</v>
      </c>
      <c r="X122" s="531">
        <f t="shared" si="14"/>
        <v>128.65</v>
      </c>
      <c r="Y122" s="531" cm="1">
        <f t="array" ref="Y122">AVERAGE(_xlfn._xlws.FILTER(PTS!AC:AC, (PTS!$C:$C=A122) * ISNUMBER(PTS!AC:AC)))</f>
        <v>110.22727272727273</v>
      </c>
      <c r="Z122" s="531" cm="1">
        <f t="array" ref="Z122">AVERAGE(_xlfn._xlws.FILTER(PTS!AD:AD, (PTS!$C:$C=A122) * ISNUMBER(PTS!AD:AD)))</f>
        <v>107.04545454545455</v>
      </c>
      <c r="AB122" s="531">
        <f t="shared" si="15"/>
        <v>217.27272727272728</v>
      </c>
      <c r="AC122" s="10" cm="1">
        <f t="array" ref="AC122">AVERAGE(_xlfn._xlws.FILTER(PTS!AG:AG, (PTS!$C:$C=A122) * ISNUMBER(PTS!AG:AG)))</f>
        <v>28.814300000000003</v>
      </c>
      <c r="AD122" s="531" cm="1">
        <f t="array" ref="AD122">AVERAGE(_xlfn._xlws.FILTER(PTS!AH:AH, (PTS!$C:$C=A122) * ISNUMBER(PTS!AH:AH)))</f>
        <v>6.973140495867769</v>
      </c>
      <c r="AE122" s="531" cm="1">
        <f t="array" ref="AE122">AVERAGE(_xlfn._xlws.FILTER(PTS!AI:AI, (PTS!$C:$C=A122) * ISNUMBER(PTS!AI:AI)))</f>
        <v>12.587317427197677</v>
      </c>
      <c r="AF122" s="531" cm="1">
        <f t="array" ref="AF122">AVERAGE(_xlfn._xlws.FILTER(PTS!AJ:AJ, (PTS!$C:$C=A122) * ISNUMBER(PTS!AJ:AJ)))</f>
        <v>6.7351999999999999</v>
      </c>
      <c r="AH122" s="531">
        <f t="shared" si="16"/>
        <v>55.109957923065444</v>
      </c>
      <c r="AI122" s="10" cm="1">
        <f t="array" ref="AI122">AVERAGE(_xlfn._xlws.FILTER(PTS!AM:AM, (PTS!$C:$C=A122) * ISNUMBER(PTS!AM:AM)))</f>
        <v>79.999999999999986</v>
      </c>
      <c r="AJ122" s="10" cm="1">
        <f t="array" ref="AJ122">AVERAGE(_xlfn._xlws.FILTER(PTS!AN:AN, (PTS!$C:$C=A122) * ISNUMBER(PTS!AN:AN)))</f>
        <v>26.17808219178082</v>
      </c>
      <c r="AK122" s="10" cm="1">
        <f t="array" ref="AK122">AVERAGE(_xlfn._xlws.FILTER(PTS!AO:AO, (PTS!$C:$C=A122) * ISNUMBER(PTS!AO:AO)))</f>
        <v>0</v>
      </c>
      <c r="AN122" s="10">
        <f t="shared" si="17"/>
        <v>106.1780821917808</v>
      </c>
      <c r="AR122" s="531" t="e" vm="2">
        <f t="shared" si="18"/>
        <v>#VALUE!</v>
      </c>
      <c r="AS122" s="531" t="e" vm="2">
        <f t="shared" si="19"/>
        <v>#VALUE!</v>
      </c>
    </row>
    <row r="123" spans="1:45">
      <c r="A123" s="32" t="s">
        <v>435</v>
      </c>
      <c r="B123" s="319" t="s">
        <v>65</v>
      </c>
      <c r="C123" s="319" t="str">
        <f t="shared" si="10"/>
        <v>HillsboroAL</v>
      </c>
      <c r="D123" s="10">
        <f>VLOOKUP(A:A,PTS!C:R,6,FALSE)</f>
        <v>1</v>
      </c>
      <c r="E123" s="531" cm="1">
        <f t="array" ref="E123">AVERAGE(_xlfn._xlws.FILTER(PTS!I:I, (PTS!$C:$C=A123) * ISNUMBER(PTS!I:I)))</f>
        <v>53</v>
      </c>
      <c r="F123" s="10" cm="1">
        <f t="array" ref="F123">AVERAGE(_xlfn._xlws.FILTER(PTS!J:J, (PTS!$C:$C=A123) * ISNUMBER(PTS!J:J)))</f>
        <v>120</v>
      </c>
      <c r="G123" s="531" cm="1">
        <f t="array" ref="G123">AVERAGE(_xlfn._xlws.FILTER(PTS!K:K, (PTS!$C:$C=A123) * ISNUMBER(PTS!K:K)))</f>
        <v>150</v>
      </c>
      <c r="H123" s="531" cm="1">
        <f t="array" ref="H123">AVERAGE(_xlfn._xlws.FILTER(PTS!L:L, (PTS!$C:$C=A123) * ISNUMBER(PTS!L:L)))</f>
        <v>0</v>
      </c>
      <c r="I123" s="531" cm="1">
        <f t="array" ref="I123">AVERAGE(_xlfn._xlws.FILTER(PTS!M:M, (PTS!$C:$C=A123) * ISNUMBER(PTS!M:M)))</f>
        <v>0</v>
      </c>
      <c r="J123" s="531" cm="1">
        <f t="array" ref="J123">AVERAGE(_xlfn._xlws.FILTER(PTS!N:N, (PTS!$C:$C=A123) * ISNUMBER(PTS!N:N)))</f>
        <v>60</v>
      </c>
      <c r="K123" s="531" cm="1">
        <f t="array" ref="K123">AVERAGE(_xlfn._xlws.FILTER(PTS!O:O, (PTS!$C:$C=A123) * ISNUMBER(PTS!O:O)))</f>
        <v>37.916666666666671</v>
      </c>
      <c r="L123" s="10" cm="1">
        <f t="array" ref="L123">AVERAGE(_xlfn._xlws.FILTER(PTS!P:P, (PTS!$C:$C=A123) * ISNUMBER(PTS!P:P)))</f>
        <v>0</v>
      </c>
      <c r="M123" s="531">
        <f t="shared" si="11"/>
        <v>420.91666666666669</v>
      </c>
      <c r="N123" s="531">
        <f t="shared" si="12"/>
        <v>97.916666666666671</v>
      </c>
      <c r="O123" s="531" cm="1">
        <f t="array" ref="O123">AVERAGE(_xlfn._xlws.FILTER(PTS!S:S, (PTS!$C:$C=A123) * ISNUMBER(PTS!S:S)))</f>
        <v>0</v>
      </c>
      <c r="P123" s="531" cm="1">
        <f t="array" ref="P123">AVERAGE(_xlfn._xlws.FILTER(PTS!T:T, (PTS!$C:$C=A123) * ISNUMBER(PTS!T:T)))</f>
        <v>0</v>
      </c>
      <c r="Q123" s="531" cm="1">
        <f t="array" ref="Q123">AVERAGE(_xlfn._xlws.FILTER(PTS!U:U, (PTS!$C:$C=A123) * ISNUMBER(PTS!U:U)))</f>
        <v>229.20454545454547</v>
      </c>
      <c r="S123" s="531">
        <f t="shared" si="13"/>
        <v>229.20454545454547</v>
      </c>
      <c r="T123" s="531" cm="1">
        <f t="array" ref="T123">AVERAGE(_xlfn._xlws.FILTER(PTS!X:X, (PTS!$C:$C=A123) * ISNUMBER(PTS!X:X)))</f>
        <v>50</v>
      </c>
      <c r="U123" s="531" cm="1">
        <f t="array" ref="U123">AVERAGE(_xlfn._xlws.FILTER(PTS!Y:Y, (PTS!$C:$C=A123) * ISNUMBER(PTS!Y:Y)))</f>
        <v>33.6</v>
      </c>
      <c r="V123" s="531" cm="1">
        <f t="array" ref="V123">AVERAGE(_xlfn._xlws.FILTER(PTS!Z:Z, (PTS!$C:$C=A123) * ISNUMBER(PTS!Z:Z)))</f>
        <v>26.25</v>
      </c>
      <c r="X123" s="531">
        <f t="shared" si="14"/>
        <v>109.85</v>
      </c>
      <c r="Y123" s="531" cm="1">
        <f t="array" ref="Y123">AVERAGE(_xlfn._xlws.FILTER(PTS!AC:AC, (PTS!$C:$C=A123) * ISNUMBER(PTS!AC:AC)))</f>
        <v>146.02272727272725</v>
      </c>
      <c r="Z123" s="531" cm="1">
        <f t="array" ref="Z123">AVERAGE(_xlfn._xlws.FILTER(PTS!AD:AD, (PTS!$C:$C=A123) * ISNUMBER(PTS!AD:AD)))</f>
        <v>182.72727272727275</v>
      </c>
      <c r="AB123" s="531">
        <f t="shared" si="15"/>
        <v>328.75</v>
      </c>
      <c r="AC123" s="10" cm="1">
        <f t="array" ref="AC123">AVERAGE(_xlfn._xlws.FILTER(PTS!AG:AG, (PTS!$C:$C=A123) * ISNUMBER(PTS!AG:AG)))</f>
        <v>28.814300000000003</v>
      </c>
      <c r="AD123" s="531" cm="1">
        <f t="array" ref="AD123">AVERAGE(_xlfn._xlws.FILTER(PTS!AH:AH, (PTS!$C:$C=A123) * ISNUMBER(PTS!AH:AH)))</f>
        <v>6.973140495867769</v>
      </c>
      <c r="AE123" s="531" cm="1">
        <f t="array" ref="AE123">AVERAGE(_xlfn._xlws.FILTER(PTS!AI:AI, (PTS!$C:$C=A123) * ISNUMBER(PTS!AI:AI)))</f>
        <v>12.587317427197677</v>
      </c>
      <c r="AF123" s="531" cm="1">
        <f t="array" ref="AF123">AVERAGE(_xlfn._xlws.FILTER(PTS!AJ:AJ, (PTS!$C:$C=A123) * ISNUMBER(PTS!AJ:AJ)))</f>
        <v>6.7351999999999999</v>
      </c>
      <c r="AH123" s="531">
        <f t="shared" si="16"/>
        <v>55.109957923065444</v>
      </c>
      <c r="AI123" s="10" cm="1">
        <f t="array" ref="AI123">AVERAGE(_xlfn._xlws.FILTER(PTS!AM:AM, (PTS!$C:$C=A123) * ISNUMBER(PTS!AM:AM)))</f>
        <v>79.999999999999986</v>
      </c>
      <c r="AJ123" s="10" cm="1">
        <f t="array" ref="AJ123">AVERAGE(_xlfn._xlws.FILTER(PTS!AN:AN, (PTS!$C:$C=A123) * ISNUMBER(PTS!AN:AN)))</f>
        <v>26.17808219178082</v>
      </c>
      <c r="AK123" s="10" cm="1">
        <f t="array" ref="AK123">AVERAGE(_xlfn._xlws.FILTER(PTS!AO:AO, (PTS!$C:$C=A123) * ISNUMBER(PTS!AO:AO)))</f>
        <v>0</v>
      </c>
      <c r="AN123" s="10">
        <f t="shared" si="17"/>
        <v>106.1780821917808</v>
      </c>
      <c r="AR123" s="531">
        <f t="shared" si="18"/>
        <v>927.00925223605839</v>
      </c>
      <c r="AS123" s="531">
        <f t="shared" si="19"/>
        <v>1250.0092522360583</v>
      </c>
    </row>
    <row r="124" spans="1:45">
      <c r="A124" s="32" t="s">
        <v>437</v>
      </c>
      <c r="B124" s="319" t="s">
        <v>136</v>
      </c>
      <c r="C124" s="319" t="str">
        <f t="shared" si="10"/>
        <v>HobgoodNC</v>
      </c>
      <c r="D124" s="10">
        <f>VLOOKUP(A:A,PTS!C:R,6,FALSE)</f>
        <v>1</v>
      </c>
      <c r="E124" s="531" cm="1">
        <f t="array" ref="E124">AVERAGE(_xlfn._xlws.FILTER(PTS!I:I, (PTS!$C:$C=A124) * ISNUMBER(PTS!I:I)))</f>
        <v>80</v>
      </c>
      <c r="F124" s="10" cm="1">
        <f t="array" ref="F124">AVERAGE(_xlfn._xlws.FILTER(PTS!J:J, (PTS!$C:$C=A124) * ISNUMBER(PTS!J:J)))</f>
        <v>90</v>
      </c>
      <c r="G124" s="531" cm="1">
        <f t="array" ref="G124">AVERAGE(_xlfn._xlws.FILTER(PTS!K:K, (PTS!$C:$C=A124) * ISNUMBER(PTS!K:K)))</f>
        <v>0</v>
      </c>
      <c r="H124" s="531" cm="1">
        <f t="array" ref="H124">AVERAGE(_xlfn._xlws.FILTER(PTS!L:L, (PTS!$C:$C=A124) * ISNUMBER(PTS!L:L)))</f>
        <v>0</v>
      </c>
      <c r="I124" s="531" cm="1">
        <f t="array" ref="I124">AVERAGE(_xlfn._xlws.FILTER(PTS!M:M, (PTS!$C:$C=A124) * ISNUMBER(PTS!M:M)))</f>
        <v>0</v>
      </c>
      <c r="J124" s="531" cm="1">
        <f t="array" ref="J124">AVERAGE(_xlfn._xlws.FILTER(PTS!N:N, (PTS!$C:$C=A124) * ISNUMBER(PTS!N:N)))</f>
        <v>37</v>
      </c>
      <c r="K124" s="531" cm="1">
        <f t="array" ref="K124">AVERAGE(_xlfn._xlws.FILTER(PTS!O:O, (PTS!$C:$C=A124) * ISNUMBER(PTS!O:O)))</f>
        <v>37.916666666666671</v>
      </c>
      <c r="L124" s="10" cm="1">
        <f t="array" ref="L124">AVERAGE(_xlfn._xlws.FILTER(PTS!P:P, (PTS!$C:$C=A124) * ISNUMBER(PTS!P:P)))</f>
        <v>0</v>
      </c>
      <c r="M124" s="531">
        <f t="shared" si="11"/>
        <v>244.91666666666669</v>
      </c>
      <c r="N124" s="531">
        <f t="shared" si="12"/>
        <v>74.916666666666671</v>
      </c>
      <c r="O124" s="531" cm="1">
        <f t="array" ref="O124">AVERAGE(_xlfn._xlws.FILTER(PTS!S:S, (PTS!$C:$C=A124) * ISNUMBER(PTS!S:S)))</f>
        <v>0</v>
      </c>
      <c r="P124" s="531" cm="1">
        <f t="array" ref="P124">AVERAGE(_xlfn._xlws.FILTER(PTS!T:T, (PTS!$C:$C=A124) * ISNUMBER(PTS!T:T)))</f>
        <v>0</v>
      </c>
      <c r="Q124" s="531" cm="1">
        <f t="array" ref="Q124">AVERAGE(_xlfn._xlws.FILTER(PTS!U:U, (PTS!$C:$C=A124) * ISNUMBER(PTS!U:U)))</f>
        <v>280.45000000000005</v>
      </c>
      <c r="S124" s="531">
        <f t="shared" si="13"/>
        <v>280.45000000000005</v>
      </c>
      <c r="T124" s="531" cm="1">
        <f t="array" ref="T124">AVERAGE(_xlfn._xlws.FILTER(PTS!X:X, (PTS!$C:$C=A124) * ISNUMBER(PTS!X:X)))</f>
        <v>52</v>
      </c>
      <c r="U124" s="531" cm="1">
        <f t="array" ref="U124">AVERAGE(_xlfn._xlws.FILTER(PTS!Y:Y, (PTS!$C:$C=A124) * ISNUMBER(PTS!Y:Y)))</f>
        <v>50.4</v>
      </c>
      <c r="V124" s="531" cm="1">
        <f t="array" ref="V124">AVERAGE(_xlfn._xlws.FILTER(PTS!Z:Z, (PTS!$C:$C=A124) * ISNUMBER(PTS!Z:Z)))</f>
        <v>26.25</v>
      </c>
      <c r="X124" s="531">
        <f t="shared" si="14"/>
        <v>128.65</v>
      </c>
      <c r="Y124" s="531" cm="1">
        <f t="array" ref="Y124">AVERAGE(_xlfn._xlws.FILTER(PTS!AC:AC, (PTS!$C:$C=A124) * ISNUMBER(PTS!AC:AC)))</f>
        <v>110.22727272727273</v>
      </c>
      <c r="Z124" s="531" cm="1">
        <f t="array" ref="Z124">AVERAGE(_xlfn._xlws.FILTER(PTS!AD:AD, (PTS!$C:$C=A124) * ISNUMBER(PTS!AD:AD)))</f>
        <v>107.04545454545455</v>
      </c>
      <c r="AB124" s="531">
        <f t="shared" si="15"/>
        <v>217.27272727272728</v>
      </c>
      <c r="AC124" s="10" cm="1">
        <f t="array" ref="AC124">AVERAGE(_xlfn._xlws.FILTER(PTS!AG:AG, (PTS!$C:$C=A124) * ISNUMBER(PTS!AG:AG)))</f>
        <v>28.814300000000003</v>
      </c>
      <c r="AD124" s="531" cm="1">
        <f t="array" ref="AD124">AVERAGE(_xlfn._xlws.FILTER(PTS!AH:AH, (PTS!$C:$C=A124) * ISNUMBER(PTS!AH:AH)))</f>
        <v>6.973140495867769</v>
      </c>
      <c r="AE124" s="531" cm="1">
        <f t="array" ref="AE124">AVERAGE(_xlfn._xlws.FILTER(PTS!AI:AI, (PTS!$C:$C=A124) * ISNUMBER(PTS!AI:AI)))</f>
        <v>12.587317427197677</v>
      </c>
      <c r="AF124" s="531" cm="1">
        <f t="array" ref="AF124">AVERAGE(_xlfn._xlws.FILTER(PTS!AJ:AJ, (PTS!$C:$C=A124) * ISNUMBER(PTS!AJ:AJ)))</f>
        <v>6.7351999999999999</v>
      </c>
      <c r="AH124" s="531">
        <f t="shared" si="16"/>
        <v>55.109957923065444</v>
      </c>
      <c r="AI124" s="10" cm="1">
        <f t="array" ref="AI124">AVERAGE(_xlfn._xlws.FILTER(PTS!AM:AM, (PTS!$C:$C=A124) * ISNUMBER(PTS!AM:AM)))</f>
        <v>79.999999999999986</v>
      </c>
      <c r="AJ124" s="10" cm="1">
        <f t="array" ref="AJ124">AVERAGE(_xlfn._xlws.FILTER(PTS!AN:AN, (PTS!$C:$C=A124) * ISNUMBER(PTS!AN:AN)))</f>
        <v>26.17808219178082</v>
      </c>
      <c r="AK124" s="10" cm="1">
        <f t="array" ref="AK124">AVERAGE(_xlfn._xlws.FILTER(PTS!AO:AO, (PTS!$C:$C=A124) * ISNUMBER(PTS!AO:AO)))</f>
        <v>0</v>
      </c>
      <c r="AN124" s="10">
        <f t="shared" si="17"/>
        <v>106.1780821917808</v>
      </c>
      <c r="AR124" s="531">
        <f t="shared" si="18"/>
        <v>862.57743405424026</v>
      </c>
      <c r="AS124" s="531">
        <f t="shared" si="19"/>
        <v>1032.5774340542403</v>
      </c>
    </row>
    <row r="125" spans="1:45">
      <c r="A125" s="32" t="s">
        <v>445</v>
      </c>
      <c r="B125" s="319" t="s">
        <v>168</v>
      </c>
      <c r="C125" s="319" t="str">
        <f t="shared" si="10"/>
        <v>Humboldt TN</v>
      </c>
      <c r="D125" s="10">
        <f>VLOOKUP(A:A,PTS!C:R,6,FALSE)</f>
        <v>1</v>
      </c>
      <c r="E125" s="531" cm="1">
        <f t="array" ref="E125">AVERAGE(_xlfn._xlws.FILTER(PTS!I:I, (PTS!$C:$C=A125) * ISNUMBER(PTS!I:I)))</f>
        <v>0</v>
      </c>
      <c r="F125" s="10" cm="1">
        <f t="array" ref="F125">AVERAGE(_xlfn._xlws.FILTER(PTS!J:J, (PTS!$C:$C=A125) * ISNUMBER(PTS!J:J)))</f>
        <v>289</v>
      </c>
      <c r="G125" s="531" cm="1">
        <f t="array" ref="G125">AVERAGE(_xlfn._xlws.FILTER(PTS!K:K, (PTS!$C:$C=A125) * ISNUMBER(PTS!K:K)))</f>
        <v>0</v>
      </c>
      <c r="H125" s="531" cm="1">
        <f t="array" ref="H125">AVERAGE(_xlfn._xlws.FILTER(PTS!L:L, (PTS!$C:$C=A125) * ISNUMBER(PTS!L:L)))</f>
        <v>61</v>
      </c>
      <c r="I125" s="531" cm="1">
        <f t="array" ref="I125">AVERAGE(_xlfn._xlws.FILTER(PTS!M:M, (PTS!$C:$C=A125) * ISNUMBER(PTS!M:M)))</f>
        <v>0</v>
      </c>
      <c r="J125" s="531" cm="1">
        <f t="array" ref="J125">AVERAGE(_xlfn._xlws.FILTER(PTS!N:N, (PTS!$C:$C=A125) * ISNUMBER(PTS!N:N)))</f>
        <v>80</v>
      </c>
      <c r="K125" s="531" cm="1">
        <f t="array" ref="K125">AVERAGE(_xlfn._xlws.FILTER(PTS!O:O, (PTS!$C:$C=A125) * ISNUMBER(PTS!O:O)))</f>
        <v>37.916666666666671</v>
      </c>
      <c r="L125" s="10" cm="1">
        <f t="array" ref="L125">AVERAGE(_xlfn._xlws.FILTER(PTS!P:P, (PTS!$C:$C=A125) * ISNUMBER(PTS!P:P)))</f>
        <v>0</v>
      </c>
      <c r="M125" s="531">
        <f t="shared" si="11"/>
        <v>467.91666666666669</v>
      </c>
      <c r="N125" s="531">
        <f t="shared" si="12"/>
        <v>117.91666666666667</v>
      </c>
      <c r="O125" s="531" cm="1">
        <f t="array" ref="O125">AVERAGE(_xlfn._xlws.FILTER(PTS!S:S, (PTS!$C:$C=A125) * ISNUMBER(PTS!S:S)))</f>
        <v>0</v>
      </c>
      <c r="P125" s="531" cm="1">
        <f t="array" ref="P125">AVERAGE(_xlfn._xlws.FILTER(PTS!T:T, (PTS!$C:$C=A125) * ISNUMBER(PTS!T:T)))</f>
        <v>0</v>
      </c>
      <c r="Q125" s="531" cm="1">
        <f t="array" ref="Q125">AVERAGE(_xlfn._xlws.FILTER(PTS!U:U, (PTS!$C:$C=A125) * ISNUMBER(PTS!U:U)))</f>
        <v>146.02272727272725</v>
      </c>
      <c r="S125" s="531">
        <f t="shared" si="13"/>
        <v>146.02272727272725</v>
      </c>
      <c r="T125" s="531" cm="1">
        <f t="array" ref="T125">AVERAGE(_xlfn._xlws.FILTER(PTS!X:X, (PTS!$C:$C=A125) * ISNUMBER(PTS!X:X)))</f>
        <v>50</v>
      </c>
      <c r="U125" s="531" cm="1">
        <f t="array" ref="U125">AVERAGE(_xlfn._xlws.FILTER(PTS!Y:Y, (PTS!$C:$C=A125) * ISNUMBER(PTS!Y:Y)))</f>
        <v>33.6</v>
      </c>
      <c r="V125" s="531" cm="1">
        <f t="array" ref="V125">AVERAGE(_xlfn._xlws.FILTER(PTS!Z:Z, (PTS!$C:$C=A125) * ISNUMBER(PTS!Z:Z)))</f>
        <v>26.25</v>
      </c>
      <c r="X125" s="531">
        <f t="shared" si="14"/>
        <v>109.85</v>
      </c>
      <c r="Y125" s="531" cm="1">
        <f t="array" ref="Y125">AVERAGE(_xlfn._xlws.FILTER(PTS!AC:AC, (PTS!$C:$C=A125) * ISNUMBER(PTS!AC:AC)))</f>
        <v>146.02272727272725</v>
      </c>
      <c r="Z125" s="531" cm="1">
        <f t="array" ref="Z125">AVERAGE(_xlfn._xlws.FILTER(PTS!AD:AD, (PTS!$C:$C=A125) * ISNUMBER(PTS!AD:AD)))</f>
        <v>182.72727272727275</v>
      </c>
      <c r="AB125" s="531">
        <f t="shared" si="15"/>
        <v>328.75</v>
      </c>
      <c r="AC125" s="10" cm="1">
        <f t="array" ref="AC125">AVERAGE(_xlfn._xlws.FILTER(PTS!AG:AG, (PTS!$C:$C=A125) * ISNUMBER(PTS!AG:AG)))</f>
        <v>28.814300000000003</v>
      </c>
      <c r="AD125" s="531" cm="1">
        <f t="array" ref="AD125">AVERAGE(_xlfn._xlws.FILTER(PTS!AH:AH, (PTS!$C:$C=A125) * ISNUMBER(PTS!AH:AH)))</f>
        <v>6.973140495867769</v>
      </c>
      <c r="AE125" s="531" cm="1">
        <f t="array" ref="AE125">AVERAGE(_xlfn._xlws.FILTER(PTS!AI:AI, (PTS!$C:$C=A125) * ISNUMBER(PTS!AI:AI)))</f>
        <v>12.587317427197677</v>
      </c>
      <c r="AF125" s="531" cm="1">
        <f t="array" ref="AF125">AVERAGE(_xlfn._xlws.FILTER(PTS!AJ:AJ, (PTS!$C:$C=A125) * ISNUMBER(PTS!AJ:AJ)))</f>
        <v>6.7351999999999999</v>
      </c>
      <c r="AH125" s="531">
        <f t="shared" si="16"/>
        <v>55.109957923065444</v>
      </c>
      <c r="AI125" s="10" cm="1">
        <f t="array" ref="AI125">AVERAGE(_xlfn._xlws.FILTER(PTS!AM:AM, (PTS!$C:$C=A125) * ISNUMBER(PTS!AM:AM)))</f>
        <v>79.999999999999986</v>
      </c>
      <c r="AJ125" s="10" cm="1">
        <f t="array" ref="AJ125">AVERAGE(_xlfn._xlws.FILTER(PTS!AN:AN, (PTS!$C:$C=A125) * ISNUMBER(PTS!AN:AN)))</f>
        <v>26.17808219178082</v>
      </c>
      <c r="AK125" s="10" cm="1">
        <f t="array" ref="AK125">AVERAGE(_xlfn._xlws.FILTER(PTS!AO:AO, (PTS!$C:$C=A125) * ISNUMBER(PTS!AO:AO)))</f>
        <v>0</v>
      </c>
      <c r="AN125" s="10">
        <f t="shared" si="17"/>
        <v>106.1780821917808</v>
      </c>
      <c r="AR125" s="531">
        <f t="shared" si="18"/>
        <v>863.82743405424014</v>
      </c>
      <c r="AS125" s="531">
        <f t="shared" si="19"/>
        <v>1213.82743405424</v>
      </c>
    </row>
    <row r="126" spans="1:45">
      <c r="A126" s="32" t="s">
        <v>448</v>
      </c>
      <c r="B126" s="319" t="s">
        <v>128</v>
      </c>
      <c r="C126" s="319" t="str">
        <f t="shared" si="10"/>
        <v>IndianolaMS</v>
      </c>
      <c r="D126" s="10">
        <f>VLOOKUP(A:A,PTS!C:R,6,FALSE)</f>
        <v>1</v>
      </c>
      <c r="E126" s="531" cm="1">
        <f t="array" ref="E126">AVERAGE(_xlfn._xlws.FILTER(PTS!I:I, (PTS!$C:$C=A126) * ISNUMBER(PTS!I:I)))</f>
        <v>37</v>
      </c>
      <c r="F126" s="10" cm="1">
        <f t="array" ref="F126">AVERAGE(_xlfn._xlws.FILTER(PTS!J:J, (PTS!$C:$C=A126) * ISNUMBER(PTS!J:J)))</f>
        <v>80</v>
      </c>
      <c r="G126" s="531" cm="1">
        <f t="array" ref="G126">AVERAGE(_xlfn._xlws.FILTER(PTS!K:K, (PTS!$C:$C=A126) * ISNUMBER(PTS!K:K)))</f>
        <v>140</v>
      </c>
      <c r="H126" s="531" cm="1">
        <f t="array" ref="H126">AVERAGE(_xlfn._xlws.FILTER(PTS!L:L, (PTS!$C:$C=A126) * ISNUMBER(PTS!L:L)))</f>
        <v>61</v>
      </c>
      <c r="I126" s="531" cm="1">
        <f t="array" ref="I126">AVERAGE(_xlfn._xlws.FILTER(PTS!M:M, (PTS!$C:$C=A126) * ISNUMBER(PTS!M:M)))</f>
        <v>0</v>
      </c>
      <c r="J126" s="531" cm="1">
        <f t="array" ref="J126">AVERAGE(_xlfn._xlws.FILTER(PTS!N:N, (PTS!$C:$C=A126) * ISNUMBER(PTS!N:N)))</f>
        <v>60</v>
      </c>
      <c r="K126" s="531" cm="1">
        <f t="array" ref="K126">AVERAGE(_xlfn._xlws.FILTER(PTS!O:O, (PTS!$C:$C=A126) * ISNUMBER(PTS!O:O)))</f>
        <v>37.916666666666671</v>
      </c>
      <c r="L126" s="10" cm="1">
        <f t="array" ref="L126">AVERAGE(_xlfn._xlws.FILTER(PTS!P:P, (PTS!$C:$C=A126) * ISNUMBER(PTS!P:P)))</f>
        <v>0</v>
      </c>
      <c r="M126" s="531">
        <f t="shared" si="11"/>
        <v>415.91666666666669</v>
      </c>
      <c r="N126" s="531">
        <f t="shared" si="12"/>
        <v>97.916666666666671</v>
      </c>
      <c r="O126" s="531" cm="1">
        <f t="array" ref="O126">AVERAGE(_xlfn._xlws.FILTER(PTS!S:S, (PTS!$C:$C=A126) * ISNUMBER(PTS!S:S)))</f>
        <v>0</v>
      </c>
      <c r="P126" s="531" cm="1">
        <f t="array" ref="P126">AVERAGE(_xlfn._xlws.FILTER(PTS!T:T, (PTS!$C:$C=A126) * ISNUMBER(PTS!T:T)))</f>
        <v>0</v>
      </c>
      <c r="Q126" s="531" cm="1">
        <f t="array" ref="Q126">AVERAGE(_xlfn._xlws.FILTER(PTS!U:U, (PTS!$C:$C=A126) * ISNUMBER(PTS!U:U)))</f>
        <v>201.25</v>
      </c>
      <c r="S126" s="531">
        <f t="shared" si="13"/>
        <v>201.25</v>
      </c>
      <c r="T126" s="531" cm="1">
        <f t="array" ref="T126">AVERAGE(_xlfn._xlws.FILTER(PTS!X:X, (PTS!$C:$C=A126) * ISNUMBER(PTS!X:X)))</f>
        <v>50</v>
      </c>
      <c r="U126" s="531" cm="1">
        <f t="array" ref="U126">AVERAGE(_xlfn._xlws.FILTER(PTS!Y:Y, (PTS!$C:$C=A126) * ISNUMBER(PTS!Y:Y)))</f>
        <v>33.6</v>
      </c>
      <c r="V126" s="531" cm="1">
        <f t="array" ref="V126">AVERAGE(_xlfn._xlws.FILTER(PTS!Z:Z, (PTS!$C:$C=A126) * ISNUMBER(PTS!Z:Z)))</f>
        <v>26.25</v>
      </c>
      <c r="X126" s="531">
        <f t="shared" si="14"/>
        <v>109.85</v>
      </c>
      <c r="Y126" s="531" cm="1">
        <f t="array" ref="Y126">AVERAGE(_xlfn._xlws.FILTER(PTS!AC:AC, (PTS!$C:$C=A126) * ISNUMBER(PTS!AC:AC)))</f>
        <v>146.02272727272725</v>
      </c>
      <c r="Z126" s="531" cm="1">
        <f t="array" ref="Z126">AVERAGE(_xlfn._xlws.FILTER(PTS!AD:AD, (PTS!$C:$C=A126) * ISNUMBER(PTS!AD:AD)))</f>
        <v>182.72727272727275</v>
      </c>
      <c r="AB126" s="531">
        <f t="shared" si="15"/>
        <v>328.75</v>
      </c>
      <c r="AC126" s="10" cm="1">
        <f t="array" ref="AC126">AVERAGE(_xlfn._xlws.FILTER(PTS!AG:AG, (PTS!$C:$C=A126) * ISNUMBER(PTS!AG:AG)))</f>
        <v>28.814300000000003</v>
      </c>
      <c r="AD126" s="531" cm="1">
        <f t="array" ref="AD126">AVERAGE(_xlfn._xlws.FILTER(PTS!AH:AH, (PTS!$C:$C=A126) * ISNUMBER(PTS!AH:AH)))</f>
        <v>6.973140495867769</v>
      </c>
      <c r="AE126" s="531" cm="1">
        <f t="array" ref="AE126">AVERAGE(_xlfn._xlws.FILTER(PTS!AI:AI, (PTS!$C:$C=A126) * ISNUMBER(PTS!AI:AI)))</f>
        <v>12.587317427197677</v>
      </c>
      <c r="AF126" s="531" cm="1">
        <f t="array" ref="AF126">AVERAGE(_xlfn._xlws.FILTER(PTS!AJ:AJ, (PTS!$C:$C=A126) * ISNUMBER(PTS!AJ:AJ)))</f>
        <v>6.7351999999999999</v>
      </c>
      <c r="AH126" s="531">
        <f t="shared" si="16"/>
        <v>55.109957923065444</v>
      </c>
      <c r="AI126" s="10" cm="1">
        <f t="array" ref="AI126">AVERAGE(_xlfn._xlws.FILTER(PTS!AM:AM, (PTS!$C:$C=A126) * ISNUMBER(PTS!AM:AM)))</f>
        <v>79.999999999999986</v>
      </c>
      <c r="AJ126" s="10" cm="1">
        <f t="array" ref="AJ126">AVERAGE(_xlfn._xlws.FILTER(PTS!AN:AN, (PTS!$C:$C=A126) * ISNUMBER(PTS!AN:AN)))</f>
        <v>26.17808219178082</v>
      </c>
      <c r="AK126" s="10" cm="1">
        <f t="array" ref="AK126">AVERAGE(_xlfn._xlws.FILTER(PTS!AO:AO, (PTS!$C:$C=A126) * ISNUMBER(PTS!AO:AO)))</f>
        <v>0</v>
      </c>
      <c r="AN126" s="10">
        <f t="shared" si="17"/>
        <v>106.1780821917808</v>
      </c>
      <c r="AR126" s="531">
        <f t="shared" si="18"/>
        <v>899.05470678151289</v>
      </c>
      <c r="AS126" s="531">
        <f t="shared" si="19"/>
        <v>1217.054706781513</v>
      </c>
    </row>
    <row r="127" spans="1:45">
      <c r="A127" s="32" t="s">
        <v>451</v>
      </c>
      <c r="B127" s="319" t="s">
        <v>128</v>
      </c>
      <c r="C127" s="319" t="str">
        <f t="shared" si="10"/>
        <v>InvernessMS</v>
      </c>
      <c r="D127" s="10">
        <f>VLOOKUP(A:A,PTS!C:R,6,FALSE)</f>
        <v>1</v>
      </c>
      <c r="E127" s="531" cm="1">
        <f t="array" ref="E127">AVERAGE(_xlfn._xlws.FILTER(PTS!I:I, (PTS!$C:$C=A127) * ISNUMBER(PTS!I:I)))</f>
        <v>30</v>
      </c>
      <c r="F127" s="10" cm="1">
        <f t="array" ref="F127">AVERAGE(_xlfn._xlws.FILTER(PTS!J:J, (PTS!$C:$C=A127) * ISNUMBER(PTS!J:J)))</f>
        <v>75</v>
      </c>
      <c r="G127" s="531" cm="1">
        <f t="array" ref="G127">AVERAGE(_xlfn._xlws.FILTER(PTS!K:K, (PTS!$C:$C=A127) * ISNUMBER(PTS!K:K)))</f>
        <v>160</v>
      </c>
      <c r="H127" s="531" cm="1">
        <f t="array" ref="H127">AVERAGE(_xlfn._xlws.FILTER(PTS!L:L, (PTS!$C:$C=A127) * ISNUMBER(PTS!L:L)))</f>
        <v>61</v>
      </c>
      <c r="I127" s="531" cm="1">
        <f t="array" ref="I127">AVERAGE(_xlfn._xlws.FILTER(PTS!M:M, (PTS!$C:$C=A127) * ISNUMBER(PTS!M:M)))</f>
        <v>10</v>
      </c>
      <c r="J127" s="531" cm="1">
        <f t="array" ref="J127">AVERAGE(_xlfn._xlws.FILTER(PTS!N:N, (PTS!$C:$C=A127) * ISNUMBER(PTS!N:N)))</f>
        <v>63</v>
      </c>
      <c r="K127" s="531" cm="1">
        <f t="array" ref="K127">AVERAGE(_xlfn._xlws.FILTER(PTS!O:O, (PTS!$C:$C=A127) * ISNUMBER(PTS!O:O)))</f>
        <v>37.916666666666671</v>
      </c>
      <c r="L127" s="10" cm="1">
        <f t="array" ref="L127">AVERAGE(_xlfn._xlws.FILTER(PTS!P:P, (PTS!$C:$C=A127) * ISNUMBER(PTS!P:P)))</f>
        <v>0</v>
      </c>
      <c r="M127" s="531">
        <f t="shared" si="11"/>
        <v>436.91666666666669</v>
      </c>
      <c r="N127" s="531">
        <f t="shared" si="12"/>
        <v>100.91666666666667</v>
      </c>
      <c r="O127" s="531" cm="1">
        <f t="array" ref="O127">AVERAGE(_xlfn._xlws.FILTER(PTS!S:S, (PTS!$C:$C=A127) * ISNUMBER(PTS!S:S)))</f>
        <v>0</v>
      </c>
      <c r="P127" s="531" cm="1">
        <f t="array" ref="P127">AVERAGE(_xlfn._xlws.FILTER(PTS!T:T, (PTS!$C:$C=A127) * ISNUMBER(PTS!T:T)))</f>
        <v>0</v>
      </c>
      <c r="Q127" s="531" cm="1">
        <f t="array" ref="Q127">AVERAGE(_xlfn._xlws.FILTER(PTS!U:U, (PTS!$C:$C=A127) * ISNUMBER(PTS!U:U)))</f>
        <v>241.47727272727275</v>
      </c>
      <c r="S127" s="531">
        <f t="shared" si="13"/>
        <v>241.47727272727275</v>
      </c>
      <c r="T127" s="531" cm="1">
        <f t="array" ref="T127">AVERAGE(_xlfn._xlws.FILTER(PTS!X:X, (PTS!$C:$C=A127) * ISNUMBER(PTS!X:X)))</f>
        <v>50</v>
      </c>
      <c r="U127" s="531" cm="1">
        <f t="array" ref="U127">AVERAGE(_xlfn._xlws.FILTER(PTS!Y:Y, (PTS!$C:$C=A127) * ISNUMBER(PTS!Y:Y)))</f>
        <v>33.6</v>
      </c>
      <c r="V127" s="531" cm="1">
        <f t="array" ref="V127">AVERAGE(_xlfn._xlws.FILTER(PTS!Z:Z, (PTS!$C:$C=A127) * ISNUMBER(PTS!Z:Z)))</f>
        <v>26.25</v>
      </c>
      <c r="X127" s="531">
        <f t="shared" si="14"/>
        <v>109.85</v>
      </c>
      <c r="Y127" s="531" cm="1">
        <f t="array" ref="Y127">AVERAGE(_xlfn._xlws.FILTER(PTS!AC:AC, (PTS!$C:$C=A127) * ISNUMBER(PTS!AC:AC)))</f>
        <v>146.02272727272725</v>
      </c>
      <c r="Z127" s="531" cm="1">
        <f t="array" ref="Z127">AVERAGE(_xlfn._xlws.FILTER(PTS!AD:AD, (PTS!$C:$C=A127) * ISNUMBER(PTS!AD:AD)))</f>
        <v>182.72727272727275</v>
      </c>
      <c r="AB127" s="531">
        <f t="shared" si="15"/>
        <v>328.75</v>
      </c>
      <c r="AC127" s="10" cm="1">
        <f t="array" ref="AC127">AVERAGE(_xlfn._xlws.FILTER(PTS!AG:AG, (PTS!$C:$C=A127) * ISNUMBER(PTS!AG:AG)))</f>
        <v>28.814300000000003</v>
      </c>
      <c r="AD127" s="531" cm="1">
        <f t="array" ref="AD127">AVERAGE(_xlfn._xlws.FILTER(PTS!AH:AH, (PTS!$C:$C=A127) * ISNUMBER(PTS!AH:AH)))</f>
        <v>6.973140495867769</v>
      </c>
      <c r="AE127" s="531" cm="1">
        <f t="array" ref="AE127">AVERAGE(_xlfn._xlws.FILTER(PTS!AI:AI, (PTS!$C:$C=A127) * ISNUMBER(PTS!AI:AI)))</f>
        <v>12.587317427197677</v>
      </c>
      <c r="AF127" s="531" cm="1">
        <f t="array" ref="AF127">AVERAGE(_xlfn._xlws.FILTER(PTS!AJ:AJ, (PTS!$C:$C=A127) * ISNUMBER(PTS!AJ:AJ)))</f>
        <v>6.7351999999999999</v>
      </c>
      <c r="AH127" s="531">
        <f t="shared" si="16"/>
        <v>55.109957923065444</v>
      </c>
      <c r="AI127" s="10" cm="1">
        <f t="array" ref="AI127">AVERAGE(_xlfn._xlws.FILTER(PTS!AM:AM, (PTS!$C:$C=A127) * ISNUMBER(PTS!AM:AM)))</f>
        <v>79.999999999999986</v>
      </c>
      <c r="AJ127" s="10" cm="1">
        <f t="array" ref="AJ127">AVERAGE(_xlfn._xlws.FILTER(PTS!AN:AN, (PTS!$C:$C=A127) * ISNUMBER(PTS!AN:AN)))</f>
        <v>26.17808219178082</v>
      </c>
      <c r="AK127" s="10" cm="1">
        <f t="array" ref="AK127">AVERAGE(_xlfn._xlws.FILTER(PTS!AO:AO, (PTS!$C:$C=A127) * ISNUMBER(PTS!AO:AO)))</f>
        <v>0</v>
      </c>
      <c r="AN127" s="10">
        <f t="shared" si="17"/>
        <v>106.1780821917808</v>
      </c>
      <c r="AR127" s="531">
        <f t="shared" si="18"/>
        <v>942.28197950878564</v>
      </c>
      <c r="AS127" s="531">
        <f t="shared" si="19"/>
        <v>1278.2819795087855</v>
      </c>
    </row>
    <row r="128" spans="1:45">
      <c r="A128" s="32" t="s">
        <v>460</v>
      </c>
      <c r="B128" s="319" t="s">
        <v>461</v>
      </c>
      <c r="C128" s="319" t="str">
        <f t="shared" si="10"/>
        <v>JayFL</v>
      </c>
      <c r="D128" s="10">
        <f>VLOOKUP(A:A,PTS!C:R,6,FALSE)</f>
        <v>1</v>
      </c>
      <c r="E128" s="531" cm="1">
        <f t="array" ref="E128">AVERAGE(_xlfn._xlws.FILTER(PTS!I:I, (PTS!$C:$C=A128) * ISNUMBER(PTS!I:I)))</f>
        <v>62.5</v>
      </c>
      <c r="F128" s="10" cm="1">
        <f t="array" ref="F128">AVERAGE(_xlfn._xlws.FILTER(PTS!J:J, (PTS!$C:$C=A128) * ISNUMBER(PTS!J:J)))</f>
        <v>110</v>
      </c>
      <c r="G128" s="531" cm="1">
        <f t="array" ref="G128">AVERAGE(_xlfn._xlws.FILTER(PTS!K:K, (PTS!$C:$C=A128) * ISNUMBER(PTS!K:K)))</f>
        <v>140</v>
      </c>
      <c r="H128" s="531" cm="1">
        <f t="array" ref="H128">AVERAGE(_xlfn._xlws.FILTER(PTS!L:L, (PTS!$C:$C=A128) * ISNUMBER(PTS!L:L)))</f>
        <v>0</v>
      </c>
      <c r="I128" s="531" cm="1">
        <f t="array" ref="I128">AVERAGE(_xlfn._xlws.FILTER(PTS!M:M, (PTS!$C:$C=A128) * ISNUMBER(PTS!M:M)))</f>
        <v>15</v>
      </c>
      <c r="J128" s="531" cm="1">
        <f t="array" ref="J128">AVERAGE(_xlfn._xlws.FILTER(PTS!N:N, (PTS!$C:$C=A128) * ISNUMBER(PTS!N:N)))</f>
        <v>52.5</v>
      </c>
      <c r="K128" s="531" cm="1">
        <f t="array" ref="K128">AVERAGE(_xlfn._xlws.FILTER(PTS!O:O, (PTS!$C:$C=A128) * ISNUMBER(PTS!O:O)))</f>
        <v>37.916666666666671</v>
      </c>
      <c r="L128" s="10" cm="1">
        <f t="array" ref="L128">AVERAGE(_xlfn._xlws.FILTER(PTS!P:P, (PTS!$C:$C=A128) * ISNUMBER(PTS!P:P)))</f>
        <v>0</v>
      </c>
      <c r="M128" s="531">
        <f t="shared" si="11"/>
        <v>417.91666666666669</v>
      </c>
      <c r="N128" s="531">
        <f t="shared" si="12"/>
        <v>90.416666666666671</v>
      </c>
      <c r="O128" s="531" cm="1">
        <f t="array" ref="O128">AVERAGE(_xlfn._xlws.FILTER(PTS!S:S, (PTS!$C:$C=A128) * ISNUMBER(PTS!S:S)))</f>
        <v>0</v>
      </c>
      <c r="P128" s="531" cm="1">
        <f t="array" ref="P128">AVERAGE(_xlfn._xlws.FILTER(PTS!T:T, (PTS!$C:$C=A128) * ISNUMBER(PTS!T:T)))</f>
        <v>0</v>
      </c>
      <c r="Q128" s="531" cm="1">
        <f t="array" ref="Q128">AVERAGE(_xlfn._xlws.FILTER(PTS!U:U, (PTS!$C:$C=A128) * ISNUMBER(PTS!U:U)))</f>
        <v>438.67159090909098</v>
      </c>
      <c r="S128" s="531">
        <f t="shared" si="13"/>
        <v>438.67159090909098</v>
      </c>
      <c r="T128" s="531" cm="1">
        <f t="array" ref="T128">AVERAGE(_xlfn._xlws.FILTER(PTS!X:X, (PTS!$C:$C=A128) * ISNUMBER(PTS!X:X)))</f>
        <v>52</v>
      </c>
      <c r="U128" s="531" cm="1">
        <f t="array" ref="U128">AVERAGE(_xlfn._xlws.FILTER(PTS!Y:Y, (PTS!$C:$C=A128) * ISNUMBER(PTS!Y:Y)))</f>
        <v>50.4</v>
      </c>
      <c r="V128" s="531" cm="1">
        <f t="array" ref="V128">AVERAGE(_xlfn._xlws.FILTER(PTS!Z:Z, (PTS!$C:$C=A128) * ISNUMBER(PTS!Z:Z)))</f>
        <v>26.25</v>
      </c>
      <c r="X128" s="531">
        <f t="shared" si="14"/>
        <v>128.65</v>
      </c>
      <c r="Y128" s="531" cm="1">
        <f t="array" ref="Y128">AVERAGE(_xlfn._xlws.FILTER(PTS!AC:AC, (PTS!$C:$C=A128) * ISNUMBER(PTS!AC:AC)))</f>
        <v>110.22727272727273</v>
      </c>
      <c r="Z128" s="531" cm="1">
        <f t="array" ref="Z128">AVERAGE(_xlfn._xlws.FILTER(PTS!AD:AD, (PTS!$C:$C=A128) * ISNUMBER(PTS!AD:AD)))</f>
        <v>107.04545454545455</v>
      </c>
      <c r="AB128" s="531">
        <f t="shared" si="15"/>
        <v>217.27272727272728</v>
      </c>
      <c r="AC128" s="10" cm="1">
        <f t="array" ref="AC128">AVERAGE(_xlfn._xlws.FILTER(PTS!AG:AG, (PTS!$C:$C=A128) * ISNUMBER(PTS!AG:AG)))</f>
        <v>28.814300000000003</v>
      </c>
      <c r="AD128" s="531" cm="1">
        <f t="array" ref="AD128">AVERAGE(_xlfn._xlws.FILTER(PTS!AH:AH, (PTS!$C:$C=A128) * ISNUMBER(PTS!AH:AH)))</f>
        <v>6.973140495867769</v>
      </c>
      <c r="AE128" s="531" cm="1">
        <f t="array" ref="AE128">AVERAGE(_xlfn._xlws.FILTER(PTS!AI:AI, (PTS!$C:$C=A128) * ISNUMBER(PTS!AI:AI)))</f>
        <v>12.587317427197677</v>
      </c>
      <c r="AF128" s="531" cm="1">
        <f t="array" ref="AF128">AVERAGE(_xlfn._xlws.FILTER(PTS!AJ:AJ, (PTS!$C:$C=A128) * ISNUMBER(PTS!AJ:AJ)))</f>
        <v>6.7351999999999999</v>
      </c>
      <c r="AH128" s="531">
        <f t="shared" si="16"/>
        <v>55.109957923065444</v>
      </c>
      <c r="AI128" s="10" cm="1">
        <f t="array" ref="AI128">AVERAGE(_xlfn._xlws.FILTER(PTS!AM:AM, (PTS!$C:$C=A128) * ISNUMBER(PTS!AM:AM)))</f>
        <v>79.999999999999986</v>
      </c>
      <c r="AJ128" s="10" cm="1">
        <f t="array" ref="AJ128">AVERAGE(_xlfn._xlws.FILTER(PTS!AN:AN, (PTS!$C:$C=A128) * ISNUMBER(PTS!AN:AN)))</f>
        <v>26.17808219178082</v>
      </c>
      <c r="AK128" s="10" cm="1">
        <f t="array" ref="AK128">AVERAGE(_xlfn._xlws.FILTER(PTS!AO:AO, (PTS!$C:$C=A128) * ISNUMBER(PTS!AO:AO)))</f>
        <v>0</v>
      </c>
      <c r="AN128" s="10">
        <f t="shared" si="17"/>
        <v>106.1780821917808</v>
      </c>
      <c r="AR128" s="531">
        <f t="shared" si="18"/>
        <v>1036.299024963331</v>
      </c>
      <c r="AS128" s="531">
        <f t="shared" si="19"/>
        <v>1363.799024963331</v>
      </c>
    </row>
    <row r="129" spans="1:45">
      <c r="A129" s="32" t="s">
        <v>465</v>
      </c>
      <c r="B129" s="319" t="s">
        <v>136</v>
      </c>
      <c r="C129" s="319" t="str">
        <f t="shared" si="10"/>
        <v>KinstonNC</v>
      </c>
      <c r="D129" s="10">
        <f>VLOOKUP(A:A,PTS!C:R,6,FALSE)</f>
        <v>1</v>
      </c>
      <c r="E129" s="531" cm="1">
        <f t="array" ref="E129">AVERAGE(_xlfn._xlws.FILTER(PTS!I:I, (PTS!$C:$C=A129) * ISNUMBER(PTS!I:I)))</f>
        <v>70</v>
      </c>
      <c r="F129" s="10" cm="1">
        <f t="array" ref="F129">AVERAGE(_xlfn._xlws.FILTER(PTS!J:J, (PTS!$C:$C=A129) * ISNUMBER(PTS!J:J)))</f>
        <v>90</v>
      </c>
      <c r="G129" s="531" cm="1">
        <f t="array" ref="G129">AVERAGE(_xlfn._xlws.FILTER(PTS!K:K, (PTS!$C:$C=A129) * ISNUMBER(PTS!K:K)))</f>
        <v>0</v>
      </c>
      <c r="H129" s="531" cm="1">
        <f t="array" ref="H129">AVERAGE(_xlfn._xlws.FILTER(PTS!L:L, (PTS!$C:$C=A129) * ISNUMBER(PTS!L:L)))</f>
        <v>0</v>
      </c>
      <c r="I129" s="531" cm="1">
        <f t="array" ref="I129">AVERAGE(_xlfn._xlws.FILTER(PTS!M:M, (PTS!$C:$C=A129) * ISNUMBER(PTS!M:M)))</f>
        <v>20</v>
      </c>
      <c r="J129" s="531" cm="1">
        <f t="array" ref="J129">AVERAGE(_xlfn._xlws.FILTER(PTS!N:N, (PTS!$C:$C=A129) * ISNUMBER(PTS!N:N)))</f>
        <v>40</v>
      </c>
      <c r="K129" s="531" cm="1">
        <f t="array" ref="K129">AVERAGE(_xlfn._xlws.FILTER(PTS!O:O, (PTS!$C:$C=A129) * ISNUMBER(PTS!O:O)))</f>
        <v>37.916666666666671</v>
      </c>
      <c r="L129" s="10" cm="1">
        <f t="array" ref="L129">AVERAGE(_xlfn._xlws.FILTER(PTS!P:P, (PTS!$C:$C=A129) * ISNUMBER(PTS!P:P)))</f>
        <v>0</v>
      </c>
      <c r="M129" s="531">
        <f t="shared" si="11"/>
        <v>257.91666666666669</v>
      </c>
      <c r="N129" s="531">
        <f t="shared" si="12"/>
        <v>77.916666666666671</v>
      </c>
      <c r="O129" s="531" cm="1">
        <f t="array" ref="O129">AVERAGE(_xlfn._xlws.FILTER(PTS!S:S, (PTS!$C:$C=A129) * ISNUMBER(PTS!S:S)))</f>
        <v>0</v>
      </c>
      <c r="P129" s="531" cm="1">
        <f t="array" ref="P129">AVERAGE(_xlfn._xlws.FILTER(PTS!T:T, (PTS!$C:$C=A129) * ISNUMBER(PTS!T:T)))</f>
        <v>0</v>
      </c>
      <c r="Q129" s="531" cm="1">
        <f t="array" ref="Q129">AVERAGE(_xlfn._xlws.FILTER(PTS!U:U, (PTS!$C:$C=A129) * ISNUMBER(PTS!U:U)))</f>
        <v>248.2357954545455</v>
      </c>
      <c r="S129" s="531">
        <f t="shared" si="13"/>
        <v>248.2357954545455</v>
      </c>
      <c r="T129" s="531" cm="1">
        <f t="array" ref="T129">AVERAGE(_xlfn._xlws.FILTER(PTS!X:X, (PTS!$C:$C=A129) * ISNUMBER(PTS!X:X)))</f>
        <v>52</v>
      </c>
      <c r="U129" s="531" cm="1">
        <f t="array" ref="U129">AVERAGE(_xlfn._xlws.FILTER(PTS!Y:Y, (PTS!$C:$C=A129) * ISNUMBER(PTS!Y:Y)))</f>
        <v>50.4</v>
      </c>
      <c r="V129" s="531" cm="1">
        <f t="array" ref="V129">AVERAGE(_xlfn._xlws.FILTER(PTS!Z:Z, (PTS!$C:$C=A129) * ISNUMBER(PTS!Z:Z)))</f>
        <v>26.25</v>
      </c>
      <c r="X129" s="531">
        <f t="shared" si="14"/>
        <v>128.65</v>
      </c>
      <c r="Y129" s="531" cm="1">
        <f t="array" ref="Y129">AVERAGE(_xlfn._xlws.FILTER(PTS!AC:AC, (PTS!$C:$C=A129) * ISNUMBER(PTS!AC:AC)))</f>
        <v>110.22727272727273</v>
      </c>
      <c r="Z129" s="531" cm="1">
        <f t="array" ref="Z129">AVERAGE(_xlfn._xlws.FILTER(PTS!AD:AD, (PTS!$C:$C=A129) * ISNUMBER(PTS!AD:AD)))</f>
        <v>107.04545454545455</v>
      </c>
      <c r="AB129" s="531">
        <f t="shared" si="15"/>
        <v>217.27272727272728</v>
      </c>
      <c r="AC129" s="10" cm="1">
        <f t="array" ref="AC129">AVERAGE(_xlfn._xlws.FILTER(PTS!AG:AG, (PTS!$C:$C=A129) * ISNUMBER(PTS!AG:AG)))</f>
        <v>28.814300000000003</v>
      </c>
      <c r="AD129" s="531" cm="1">
        <f t="array" ref="AD129">AVERAGE(_xlfn._xlws.FILTER(PTS!AH:AH, (PTS!$C:$C=A129) * ISNUMBER(PTS!AH:AH)))</f>
        <v>6.973140495867769</v>
      </c>
      <c r="AE129" s="531" cm="1">
        <f t="array" ref="AE129">AVERAGE(_xlfn._xlws.FILTER(PTS!AI:AI, (PTS!$C:$C=A129) * ISNUMBER(PTS!AI:AI)))</f>
        <v>12.587317427197677</v>
      </c>
      <c r="AF129" s="531" cm="1">
        <f t="array" ref="AF129">AVERAGE(_xlfn._xlws.FILTER(PTS!AJ:AJ, (PTS!$C:$C=A129) * ISNUMBER(PTS!AJ:AJ)))</f>
        <v>6.7351999999999999</v>
      </c>
      <c r="AH129" s="531">
        <f t="shared" si="16"/>
        <v>55.109957923065444</v>
      </c>
      <c r="AI129" s="10" cm="1">
        <f t="array" ref="AI129">AVERAGE(_xlfn._xlws.FILTER(PTS!AM:AM, (PTS!$C:$C=A129) * ISNUMBER(PTS!AM:AM)))</f>
        <v>79.999999999999986</v>
      </c>
      <c r="AJ129" s="10" cm="1">
        <f t="array" ref="AJ129">AVERAGE(_xlfn._xlws.FILTER(PTS!AN:AN, (PTS!$C:$C=A129) * ISNUMBER(PTS!AN:AN)))</f>
        <v>26.17808219178082</v>
      </c>
      <c r="AK129" s="10" cm="1">
        <f t="array" ref="AK129">AVERAGE(_xlfn._xlws.FILTER(PTS!AO:AO, (PTS!$C:$C=A129) * ISNUMBER(PTS!AO:AO)))</f>
        <v>0</v>
      </c>
      <c r="AN129" s="10">
        <f t="shared" si="17"/>
        <v>106.1780821917808</v>
      </c>
      <c r="AR129" s="531">
        <f t="shared" si="18"/>
        <v>833.36322950878571</v>
      </c>
      <c r="AS129" s="531">
        <f t="shared" si="19"/>
        <v>1013.3632295087857</v>
      </c>
    </row>
    <row r="130" spans="1:45">
      <c r="A130" s="32" t="s">
        <v>469</v>
      </c>
      <c r="B130" s="319" t="s">
        <v>132</v>
      </c>
      <c r="C130" s="319" t="str">
        <f t="shared" si="10"/>
        <v>Lake CitySC</v>
      </c>
      <c r="D130" s="10">
        <f>VLOOKUP(A:A,PTS!C:R,6,FALSE)</f>
        <v>1</v>
      </c>
      <c r="E130" s="531" cm="1">
        <f t="array" ref="E130">AVERAGE(_xlfn._xlws.FILTER(PTS!I:I, (PTS!$C:$C=A130) * ISNUMBER(PTS!I:I)))</f>
        <v>50</v>
      </c>
      <c r="F130" s="10" cm="1">
        <f t="array" ref="F130">AVERAGE(_xlfn._xlws.FILTER(PTS!J:J, (PTS!$C:$C=A130) * ISNUMBER(PTS!J:J)))</f>
        <v>90</v>
      </c>
      <c r="G130" s="531" cm="1">
        <f t="array" ref="G130">AVERAGE(_xlfn._xlws.FILTER(PTS!K:K, (PTS!$C:$C=A130) * ISNUMBER(PTS!K:K)))</f>
        <v>0</v>
      </c>
      <c r="H130" s="531" cm="1">
        <f t="array" ref="H130">AVERAGE(_xlfn._xlws.FILTER(PTS!L:L, (PTS!$C:$C=A130) * ISNUMBER(PTS!L:L)))</f>
        <v>0</v>
      </c>
      <c r="I130" s="531" cm="1">
        <f t="array" ref="I130">AVERAGE(_xlfn._xlws.FILTER(PTS!M:M, (PTS!$C:$C=A130) * ISNUMBER(PTS!M:M)))</f>
        <v>5</v>
      </c>
      <c r="J130" s="531" cm="1">
        <f t="array" ref="J130">AVERAGE(_xlfn._xlws.FILTER(PTS!N:N, (PTS!$C:$C=A130) * ISNUMBER(PTS!N:N)))</f>
        <v>47.5</v>
      </c>
      <c r="K130" s="531" cm="1">
        <f t="array" ref="K130">AVERAGE(_xlfn._xlws.FILTER(PTS!O:O, (PTS!$C:$C=A130) * ISNUMBER(PTS!O:O)))</f>
        <v>37.916666666666671</v>
      </c>
      <c r="L130" s="10" cm="1">
        <f t="array" ref="L130">AVERAGE(_xlfn._xlws.FILTER(PTS!P:P, (PTS!$C:$C=A130) * ISNUMBER(PTS!P:P)))</f>
        <v>0</v>
      </c>
      <c r="M130" s="531">
        <f t="shared" si="11"/>
        <v>230.41666666666669</v>
      </c>
      <c r="N130" s="531">
        <f t="shared" si="12"/>
        <v>85.416666666666671</v>
      </c>
      <c r="O130" s="531" cm="1">
        <f t="array" ref="O130">AVERAGE(_xlfn._xlws.FILTER(PTS!S:S, (PTS!$C:$C=A130) * ISNUMBER(PTS!S:S)))</f>
        <v>0</v>
      </c>
      <c r="P130" s="531" cm="1">
        <f t="array" ref="P130">AVERAGE(_xlfn._xlws.FILTER(PTS!T:T, (PTS!$C:$C=A130) * ISNUMBER(PTS!T:T)))</f>
        <v>0</v>
      </c>
      <c r="Q130" s="531" cm="1">
        <f t="array" ref="Q130">AVERAGE(_xlfn._xlws.FILTER(PTS!U:U, (PTS!$C:$C=A130) * ISNUMBER(PTS!U:U)))</f>
        <v>197.53238636363636</v>
      </c>
      <c r="S130" s="531">
        <f t="shared" si="13"/>
        <v>197.53238636363636</v>
      </c>
      <c r="T130" s="531" cm="1">
        <f t="array" ref="T130">AVERAGE(_xlfn._xlws.FILTER(PTS!X:X, (PTS!$C:$C=A130) * ISNUMBER(PTS!X:X)))</f>
        <v>52</v>
      </c>
      <c r="U130" s="531" cm="1">
        <f t="array" ref="U130">AVERAGE(_xlfn._xlws.FILTER(PTS!Y:Y, (PTS!$C:$C=A130) * ISNUMBER(PTS!Y:Y)))</f>
        <v>50.4</v>
      </c>
      <c r="V130" s="531" cm="1">
        <f t="array" ref="V130">AVERAGE(_xlfn._xlws.FILTER(PTS!Z:Z, (PTS!$C:$C=A130) * ISNUMBER(PTS!Z:Z)))</f>
        <v>26.25</v>
      </c>
      <c r="X130" s="531">
        <f t="shared" si="14"/>
        <v>128.65</v>
      </c>
      <c r="Y130" s="531" cm="1">
        <f t="array" ref="Y130">AVERAGE(_xlfn._xlws.FILTER(PTS!AC:AC, (PTS!$C:$C=A130) * ISNUMBER(PTS!AC:AC)))</f>
        <v>110.22727272727273</v>
      </c>
      <c r="Z130" s="531" cm="1">
        <f t="array" ref="Z130">AVERAGE(_xlfn._xlws.FILTER(PTS!AD:AD, (PTS!$C:$C=A130) * ISNUMBER(PTS!AD:AD)))</f>
        <v>107.04545454545455</v>
      </c>
      <c r="AB130" s="531">
        <f t="shared" si="15"/>
        <v>217.27272727272728</v>
      </c>
      <c r="AC130" s="10" cm="1">
        <f t="array" ref="AC130">AVERAGE(_xlfn._xlws.FILTER(PTS!AG:AG, (PTS!$C:$C=A130) * ISNUMBER(PTS!AG:AG)))</f>
        <v>28.814300000000003</v>
      </c>
      <c r="AD130" s="531" cm="1">
        <f t="array" ref="AD130">AVERAGE(_xlfn._xlws.FILTER(PTS!AH:AH, (PTS!$C:$C=A130) * ISNUMBER(PTS!AH:AH)))</f>
        <v>6.973140495867769</v>
      </c>
      <c r="AE130" s="531" cm="1">
        <f t="array" ref="AE130">AVERAGE(_xlfn._xlws.FILTER(PTS!AI:AI, (PTS!$C:$C=A130) * ISNUMBER(PTS!AI:AI)))</f>
        <v>12.587317427197677</v>
      </c>
      <c r="AF130" s="531" cm="1">
        <f t="array" ref="AF130">AVERAGE(_xlfn._xlws.FILTER(PTS!AJ:AJ, (PTS!$C:$C=A130) * ISNUMBER(PTS!AJ:AJ)))</f>
        <v>6.7351999999999999</v>
      </c>
      <c r="AH130" s="531">
        <f t="shared" si="16"/>
        <v>55.109957923065444</v>
      </c>
      <c r="AI130" s="10" cm="1">
        <f t="array" ref="AI130">AVERAGE(_xlfn._xlws.FILTER(PTS!AM:AM, (PTS!$C:$C=A130) * ISNUMBER(PTS!AM:AM)))</f>
        <v>79.999999999999986</v>
      </c>
      <c r="AJ130" s="10" cm="1">
        <f t="array" ref="AJ130">AVERAGE(_xlfn._xlws.FILTER(PTS!AN:AN, (PTS!$C:$C=A130) * ISNUMBER(PTS!AN:AN)))</f>
        <v>26.17808219178082</v>
      </c>
      <c r="AK130" s="10" cm="1">
        <f t="array" ref="AK130">AVERAGE(_xlfn._xlws.FILTER(PTS!AO:AO, (PTS!$C:$C=A130) * ISNUMBER(PTS!AO:AO)))</f>
        <v>0</v>
      </c>
      <c r="AN130" s="10">
        <f t="shared" si="17"/>
        <v>106.1780821917808</v>
      </c>
      <c r="AR130" s="531">
        <f t="shared" si="18"/>
        <v>790.15982041787652</v>
      </c>
      <c r="AS130" s="531">
        <f t="shared" si="19"/>
        <v>935.15982041787652</v>
      </c>
    </row>
    <row r="131" spans="1:45">
      <c r="A131" s="32" t="s">
        <v>473</v>
      </c>
      <c r="B131" s="319" t="s">
        <v>80</v>
      </c>
      <c r="C131" s="319" t="str">
        <f t="shared" ref="C131:C194" si="20">A131&amp;B131</f>
        <v>Lake ProvidenceLA</v>
      </c>
      <c r="D131" s="10">
        <f>VLOOKUP(A:A,PTS!C:R,6,FALSE)</f>
        <v>1</v>
      </c>
      <c r="E131" s="531" cm="1">
        <f t="array" ref="E131">AVERAGE(_xlfn._xlws.FILTER(PTS!I:I, (PTS!$C:$C=A131) * ISNUMBER(PTS!I:I)))</f>
        <v>47</v>
      </c>
      <c r="F131" s="10" cm="1">
        <f t="array" ref="F131">AVERAGE(_xlfn._xlws.FILTER(PTS!J:J, (PTS!$C:$C=A131) * ISNUMBER(PTS!J:J)))</f>
        <v>180</v>
      </c>
      <c r="G131" s="531" cm="1">
        <f t="array" ref="G131">AVERAGE(_xlfn._xlws.FILTER(PTS!K:K, (PTS!$C:$C=A131) * ISNUMBER(PTS!K:K)))</f>
        <v>160</v>
      </c>
      <c r="H131" s="531" cm="1">
        <f t="array" ref="H131">AVERAGE(_xlfn._xlws.FILTER(PTS!L:L, (PTS!$C:$C=A131) * ISNUMBER(PTS!L:L)))</f>
        <v>61</v>
      </c>
      <c r="I131" s="531" cm="1">
        <f t="array" ref="I131">AVERAGE(_xlfn._xlws.FILTER(PTS!M:M, (PTS!$C:$C=A131) * ISNUMBER(PTS!M:M)))</f>
        <v>0</v>
      </c>
      <c r="J131" s="531" cm="1">
        <f t="array" ref="J131">AVERAGE(_xlfn._xlws.FILTER(PTS!N:N, (PTS!$C:$C=A131) * ISNUMBER(PTS!N:N)))</f>
        <v>70</v>
      </c>
      <c r="K131" s="531" cm="1">
        <f t="array" ref="K131">AVERAGE(_xlfn._xlws.FILTER(PTS!O:O, (PTS!$C:$C=A131) * ISNUMBER(PTS!O:O)))</f>
        <v>37.916666666666671</v>
      </c>
      <c r="L131" s="10" cm="1">
        <f t="array" ref="L131">AVERAGE(_xlfn._xlws.FILTER(PTS!P:P, (PTS!$C:$C=A131) * ISNUMBER(PTS!P:P)))</f>
        <v>0</v>
      </c>
      <c r="M131" s="531">
        <f t="shared" ref="M131:M194" si="21">E131+F131+G131+H131+I131+J131+K131+L131</f>
        <v>555.91666666666663</v>
      </c>
      <c r="N131" s="531">
        <f t="shared" ref="N131:N194" si="22">IF(D131=1,SUM(J131),IF(D131=2,SUM(G131,J131),IF(D131=3,SUM(F131,G131,H131,J131),IF(D131=4,SUM(H131),"ERROR"))))+K131</f>
        <v>107.91666666666667</v>
      </c>
      <c r="O131" s="531" cm="1">
        <f t="array" ref="O131">AVERAGE(_xlfn._xlws.FILTER(PTS!S:S, (PTS!$C:$C=A131) * ISNUMBER(PTS!S:S)))</f>
        <v>0</v>
      </c>
      <c r="P131" s="531" cm="1">
        <f t="array" ref="P131">AVERAGE(_xlfn._xlws.FILTER(PTS!T:T, (PTS!$C:$C=A131) * ISNUMBER(PTS!T:T)))</f>
        <v>0</v>
      </c>
      <c r="Q131" s="531" cm="1">
        <f t="array" ref="Q131">AVERAGE(_xlfn._xlws.FILTER(PTS!U:U, (PTS!$C:$C=A131) * ISNUMBER(PTS!U:U)))</f>
        <v>343.75</v>
      </c>
      <c r="S131" s="531">
        <f t="shared" ref="S131:S194" si="23">O131+P131+Q131+R131</f>
        <v>343.75</v>
      </c>
      <c r="T131" s="531" cm="1">
        <f t="array" ref="T131">AVERAGE(_xlfn._xlws.FILTER(PTS!X:X, (PTS!$C:$C=A131) * ISNUMBER(PTS!X:X)))</f>
        <v>54</v>
      </c>
      <c r="U131" s="531" cm="1">
        <f t="array" ref="U131">AVERAGE(_xlfn._xlws.FILTER(PTS!Y:Y, (PTS!$C:$C=A131) * ISNUMBER(PTS!Y:Y)))</f>
        <v>50.4</v>
      </c>
      <c r="V131" s="531" cm="1">
        <f t="array" ref="V131">AVERAGE(_xlfn._xlws.FILTER(PTS!Z:Z, (PTS!$C:$C=A131) * ISNUMBER(PTS!Z:Z)))</f>
        <v>26.25</v>
      </c>
      <c r="X131" s="531">
        <f t="shared" ref="X131:X194" si="24">T131+U131+V131+W131</f>
        <v>130.65</v>
      </c>
      <c r="Y131" s="531" cm="1">
        <f t="array" ref="Y131">AVERAGE(_xlfn._xlws.FILTER(PTS!AC:AC, (PTS!$C:$C=A131) * ISNUMBER(PTS!AC:AC)))</f>
        <v>132.95454545454544</v>
      </c>
      <c r="Z131" s="531" cm="1">
        <f t="array" ref="Z131">AVERAGE(_xlfn._xlws.FILTER(PTS!AD:AD, (PTS!$C:$C=A131) * ISNUMBER(PTS!AD:AD)))</f>
        <v>197.95454545454547</v>
      </c>
      <c r="AB131" s="531">
        <f t="shared" ref="AB131:AB194" si="25">Y131+Z131+AA131</f>
        <v>330.90909090909088</v>
      </c>
      <c r="AC131" s="10" cm="1">
        <f t="array" ref="AC131">AVERAGE(_xlfn._xlws.FILTER(PTS!AG:AG, (PTS!$C:$C=A131) * ISNUMBER(PTS!AG:AG)))</f>
        <v>28.814300000000003</v>
      </c>
      <c r="AD131" s="531" cm="1">
        <f t="array" ref="AD131">AVERAGE(_xlfn._xlws.FILTER(PTS!AH:AH, (PTS!$C:$C=A131) * ISNUMBER(PTS!AH:AH)))</f>
        <v>6.973140495867769</v>
      </c>
      <c r="AE131" s="531" cm="1">
        <f t="array" ref="AE131">AVERAGE(_xlfn._xlws.FILTER(PTS!AI:AI, (PTS!$C:$C=A131) * ISNUMBER(PTS!AI:AI)))</f>
        <v>12.587317427197677</v>
      </c>
      <c r="AF131" s="531" cm="1">
        <f t="array" ref="AF131">AVERAGE(_xlfn._xlws.FILTER(PTS!AJ:AJ, (PTS!$C:$C=A131) * ISNUMBER(PTS!AJ:AJ)))</f>
        <v>6.7351999999999999</v>
      </c>
      <c r="AH131" s="531">
        <f t="shared" ref="AH131:AH194" si="26">AC131+AD131+AE131+AF131+AG131</f>
        <v>55.109957923065444</v>
      </c>
      <c r="AI131" s="10" cm="1">
        <f t="array" ref="AI131">AVERAGE(_xlfn._xlws.FILTER(PTS!AM:AM, (PTS!$C:$C=A131) * ISNUMBER(PTS!AM:AM)))</f>
        <v>79.999999999999986</v>
      </c>
      <c r="AJ131" s="10" cm="1">
        <f t="array" ref="AJ131">AVERAGE(_xlfn._xlws.FILTER(PTS!AN:AN, (PTS!$C:$C=A131) * ISNUMBER(PTS!AN:AN)))</f>
        <v>26.17808219178082</v>
      </c>
      <c r="AK131" s="10" cm="1">
        <f t="array" ref="AK131">AVERAGE(_xlfn._xlws.FILTER(PTS!AO:AO, (PTS!$C:$C=A131) * ISNUMBER(PTS!AO:AO)))</f>
        <v>0</v>
      </c>
      <c r="AN131" s="10">
        <f t="shared" ref="AN131:AN194" si="27">AI131+AJ131+AK131+AL131+AM131</f>
        <v>106.1780821917808</v>
      </c>
      <c r="AR131" s="531">
        <f t="shared" ref="AR131:AR194" si="28">N131+S131+X131+AB131+AH131+AN131</f>
        <v>1074.5137976906037</v>
      </c>
      <c r="AS131" s="531">
        <f t="shared" ref="AS131:AS194" si="29">M131+S131+X131+AB131+AH131+AN131</f>
        <v>1522.5137976906037</v>
      </c>
    </row>
    <row r="132" spans="1:45">
      <c r="A132" s="32" t="s">
        <v>476</v>
      </c>
      <c r="B132" s="319" t="s">
        <v>71</v>
      </c>
      <c r="C132" s="319" t="str">
        <f t="shared" si="20"/>
        <v>LamesaTX</v>
      </c>
      <c r="D132" s="10">
        <f>VLOOKUP(A:A,PTS!C:R,6,FALSE)</f>
        <v>2</v>
      </c>
      <c r="E132" s="531" cm="1">
        <f t="array" ref="E132">AVERAGE(_xlfn._xlws.FILTER(PTS!I:I, (PTS!$C:$C=A132) * ISNUMBER(PTS!I:I)))</f>
        <v>95</v>
      </c>
      <c r="F132" s="10" cm="1">
        <f t="array" ref="F132">AVERAGE(_xlfn._xlws.FILTER(PTS!J:J, (PTS!$C:$C=A132) * ISNUMBER(PTS!J:J)))</f>
        <v>109</v>
      </c>
      <c r="G132" s="531" cm="1">
        <f t="array" ref="G132">AVERAGE(_xlfn._xlws.FILTER(PTS!K:K, (PTS!$C:$C=A132) * ISNUMBER(PTS!K:K)))</f>
        <v>195</v>
      </c>
      <c r="H132" s="531" cm="1">
        <f t="array" ref="H132">AVERAGE(_xlfn._xlws.FILTER(PTS!L:L, (PTS!$C:$C=A132) * ISNUMBER(PTS!L:L)))</f>
        <v>0</v>
      </c>
      <c r="I132" s="531" cm="1">
        <f t="array" ref="I132">AVERAGE(_xlfn._xlws.FILTER(PTS!M:M, (PTS!$C:$C=A132) * ISNUMBER(PTS!M:M)))</f>
        <v>20</v>
      </c>
      <c r="J132" s="531" cm="1">
        <f t="array" ref="J132">AVERAGE(_xlfn._xlws.FILTER(PTS!N:N, (PTS!$C:$C=A132) * ISNUMBER(PTS!N:N)))</f>
        <v>48</v>
      </c>
      <c r="K132" s="531" cm="1">
        <f t="array" ref="K132">AVERAGE(_xlfn._xlws.FILTER(PTS!O:O, (PTS!$C:$C=A132) * ISNUMBER(PTS!O:O)))</f>
        <v>37.916666666666671</v>
      </c>
      <c r="L132" s="10" cm="1">
        <f t="array" ref="L132">AVERAGE(_xlfn._xlws.FILTER(PTS!P:P, (PTS!$C:$C=A132) * ISNUMBER(PTS!P:P)))</f>
        <v>0</v>
      </c>
      <c r="M132" s="531">
        <f t="shared" si="21"/>
        <v>504.91666666666669</v>
      </c>
      <c r="N132" s="531">
        <f t="shared" si="22"/>
        <v>280.91666666666669</v>
      </c>
      <c r="O132" s="531" cm="1">
        <f t="array" ref="O132">AVERAGE(_xlfn._xlws.FILTER(PTS!S:S, (PTS!$C:$C=A132) * ISNUMBER(PTS!S:S)))</f>
        <v>0</v>
      </c>
      <c r="P132" s="531" cm="1">
        <f t="array" ref="P132">AVERAGE(_xlfn._xlws.FILTER(PTS!T:T, (PTS!$C:$C=A132) * ISNUMBER(PTS!T:T)))</f>
        <v>0</v>
      </c>
      <c r="Q132" s="531" cm="1">
        <f t="array" ref="Q132">AVERAGE(_xlfn._xlws.FILTER(PTS!U:U, (PTS!$C:$C=A132) * ISNUMBER(PTS!U:U)))</f>
        <v>231.25</v>
      </c>
      <c r="S132" s="531">
        <f t="shared" si="23"/>
        <v>231.25</v>
      </c>
      <c r="T132" s="531" cm="1">
        <f t="array" ref="T132">AVERAGE(_xlfn._xlws.FILTER(PTS!X:X, (PTS!$C:$C=A132) * ISNUMBER(PTS!X:X)))</f>
        <v>54</v>
      </c>
      <c r="U132" s="531" cm="1">
        <f t="array" ref="U132">AVERAGE(_xlfn._xlws.FILTER(PTS!Y:Y, (PTS!$C:$C=A132) * ISNUMBER(PTS!Y:Y)))</f>
        <v>50.4</v>
      </c>
      <c r="V132" s="531" cm="1">
        <f t="array" ref="V132">AVERAGE(_xlfn._xlws.FILTER(PTS!Z:Z, (PTS!$C:$C=A132) * ISNUMBER(PTS!Z:Z)))</f>
        <v>26.25</v>
      </c>
      <c r="X132" s="531">
        <f t="shared" si="24"/>
        <v>130.65</v>
      </c>
      <c r="Y132" s="531" cm="1">
        <f t="array" ref="Y132">AVERAGE(_xlfn._xlws.FILTER(PTS!AC:AC, (PTS!$C:$C=A132) * ISNUMBER(PTS!AC:AC)))</f>
        <v>147.72727272727272</v>
      </c>
      <c r="Z132" s="531" cm="1">
        <f t="array" ref="Z132">AVERAGE(_xlfn._xlws.FILTER(PTS!AD:AD, (PTS!$C:$C=A132) * ISNUMBER(PTS!AD:AD)))</f>
        <v>233.06818181818181</v>
      </c>
      <c r="AB132" s="531">
        <f t="shared" si="25"/>
        <v>380.7954545454545</v>
      </c>
      <c r="AC132" s="10" cm="1">
        <f t="array" ref="AC132">AVERAGE(_xlfn._xlws.FILTER(PTS!AG:AG, (PTS!$C:$C=A132) * ISNUMBER(PTS!AG:AG)))</f>
        <v>28.814300000000003</v>
      </c>
      <c r="AD132" s="531" cm="1">
        <f t="array" ref="AD132">AVERAGE(_xlfn._xlws.FILTER(PTS!AH:AH, (PTS!$C:$C=A132) * ISNUMBER(PTS!AH:AH)))</f>
        <v>6.973140495867769</v>
      </c>
      <c r="AE132" s="531" cm="1">
        <f t="array" ref="AE132">AVERAGE(_xlfn._xlws.FILTER(PTS!AI:AI, (PTS!$C:$C=A132) * ISNUMBER(PTS!AI:AI)))</f>
        <v>12.587317427197677</v>
      </c>
      <c r="AF132" s="531" cm="1">
        <f t="array" ref="AF132">AVERAGE(_xlfn._xlws.FILTER(PTS!AJ:AJ, (PTS!$C:$C=A132) * ISNUMBER(PTS!AJ:AJ)))</f>
        <v>6.7351999999999999</v>
      </c>
      <c r="AH132" s="531">
        <f t="shared" si="26"/>
        <v>55.109957923065444</v>
      </c>
      <c r="AI132" s="10" cm="1">
        <f t="array" ref="AI132">AVERAGE(_xlfn._xlws.FILTER(PTS!AM:AM, (PTS!$C:$C=A132) * ISNUMBER(PTS!AM:AM)))</f>
        <v>79.999999999999986</v>
      </c>
      <c r="AJ132" s="10" cm="1">
        <f t="array" ref="AJ132">AVERAGE(_xlfn._xlws.FILTER(PTS!AN:AN, (PTS!$C:$C=A132) * ISNUMBER(PTS!AN:AN)))</f>
        <v>26.17808219178082</v>
      </c>
      <c r="AK132" s="10" cm="1">
        <f t="array" ref="AK132">AVERAGE(_xlfn._xlws.FILTER(PTS!AO:AO, (PTS!$C:$C=A132) * ISNUMBER(PTS!AO:AO)))</f>
        <v>0</v>
      </c>
      <c r="AN132" s="10">
        <f t="shared" si="27"/>
        <v>106.1780821917808</v>
      </c>
      <c r="AR132" s="531">
        <f t="shared" si="28"/>
        <v>1184.9001613269675</v>
      </c>
      <c r="AS132" s="531">
        <f t="shared" si="29"/>
        <v>1408.9001613269672</v>
      </c>
    </row>
    <row r="133" spans="1:45">
      <c r="A133" s="32" t="s">
        <v>479</v>
      </c>
      <c r="B133" s="319" t="s">
        <v>71</v>
      </c>
      <c r="C133" s="319" t="str">
        <f t="shared" si="20"/>
        <v>LaredoTX</v>
      </c>
      <c r="D133" s="10">
        <f>VLOOKUP(A:A,PTS!C:R,6,FALSE)</f>
        <v>3</v>
      </c>
      <c r="E133" s="531" cm="1">
        <f t="array" ref="E133">AVERAGE(_xlfn._xlws.FILTER(PTS!I:I, (PTS!$C:$C=A133) * ISNUMBER(PTS!I:I)))</f>
        <v>95</v>
      </c>
      <c r="F133" s="10" cm="1">
        <f t="array" ref="F133">AVERAGE(_xlfn._xlws.FILTER(PTS!J:J, (PTS!$C:$C=A133) * ISNUMBER(PTS!J:J)))</f>
        <v>150</v>
      </c>
      <c r="G133" s="531" cm="1">
        <f t="array" ref="G133">AVERAGE(_xlfn._xlws.FILTER(PTS!K:K, (PTS!$C:$C=A133) * ISNUMBER(PTS!K:K)))</f>
        <v>0</v>
      </c>
      <c r="H133" s="531" cm="1">
        <f t="array" ref="H133">AVERAGE(_xlfn._xlws.FILTER(PTS!L:L, (PTS!$C:$C=A133) * ISNUMBER(PTS!L:L)))</f>
        <v>0</v>
      </c>
      <c r="I133" s="531" cm="1">
        <f t="array" ref="I133">AVERAGE(_xlfn._xlws.FILTER(PTS!M:M, (PTS!$C:$C=A133) * ISNUMBER(PTS!M:M)))</f>
        <v>0</v>
      </c>
      <c r="J133" s="531" cm="1">
        <f t="array" ref="J133">AVERAGE(_xlfn._xlws.FILTER(PTS!N:N, (PTS!$C:$C=A133) * ISNUMBER(PTS!N:N)))</f>
        <v>85</v>
      </c>
      <c r="K133" s="531" cm="1">
        <f t="array" ref="K133">AVERAGE(_xlfn._xlws.FILTER(PTS!O:O, (PTS!$C:$C=A133) * ISNUMBER(PTS!O:O)))</f>
        <v>37.916666666666671</v>
      </c>
      <c r="L133" s="10" cm="1">
        <f t="array" ref="L133">AVERAGE(_xlfn._xlws.FILTER(PTS!P:P, (PTS!$C:$C=A133) * ISNUMBER(PTS!P:P)))</f>
        <v>0</v>
      </c>
      <c r="M133" s="531">
        <f t="shared" si="21"/>
        <v>367.91666666666669</v>
      </c>
      <c r="N133" s="531">
        <f t="shared" si="22"/>
        <v>272.91666666666669</v>
      </c>
      <c r="O133" s="531" cm="1">
        <f t="array" ref="O133">AVERAGE(_xlfn._xlws.FILTER(PTS!S:S, (PTS!$C:$C=A133) * ISNUMBER(PTS!S:S)))</f>
        <v>0</v>
      </c>
      <c r="P133" s="531" cm="1">
        <f t="array" ref="P133">AVERAGE(_xlfn._xlws.FILTER(PTS!T:T, (PTS!$C:$C=A133) * ISNUMBER(PTS!T:T)))</f>
        <v>0</v>
      </c>
      <c r="Q133" s="531" cm="1">
        <f t="array" ref="Q133">AVERAGE(_xlfn._xlws.FILTER(PTS!U:U, (PTS!$C:$C=A133) * ISNUMBER(PTS!U:U)))</f>
        <v>318.18181818181819</v>
      </c>
      <c r="S133" s="531">
        <f t="shared" si="23"/>
        <v>318.18181818181819</v>
      </c>
      <c r="T133" s="531" cm="1">
        <f t="array" ref="T133">AVERAGE(_xlfn._xlws.FILTER(PTS!X:X, (PTS!$C:$C=A133) * ISNUMBER(PTS!X:X)))</f>
        <v>54</v>
      </c>
      <c r="U133" s="531" cm="1">
        <f t="array" ref="U133">AVERAGE(_xlfn._xlws.FILTER(PTS!Y:Y, (PTS!$C:$C=A133) * ISNUMBER(PTS!Y:Y)))</f>
        <v>50.4</v>
      </c>
      <c r="V133" s="531" cm="1">
        <f t="array" ref="V133">AVERAGE(_xlfn._xlws.FILTER(PTS!Z:Z, (PTS!$C:$C=A133) * ISNUMBER(PTS!Z:Z)))</f>
        <v>26.25</v>
      </c>
      <c r="X133" s="531">
        <f t="shared" si="24"/>
        <v>130.65</v>
      </c>
      <c r="Y133" s="531" cm="1">
        <f t="array" ref="Y133">AVERAGE(_xlfn._xlws.FILTER(PTS!AC:AC, (PTS!$C:$C=A133) * ISNUMBER(PTS!AC:AC)))</f>
        <v>132.95454545454544</v>
      </c>
      <c r="Z133" s="531" cm="1">
        <f t="array" ref="Z133">AVERAGE(_xlfn._xlws.FILTER(PTS!AD:AD, (PTS!$C:$C=A133) * ISNUMBER(PTS!AD:AD)))</f>
        <v>197.95454545454547</v>
      </c>
      <c r="AB133" s="531">
        <f t="shared" si="25"/>
        <v>330.90909090909088</v>
      </c>
      <c r="AC133" s="10" cm="1">
        <f t="array" ref="AC133">AVERAGE(_xlfn._xlws.FILTER(PTS!AG:AG, (PTS!$C:$C=A133) * ISNUMBER(PTS!AG:AG)))</f>
        <v>28.814300000000003</v>
      </c>
      <c r="AD133" s="531" cm="1">
        <f t="array" ref="AD133">AVERAGE(_xlfn._xlws.FILTER(PTS!AH:AH, (PTS!$C:$C=A133) * ISNUMBER(PTS!AH:AH)))</f>
        <v>6.973140495867769</v>
      </c>
      <c r="AE133" s="531" cm="1">
        <f t="array" ref="AE133">AVERAGE(_xlfn._xlws.FILTER(PTS!AI:AI, (PTS!$C:$C=A133) * ISNUMBER(PTS!AI:AI)))</f>
        <v>12.587317427197677</v>
      </c>
      <c r="AF133" s="531" cm="1">
        <f t="array" ref="AF133">AVERAGE(_xlfn._xlws.FILTER(PTS!AJ:AJ, (PTS!$C:$C=A133) * ISNUMBER(PTS!AJ:AJ)))</f>
        <v>6.7351999999999999</v>
      </c>
      <c r="AH133" s="531">
        <f t="shared" si="26"/>
        <v>55.109957923065444</v>
      </c>
      <c r="AI133" s="10" cm="1">
        <f t="array" ref="AI133">AVERAGE(_xlfn._xlws.FILTER(PTS!AM:AM, (PTS!$C:$C=A133) * ISNUMBER(PTS!AM:AM)))</f>
        <v>79.999999999999986</v>
      </c>
      <c r="AJ133" s="10" cm="1">
        <f t="array" ref="AJ133">AVERAGE(_xlfn._xlws.FILTER(PTS!AN:AN, (PTS!$C:$C=A133) * ISNUMBER(PTS!AN:AN)))</f>
        <v>26.17808219178082</v>
      </c>
      <c r="AK133" s="10" cm="1">
        <f t="array" ref="AK133">AVERAGE(_xlfn._xlws.FILTER(PTS!AO:AO, (PTS!$C:$C=A133) * ISNUMBER(PTS!AO:AO)))</f>
        <v>0</v>
      </c>
      <c r="AN133" s="10">
        <f t="shared" si="27"/>
        <v>106.1780821917808</v>
      </c>
      <c r="AR133" s="531">
        <f t="shared" si="28"/>
        <v>1213.9456158724217</v>
      </c>
      <c r="AS133" s="531">
        <f t="shared" si="29"/>
        <v>1308.9456158724217</v>
      </c>
    </row>
    <row r="134" spans="1:45">
      <c r="A134" s="32" t="s">
        <v>482</v>
      </c>
      <c r="B134" s="319" t="s">
        <v>65</v>
      </c>
      <c r="C134" s="319" t="str">
        <f t="shared" si="20"/>
        <v>LeightonAL</v>
      </c>
      <c r="D134" s="10">
        <f>VLOOKUP(A:A,PTS!C:R,6,FALSE)</f>
        <v>1</v>
      </c>
      <c r="E134" s="531" cm="1">
        <f t="array" ref="E134">AVERAGE(_xlfn._xlws.FILTER(PTS!I:I, (PTS!$C:$C=A134) * ISNUMBER(PTS!I:I)))</f>
        <v>152</v>
      </c>
      <c r="F134" s="10" cm="1">
        <f t="array" ref="F134">AVERAGE(_xlfn._xlws.FILTER(PTS!J:J, (PTS!$C:$C=A134) * ISNUMBER(PTS!J:J)))</f>
        <v>120</v>
      </c>
      <c r="G134" s="531" cm="1">
        <f t="array" ref="G134">AVERAGE(_xlfn._xlws.FILTER(PTS!K:K, (PTS!$C:$C=A134) * ISNUMBER(PTS!K:K)))</f>
        <v>150</v>
      </c>
      <c r="H134" s="531" cm="1">
        <f t="array" ref="H134">AVERAGE(_xlfn._xlws.FILTER(PTS!L:L, (PTS!$C:$C=A134) * ISNUMBER(PTS!L:L)))</f>
        <v>0</v>
      </c>
      <c r="I134" s="531" cm="1">
        <f t="array" ref="I134">AVERAGE(_xlfn._xlws.FILTER(PTS!M:M, (PTS!$C:$C=A134) * ISNUMBER(PTS!M:M)))</f>
        <v>0</v>
      </c>
      <c r="J134" s="531" cm="1">
        <f t="array" ref="J134">AVERAGE(_xlfn._xlws.FILTER(PTS!N:N, (PTS!$C:$C=A134) * ISNUMBER(PTS!N:N)))</f>
        <v>50</v>
      </c>
      <c r="K134" s="531" cm="1">
        <f t="array" ref="K134">AVERAGE(_xlfn._xlws.FILTER(PTS!O:O, (PTS!$C:$C=A134) * ISNUMBER(PTS!O:O)))</f>
        <v>37.916666666666671</v>
      </c>
      <c r="L134" s="10" cm="1">
        <f t="array" ref="L134">AVERAGE(_xlfn._xlws.FILTER(PTS!P:P, (PTS!$C:$C=A134) * ISNUMBER(PTS!P:P)))</f>
        <v>0</v>
      </c>
      <c r="M134" s="531">
        <f t="shared" si="21"/>
        <v>509.91666666666669</v>
      </c>
      <c r="N134" s="531">
        <f t="shared" si="22"/>
        <v>87.916666666666671</v>
      </c>
      <c r="O134" s="531" cm="1">
        <f t="array" ref="O134">AVERAGE(_xlfn._xlws.FILTER(PTS!S:S, (PTS!$C:$C=A134) * ISNUMBER(PTS!S:S)))</f>
        <v>0</v>
      </c>
      <c r="P134" s="531" cm="1">
        <f t="array" ref="P134">AVERAGE(_xlfn._xlws.FILTER(PTS!T:T, (PTS!$C:$C=A134) * ISNUMBER(PTS!T:T)))</f>
        <v>0</v>
      </c>
      <c r="Q134" s="531" cm="1">
        <f t="array" ref="Q134">AVERAGE(_xlfn._xlws.FILTER(PTS!U:U, (PTS!$C:$C=A134) * ISNUMBER(PTS!U:U)))</f>
        <v>227.84090909090909</v>
      </c>
      <c r="S134" s="531">
        <f t="shared" si="23"/>
        <v>227.84090909090909</v>
      </c>
      <c r="T134" s="531" cm="1">
        <f t="array" ref="T134">AVERAGE(_xlfn._xlws.FILTER(PTS!X:X, (PTS!$C:$C=A134) * ISNUMBER(PTS!X:X)))</f>
        <v>50</v>
      </c>
      <c r="U134" s="531" cm="1">
        <f t="array" ref="U134">AVERAGE(_xlfn._xlws.FILTER(PTS!Y:Y, (PTS!$C:$C=A134) * ISNUMBER(PTS!Y:Y)))</f>
        <v>33.6</v>
      </c>
      <c r="V134" s="531" cm="1">
        <f t="array" ref="V134">AVERAGE(_xlfn._xlws.FILTER(PTS!Z:Z, (PTS!$C:$C=A134) * ISNUMBER(PTS!Z:Z)))</f>
        <v>26.25</v>
      </c>
      <c r="X134" s="531">
        <f t="shared" si="24"/>
        <v>109.85</v>
      </c>
      <c r="Y134" s="531" cm="1">
        <f t="array" ref="Y134">AVERAGE(_xlfn._xlws.FILTER(PTS!AC:AC, (PTS!$C:$C=A134) * ISNUMBER(PTS!AC:AC)))</f>
        <v>146.02272727272725</v>
      </c>
      <c r="Z134" s="531" cm="1">
        <f t="array" ref="Z134">AVERAGE(_xlfn._xlws.FILTER(PTS!AD:AD, (PTS!$C:$C=A134) * ISNUMBER(PTS!AD:AD)))</f>
        <v>182.72727272727275</v>
      </c>
      <c r="AB134" s="531">
        <f t="shared" si="25"/>
        <v>328.75</v>
      </c>
      <c r="AC134" s="10" cm="1">
        <f t="array" ref="AC134">AVERAGE(_xlfn._xlws.FILTER(PTS!AG:AG, (PTS!$C:$C=A134) * ISNUMBER(PTS!AG:AG)))</f>
        <v>28.814300000000003</v>
      </c>
      <c r="AD134" s="531" cm="1">
        <f t="array" ref="AD134">AVERAGE(_xlfn._xlws.FILTER(PTS!AH:AH, (PTS!$C:$C=A134) * ISNUMBER(PTS!AH:AH)))</f>
        <v>6.973140495867769</v>
      </c>
      <c r="AE134" s="531" cm="1">
        <f t="array" ref="AE134">AVERAGE(_xlfn._xlws.FILTER(PTS!AI:AI, (PTS!$C:$C=A134) * ISNUMBER(PTS!AI:AI)))</f>
        <v>12.587317427197677</v>
      </c>
      <c r="AF134" s="531" cm="1">
        <f t="array" ref="AF134">AVERAGE(_xlfn._xlws.FILTER(PTS!AJ:AJ, (PTS!$C:$C=A134) * ISNUMBER(PTS!AJ:AJ)))</f>
        <v>6.7351999999999999</v>
      </c>
      <c r="AH134" s="531">
        <f t="shared" si="26"/>
        <v>55.109957923065444</v>
      </c>
      <c r="AI134" s="10" cm="1">
        <f t="array" ref="AI134">AVERAGE(_xlfn._xlws.FILTER(PTS!AM:AM, (PTS!$C:$C=A134) * ISNUMBER(PTS!AM:AM)))</f>
        <v>79.999999999999986</v>
      </c>
      <c r="AJ134" s="10" cm="1">
        <f t="array" ref="AJ134">AVERAGE(_xlfn._xlws.FILTER(PTS!AN:AN, (PTS!$C:$C=A134) * ISNUMBER(PTS!AN:AN)))</f>
        <v>26.17808219178082</v>
      </c>
      <c r="AK134" s="10" cm="1">
        <f t="array" ref="AK134">AVERAGE(_xlfn._xlws.FILTER(PTS!AO:AO, (PTS!$C:$C=A134) * ISNUMBER(PTS!AO:AO)))</f>
        <v>0</v>
      </c>
      <c r="AN134" s="10">
        <f t="shared" si="27"/>
        <v>106.1780821917808</v>
      </c>
      <c r="AR134" s="531">
        <f t="shared" si="28"/>
        <v>915.64561587242201</v>
      </c>
      <c r="AS134" s="531">
        <f t="shared" si="29"/>
        <v>1337.645615872422</v>
      </c>
    </row>
    <row r="135" spans="1:45">
      <c r="A135" s="32" t="s">
        <v>484</v>
      </c>
      <c r="B135" s="319" t="s">
        <v>76</v>
      </c>
      <c r="C135" s="319" t="str">
        <f t="shared" si="20"/>
        <v>LenoxGA</v>
      </c>
      <c r="D135" s="10">
        <f>VLOOKUP(A:A,PTS!C:R,6,FALSE)</f>
        <v>4</v>
      </c>
      <c r="E135" s="531" cm="1">
        <f t="array" ref="E135">AVERAGE(_xlfn._xlws.FILTER(PTS!I:I, (PTS!$C:$C=A135) * ISNUMBER(PTS!I:I)))</f>
        <v>70</v>
      </c>
      <c r="F135" s="10" cm="1">
        <f t="array" ref="F135">AVERAGE(_xlfn._xlws.FILTER(PTS!J:J, (PTS!$C:$C=A135) * ISNUMBER(PTS!J:J)))</f>
        <v>110</v>
      </c>
      <c r="G135" s="531" cm="1">
        <f t="array" ref="G135">AVERAGE(_xlfn._xlws.FILTER(PTS!K:K, (PTS!$C:$C=A135) * ISNUMBER(PTS!K:K)))</f>
        <v>0</v>
      </c>
      <c r="H135" s="531" cm="1">
        <f t="array" ref="H135">AVERAGE(_xlfn._xlws.FILTER(PTS!L:L, (PTS!$C:$C=A135) * ISNUMBER(PTS!L:L)))</f>
        <v>0</v>
      </c>
      <c r="I135" s="531" cm="1">
        <f t="array" ref="I135">AVERAGE(_xlfn._xlws.FILTER(PTS!M:M, (PTS!$C:$C=A135) * ISNUMBER(PTS!M:M)))</f>
        <v>20</v>
      </c>
      <c r="J135" s="531" cm="1">
        <f t="array" ref="J135">AVERAGE(_xlfn._xlws.FILTER(PTS!N:N, (PTS!$C:$C=A135) * ISNUMBER(PTS!N:N)))</f>
        <v>70</v>
      </c>
      <c r="K135" s="531" cm="1">
        <f t="array" ref="K135">AVERAGE(_xlfn._xlws.FILTER(PTS!O:O, (PTS!$C:$C=A135) * ISNUMBER(PTS!O:O)))</f>
        <v>37.916666666666671</v>
      </c>
      <c r="L135" s="10" cm="1">
        <f t="array" ref="L135">AVERAGE(_xlfn._xlws.FILTER(PTS!P:P, (PTS!$C:$C=A135) * ISNUMBER(PTS!P:P)))</f>
        <v>0</v>
      </c>
      <c r="M135" s="531">
        <f t="shared" si="21"/>
        <v>307.91666666666669</v>
      </c>
      <c r="N135" s="531">
        <f t="shared" si="22"/>
        <v>37.916666666666671</v>
      </c>
      <c r="O135" s="531" cm="1">
        <f t="array" ref="O135">AVERAGE(_xlfn._xlws.FILTER(PTS!S:S, (PTS!$C:$C=A135) * ISNUMBER(PTS!S:S)))</f>
        <v>0</v>
      </c>
      <c r="P135" s="531" cm="1">
        <f t="array" ref="P135">AVERAGE(_xlfn._xlws.FILTER(PTS!T:T, (PTS!$C:$C=A135) * ISNUMBER(PTS!T:T)))</f>
        <v>0</v>
      </c>
      <c r="Q135" s="531" cm="1">
        <f t="array" ref="Q135">AVERAGE(_xlfn._xlws.FILTER(PTS!U:U, (PTS!$C:$C=A135) * ISNUMBER(PTS!U:U)))</f>
        <v>174.7340909090909</v>
      </c>
      <c r="S135" s="531">
        <f t="shared" si="23"/>
        <v>174.7340909090909</v>
      </c>
      <c r="T135" s="531" cm="1">
        <f t="array" ref="T135">AVERAGE(_xlfn._xlws.FILTER(PTS!X:X, (PTS!$C:$C=A135) * ISNUMBER(PTS!X:X)))</f>
        <v>52</v>
      </c>
      <c r="U135" s="531" cm="1">
        <f t="array" ref="U135">AVERAGE(_xlfn._xlws.FILTER(PTS!Y:Y, (PTS!$C:$C=A135) * ISNUMBER(PTS!Y:Y)))</f>
        <v>50.4</v>
      </c>
      <c r="V135" s="531" cm="1">
        <f t="array" ref="V135">AVERAGE(_xlfn._xlws.FILTER(PTS!Z:Z, (PTS!$C:$C=A135) * ISNUMBER(PTS!Z:Z)))</f>
        <v>26.25</v>
      </c>
      <c r="X135" s="531">
        <f t="shared" si="24"/>
        <v>128.65</v>
      </c>
      <c r="Y135" s="531" cm="1">
        <f t="array" ref="Y135">AVERAGE(_xlfn._xlws.FILTER(PTS!AC:AC, (PTS!$C:$C=A135) * ISNUMBER(PTS!AC:AC)))</f>
        <v>110.22727272727273</v>
      </c>
      <c r="Z135" s="531" cm="1">
        <f t="array" ref="Z135">AVERAGE(_xlfn._xlws.FILTER(PTS!AD:AD, (PTS!$C:$C=A135) * ISNUMBER(PTS!AD:AD)))</f>
        <v>107.04545454545455</v>
      </c>
      <c r="AB135" s="531">
        <f t="shared" si="25"/>
        <v>217.27272727272728</v>
      </c>
      <c r="AC135" s="10" cm="1">
        <f t="array" ref="AC135">AVERAGE(_xlfn._xlws.FILTER(PTS!AG:AG, (PTS!$C:$C=A135) * ISNUMBER(PTS!AG:AG)))</f>
        <v>28.814300000000003</v>
      </c>
      <c r="AD135" s="531" cm="1">
        <f t="array" ref="AD135">AVERAGE(_xlfn._xlws.FILTER(PTS!AH:AH, (PTS!$C:$C=A135) * ISNUMBER(PTS!AH:AH)))</f>
        <v>6.973140495867769</v>
      </c>
      <c r="AE135" s="531" cm="1">
        <f t="array" ref="AE135">AVERAGE(_xlfn._xlws.FILTER(PTS!AI:AI, (PTS!$C:$C=A135) * ISNUMBER(PTS!AI:AI)))</f>
        <v>12.587317427197677</v>
      </c>
      <c r="AF135" s="531" cm="1">
        <f t="array" ref="AF135">AVERAGE(_xlfn._xlws.FILTER(PTS!AJ:AJ, (PTS!$C:$C=A135) * ISNUMBER(PTS!AJ:AJ)))</f>
        <v>6.7351999999999999</v>
      </c>
      <c r="AH135" s="531">
        <f t="shared" si="26"/>
        <v>55.109957923065444</v>
      </c>
      <c r="AI135" s="10" cm="1">
        <f t="array" ref="AI135">AVERAGE(_xlfn._xlws.FILTER(PTS!AM:AM, (PTS!$C:$C=A135) * ISNUMBER(PTS!AM:AM)))</f>
        <v>79.999999999999986</v>
      </c>
      <c r="AJ135" s="10" cm="1">
        <f t="array" ref="AJ135">AVERAGE(_xlfn._xlws.FILTER(PTS!AN:AN, (PTS!$C:$C=A135) * ISNUMBER(PTS!AN:AN)))</f>
        <v>26.17808219178082</v>
      </c>
      <c r="AK135" s="10" cm="1">
        <f t="array" ref="AK135">AVERAGE(_xlfn._xlws.FILTER(PTS!AO:AO, (PTS!$C:$C=A135) * ISNUMBER(PTS!AO:AO)))</f>
        <v>0</v>
      </c>
      <c r="AN135" s="10">
        <f t="shared" si="27"/>
        <v>106.1780821917808</v>
      </c>
      <c r="AR135" s="531">
        <f t="shared" si="28"/>
        <v>719.86152496333102</v>
      </c>
      <c r="AS135" s="531">
        <f t="shared" si="29"/>
        <v>989.86152496333102</v>
      </c>
    </row>
    <row r="136" spans="1:45">
      <c r="A136" s="32" t="s">
        <v>487</v>
      </c>
      <c r="B136" s="319" t="s">
        <v>71</v>
      </c>
      <c r="C136" s="319" t="str">
        <f t="shared" si="20"/>
        <v>LevellandTX</v>
      </c>
      <c r="D136" s="10">
        <f>VLOOKUP(A:A,PTS!C:R,6,FALSE)</f>
        <v>2</v>
      </c>
      <c r="E136" s="531" cm="1">
        <f t="array" ref="E136">AVERAGE(_xlfn._xlws.FILTER(PTS!I:I, (PTS!$C:$C=A136) * ISNUMBER(PTS!I:I)))</f>
        <v>87</v>
      </c>
      <c r="F136" s="10" cm="1">
        <f t="array" ref="F136">AVERAGE(_xlfn._xlws.FILTER(PTS!J:J, (PTS!$C:$C=A136) * ISNUMBER(PTS!J:J)))</f>
        <v>115</v>
      </c>
      <c r="G136" s="531" cm="1">
        <f t="array" ref="G136">AVERAGE(_xlfn._xlws.FILTER(PTS!K:K, (PTS!$C:$C=A136) * ISNUMBER(PTS!K:K)))</f>
        <v>225</v>
      </c>
      <c r="H136" s="531" cm="1">
        <f t="array" ref="H136">AVERAGE(_xlfn._xlws.FILTER(PTS!L:L, (PTS!$C:$C=A136) * ISNUMBER(PTS!L:L)))</f>
        <v>0</v>
      </c>
      <c r="I136" s="531" cm="1">
        <f t="array" ref="I136">AVERAGE(_xlfn._xlws.FILTER(PTS!M:M, (PTS!$C:$C=A136) * ISNUMBER(PTS!M:M)))</f>
        <v>0</v>
      </c>
      <c r="J136" s="531" cm="1">
        <f t="array" ref="J136">AVERAGE(_xlfn._xlws.FILTER(PTS!N:N, (PTS!$C:$C=A136) * ISNUMBER(PTS!N:N)))</f>
        <v>45</v>
      </c>
      <c r="K136" s="531" cm="1">
        <f t="array" ref="K136">AVERAGE(_xlfn._xlws.FILTER(PTS!O:O, (PTS!$C:$C=A136) * ISNUMBER(PTS!O:O)))</f>
        <v>37.916666666666671</v>
      </c>
      <c r="L136" s="10" cm="1">
        <f t="array" ref="L136">AVERAGE(_xlfn._xlws.FILTER(PTS!P:P, (PTS!$C:$C=A136) * ISNUMBER(PTS!P:P)))</f>
        <v>0</v>
      </c>
      <c r="M136" s="531">
        <f t="shared" si="21"/>
        <v>509.91666666666669</v>
      </c>
      <c r="N136" s="531">
        <f t="shared" si="22"/>
        <v>307.91666666666669</v>
      </c>
      <c r="O136" s="531" cm="1">
        <f t="array" ref="O136">AVERAGE(_xlfn._xlws.FILTER(PTS!S:S, (PTS!$C:$C=A136) * ISNUMBER(PTS!S:S)))</f>
        <v>0</v>
      </c>
      <c r="P136" s="531" cm="1">
        <f t="array" ref="P136">AVERAGE(_xlfn._xlws.FILTER(PTS!T:T, (PTS!$C:$C=A136) * ISNUMBER(PTS!T:T)))</f>
        <v>0</v>
      </c>
      <c r="Q136" s="531" cm="1">
        <f t="array" ref="Q136">AVERAGE(_xlfn._xlws.FILTER(PTS!U:U, (PTS!$C:$C=A136) * ISNUMBER(PTS!U:U)))</f>
        <v>241.47727272727275</v>
      </c>
      <c r="S136" s="531">
        <f t="shared" si="23"/>
        <v>241.47727272727275</v>
      </c>
      <c r="T136" s="531" cm="1">
        <f t="array" ref="T136">AVERAGE(_xlfn._xlws.FILTER(PTS!X:X, (PTS!$C:$C=A136) * ISNUMBER(PTS!X:X)))</f>
        <v>54</v>
      </c>
      <c r="U136" s="531" cm="1">
        <f t="array" ref="U136">AVERAGE(_xlfn._xlws.FILTER(PTS!Y:Y, (PTS!$C:$C=A136) * ISNUMBER(PTS!Y:Y)))</f>
        <v>50.4</v>
      </c>
      <c r="V136" s="531" cm="1">
        <f t="array" ref="V136">AVERAGE(_xlfn._xlws.FILTER(PTS!Z:Z, (PTS!$C:$C=A136) * ISNUMBER(PTS!Z:Z)))</f>
        <v>26.25</v>
      </c>
      <c r="X136" s="531">
        <f t="shared" si="24"/>
        <v>130.65</v>
      </c>
      <c r="Y136" s="531" cm="1">
        <f t="array" ref="Y136">AVERAGE(_xlfn._xlws.FILTER(PTS!AC:AC, (PTS!$C:$C=A136) * ISNUMBER(PTS!AC:AC)))</f>
        <v>147.72727272727272</v>
      </c>
      <c r="Z136" s="531" cm="1">
        <f t="array" ref="Z136">AVERAGE(_xlfn._xlws.FILTER(PTS!AD:AD, (PTS!$C:$C=A136) * ISNUMBER(PTS!AD:AD)))</f>
        <v>233.06818181818181</v>
      </c>
      <c r="AB136" s="531">
        <f t="shared" si="25"/>
        <v>380.7954545454545</v>
      </c>
      <c r="AC136" s="10" cm="1">
        <f t="array" ref="AC136">AVERAGE(_xlfn._xlws.FILTER(PTS!AG:AG, (PTS!$C:$C=A136) * ISNUMBER(PTS!AG:AG)))</f>
        <v>28.814300000000003</v>
      </c>
      <c r="AD136" s="531" cm="1">
        <f t="array" ref="AD136">AVERAGE(_xlfn._xlws.FILTER(PTS!AH:AH, (PTS!$C:$C=A136) * ISNUMBER(PTS!AH:AH)))</f>
        <v>6.973140495867769</v>
      </c>
      <c r="AE136" s="531" cm="1">
        <f t="array" ref="AE136">AVERAGE(_xlfn._xlws.FILTER(PTS!AI:AI, (PTS!$C:$C=A136) * ISNUMBER(PTS!AI:AI)))</f>
        <v>12.587317427197677</v>
      </c>
      <c r="AF136" s="531" cm="1">
        <f t="array" ref="AF136">AVERAGE(_xlfn._xlws.FILTER(PTS!AJ:AJ, (PTS!$C:$C=A136) * ISNUMBER(PTS!AJ:AJ)))</f>
        <v>6.7351999999999999</v>
      </c>
      <c r="AH136" s="531">
        <f t="shared" si="26"/>
        <v>55.109957923065444</v>
      </c>
      <c r="AI136" s="10" cm="1">
        <f t="array" ref="AI136">AVERAGE(_xlfn._xlws.FILTER(PTS!AM:AM, (PTS!$C:$C=A136) * ISNUMBER(PTS!AM:AM)))</f>
        <v>79.999999999999986</v>
      </c>
      <c r="AJ136" s="10" cm="1">
        <f t="array" ref="AJ136">AVERAGE(_xlfn._xlws.FILTER(PTS!AN:AN, (PTS!$C:$C=A136) * ISNUMBER(PTS!AN:AN)))</f>
        <v>26.17808219178082</v>
      </c>
      <c r="AK136" s="10" cm="1">
        <f t="array" ref="AK136">AVERAGE(_xlfn._xlws.FILTER(PTS!AO:AO, (PTS!$C:$C=A136) * ISNUMBER(PTS!AO:AO)))</f>
        <v>0</v>
      </c>
      <c r="AN136" s="10">
        <f t="shared" si="27"/>
        <v>106.1780821917808</v>
      </c>
      <c r="AR136" s="531">
        <f t="shared" si="28"/>
        <v>1222.1274340542402</v>
      </c>
      <c r="AS136" s="531">
        <f t="shared" si="29"/>
        <v>1424.1274340542402</v>
      </c>
    </row>
    <row r="137" spans="1:45">
      <c r="A137" s="32" t="s">
        <v>489</v>
      </c>
      <c r="B137" s="319" t="s">
        <v>205</v>
      </c>
      <c r="C137" s="319" t="str">
        <f t="shared" si="20"/>
        <v>LiberalKS</v>
      </c>
      <c r="D137" s="10">
        <f>VLOOKUP(A:A,PTS!C:R,6,FALSE)</f>
        <v>2</v>
      </c>
      <c r="E137" s="531" cm="1">
        <f t="array" ref="E137">AVERAGE(_xlfn._xlws.FILTER(PTS!I:I, (PTS!$C:$C=A137) * ISNUMBER(PTS!I:I)))</f>
        <v>103</v>
      </c>
      <c r="F137" s="10" cm="1">
        <f t="array" ref="F137">AVERAGE(_xlfn._xlws.FILTER(PTS!J:J, (PTS!$C:$C=A137) * ISNUMBER(PTS!J:J)))</f>
        <v>125</v>
      </c>
      <c r="G137" s="531" cm="1">
        <f t="array" ref="G137">AVERAGE(_xlfn._xlws.FILTER(PTS!K:K, (PTS!$C:$C=A137) * ISNUMBER(PTS!K:K)))</f>
        <v>240</v>
      </c>
      <c r="H137" s="531" cm="1">
        <f t="array" ref="H137">AVERAGE(_xlfn._xlws.FILTER(PTS!L:L, (PTS!$C:$C=A137) * ISNUMBER(PTS!L:L)))</f>
        <v>0</v>
      </c>
      <c r="I137" s="531" cm="1">
        <f t="array" ref="I137">AVERAGE(_xlfn._xlws.FILTER(PTS!M:M, (PTS!$C:$C=A137) * ISNUMBER(PTS!M:M)))</f>
        <v>0</v>
      </c>
      <c r="J137" s="531" cm="1">
        <f t="array" ref="J137">AVERAGE(_xlfn._xlws.FILTER(PTS!N:N, (PTS!$C:$C=A137) * ISNUMBER(PTS!N:N)))</f>
        <v>39</v>
      </c>
      <c r="K137" s="531" cm="1">
        <f t="array" ref="K137">AVERAGE(_xlfn._xlws.FILTER(PTS!O:O, (PTS!$C:$C=A137) * ISNUMBER(PTS!O:O)))</f>
        <v>37.916666666666671</v>
      </c>
      <c r="L137" s="10" cm="1">
        <f t="array" ref="L137">AVERAGE(_xlfn._xlws.FILTER(PTS!P:P, (PTS!$C:$C=A137) * ISNUMBER(PTS!P:P)))</f>
        <v>0</v>
      </c>
      <c r="M137" s="531">
        <f t="shared" si="21"/>
        <v>544.91666666666663</v>
      </c>
      <c r="N137" s="531">
        <f t="shared" si="22"/>
        <v>316.91666666666669</v>
      </c>
      <c r="O137" s="531" cm="1">
        <f t="array" ref="O137">AVERAGE(_xlfn._xlws.FILTER(PTS!S:S, (PTS!$C:$C=A137) * ISNUMBER(PTS!S:S)))</f>
        <v>20</v>
      </c>
      <c r="P137" s="531" cm="1">
        <f t="array" ref="P137">AVERAGE(_xlfn._xlws.FILTER(PTS!T:T, (PTS!$C:$C=A137) * ISNUMBER(PTS!T:T)))</f>
        <v>5</v>
      </c>
      <c r="Q137" s="531" cm="1">
        <f t="array" ref="Q137">AVERAGE(_xlfn._xlws.FILTER(PTS!U:U, (PTS!$C:$C=A137) * ISNUMBER(PTS!U:U)))</f>
        <v>364.2045454545455</v>
      </c>
      <c r="S137" s="531">
        <f t="shared" si="23"/>
        <v>389.2045454545455</v>
      </c>
      <c r="T137" s="531" cm="1">
        <f t="array" ref="T137">AVERAGE(_xlfn._xlws.FILTER(PTS!X:X, (PTS!$C:$C=A137) * ISNUMBER(PTS!X:X)))</f>
        <v>54</v>
      </c>
      <c r="U137" s="531" cm="1">
        <f t="array" ref="U137">AVERAGE(_xlfn._xlws.FILTER(PTS!Y:Y, (PTS!$C:$C=A137) * ISNUMBER(PTS!Y:Y)))</f>
        <v>50.4</v>
      </c>
      <c r="V137" s="531" cm="1">
        <f t="array" ref="V137">AVERAGE(_xlfn._xlws.FILTER(PTS!Z:Z, (PTS!$C:$C=A137) * ISNUMBER(PTS!Z:Z)))</f>
        <v>26.25</v>
      </c>
      <c r="X137" s="531">
        <f t="shared" si="24"/>
        <v>130.65</v>
      </c>
      <c r="Y137" s="531" cm="1">
        <f t="array" ref="Y137">AVERAGE(_xlfn._xlws.FILTER(PTS!AC:AC, (PTS!$C:$C=A137) * ISNUMBER(PTS!AC:AC)))</f>
        <v>147.72727272727272</v>
      </c>
      <c r="Z137" s="531" cm="1">
        <f t="array" ref="Z137">AVERAGE(_xlfn._xlws.FILTER(PTS!AD:AD, (PTS!$C:$C=A137) * ISNUMBER(PTS!AD:AD)))</f>
        <v>233.06818181818181</v>
      </c>
      <c r="AB137" s="531">
        <f t="shared" si="25"/>
        <v>380.7954545454545</v>
      </c>
      <c r="AC137" s="10" cm="1">
        <f t="array" ref="AC137">AVERAGE(_xlfn._xlws.FILTER(PTS!AG:AG, (PTS!$C:$C=A137) * ISNUMBER(PTS!AG:AG)))</f>
        <v>28.814300000000003</v>
      </c>
      <c r="AD137" s="531" cm="1">
        <f t="array" ref="AD137">AVERAGE(_xlfn._xlws.FILTER(PTS!AH:AH, (PTS!$C:$C=A137) * ISNUMBER(PTS!AH:AH)))</f>
        <v>6.973140495867769</v>
      </c>
      <c r="AE137" s="531" cm="1">
        <f t="array" ref="AE137">AVERAGE(_xlfn._xlws.FILTER(PTS!AI:AI, (PTS!$C:$C=A137) * ISNUMBER(PTS!AI:AI)))</f>
        <v>12.587317427197677</v>
      </c>
      <c r="AF137" s="531" cm="1">
        <f t="array" ref="AF137">AVERAGE(_xlfn._xlws.FILTER(PTS!AJ:AJ, (PTS!$C:$C=A137) * ISNUMBER(PTS!AJ:AJ)))</f>
        <v>6.7351999999999999</v>
      </c>
      <c r="AH137" s="531">
        <f t="shared" si="26"/>
        <v>55.109957923065444</v>
      </c>
      <c r="AI137" s="10" cm="1">
        <f t="array" ref="AI137">AVERAGE(_xlfn._xlws.FILTER(PTS!AM:AM, (PTS!$C:$C=A137) * ISNUMBER(PTS!AM:AM)))</f>
        <v>79.999999999999986</v>
      </c>
      <c r="AJ137" s="10" cm="1">
        <f t="array" ref="AJ137">AVERAGE(_xlfn._xlws.FILTER(PTS!AN:AN, (PTS!$C:$C=A137) * ISNUMBER(PTS!AN:AN)))</f>
        <v>26.17808219178082</v>
      </c>
      <c r="AK137" s="10" cm="1">
        <f t="array" ref="AK137">AVERAGE(_xlfn._xlws.FILTER(PTS!AO:AO, (PTS!$C:$C=A137) * ISNUMBER(PTS!AO:AO)))</f>
        <v>0</v>
      </c>
      <c r="AN137" s="10">
        <f t="shared" si="27"/>
        <v>106.1780821917808</v>
      </c>
      <c r="AR137" s="531">
        <f t="shared" si="28"/>
        <v>1378.8547067815127</v>
      </c>
      <c r="AS137" s="531">
        <f t="shared" si="29"/>
        <v>1606.8547067815127</v>
      </c>
    </row>
    <row r="138" spans="1:45">
      <c r="A138" s="32" t="s">
        <v>492</v>
      </c>
      <c r="B138" s="319" t="s">
        <v>71</v>
      </c>
      <c r="C138" s="319" t="str">
        <f t="shared" si="20"/>
        <v>LockneyTX</v>
      </c>
      <c r="D138" s="10">
        <f>VLOOKUP(A:A,PTS!C:R,6,FALSE)</f>
        <v>2</v>
      </c>
      <c r="E138" s="531" cm="1">
        <f t="array" ref="E138">AVERAGE(_xlfn._xlws.FILTER(PTS!I:I, (PTS!$C:$C=A138) * ISNUMBER(PTS!I:I)))</f>
        <v>82</v>
      </c>
      <c r="F138" s="10" cm="1">
        <f t="array" ref="F138">AVERAGE(_xlfn._xlws.FILTER(PTS!J:J, (PTS!$C:$C=A138) * ISNUMBER(PTS!J:J)))</f>
        <v>100</v>
      </c>
      <c r="G138" s="531" cm="1">
        <f t="array" ref="G138">AVERAGE(_xlfn._xlws.FILTER(PTS!K:K, (PTS!$C:$C=A138) * ISNUMBER(PTS!K:K)))</f>
        <v>225</v>
      </c>
      <c r="H138" s="531" cm="1">
        <f t="array" ref="H138">AVERAGE(_xlfn._xlws.FILTER(PTS!L:L, (PTS!$C:$C=A138) * ISNUMBER(PTS!L:L)))</f>
        <v>0</v>
      </c>
      <c r="I138" s="531" cm="1">
        <f t="array" ref="I138">AVERAGE(_xlfn._xlws.FILTER(PTS!M:M, (PTS!$C:$C=A138) * ISNUMBER(PTS!M:M)))</f>
        <v>10</v>
      </c>
      <c r="J138" s="531" cm="1">
        <f t="array" ref="J138">AVERAGE(_xlfn._xlws.FILTER(PTS!N:N, (PTS!$C:$C=A138) * ISNUMBER(PTS!N:N)))</f>
        <v>48</v>
      </c>
      <c r="K138" s="531" cm="1">
        <f t="array" ref="K138">AVERAGE(_xlfn._xlws.FILTER(PTS!O:O, (PTS!$C:$C=A138) * ISNUMBER(PTS!O:O)))</f>
        <v>37.916666666666671</v>
      </c>
      <c r="L138" s="10" cm="1">
        <f t="array" ref="L138">AVERAGE(_xlfn._xlws.FILTER(PTS!P:P, (PTS!$C:$C=A138) * ISNUMBER(PTS!P:P)))</f>
        <v>0</v>
      </c>
      <c r="M138" s="531">
        <f t="shared" si="21"/>
        <v>502.91666666666669</v>
      </c>
      <c r="N138" s="531">
        <f t="shared" si="22"/>
        <v>310.91666666666669</v>
      </c>
      <c r="O138" s="531" cm="1">
        <f t="array" ref="O138">AVERAGE(_xlfn._xlws.FILTER(PTS!S:S, (PTS!$C:$C=A138) * ISNUMBER(PTS!S:S)))</f>
        <v>0</v>
      </c>
      <c r="P138" s="531" cm="1">
        <f t="array" ref="P138">AVERAGE(_xlfn._xlws.FILTER(PTS!T:T, (PTS!$C:$C=A138) * ISNUMBER(PTS!T:T)))</f>
        <v>0</v>
      </c>
      <c r="Q138" s="531" cm="1">
        <f t="array" ref="Q138">AVERAGE(_xlfn._xlws.FILTER(PTS!U:U, (PTS!$C:$C=A138) * ISNUMBER(PTS!U:U)))</f>
        <v>227.84090909090907</v>
      </c>
      <c r="S138" s="531">
        <f t="shared" si="23"/>
        <v>227.84090909090907</v>
      </c>
      <c r="T138" s="531" cm="1">
        <f t="array" ref="T138">AVERAGE(_xlfn._xlws.FILTER(PTS!X:X, (PTS!$C:$C=A138) * ISNUMBER(PTS!X:X)))</f>
        <v>54</v>
      </c>
      <c r="U138" s="531" cm="1">
        <f t="array" ref="U138">AVERAGE(_xlfn._xlws.FILTER(PTS!Y:Y, (PTS!$C:$C=A138) * ISNUMBER(PTS!Y:Y)))</f>
        <v>50.4</v>
      </c>
      <c r="V138" s="531" cm="1">
        <f t="array" ref="V138">AVERAGE(_xlfn._xlws.FILTER(PTS!Z:Z, (PTS!$C:$C=A138) * ISNUMBER(PTS!Z:Z)))</f>
        <v>26.25</v>
      </c>
      <c r="X138" s="531">
        <f t="shared" si="24"/>
        <v>130.65</v>
      </c>
      <c r="Y138" s="531" cm="1">
        <f t="array" ref="Y138">AVERAGE(_xlfn._xlws.FILTER(PTS!AC:AC, (PTS!$C:$C=A138) * ISNUMBER(PTS!AC:AC)))</f>
        <v>147.72727272727272</v>
      </c>
      <c r="Z138" s="531" cm="1">
        <f t="array" ref="Z138">AVERAGE(_xlfn._xlws.FILTER(PTS!AD:AD, (PTS!$C:$C=A138) * ISNUMBER(PTS!AD:AD)))</f>
        <v>233.06818181818181</v>
      </c>
      <c r="AB138" s="531">
        <f t="shared" si="25"/>
        <v>380.7954545454545</v>
      </c>
      <c r="AC138" s="10" cm="1">
        <f t="array" ref="AC138">AVERAGE(_xlfn._xlws.FILTER(PTS!AG:AG, (PTS!$C:$C=A138) * ISNUMBER(PTS!AG:AG)))</f>
        <v>28.814300000000003</v>
      </c>
      <c r="AD138" s="531" cm="1">
        <f t="array" ref="AD138">AVERAGE(_xlfn._xlws.FILTER(PTS!AH:AH, (PTS!$C:$C=A138) * ISNUMBER(PTS!AH:AH)))</f>
        <v>6.973140495867769</v>
      </c>
      <c r="AE138" s="531" cm="1">
        <f t="array" ref="AE138">AVERAGE(_xlfn._xlws.FILTER(PTS!AI:AI, (PTS!$C:$C=A138) * ISNUMBER(PTS!AI:AI)))</f>
        <v>12.587317427197677</v>
      </c>
      <c r="AF138" s="531" cm="1">
        <f t="array" ref="AF138">AVERAGE(_xlfn._xlws.FILTER(PTS!AJ:AJ, (PTS!$C:$C=A138) * ISNUMBER(PTS!AJ:AJ)))</f>
        <v>6.7351999999999999</v>
      </c>
      <c r="AH138" s="531">
        <f t="shared" si="26"/>
        <v>55.109957923065444</v>
      </c>
      <c r="AI138" s="10" cm="1">
        <f t="array" ref="AI138">AVERAGE(_xlfn._xlws.FILTER(PTS!AM:AM, (PTS!$C:$C=A138) * ISNUMBER(PTS!AM:AM)))</f>
        <v>79.999999999999986</v>
      </c>
      <c r="AJ138" s="10" cm="1">
        <f t="array" ref="AJ138">AVERAGE(_xlfn._xlws.FILTER(PTS!AN:AN, (PTS!$C:$C=A138) * ISNUMBER(PTS!AN:AN)))</f>
        <v>26.17808219178082</v>
      </c>
      <c r="AK138" s="10" cm="1">
        <f t="array" ref="AK138">AVERAGE(_xlfn._xlws.FILTER(PTS!AO:AO, (PTS!$C:$C=A138) * ISNUMBER(PTS!AO:AO)))</f>
        <v>0</v>
      </c>
      <c r="AN138" s="10">
        <f t="shared" si="27"/>
        <v>106.1780821917808</v>
      </c>
      <c r="AR138" s="531">
        <f t="shared" si="28"/>
        <v>1211.4910704178762</v>
      </c>
      <c r="AS138" s="531">
        <f t="shared" si="29"/>
        <v>1403.4910704178762</v>
      </c>
    </row>
    <row r="139" spans="1:45">
      <c r="A139" s="32" t="s">
        <v>494</v>
      </c>
      <c r="B139" s="319" t="s">
        <v>253</v>
      </c>
      <c r="C139" s="319" t="str">
        <f t="shared" si="20"/>
        <v>LovingtonNM</v>
      </c>
      <c r="D139" s="10">
        <f>VLOOKUP(A:A,PTS!C:R,6,FALSE)</f>
        <v>2</v>
      </c>
      <c r="E139" s="531" cm="1">
        <f t="array" ref="E139">AVERAGE(_xlfn._xlws.FILTER(PTS!I:I, (PTS!$C:$C=A139) * ISNUMBER(PTS!I:I)))</f>
        <v>103</v>
      </c>
      <c r="F139" s="10" cm="1">
        <f t="array" ref="F139">AVERAGE(_xlfn._xlws.FILTER(PTS!J:J, (PTS!$C:$C=A139) * ISNUMBER(PTS!J:J)))</f>
        <v>125</v>
      </c>
      <c r="G139" s="531" cm="1">
        <f t="array" ref="G139">AVERAGE(_xlfn._xlws.FILTER(PTS!K:K, (PTS!$C:$C=A139) * ISNUMBER(PTS!K:K)))</f>
        <v>240</v>
      </c>
      <c r="H139" s="531" cm="1">
        <f t="array" ref="H139">AVERAGE(_xlfn._xlws.FILTER(PTS!L:L, (PTS!$C:$C=A139) * ISNUMBER(PTS!L:L)))</f>
        <v>0</v>
      </c>
      <c r="I139" s="531" cm="1">
        <f t="array" ref="I139">AVERAGE(_xlfn._xlws.FILTER(PTS!M:M, (PTS!$C:$C=A139) * ISNUMBER(PTS!M:M)))</f>
        <v>0</v>
      </c>
      <c r="J139" s="531" cm="1">
        <f t="array" ref="J139">AVERAGE(_xlfn._xlws.FILTER(PTS!N:N, (PTS!$C:$C=A139) * ISNUMBER(PTS!N:N)))</f>
        <v>39</v>
      </c>
      <c r="K139" s="531" cm="1">
        <f t="array" ref="K139">AVERAGE(_xlfn._xlws.FILTER(PTS!O:O, (PTS!$C:$C=A139) * ISNUMBER(PTS!O:O)))</f>
        <v>37.916666666666671</v>
      </c>
      <c r="L139" s="10" t="e" cm="1" vm="1">
        <f t="array" ref="L139">AVERAGE(_xlfn._xlws.FILTER(PTS!P:P, (PTS!$C:$C=A139) * ISNUMBER(PTS!P:P)))</f>
        <v>#VALUE!</v>
      </c>
      <c r="M139" s="531" t="e" vm="2">
        <f t="shared" si="21"/>
        <v>#VALUE!</v>
      </c>
      <c r="N139" s="531">
        <f t="shared" si="22"/>
        <v>316.91666666666669</v>
      </c>
      <c r="O139" s="531" cm="1">
        <f t="array" ref="O139">AVERAGE(_xlfn._xlws.FILTER(PTS!S:S, (PTS!$C:$C=A139) * ISNUMBER(PTS!S:S)))</f>
        <v>20</v>
      </c>
      <c r="P139" s="531" cm="1">
        <f t="array" ref="P139">AVERAGE(_xlfn._xlws.FILTER(PTS!T:T, (PTS!$C:$C=A139) * ISNUMBER(PTS!T:T)))</f>
        <v>5</v>
      </c>
      <c r="Q139" s="531" t="e" cm="1" vm="1">
        <f t="array" ref="Q139">AVERAGE(_xlfn._xlws.FILTER(PTS!U:U, (PTS!$C:$C=A139) * ISNUMBER(PTS!U:U)))</f>
        <v>#VALUE!</v>
      </c>
      <c r="S139" s="531" t="e" vm="2">
        <f t="shared" si="23"/>
        <v>#VALUE!</v>
      </c>
      <c r="T139" s="531" t="e" cm="1" vm="1">
        <f t="array" ref="T139">AVERAGE(_xlfn._xlws.FILTER(PTS!X:X, (PTS!$C:$C=A139) * ISNUMBER(PTS!X:X)))</f>
        <v>#VALUE!</v>
      </c>
      <c r="U139" s="531" t="e" cm="1" vm="1">
        <f t="array" ref="U139">AVERAGE(_xlfn._xlws.FILTER(PTS!Y:Y, (PTS!$C:$C=A139) * ISNUMBER(PTS!Y:Y)))</f>
        <v>#VALUE!</v>
      </c>
      <c r="V139" s="531" cm="1">
        <f t="array" ref="V139">AVERAGE(_xlfn._xlws.FILTER(PTS!Z:Z, (PTS!$C:$C=A139) * ISNUMBER(PTS!Z:Z)))</f>
        <v>26.25</v>
      </c>
      <c r="X139" s="531" t="e" vm="2">
        <f t="shared" si="24"/>
        <v>#VALUE!</v>
      </c>
      <c r="Y139" s="531" t="e" cm="1" vm="1">
        <f t="array" ref="Y139">AVERAGE(_xlfn._xlws.FILTER(PTS!AC:AC, (PTS!$C:$C=A139) * ISNUMBER(PTS!AC:AC)))</f>
        <v>#VALUE!</v>
      </c>
      <c r="Z139" s="531" t="e" cm="1" vm="1">
        <f t="array" ref="Z139">AVERAGE(_xlfn._xlws.FILTER(PTS!AD:AD, (PTS!$C:$C=A139) * ISNUMBER(PTS!AD:AD)))</f>
        <v>#VALUE!</v>
      </c>
      <c r="AB139" s="531" t="e" vm="2">
        <f t="shared" si="25"/>
        <v>#VALUE!</v>
      </c>
      <c r="AC139" s="10" cm="1">
        <f t="array" ref="AC139">AVERAGE(_xlfn._xlws.FILTER(PTS!AG:AG, (PTS!$C:$C=A139) * ISNUMBER(PTS!AG:AG)))</f>
        <v>28.814300000000003</v>
      </c>
      <c r="AD139" s="531" cm="1">
        <f t="array" ref="AD139">AVERAGE(_xlfn._xlws.FILTER(PTS!AH:AH, (PTS!$C:$C=A139) * ISNUMBER(PTS!AH:AH)))</f>
        <v>6.973140495867769</v>
      </c>
      <c r="AE139" s="531" cm="1">
        <f t="array" ref="AE139">AVERAGE(_xlfn._xlws.FILTER(PTS!AI:AI, (PTS!$C:$C=A139) * ISNUMBER(PTS!AI:AI)))</f>
        <v>12.587317427197677</v>
      </c>
      <c r="AF139" s="531" cm="1">
        <f t="array" ref="AF139">AVERAGE(_xlfn._xlws.FILTER(PTS!AJ:AJ, (PTS!$C:$C=A139) * ISNUMBER(PTS!AJ:AJ)))</f>
        <v>6.7351999999999999</v>
      </c>
      <c r="AH139" s="531">
        <f t="shared" si="26"/>
        <v>55.109957923065444</v>
      </c>
      <c r="AI139" s="10" cm="1">
        <f t="array" ref="AI139">AVERAGE(_xlfn._xlws.FILTER(PTS!AM:AM, (PTS!$C:$C=A139) * ISNUMBER(PTS!AM:AM)))</f>
        <v>79.999999999999986</v>
      </c>
      <c r="AJ139" s="10" cm="1">
        <f t="array" ref="AJ139">AVERAGE(_xlfn._xlws.FILTER(PTS!AN:AN, (PTS!$C:$C=A139) * ISNUMBER(PTS!AN:AN)))</f>
        <v>26.17808219178082</v>
      </c>
      <c r="AK139" s="10" cm="1">
        <f t="array" ref="AK139">AVERAGE(_xlfn._xlws.FILTER(PTS!AO:AO, (PTS!$C:$C=A139) * ISNUMBER(PTS!AO:AO)))</f>
        <v>0</v>
      </c>
      <c r="AN139" s="10">
        <f t="shared" si="27"/>
        <v>106.1780821917808</v>
      </c>
      <c r="AR139" s="531" t="e" vm="2">
        <f t="shared" si="28"/>
        <v>#VALUE!</v>
      </c>
      <c r="AS139" s="531" t="e" vm="2">
        <f t="shared" si="29"/>
        <v>#VALUE!</v>
      </c>
    </row>
    <row r="140" spans="1:45">
      <c r="A140" s="32" t="s">
        <v>497</v>
      </c>
      <c r="B140" s="319" t="s">
        <v>65</v>
      </c>
      <c r="C140" s="319" t="str">
        <f t="shared" si="20"/>
        <v>LoxleyAL</v>
      </c>
      <c r="D140" s="10">
        <f>VLOOKUP(A:A,PTS!C:R,6,FALSE)</f>
        <v>1</v>
      </c>
      <c r="E140" s="531" cm="1">
        <f t="array" ref="E140">AVERAGE(_xlfn._xlws.FILTER(PTS!I:I, (PTS!$C:$C=A140) * ISNUMBER(PTS!I:I)))</f>
        <v>69</v>
      </c>
      <c r="F140" s="10" cm="1">
        <f t="array" ref="F140">AVERAGE(_xlfn._xlws.FILTER(PTS!J:J, (PTS!$C:$C=A140) * ISNUMBER(PTS!J:J)))</f>
        <v>100</v>
      </c>
      <c r="G140" s="531" cm="1">
        <f t="array" ref="G140">AVERAGE(_xlfn._xlws.FILTER(PTS!K:K, (PTS!$C:$C=A140) * ISNUMBER(PTS!K:K)))</f>
        <v>0</v>
      </c>
      <c r="H140" s="531" cm="1">
        <f t="array" ref="H140">AVERAGE(_xlfn._xlws.FILTER(PTS!L:L, (PTS!$C:$C=A140) * ISNUMBER(PTS!L:L)))</f>
        <v>0</v>
      </c>
      <c r="I140" s="531" cm="1">
        <f t="array" ref="I140">AVERAGE(_xlfn._xlws.FILTER(PTS!M:M, (PTS!$C:$C=A140) * ISNUMBER(PTS!M:M)))</f>
        <v>20</v>
      </c>
      <c r="J140" s="531" cm="1">
        <f t="array" ref="J140">AVERAGE(_xlfn._xlws.FILTER(PTS!N:N, (PTS!$C:$C=A140) * ISNUMBER(PTS!N:N)))</f>
        <v>45</v>
      </c>
      <c r="K140" s="531" cm="1">
        <f t="array" ref="K140">AVERAGE(_xlfn._xlws.FILTER(PTS!O:O, (PTS!$C:$C=A140) * ISNUMBER(PTS!O:O)))</f>
        <v>37.916666666666671</v>
      </c>
      <c r="L140" s="10" cm="1">
        <f t="array" ref="L140">AVERAGE(_xlfn._xlws.FILTER(PTS!P:P, (PTS!$C:$C=A140) * ISNUMBER(PTS!P:P)))</f>
        <v>0</v>
      </c>
      <c r="M140" s="531">
        <f t="shared" si="21"/>
        <v>271.91666666666669</v>
      </c>
      <c r="N140" s="531">
        <f t="shared" si="22"/>
        <v>82.916666666666671</v>
      </c>
      <c r="O140" s="531" cm="1">
        <f t="array" ref="O140">AVERAGE(_xlfn._xlws.FILTER(PTS!S:S, (PTS!$C:$C=A140) * ISNUMBER(PTS!S:S)))</f>
        <v>0</v>
      </c>
      <c r="P140" s="531" cm="1">
        <f t="array" ref="P140">AVERAGE(_xlfn._xlws.FILTER(PTS!T:T, (PTS!$C:$C=A140) * ISNUMBER(PTS!T:T)))</f>
        <v>0</v>
      </c>
      <c r="Q140" s="531" cm="1">
        <f t="array" ref="Q140">AVERAGE(_xlfn._xlws.FILTER(PTS!U:U, (PTS!$C:$C=A140) * ISNUMBER(PTS!U:U)))</f>
        <v>353.87159090909097</v>
      </c>
      <c r="S140" s="531">
        <f t="shared" si="23"/>
        <v>353.87159090909097</v>
      </c>
      <c r="T140" s="531" cm="1">
        <f t="array" ref="T140">AVERAGE(_xlfn._xlws.FILTER(PTS!X:X, (PTS!$C:$C=A140) * ISNUMBER(PTS!X:X)))</f>
        <v>52</v>
      </c>
      <c r="U140" s="531" cm="1">
        <f t="array" ref="U140">AVERAGE(_xlfn._xlws.FILTER(PTS!Y:Y, (PTS!$C:$C=A140) * ISNUMBER(PTS!Y:Y)))</f>
        <v>50.4</v>
      </c>
      <c r="V140" s="531" cm="1">
        <f t="array" ref="V140">AVERAGE(_xlfn._xlws.FILTER(PTS!Z:Z, (PTS!$C:$C=A140) * ISNUMBER(PTS!Z:Z)))</f>
        <v>26.25</v>
      </c>
      <c r="X140" s="531">
        <f t="shared" si="24"/>
        <v>128.65</v>
      </c>
      <c r="Y140" s="531" cm="1">
        <f t="array" ref="Y140">AVERAGE(_xlfn._xlws.FILTER(PTS!AC:AC, (PTS!$C:$C=A140) * ISNUMBER(PTS!AC:AC)))</f>
        <v>110.22727272727273</v>
      </c>
      <c r="Z140" s="531" cm="1">
        <f t="array" ref="Z140">AVERAGE(_xlfn._xlws.FILTER(PTS!AD:AD, (PTS!$C:$C=A140) * ISNUMBER(PTS!AD:AD)))</f>
        <v>107.04545454545455</v>
      </c>
      <c r="AB140" s="531">
        <f t="shared" si="25"/>
        <v>217.27272727272728</v>
      </c>
      <c r="AC140" s="10" cm="1">
        <f t="array" ref="AC140">AVERAGE(_xlfn._xlws.FILTER(PTS!AG:AG, (PTS!$C:$C=A140) * ISNUMBER(PTS!AG:AG)))</f>
        <v>28.814300000000003</v>
      </c>
      <c r="AD140" s="531" cm="1">
        <f t="array" ref="AD140">AVERAGE(_xlfn._xlws.FILTER(PTS!AH:AH, (PTS!$C:$C=A140) * ISNUMBER(PTS!AH:AH)))</f>
        <v>6.973140495867769</v>
      </c>
      <c r="AE140" s="531" cm="1">
        <f t="array" ref="AE140">AVERAGE(_xlfn._xlws.FILTER(PTS!AI:AI, (PTS!$C:$C=A140) * ISNUMBER(PTS!AI:AI)))</f>
        <v>12.587317427197677</v>
      </c>
      <c r="AF140" s="531" cm="1">
        <f t="array" ref="AF140">AVERAGE(_xlfn._xlws.FILTER(PTS!AJ:AJ, (PTS!$C:$C=A140) * ISNUMBER(PTS!AJ:AJ)))</f>
        <v>6.7351999999999999</v>
      </c>
      <c r="AH140" s="531">
        <f t="shared" si="26"/>
        <v>55.109957923065444</v>
      </c>
      <c r="AI140" s="10" cm="1">
        <f t="array" ref="AI140">AVERAGE(_xlfn._xlws.FILTER(PTS!AM:AM, (PTS!$C:$C=A140) * ISNUMBER(PTS!AM:AM)))</f>
        <v>79.999999999999986</v>
      </c>
      <c r="AJ140" s="10" cm="1">
        <f t="array" ref="AJ140">AVERAGE(_xlfn._xlws.FILTER(PTS!AN:AN, (PTS!$C:$C=A140) * ISNUMBER(PTS!AN:AN)))</f>
        <v>26.17808219178082</v>
      </c>
      <c r="AK140" s="10" cm="1">
        <f t="array" ref="AK140">AVERAGE(_xlfn._xlws.FILTER(PTS!AO:AO, (PTS!$C:$C=A140) * ISNUMBER(PTS!AO:AO)))</f>
        <v>0</v>
      </c>
      <c r="AN140" s="10">
        <f t="shared" si="27"/>
        <v>106.1780821917808</v>
      </c>
      <c r="AR140" s="531">
        <f t="shared" si="28"/>
        <v>943.99902496333118</v>
      </c>
      <c r="AS140" s="531">
        <f t="shared" si="29"/>
        <v>1132.9990249633311</v>
      </c>
    </row>
    <row r="141" spans="1:45">
      <c r="A141" s="32" t="s">
        <v>508</v>
      </c>
      <c r="B141" s="319" t="s">
        <v>136</v>
      </c>
      <c r="C141" s="319" t="str">
        <f t="shared" si="20"/>
        <v>LumbertonNC</v>
      </c>
      <c r="D141" s="10">
        <f>VLOOKUP(A:A,PTS!C:R,6,FALSE)</f>
        <v>1</v>
      </c>
      <c r="E141" s="531" cm="1">
        <f t="array" ref="E141">AVERAGE(_xlfn._xlws.FILTER(PTS!I:I, (PTS!$C:$C=A141) * ISNUMBER(PTS!I:I)))</f>
        <v>75</v>
      </c>
      <c r="F141" s="10" cm="1">
        <f t="array" ref="F141">AVERAGE(_xlfn._xlws.FILTER(PTS!J:J, (PTS!$C:$C=A141) * ISNUMBER(PTS!J:J)))</f>
        <v>85</v>
      </c>
      <c r="G141" s="531" cm="1">
        <f t="array" ref="G141">AVERAGE(_xlfn._xlws.FILTER(PTS!K:K, (PTS!$C:$C=A141) * ISNUMBER(PTS!K:K)))</f>
        <v>0</v>
      </c>
      <c r="H141" s="531" cm="1">
        <f t="array" ref="H141">AVERAGE(_xlfn._xlws.FILTER(PTS!L:L, (PTS!$C:$C=A141) * ISNUMBER(PTS!L:L)))</f>
        <v>0</v>
      </c>
      <c r="I141" s="531" cm="1">
        <f t="array" ref="I141">AVERAGE(_xlfn._xlws.FILTER(PTS!M:M, (PTS!$C:$C=A141) * ISNUMBER(PTS!M:M)))</f>
        <v>5</v>
      </c>
      <c r="J141" s="531" cm="1">
        <f t="array" ref="J141">AVERAGE(_xlfn._xlws.FILTER(PTS!N:N, (PTS!$C:$C=A141) * ISNUMBER(PTS!N:N)))</f>
        <v>50</v>
      </c>
      <c r="K141" s="531" cm="1">
        <f t="array" ref="K141">AVERAGE(_xlfn._xlws.FILTER(PTS!O:O, (PTS!$C:$C=A141) * ISNUMBER(PTS!O:O)))</f>
        <v>37.916666666666671</v>
      </c>
      <c r="L141" s="10" cm="1">
        <f t="array" ref="L141">AVERAGE(_xlfn._xlws.FILTER(PTS!P:P, (PTS!$C:$C=A141) * ISNUMBER(PTS!P:P)))</f>
        <v>0</v>
      </c>
      <c r="M141" s="531">
        <f t="shared" si="21"/>
        <v>252.91666666666669</v>
      </c>
      <c r="N141" s="531">
        <f t="shared" si="22"/>
        <v>87.916666666666671</v>
      </c>
      <c r="O141" s="531" cm="1">
        <f t="array" ref="O141">AVERAGE(_xlfn._xlws.FILTER(PTS!S:S, (PTS!$C:$C=A141) * ISNUMBER(PTS!S:S)))</f>
        <v>0</v>
      </c>
      <c r="P141" s="531" cm="1">
        <f t="array" ref="P141">AVERAGE(_xlfn._xlws.FILTER(PTS!T:T, (PTS!$C:$C=A141) * ISNUMBER(PTS!T:T)))</f>
        <v>0</v>
      </c>
      <c r="Q141" s="531" cm="1">
        <f t="array" ref="Q141">AVERAGE(_xlfn._xlws.FILTER(PTS!U:U, (PTS!$C:$C=A141) * ISNUMBER(PTS!U:U)))</f>
        <v>221.28863636363636</v>
      </c>
      <c r="S141" s="531">
        <f t="shared" si="23"/>
        <v>221.28863636363636</v>
      </c>
      <c r="T141" s="531" cm="1">
        <f t="array" ref="T141">AVERAGE(_xlfn._xlws.FILTER(PTS!X:X, (PTS!$C:$C=A141) * ISNUMBER(PTS!X:X)))</f>
        <v>52</v>
      </c>
      <c r="U141" s="531" cm="1">
        <f t="array" ref="U141">AVERAGE(_xlfn._xlws.FILTER(PTS!Y:Y, (PTS!$C:$C=A141) * ISNUMBER(PTS!Y:Y)))</f>
        <v>50.4</v>
      </c>
      <c r="V141" s="531" cm="1">
        <f t="array" ref="V141">AVERAGE(_xlfn._xlws.FILTER(PTS!Z:Z, (PTS!$C:$C=A141) * ISNUMBER(PTS!Z:Z)))</f>
        <v>26.25</v>
      </c>
      <c r="X141" s="531">
        <f t="shared" si="24"/>
        <v>128.65</v>
      </c>
      <c r="Y141" s="531" cm="1">
        <f t="array" ref="Y141">AVERAGE(_xlfn._xlws.FILTER(PTS!AC:AC, (PTS!$C:$C=A141) * ISNUMBER(PTS!AC:AC)))</f>
        <v>110.22727272727273</v>
      </c>
      <c r="Z141" s="531" cm="1">
        <f t="array" ref="Z141">AVERAGE(_xlfn._xlws.FILTER(PTS!AD:AD, (PTS!$C:$C=A141) * ISNUMBER(PTS!AD:AD)))</f>
        <v>107.04545454545455</v>
      </c>
      <c r="AB141" s="531">
        <f t="shared" si="25"/>
        <v>217.27272727272728</v>
      </c>
      <c r="AC141" s="10" cm="1">
        <f t="array" ref="AC141">AVERAGE(_xlfn._xlws.FILTER(PTS!AG:AG, (PTS!$C:$C=A141) * ISNUMBER(PTS!AG:AG)))</f>
        <v>28.814300000000003</v>
      </c>
      <c r="AD141" s="531" cm="1">
        <f t="array" ref="AD141">AVERAGE(_xlfn._xlws.FILTER(PTS!AH:AH, (PTS!$C:$C=A141) * ISNUMBER(PTS!AH:AH)))</f>
        <v>6.973140495867769</v>
      </c>
      <c r="AE141" s="531" cm="1">
        <f t="array" ref="AE141">AVERAGE(_xlfn._xlws.FILTER(PTS!AI:AI, (PTS!$C:$C=A141) * ISNUMBER(PTS!AI:AI)))</f>
        <v>12.587317427197677</v>
      </c>
      <c r="AF141" s="531" cm="1">
        <f t="array" ref="AF141">AVERAGE(_xlfn._xlws.FILTER(PTS!AJ:AJ, (PTS!$C:$C=A141) * ISNUMBER(PTS!AJ:AJ)))</f>
        <v>6.7351999999999999</v>
      </c>
      <c r="AH141" s="531">
        <f t="shared" si="26"/>
        <v>55.109957923065444</v>
      </c>
      <c r="AI141" s="10" cm="1">
        <f t="array" ref="AI141">AVERAGE(_xlfn._xlws.FILTER(PTS!AM:AM, (PTS!$C:$C=A141) * ISNUMBER(PTS!AM:AM)))</f>
        <v>79.999999999999986</v>
      </c>
      <c r="AJ141" s="10" cm="1">
        <f t="array" ref="AJ141">AVERAGE(_xlfn._xlws.FILTER(PTS!AN:AN, (PTS!$C:$C=A141) * ISNUMBER(PTS!AN:AN)))</f>
        <v>26.17808219178082</v>
      </c>
      <c r="AK141" s="10" cm="1">
        <f t="array" ref="AK141">AVERAGE(_xlfn._xlws.FILTER(PTS!AO:AO, (PTS!$C:$C=A141) * ISNUMBER(PTS!AO:AO)))</f>
        <v>0</v>
      </c>
      <c r="AN141" s="10">
        <f t="shared" si="27"/>
        <v>106.1780821917808</v>
      </c>
      <c r="AR141" s="531">
        <f t="shared" si="28"/>
        <v>816.41607041787654</v>
      </c>
      <c r="AS141" s="531">
        <f t="shared" si="29"/>
        <v>981.41607041787654</v>
      </c>
    </row>
    <row r="142" spans="1:45">
      <c r="A142" s="32" t="s">
        <v>511</v>
      </c>
      <c r="B142" s="319" t="s">
        <v>76</v>
      </c>
      <c r="C142" s="319" t="str">
        <f t="shared" si="20"/>
        <v>MadisonGA</v>
      </c>
      <c r="D142" s="10">
        <f>VLOOKUP(A:A,PTS!C:R,6,FALSE)</f>
        <v>4</v>
      </c>
      <c r="E142" s="531" cm="1">
        <f t="array" ref="E142">AVERAGE(_xlfn._xlws.FILTER(PTS!I:I, (PTS!$C:$C=A142) * ISNUMBER(PTS!I:I)))</f>
        <v>70</v>
      </c>
      <c r="F142" s="10" cm="1">
        <f t="array" ref="F142">AVERAGE(_xlfn._xlws.FILTER(PTS!J:J, (PTS!$C:$C=A142) * ISNUMBER(PTS!J:J)))</f>
        <v>105</v>
      </c>
      <c r="G142" s="531" cm="1">
        <f t="array" ref="G142">AVERAGE(_xlfn._xlws.FILTER(PTS!K:K, (PTS!$C:$C=A142) * ISNUMBER(PTS!K:K)))</f>
        <v>0</v>
      </c>
      <c r="H142" s="531" cm="1">
        <f t="array" ref="H142">AVERAGE(_xlfn._xlws.FILTER(PTS!L:L, (PTS!$C:$C=A142) * ISNUMBER(PTS!L:L)))</f>
        <v>0</v>
      </c>
      <c r="I142" s="531" cm="1">
        <f t="array" ref="I142">AVERAGE(_xlfn._xlws.FILTER(PTS!M:M, (PTS!$C:$C=A142) * ISNUMBER(PTS!M:M)))</f>
        <v>0</v>
      </c>
      <c r="J142" s="531" cm="1">
        <f t="array" ref="J142">AVERAGE(_xlfn._xlws.FILTER(PTS!N:N, (PTS!$C:$C=A142) * ISNUMBER(PTS!N:N)))</f>
        <v>45</v>
      </c>
      <c r="K142" s="531" cm="1">
        <f t="array" ref="K142">AVERAGE(_xlfn._xlws.FILTER(PTS!O:O, (PTS!$C:$C=A142) * ISNUMBER(PTS!O:O)))</f>
        <v>37.916666666666671</v>
      </c>
      <c r="L142" s="10" cm="1">
        <f t="array" ref="L142">AVERAGE(_xlfn._xlws.FILTER(PTS!P:P, (PTS!$C:$C=A142) * ISNUMBER(PTS!P:P)))</f>
        <v>0</v>
      </c>
      <c r="M142" s="531">
        <f t="shared" si="21"/>
        <v>257.91666666666669</v>
      </c>
      <c r="N142" s="531">
        <f t="shared" si="22"/>
        <v>37.916666666666671</v>
      </c>
      <c r="O142" s="531" cm="1">
        <f t="array" ref="O142">AVERAGE(_xlfn._xlws.FILTER(PTS!S:S, (PTS!$C:$C=A142) * ISNUMBER(PTS!S:S)))</f>
        <v>0</v>
      </c>
      <c r="P142" s="531" cm="1">
        <f t="array" ref="P142">AVERAGE(_xlfn._xlws.FILTER(PTS!T:T, (PTS!$C:$C=A142) * ISNUMBER(PTS!T:T)))</f>
        <v>0</v>
      </c>
      <c r="Q142" s="531" cm="1">
        <f t="array" ref="Q142">AVERAGE(_xlfn._xlws.FILTER(PTS!U:U, (PTS!$C:$C=A142) * ISNUMBER(PTS!U:U)))</f>
        <v>231.4636363636364</v>
      </c>
      <c r="S142" s="531">
        <f t="shared" si="23"/>
        <v>231.4636363636364</v>
      </c>
      <c r="T142" s="531" cm="1">
        <f t="array" ref="T142">AVERAGE(_xlfn._xlws.FILTER(PTS!X:X, (PTS!$C:$C=A142) * ISNUMBER(PTS!X:X)))</f>
        <v>52</v>
      </c>
      <c r="U142" s="531" cm="1">
        <f t="array" ref="U142">AVERAGE(_xlfn._xlws.FILTER(PTS!Y:Y, (PTS!$C:$C=A142) * ISNUMBER(PTS!Y:Y)))</f>
        <v>50.4</v>
      </c>
      <c r="V142" s="531" cm="1">
        <f t="array" ref="V142">AVERAGE(_xlfn._xlws.FILTER(PTS!Z:Z, (PTS!$C:$C=A142) * ISNUMBER(PTS!Z:Z)))</f>
        <v>26.25</v>
      </c>
      <c r="X142" s="531">
        <f t="shared" si="24"/>
        <v>128.65</v>
      </c>
      <c r="Y142" s="531" cm="1">
        <f t="array" ref="Y142">AVERAGE(_xlfn._xlws.FILTER(PTS!AC:AC, (PTS!$C:$C=A142) * ISNUMBER(PTS!AC:AC)))</f>
        <v>110.22727272727273</v>
      </c>
      <c r="Z142" s="531" cm="1">
        <f t="array" ref="Z142">AVERAGE(_xlfn._xlws.FILTER(PTS!AD:AD, (PTS!$C:$C=A142) * ISNUMBER(PTS!AD:AD)))</f>
        <v>107.04545454545455</v>
      </c>
      <c r="AB142" s="531">
        <f t="shared" si="25"/>
        <v>217.27272727272728</v>
      </c>
      <c r="AC142" s="10" cm="1">
        <f t="array" ref="AC142">AVERAGE(_xlfn._xlws.FILTER(PTS!AG:AG, (PTS!$C:$C=A142) * ISNUMBER(PTS!AG:AG)))</f>
        <v>28.814300000000003</v>
      </c>
      <c r="AD142" s="531" cm="1">
        <f t="array" ref="AD142">AVERAGE(_xlfn._xlws.FILTER(PTS!AH:AH, (PTS!$C:$C=A142) * ISNUMBER(PTS!AH:AH)))</f>
        <v>6.973140495867769</v>
      </c>
      <c r="AE142" s="531" cm="1">
        <f t="array" ref="AE142">AVERAGE(_xlfn._xlws.FILTER(PTS!AI:AI, (PTS!$C:$C=A142) * ISNUMBER(PTS!AI:AI)))</f>
        <v>12.587317427197677</v>
      </c>
      <c r="AF142" s="531" cm="1">
        <f t="array" ref="AF142">AVERAGE(_xlfn._xlws.FILTER(PTS!AJ:AJ, (PTS!$C:$C=A142) * ISNUMBER(PTS!AJ:AJ)))</f>
        <v>6.7351999999999999</v>
      </c>
      <c r="AH142" s="531">
        <f t="shared" si="26"/>
        <v>55.109957923065444</v>
      </c>
      <c r="AI142" s="10" cm="1">
        <f t="array" ref="AI142">AVERAGE(_xlfn._xlws.FILTER(PTS!AM:AM, (PTS!$C:$C=A142) * ISNUMBER(PTS!AM:AM)))</f>
        <v>79.999999999999986</v>
      </c>
      <c r="AJ142" s="10" cm="1">
        <f t="array" ref="AJ142">AVERAGE(_xlfn._xlws.FILTER(PTS!AN:AN, (PTS!$C:$C=A142) * ISNUMBER(PTS!AN:AN)))</f>
        <v>26.17808219178082</v>
      </c>
      <c r="AK142" s="10" cm="1">
        <f t="array" ref="AK142">AVERAGE(_xlfn._xlws.FILTER(PTS!AO:AO, (PTS!$C:$C=A142) * ISNUMBER(PTS!AO:AO)))</f>
        <v>0</v>
      </c>
      <c r="AN142" s="10">
        <f t="shared" si="27"/>
        <v>106.1780821917808</v>
      </c>
      <c r="AR142" s="531">
        <f t="shared" si="28"/>
        <v>776.59107041787661</v>
      </c>
      <c r="AS142" s="531">
        <f t="shared" si="29"/>
        <v>996.59107041787661</v>
      </c>
    </row>
    <row r="143" spans="1:45">
      <c r="A143" s="32" t="s">
        <v>513</v>
      </c>
      <c r="B143" s="319" t="s">
        <v>190</v>
      </c>
      <c r="C143" s="319" t="str">
        <f t="shared" si="20"/>
        <v>MaldenMO</v>
      </c>
      <c r="D143" s="10">
        <f>VLOOKUP(A:A,PTS!C:R,6,FALSE)</f>
        <v>1</v>
      </c>
      <c r="E143" s="531" cm="1">
        <f t="array" ref="E143">AVERAGE(_xlfn._xlws.FILTER(PTS!I:I, (PTS!$C:$C=A143) * ISNUMBER(PTS!I:I)))</f>
        <v>16</v>
      </c>
      <c r="F143" s="10" cm="1">
        <f t="array" ref="F143">AVERAGE(_xlfn._xlws.FILTER(PTS!J:J, (PTS!$C:$C=A143) * ISNUMBER(PTS!J:J)))</f>
        <v>310</v>
      </c>
      <c r="G143" s="531" cm="1">
        <f t="array" ref="G143">AVERAGE(_xlfn._xlws.FILTER(PTS!K:K, (PTS!$C:$C=A143) * ISNUMBER(PTS!K:K)))</f>
        <v>80</v>
      </c>
      <c r="H143" s="531" cm="1">
        <f t="array" ref="H143">AVERAGE(_xlfn._xlws.FILTER(PTS!L:L, (PTS!$C:$C=A143) * ISNUMBER(PTS!L:L)))</f>
        <v>0</v>
      </c>
      <c r="I143" s="531" cm="1">
        <f t="array" ref="I143">AVERAGE(_xlfn._xlws.FILTER(PTS!M:M, (PTS!$C:$C=A143) * ISNUMBER(PTS!M:M)))</f>
        <v>5</v>
      </c>
      <c r="J143" s="531" cm="1">
        <f t="array" ref="J143">AVERAGE(_xlfn._xlws.FILTER(PTS!N:N, (PTS!$C:$C=A143) * ISNUMBER(PTS!N:N)))</f>
        <v>65</v>
      </c>
      <c r="K143" s="531" cm="1">
        <f t="array" ref="K143">AVERAGE(_xlfn._xlws.FILTER(PTS!O:O, (PTS!$C:$C=A143) * ISNUMBER(PTS!O:O)))</f>
        <v>37.916666666666671</v>
      </c>
      <c r="L143" s="10" cm="1">
        <f t="array" ref="L143">AVERAGE(_xlfn._xlws.FILTER(PTS!P:P, (PTS!$C:$C=A143) * ISNUMBER(PTS!P:P)))</f>
        <v>0</v>
      </c>
      <c r="M143" s="531">
        <f t="shared" si="21"/>
        <v>513.91666666666663</v>
      </c>
      <c r="N143" s="531">
        <f t="shared" si="22"/>
        <v>102.91666666666667</v>
      </c>
      <c r="O143" s="531" cm="1">
        <f t="array" ref="O143">AVERAGE(_xlfn._xlws.FILTER(PTS!S:S, (PTS!$C:$C=A143) * ISNUMBER(PTS!S:S)))</f>
        <v>0</v>
      </c>
      <c r="P143" s="531" cm="1">
        <f t="array" ref="P143">AVERAGE(_xlfn._xlws.FILTER(PTS!T:T, (PTS!$C:$C=A143) * ISNUMBER(PTS!T:T)))</f>
        <v>0</v>
      </c>
      <c r="Q143" s="531" cm="1">
        <f t="array" ref="Q143">AVERAGE(_xlfn._xlws.FILTER(PTS!U:U, (PTS!$C:$C=A143) * ISNUMBER(PTS!U:U)))</f>
        <v>241.47727272727275</v>
      </c>
      <c r="S143" s="531">
        <f t="shared" si="23"/>
        <v>241.47727272727275</v>
      </c>
      <c r="T143" s="531" cm="1">
        <f t="array" ref="T143">AVERAGE(_xlfn._xlws.FILTER(PTS!X:X, (PTS!$C:$C=A143) * ISNUMBER(PTS!X:X)))</f>
        <v>50</v>
      </c>
      <c r="U143" s="531" cm="1">
        <f t="array" ref="U143">AVERAGE(_xlfn._xlws.FILTER(PTS!Y:Y, (PTS!$C:$C=A143) * ISNUMBER(PTS!Y:Y)))</f>
        <v>33.6</v>
      </c>
      <c r="V143" s="531" cm="1">
        <f t="array" ref="V143">AVERAGE(_xlfn._xlws.FILTER(PTS!Z:Z, (PTS!$C:$C=A143) * ISNUMBER(PTS!Z:Z)))</f>
        <v>26.25</v>
      </c>
      <c r="X143" s="531">
        <f t="shared" si="24"/>
        <v>109.85</v>
      </c>
      <c r="Y143" s="531" cm="1">
        <f t="array" ref="Y143">AVERAGE(_xlfn._xlws.FILTER(PTS!AC:AC, (PTS!$C:$C=A143) * ISNUMBER(PTS!AC:AC)))</f>
        <v>146.02272727272725</v>
      </c>
      <c r="Z143" s="531" cm="1">
        <f t="array" ref="Z143">AVERAGE(_xlfn._xlws.FILTER(PTS!AD:AD, (PTS!$C:$C=A143) * ISNUMBER(PTS!AD:AD)))</f>
        <v>182.72727272727275</v>
      </c>
      <c r="AB143" s="531">
        <f t="shared" si="25"/>
        <v>328.75</v>
      </c>
      <c r="AC143" s="10" cm="1">
        <f t="array" ref="AC143">AVERAGE(_xlfn._xlws.FILTER(PTS!AG:AG, (PTS!$C:$C=A143) * ISNUMBER(PTS!AG:AG)))</f>
        <v>28.814300000000003</v>
      </c>
      <c r="AD143" s="531" cm="1">
        <f t="array" ref="AD143">AVERAGE(_xlfn._xlws.FILTER(PTS!AH:AH, (PTS!$C:$C=A143) * ISNUMBER(PTS!AH:AH)))</f>
        <v>6.973140495867769</v>
      </c>
      <c r="AE143" s="531" cm="1">
        <f t="array" ref="AE143">AVERAGE(_xlfn._xlws.FILTER(PTS!AI:AI, (PTS!$C:$C=A143) * ISNUMBER(PTS!AI:AI)))</f>
        <v>12.587317427197677</v>
      </c>
      <c r="AF143" s="531" cm="1">
        <f t="array" ref="AF143">AVERAGE(_xlfn._xlws.FILTER(PTS!AJ:AJ, (PTS!$C:$C=A143) * ISNUMBER(PTS!AJ:AJ)))</f>
        <v>6.7351999999999999</v>
      </c>
      <c r="AH143" s="531">
        <f t="shared" si="26"/>
        <v>55.109957923065444</v>
      </c>
      <c r="AI143" s="10" cm="1">
        <f t="array" ref="AI143">AVERAGE(_xlfn._xlws.FILTER(PTS!AM:AM, (PTS!$C:$C=A143) * ISNUMBER(PTS!AM:AM)))</f>
        <v>79.999999999999986</v>
      </c>
      <c r="AJ143" s="10" cm="1">
        <f t="array" ref="AJ143">AVERAGE(_xlfn._xlws.FILTER(PTS!AN:AN, (PTS!$C:$C=A143) * ISNUMBER(PTS!AN:AN)))</f>
        <v>26.17808219178082</v>
      </c>
      <c r="AK143" s="10" cm="1">
        <f t="array" ref="AK143">AVERAGE(_xlfn._xlws.FILTER(PTS!AO:AO, (PTS!$C:$C=A143) * ISNUMBER(PTS!AO:AO)))</f>
        <v>0</v>
      </c>
      <c r="AN143" s="10">
        <f t="shared" si="27"/>
        <v>106.1780821917808</v>
      </c>
      <c r="AR143" s="531">
        <f t="shared" si="28"/>
        <v>944.28197950878564</v>
      </c>
      <c r="AS143" s="531">
        <f t="shared" si="29"/>
        <v>1355.2819795087855</v>
      </c>
    </row>
    <row r="144" spans="1:45">
      <c r="A144" s="32" t="s">
        <v>517</v>
      </c>
      <c r="B144" s="319" t="s">
        <v>149</v>
      </c>
      <c r="C144" s="319" t="str">
        <f t="shared" si="20"/>
        <v>ManilaAR</v>
      </c>
      <c r="D144" s="10">
        <f>VLOOKUP(A:A,PTS!C:R,6,FALSE)</f>
        <v>1</v>
      </c>
      <c r="E144" s="531" cm="1">
        <f t="array" ref="E144">AVERAGE(_xlfn._xlws.FILTER(PTS!I:I, (PTS!$C:$C=A144) * ISNUMBER(PTS!I:I)))</f>
        <v>20</v>
      </c>
      <c r="F144" s="10" cm="1">
        <f t="array" ref="F144">AVERAGE(_xlfn._xlws.FILTER(PTS!J:J, (PTS!$C:$C=A144) * ISNUMBER(PTS!J:J)))</f>
        <v>390</v>
      </c>
      <c r="G144" s="531" cm="1">
        <f t="array" ref="G144">AVERAGE(_xlfn._xlws.FILTER(PTS!K:K, (PTS!$C:$C=A144) * ISNUMBER(PTS!K:K)))</f>
        <v>0</v>
      </c>
      <c r="H144" s="531" cm="1">
        <f t="array" ref="H144">AVERAGE(_xlfn._xlws.FILTER(PTS!L:L, (PTS!$C:$C=A144) * ISNUMBER(PTS!L:L)))</f>
        <v>0</v>
      </c>
      <c r="I144" s="531" cm="1">
        <f t="array" ref="I144">AVERAGE(_xlfn._xlws.FILTER(PTS!M:M, (PTS!$C:$C=A144) * ISNUMBER(PTS!M:M)))</f>
        <v>10</v>
      </c>
      <c r="J144" s="531" cm="1">
        <f t="array" ref="J144">AVERAGE(_xlfn._xlws.FILTER(PTS!N:N, (PTS!$C:$C=A144) * ISNUMBER(PTS!N:N)))</f>
        <v>70</v>
      </c>
      <c r="K144" s="531" cm="1">
        <f t="array" ref="K144">AVERAGE(_xlfn._xlws.FILTER(PTS!O:O, (PTS!$C:$C=A144) * ISNUMBER(PTS!O:O)))</f>
        <v>37.916666666666671</v>
      </c>
      <c r="L144" s="10" cm="1">
        <f t="array" ref="L144">AVERAGE(_xlfn._xlws.FILTER(PTS!P:P, (PTS!$C:$C=A144) * ISNUMBER(PTS!P:P)))</f>
        <v>0</v>
      </c>
      <c r="M144" s="531">
        <f t="shared" si="21"/>
        <v>527.91666666666663</v>
      </c>
      <c r="N144" s="531">
        <f t="shared" si="22"/>
        <v>107.91666666666667</v>
      </c>
      <c r="O144" s="531" cm="1">
        <f t="array" ref="O144">AVERAGE(_xlfn._xlws.FILTER(PTS!S:S, (PTS!$C:$C=A144) * ISNUMBER(PTS!S:S)))</f>
        <v>0</v>
      </c>
      <c r="P144" s="531" cm="1">
        <f t="array" ref="P144">AVERAGE(_xlfn._xlws.FILTER(PTS!T:T, (PTS!$C:$C=A144) * ISNUMBER(PTS!T:T)))</f>
        <v>0</v>
      </c>
      <c r="Q144" s="531" cm="1">
        <f t="array" ref="Q144">AVERAGE(_xlfn._xlws.FILTER(PTS!U:U, (PTS!$C:$C=A144) * ISNUMBER(PTS!U:U)))</f>
        <v>176.70454545454547</v>
      </c>
      <c r="S144" s="531">
        <f t="shared" si="23"/>
        <v>176.70454545454547</v>
      </c>
      <c r="T144" s="531" cm="1">
        <f t="array" ref="T144">AVERAGE(_xlfn._xlws.FILTER(PTS!X:X, (PTS!$C:$C=A144) * ISNUMBER(PTS!X:X)))</f>
        <v>50</v>
      </c>
      <c r="U144" s="531" cm="1">
        <f t="array" ref="U144">AVERAGE(_xlfn._xlws.FILTER(PTS!Y:Y, (PTS!$C:$C=A144) * ISNUMBER(PTS!Y:Y)))</f>
        <v>33.6</v>
      </c>
      <c r="V144" s="531" cm="1">
        <f t="array" ref="V144">AVERAGE(_xlfn._xlws.FILTER(PTS!Z:Z, (PTS!$C:$C=A144) * ISNUMBER(PTS!Z:Z)))</f>
        <v>26.25</v>
      </c>
      <c r="X144" s="531">
        <f t="shared" si="24"/>
        <v>109.85</v>
      </c>
      <c r="Y144" s="531" cm="1">
        <f t="array" ref="Y144">AVERAGE(_xlfn._xlws.FILTER(PTS!AC:AC, (PTS!$C:$C=A144) * ISNUMBER(PTS!AC:AC)))</f>
        <v>146.02272727272725</v>
      </c>
      <c r="Z144" s="531" cm="1">
        <f t="array" ref="Z144">AVERAGE(_xlfn._xlws.FILTER(PTS!AD:AD, (PTS!$C:$C=A144) * ISNUMBER(PTS!AD:AD)))</f>
        <v>182.72727272727275</v>
      </c>
      <c r="AB144" s="531">
        <f t="shared" si="25"/>
        <v>328.75</v>
      </c>
      <c r="AC144" s="10" cm="1">
        <f t="array" ref="AC144">AVERAGE(_xlfn._xlws.FILTER(PTS!AG:AG, (PTS!$C:$C=A144) * ISNUMBER(PTS!AG:AG)))</f>
        <v>28.814300000000003</v>
      </c>
      <c r="AD144" s="531" cm="1">
        <f t="array" ref="AD144">AVERAGE(_xlfn._xlws.FILTER(PTS!AH:AH, (PTS!$C:$C=A144) * ISNUMBER(PTS!AH:AH)))</f>
        <v>6.973140495867769</v>
      </c>
      <c r="AE144" s="531" cm="1">
        <f t="array" ref="AE144">AVERAGE(_xlfn._xlws.FILTER(PTS!AI:AI, (PTS!$C:$C=A144) * ISNUMBER(PTS!AI:AI)))</f>
        <v>12.587317427197677</v>
      </c>
      <c r="AF144" s="531" cm="1">
        <f t="array" ref="AF144">AVERAGE(_xlfn._xlws.FILTER(PTS!AJ:AJ, (PTS!$C:$C=A144) * ISNUMBER(PTS!AJ:AJ)))</f>
        <v>6.7351999999999999</v>
      </c>
      <c r="AH144" s="531">
        <f t="shared" si="26"/>
        <v>55.109957923065444</v>
      </c>
      <c r="AI144" s="10" cm="1">
        <f t="array" ref="AI144">AVERAGE(_xlfn._xlws.FILTER(PTS!AM:AM, (PTS!$C:$C=A144) * ISNUMBER(PTS!AM:AM)))</f>
        <v>79.999999999999986</v>
      </c>
      <c r="AJ144" s="10" cm="1">
        <f t="array" ref="AJ144">AVERAGE(_xlfn._xlws.FILTER(PTS!AN:AN, (PTS!$C:$C=A144) * ISNUMBER(PTS!AN:AN)))</f>
        <v>26.17808219178082</v>
      </c>
      <c r="AK144" s="10" cm="1">
        <f t="array" ref="AK144">AVERAGE(_xlfn._xlws.FILTER(PTS!AO:AO, (PTS!$C:$C=A144) * ISNUMBER(PTS!AO:AO)))</f>
        <v>0</v>
      </c>
      <c r="AN144" s="10">
        <f t="shared" si="27"/>
        <v>106.1780821917808</v>
      </c>
      <c r="AR144" s="531">
        <f t="shared" si="28"/>
        <v>884.50925223605839</v>
      </c>
      <c r="AS144" s="531">
        <f t="shared" si="29"/>
        <v>1304.5092522360583</v>
      </c>
    </row>
    <row r="145" spans="1:45">
      <c r="A145" s="32" t="s">
        <v>519</v>
      </c>
      <c r="B145" s="319" t="s">
        <v>132</v>
      </c>
      <c r="C145" s="319" t="str">
        <f t="shared" si="20"/>
        <v>ManningSC</v>
      </c>
      <c r="D145" s="10">
        <f>VLOOKUP(A:A,PTS!C:R,6,FALSE)</f>
        <v>1</v>
      </c>
      <c r="E145" s="531" cm="1">
        <f t="array" ref="E145">AVERAGE(_xlfn._xlws.FILTER(PTS!I:I, (PTS!$C:$C=A145) * ISNUMBER(PTS!I:I)))</f>
        <v>78</v>
      </c>
      <c r="F145" s="10" cm="1">
        <f t="array" ref="F145">AVERAGE(_xlfn._xlws.FILTER(PTS!J:J, (PTS!$C:$C=A145) * ISNUMBER(PTS!J:J)))</f>
        <v>87</v>
      </c>
      <c r="G145" s="531" cm="1">
        <f t="array" ref="G145">AVERAGE(_xlfn._xlws.FILTER(PTS!K:K, (PTS!$C:$C=A145) * ISNUMBER(PTS!K:K)))</f>
        <v>0</v>
      </c>
      <c r="H145" s="531" cm="1">
        <f t="array" ref="H145">AVERAGE(_xlfn._xlws.FILTER(PTS!L:L, (PTS!$C:$C=A145) * ISNUMBER(PTS!L:L)))</f>
        <v>0</v>
      </c>
      <c r="I145" s="531" cm="1">
        <f t="array" ref="I145">AVERAGE(_xlfn._xlws.FILTER(PTS!M:M, (PTS!$C:$C=A145) * ISNUMBER(PTS!M:M)))</f>
        <v>25</v>
      </c>
      <c r="J145" s="531" cm="1">
        <f t="array" ref="J145">AVERAGE(_xlfn._xlws.FILTER(PTS!N:N, (PTS!$C:$C=A145) * ISNUMBER(PTS!N:N)))</f>
        <v>59</v>
      </c>
      <c r="K145" s="531" cm="1">
        <f t="array" ref="K145">AVERAGE(_xlfn._xlws.FILTER(PTS!O:O, (PTS!$C:$C=A145) * ISNUMBER(PTS!O:O)))</f>
        <v>37.916666666666671</v>
      </c>
      <c r="L145" s="10" cm="1">
        <f t="array" ref="L145">AVERAGE(_xlfn._xlws.FILTER(PTS!P:P, (PTS!$C:$C=A145) * ISNUMBER(PTS!P:P)))</f>
        <v>0</v>
      </c>
      <c r="M145" s="531">
        <f t="shared" si="21"/>
        <v>286.91666666666669</v>
      </c>
      <c r="N145" s="531">
        <f t="shared" si="22"/>
        <v>96.916666666666671</v>
      </c>
      <c r="O145" s="531" cm="1">
        <f t="array" ref="O145">AVERAGE(_xlfn._xlws.FILTER(PTS!S:S, (PTS!$C:$C=A145) * ISNUMBER(PTS!S:S)))</f>
        <v>0</v>
      </c>
      <c r="P145" s="531" cm="1">
        <f t="array" ref="P145">AVERAGE(_xlfn._xlws.FILTER(PTS!T:T, (PTS!$C:$C=A145) * ISNUMBER(PTS!T:T)))</f>
        <v>0</v>
      </c>
      <c r="Q145" s="531" cm="1">
        <f t="array" ref="Q145">AVERAGE(_xlfn._xlws.FILTER(PTS!U:U, (PTS!$C:$C=A145) * ISNUMBER(PTS!U:U)))</f>
        <v>191.10795454545453</v>
      </c>
      <c r="S145" s="531">
        <f t="shared" si="23"/>
        <v>191.10795454545453</v>
      </c>
      <c r="T145" s="531" cm="1">
        <f t="array" ref="T145">AVERAGE(_xlfn._xlws.FILTER(PTS!X:X, (PTS!$C:$C=A145) * ISNUMBER(PTS!X:X)))</f>
        <v>52</v>
      </c>
      <c r="U145" s="531" cm="1">
        <f t="array" ref="U145">AVERAGE(_xlfn._xlws.FILTER(PTS!Y:Y, (PTS!$C:$C=A145) * ISNUMBER(PTS!Y:Y)))</f>
        <v>50.4</v>
      </c>
      <c r="V145" s="531" cm="1">
        <f t="array" ref="V145">AVERAGE(_xlfn._xlws.FILTER(PTS!Z:Z, (PTS!$C:$C=A145) * ISNUMBER(PTS!Z:Z)))</f>
        <v>26.25</v>
      </c>
      <c r="X145" s="531">
        <f t="shared" si="24"/>
        <v>128.65</v>
      </c>
      <c r="Y145" s="531" cm="1">
        <f t="array" ref="Y145">AVERAGE(_xlfn._xlws.FILTER(PTS!AC:AC, (PTS!$C:$C=A145) * ISNUMBER(PTS!AC:AC)))</f>
        <v>110.22727272727273</v>
      </c>
      <c r="Z145" s="531" cm="1">
        <f t="array" ref="Z145">AVERAGE(_xlfn._xlws.FILTER(PTS!AD:AD, (PTS!$C:$C=A145) * ISNUMBER(PTS!AD:AD)))</f>
        <v>107.04545454545455</v>
      </c>
      <c r="AB145" s="531">
        <f t="shared" si="25"/>
        <v>217.27272727272728</v>
      </c>
      <c r="AC145" s="10" cm="1">
        <f t="array" ref="AC145">AVERAGE(_xlfn._xlws.FILTER(PTS!AG:AG, (PTS!$C:$C=A145) * ISNUMBER(PTS!AG:AG)))</f>
        <v>28.814300000000003</v>
      </c>
      <c r="AD145" s="531" cm="1">
        <f t="array" ref="AD145">AVERAGE(_xlfn._xlws.FILTER(PTS!AH:AH, (PTS!$C:$C=A145) * ISNUMBER(PTS!AH:AH)))</f>
        <v>6.973140495867769</v>
      </c>
      <c r="AE145" s="531" cm="1">
        <f t="array" ref="AE145">AVERAGE(_xlfn._xlws.FILTER(PTS!AI:AI, (PTS!$C:$C=A145) * ISNUMBER(PTS!AI:AI)))</f>
        <v>12.587317427197677</v>
      </c>
      <c r="AF145" s="531" cm="1">
        <f t="array" ref="AF145">AVERAGE(_xlfn._xlws.FILTER(PTS!AJ:AJ, (PTS!$C:$C=A145) * ISNUMBER(PTS!AJ:AJ)))</f>
        <v>6.7351999999999999</v>
      </c>
      <c r="AH145" s="531">
        <f t="shared" si="26"/>
        <v>55.109957923065444</v>
      </c>
      <c r="AI145" s="10" cm="1">
        <f t="array" ref="AI145">AVERAGE(_xlfn._xlws.FILTER(PTS!AM:AM, (PTS!$C:$C=A145) * ISNUMBER(PTS!AM:AM)))</f>
        <v>79.999999999999986</v>
      </c>
      <c r="AJ145" s="10" cm="1">
        <f t="array" ref="AJ145">AVERAGE(_xlfn._xlws.FILTER(PTS!AN:AN, (PTS!$C:$C=A145) * ISNUMBER(PTS!AN:AN)))</f>
        <v>26.17808219178082</v>
      </c>
      <c r="AK145" s="10" cm="1">
        <f t="array" ref="AK145">AVERAGE(_xlfn._xlws.FILTER(PTS!AO:AO, (PTS!$C:$C=A145) * ISNUMBER(PTS!AO:AO)))</f>
        <v>0</v>
      </c>
      <c r="AN145" s="10">
        <f t="shared" si="27"/>
        <v>106.1780821917808</v>
      </c>
      <c r="AR145" s="531">
        <f t="shared" si="28"/>
        <v>795.23538859969472</v>
      </c>
      <c r="AS145" s="531">
        <f t="shared" si="29"/>
        <v>985.23538859969472</v>
      </c>
    </row>
    <row r="146" spans="1:45">
      <c r="A146" s="32" t="s">
        <v>522</v>
      </c>
      <c r="B146" s="319" t="s">
        <v>149</v>
      </c>
      <c r="C146" s="319" t="str">
        <f t="shared" si="20"/>
        <v>MariannaAR</v>
      </c>
      <c r="D146" s="10">
        <f>VLOOKUP(A:A,PTS!C:R,6,FALSE)</f>
        <v>1</v>
      </c>
      <c r="E146" s="531" cm="1">
        <f t="array" ref="E146">AVERAGE(_xlfn._xlws.FILTER(PTS!I:I, (PTS!$C:$C=A146) * ISNUMBER(PTS!I:I)))</f>
        <v>35</v>
      </c>
      <c r="F146" s="10" cm="1">
        <f t="array" ref="F146">AVERAGE(_xlfn._xlws.FILTER(PTS!J:J, (PTS!$C:$C=A146) * ISNUMBER(PTS!J:J)))</f>
        <v>365</v>
      </c>
      <c r="G146" s="531" cm="1">
        <f t="array" ref="G146">AVERAGE(_xlfn._xlws.FILTER(PTS!K:K, (PTS!$C:$C=A146) * ISNUMBER(PTS!K:K)))</f>
        <v>0</v>
      </c>
      <c r="H146" s="531" cm="1">
        <f t="array" ref="H146">AVERAGE(_xlfn._xlws.FILTER(PTS!L:L, (PTS!$C:$C=A146) * ISNUMBER(PTS!L:L)))</f>
        <v>61</v>
      </c>
      <c r="I146" s="531" cm="1">
        <f t="array" ref="I146">AVERAGE(_xlfn._xlws.FILTER(PTS!M:M, (PTS!$C:$C=A146) * ISNUMBER(PTS!M:M)))</f>
        <v>0</v>
      </c>
      <c r="J146" s="531" cm="1">
        <f t="array" ref="J146">AVERAGE(_xlfn._xlws.FILTER(PTS!N:N, (PTS!$C:$C=A146) * ISNUMBER(PTS!N:N)))</f>
        <v>70</v>
      </c>
      <c r="K146" s="531" cm="1">
        <f t="array" ref="K146">AVERAGE(_xlfn._xlws.FILTER(PTS!O:O, (PTS!$C:$C=A146) * ISNUMBER(PTS!O:O)))</f>
        <v>37.916666666666671</v>
      </c>
      <c r="L146" s="10" cm="1">
        <f t="array" ref="L146">AVERAGE(_xlfn._xlws.FILTER(PTS!P:P, (PTS!$C:$C=A146) * ISNUMBER(PTS!P:P)))</f>
        <v>0</v>
      </c>
      <c r="M146" s="531">
        <f t="shared" si="21"/>
        <v>568.91666666666663</v>
      </c>
      <c r="N146" s="531">
        <f t="shared" si="22"/>
        <v>107.91666666666667</v>
      </c>
      <c r="O146" s="531" cm="1">
        <f t="array" ref="O146">AVERAGE(_xlfn._xlws.FILTER(PTS!S:S, (PTS!$C:$C=A146) * ISNUMBER(PTS!S:S)))</f>
        <v>0</v>
      </c>
      <c r="P146" s="531" cm="1">
        <f t="array" ref="P146">AVERAGE(_xlfn._xlws.FILTER(PTS!T:T, (PTS!$C:$C=A146) * ISNUMBER(PTS!T:T)))</f>
        <v>0</v>
      </c>
      <c r="Q146" s="531" cm="1">
        <f t="array" ref="Q146">AVERAGE(_xlfn._xlws.FILTER(PTS!U:U, (PTS!$C:$C=A146) * ISNUMBER(PTS!U:U)))</f>
        <v>173.29545454545453</v>
      </c>
      <c r="S146" s="531">
        <f t="shared" si="23"/>
        <v>173.29545454545453</v>
      </c>
      <c r="T146" s="531" cm="1">
        <f t="array" ref="T146">AVERAGE(_xlfn._xlws.FILTER(PTS!X:X, (PTS!$C:$C=A146) * ISNUMBER(PTS!X:X)))</f>
        <v>50</v>
      </c>
      <c r="U146" s="531" cm="1">
        <f t="array" ref="U146">AVERAGE(_xlfn._xlws.FILTER(PTS!Y:Y, (PTS!$C:$C=A146) * ISNUMBER(PTS!Y:Y)))</f>
        <v>33.6</v>
      </c>
      <c r="V146" s="531" cm="1">
        <f t="array" ref="V146">AVERAGE(_xlfn._xlws.FILTER(PTS!Z:Z, (PTS!$C:$C=A146) * ISNUMBER(PTS!Z:Z)))</f>
        <v>26.25</v>
      </c>
      <c r="X146" s="531">
        <f t="shared" si="24"/>
        <v>109.85</v>
      </c>
      <c r="Y146" s="531" cm="1">
        <f t="array" ref="Y146">AVERAGE(_xlfn._xlws.FILTER(PTS!AC:AC, (PTS!$C:$C=A146) * ISNUMBER(PTS!AC:AC)))</f>
        <v>146.02272727272725</v>
      </c>
      <c r="Z146" s="531" cm="1">
        <f t="array" ref="Z146">AVERAGE(_xlfn._xlws.FILTER(PTS!AD:AD, (PTS!$C:$C=A146) * ISNUMBER(PTS!AD:AD)))</f>
        <v>182.72727272727275</v>
      </c>
      <c r="AB146" s="531">
        <f t="shared" si="25"/>
        <v>328.75</v>
      </c>
      <c r="AC146" s="10" cm="1">
        <f t="array" ref="AC146">AVERAGE(_xlfn._xlws.FILTER(PTS!AG:AG, (PTS!$C:$C=A146) * ISNUMBER(PTS!AG:AG)))</f>
        <v>28.814300000000003</v>
      </c>
      <c r="AD146" s="531" cm="1">
        <f t="array" ref="AD146">AVERAGE(_xlfn._xlws.FILTER(PTS!AH:AH, (PTS!$C:$C=A146) * ISNUMBER(PTS!AH:AH)))</f>
        <v>6.973140495867769</v>
      </c>
      <c r="AE146" s="531" cm="1">
        <f t="array" ref="AE146">AVERAGE(_xlfn._xlws.FILTER(PTS!AI:AI, (PTS!$C:$C=A146) * ISNUMBER(PTS!AI:AI)))</f>
        <v>12.587317427197677</v>
      </c>
      <c r="AF146" s="531" cm="1">
        <f t="array" ref="AF146">AVERAGE(_xlfn._xlws.FILTER(PTS!AJ:AJ, (PTS!$C:$C=A146) * ISNUMBER(PTS!AJ:AJ)))</f>
        <v>6.7351999999999999</v>
      </c>
      <c r="AH146" s="531">
        <f t="shared" si="26"/>
        <v>55.109957923065444</v>
      </c>
      <c r="AI146" s="10" cm="1">
        <f t="array" ref="AI146">AVERAGE(_xlfn._xlws.FILTER(PTS!AM:AM, (PTS!$C:$C=A146) * ISNUMBER(PTS!AM:AM)))</f>
        <v>79.999999999999986</v>
      </c>
      <c r="AJ146" s="10" cm="1">
        <f t="array" ref="AJ146">AVERAGE(_xlfn._xlws.FILTER(PTS!AN:AN, (PTS!$C:$C=A146) * ISNUMBER(PTS!AN:AN)))</f>
        <v>26.17808219178082</v>
      </c>
      <c r="AK146" s="10" cm="1">
        <f t="array" ref="AK146">AVERAGE(_xlfn._xlws.FILTER(PTS!AO:AO, (PTS!$C:$C=A146) * ISNUMBER(PTS!AO:AO)))</f>
        <v>0</v>
      </c>
      <c r="AN146" s="10">
        <f t="shared" si="27"/>
        <v>106.1780821917808</v>
      </c>
      <c r="AR146" s="531">
        <f t="shared" si="28"/>
        <v>881.1001613269674</v>
      </c>
      <c r="AS146" s="531">
        <f t="shared" si="29"/>
        <v>1342.1001613269673</v>
      </c>
    </row>
    <row r="147" spans="1:45">
      <c r="A147" s="32" t="s">
        <v>525</v>
      </c>
      <c r="B147" s="319" t="s">
        <v>168</v>
      </c>
      <c r="C147" s="319" t="str">
        <f t="shared" si="20"/>
        <v>MasonTN</v>
      </c>
      <c r="D147" s="10">
        <f>VLOOKUP(A:A,PTS!C:R,6,FALSE)</f>
        <v>1</v>
      </c>
      <c r="E147" s="531" cm="1">
        <f t="array" ref="E147">AVERAGE(_xlfn._xlws.FILTER(PTS!I:I, (PTS!$C:$C=A147) * ISNUMBER(PTS!I:I)))</f>
        <v>0</v>
      </c>
      <c r="F147" s="10" cm="1">
        <f t="array" ref="F147">AVERAGE(_xlfn._xlws.FILTER(PTS!J:J, (PTS!$C:$C=A147) * ISNUMBER(PTS!J:J)))</f>
        <v>275</v>
      </c>
      <c r="G147" s="531" cm="1">
        <f t="array" ref="G147">AVERAGE(_xlfn._xlws.FILTER(PTS!K:K, (PTS!$C:$C=A147) * ISNUMBER(PTS!K:K)))</f>
        <v>0</v>
      </c>
      <c r="H147" s="531" cm="1">
        <f t="array" ref="H147">AVERAGE(_xlfn._xlws.FILTER(PTS!L:L, (PTS!$C:$C=A147) * ISNUMBER(PTS!L:L)))</f>
        <v>61</v>
      </c>
      <c r="I147" s="531" cm="1">
        <f t="array" ref="I147">AVERAGE(_xlfn._xlws.FILTER(PTS!M:M, (PTS!$C:$C=A147) * ISNUMBER(PTS!M:M)))</f>
        <v>0</v>
      </c>
      <c r="J147" s="531" cm="1">
        <f t="array" ref="J147">AVERAGE(_xlfn._xlws.FILTER(PTS!N:N, (PTS!$C:$C=A147) * ISNUMBER(PTS!N:N)))</f>
        <v>75</v>
      </c>
      <c r="K147" s="531" cm="1">
        <f t="array" ref="K147">AVERAGE(_xlfn._xlws.FILTER(PTS!O:O, (PTS!$C:$C=A147) * ISNUMBER(PTS!O:O)))</f>
        <v>37.916666666666671</v>
      </c>
      <c r="L147" s="10" cm="1">
        <f t="array" ref="L147">AVERAGE(_xlfn._xlws.FILTER(PTS!P:P, (PTS!$C:$C=A147) * ISNUMBER(PTS!P:P)))</f>
        <v>0</v>
      </c>
      <c r="M147" s="531">
        <f t="shared" si="21"/>
        <v>448.91666666666669</v>
      </c>
      <c r="N147" s="531">
        <f t="shared" si="22"/>
        <v>112.91666666666667</v>
      </c>
      <c r="O147" s="531" cm="1">
        <f t="array" ref="O147">AVERAGE(_xlfn._xlws.FILTER(PTS!S:S, (PTS!$C:$C=A147) * ISNUMBER(PTS!S:S)))</f>
        <v>0</v>
      </c>
      <c r="P147" s="531" cm="1">
        <f t="array" ref="P147">AVERAGE(_xlfn._xlws.FILTER(PTS!T:T, (PTS!$C:$C=A147) * ISNUMBER(PTS!T:T)))</f>
        <v>0</v>
      </c>
      <c r="Q147" s="531" cm="1">
        <f t="array" ref="Q147">AVERAGE(_xlfn._xlws.FILTER(PTS!U:U, (PTS!$C:$C=A147) * ISNUMBER(PTS!U:U)))</f>
        <v>190</v>
      </c>
      <c r="S147" s="531">
        <f t="shared" si="23"/>
        <v>190</v>
      </c>
      <c r="T147" s="531" cm="1">
        <f t="array" ref="T147">AVERAGE(_xlfn._xlws.FILTER(PTS!X:X, (PTS!$C:$C=A147) * ISNUMBER(PTS!X:X)))</f>
        <v>50</v>
      </c>
      <c r="U147" s="531" cm="1">
        <f t="array" ref="U147">AVERAGE(_xlfn._xlws.FILTER(PTS!Y:Y, (PTS!$C:$C=A147) * ISNUMBER(PTS!Y:Y)))</f>
        <v>33.6</v>
      </c>
      <c r="V147" s="531" cm="1">
        <f t="array" ref="V147">AVERAGE(_xlfn._xlws.FILTER(PTS!Z:Z, (PTS!$C:$C=A147) * ISNUMBER(PTS!Z:Z)))</f>
        <v>26.25</v>
      </c>
      <c r="X147" s="531">
        <f t="shared" si="24"/>
        <v>109.85</v>
      </c>
      <c r="Y147" s="531" cm="1">
        <f t="array" ref="Y147">AVERAGE(_xlfn._xlws.FILTER(PTS!AC:AC, (PTS!$C:$C=A147) * ISNUMBER(PTS!AC:AC)))</f>
        <v>146.02272727272725</v>
      </c>
      <c r="Z147" s="531" cm="1">
        <f t="array" ref="Z147">AVERAGE(_xlfn._xlws.FILTER(PTS!AD:AD, (PTS!$C:$C=A147) * ISNUMBER(PTS!AD:AD)))</f>
        <v>182.72727272727275</v>
      </c>
      <c r="AB147" s="531">
        <f t="shared" si="25"/>
        <v>328.75</v>
      </c>
      <c r="AC147" s="10" cm="1">
        <f t="array" ref="AC147">AVERAGE(_xlfn._xlws.FILTER(PTS!AG:AG, (PTS!$C:$C=A147) * ISNUMBER(PTS!AG:AG)))</f>
        <v>28.814300000000003</v>
      </c>
      <c r="AD147" s="531" cm="1">
        <f t="array" ref="AD147">AVERAGE(_xlfn._xlws.FILTER(PTS!AH:AH, (PTS!$C:$C=A147) * ISNUMBER(PTS!AH:AH)))</f>
        <v>6.973140495867769</v>
      </c>
      <c r="AE147" s="531" cm="1">
        <f t="array" ref="AE147">AVERAGE(_xlfn._xlws.FILTER(PTS!AI:AI, (PTS!$C:$C=A147) * ISNUMBER(PTS!AI:AI)))</f>
        <v>12.587317427197677</v>
      </c>
      <c r="AF147" s="531" cm="1">
        <f t="array" ref="AF147">AVERAGE(_xlfn._xlws.FILTER(PTS!AJ:AJ, (PTS!$C:$C=A147) * ISNUMBER(PTS!AJ:AJ)))</f>
        <v>6.7351999999999999</v>
      </c>
      <c r="AH147" s="531">
        <f t="shared" si="26"/>
        <v>55.109957923065444</v>
      </c>
      <c r="AI147" s="10" cm="1">
        <f t="array" ref="AI147">AVERAGE(_xlfn._xlws.FILTER(PTS!AM:AM, (PTS!$C:$C=A147) * ISNUMBER(PTS!AM:AM)))</f>
        <v>79.999999999999986</v>
      </c>
      <c r="AJ147" s="10" cm="1">
        <f t="array" ref="AJ147">AVERAGE(_xlfn._xlws.FILTER(PTS!AN:AN, (PTS!$C:$C=A147) * ISNUMBER(PTS!AN:AN)))</f>
        <v>26.17808219178082</v>
      </c>
      <c r="AK147" s="10" cm="1">
        <f t="array" ref="AK147">AVERAGE(_xlfn._xlws.FILTER(PTS!AO:AO, (PTS!$C:$C=A147) * ISNUMBER(PTS!AO:AO)))</f>
        <v>0</v>
      </c>
      <c r="AN147" s="10">
        <f t="shared" si="27"/>
        <v>106.1780821917808</v>
      </c>
      <c r="AR147" s="531">
        <f t="shared" si="28"/>
        <v>902.80470678151289</v>
      </c>
      <c r="AS147" s="531">
        <f t="shared" si="29"/>
        <v>1238.804706781513</v>
      </c>
    </row>
    <row r="148" spans="1:45">
      <c r="A148" s="32" t="s">
        <v>528</v>
      </c>
      <c r="B148" s="319" t="s">
        <v>65</v>
      </c>
      <c r="C148" s="319" t="str">
        <f t="shared" si="20"/>
        <v>McCulloughAL</v>
      </c>
      <c r="D148" s="10">
        <f>VLOOKUP(A:A,PTS!C:R,6,FALSE)</f>
        <v>1</v>
      </c>
      <c r="E148" s="531" cm="1">
        <f t="array" ref="E148">AVERAGE(_xlfn._xlws.FILTER(PTS!I:I, (PTS!$C:$C=A148) * ISNUMBER(PTS!I:I)))</f>
        <v>75</v>
      </c>
      <c r="F148" s="10" cm="1">
        <f t="array" ref="F148">AVERAGE(_xlfn._xlws.FILTER(PTS!J:J, (PTS!$C:$C=A148) * ISNUMBER(PTS!J:J)))</f>
        <v>100</v>
      </c>
      <c r="G148" s="531" cm="1">
        <f t="array" ref="G148">AVERAGE(_xlfn._xlws.FILTER(PTS!K:K, (PTS!$C:$C=A148) * ISNUMBER(PTS!K:K)))</f>
        <v>0</v>
      </c>
      <c r="H148" s="531" cm="1">
        <f t="array" ref="H148">AVERAGE(_xlfn._xlws.FILTER(PTS!L:L, (PTS!$C:$C=A148) * ISNUMBER(PTS!L:L)))</f>
        <v>0</v>
      </c>
      <c r="I148" s="531" cm="1">
        <f t="array" ref="I148">AVERAGE(_xlfn._xlws.FILTER(PTS!M:M, (PTS!$C:$C=A148) * ISNUMBER(PTS!M:M)))</f>
        <v>0</v>
      </c>
      <c r="J148" s="531" cm="1">
        <f t="array" ref="J148">AVERAGE(_xlfn._xlws.FILTER(PTS!N:N, (PTS!$C:$C=A148) * ISNUMBER(PTS!N:N)))</f>
        <v>55</v>
      </c>
      <c r="K148" s="531" cm="1">
        <f t="array" ref="K148">AVERAGE(_xlfn._xlws.FILTER(PTS!O:O, (PTS!$C:$C=A148) * ISNUMBER(PTS!O:O)))</f>
        <v>37.916666666666671</v>
      </c>
      <c r="L148" s="10" cm="1">
        <f t="array" ref="L148">AVERAGE(_xlfn._xlws.FILTER(PTS!P:P, (PTS!$C:$C=A148) * ISNUMBER(PTS!P:P)))</f>
        <v>0</v>
      </c>
      <c r="M148" s="531">
        <f t="shared" si="21"/>
        <v>267.91666666666669</v>
      </c>
      <c r="N148" s="531">
        <f t="shared" si="22"/>
        <v>92.916666666666671</v>
      </c>
      <c r="O148" s="531" cm="1">
        <f t="array" ref="O148">AVERAGE(_xlfn._xlws.FILTER(PTS!S:S, (PTS!$C:$C=A148) * ISNUMBER(PTS!S:S)))</f>
        <v>0</v>
      </c>
      <c r="P148" s="531" cm="1">
        <f t="array" ref="P148">AVERAGE(_xlfn._xlws.FILTER(PTS!T:T, (PTS!$C:$C=A148) * ISNUMBER(PTS!T:T)))</f>
        <v>0</v>
      </c>
      <c r="Q148" s="531" cm="1">
        <f t="array" ref="Q148">AVERAGE(_xlfn._xlws.FILTER(PTS!U:U, (PTS!$C:$C=A148) * ISNUMBER(PTS!U:U)))</f>
        <v>335.28011363636369</v>
      </c>
      <c r="S148" s="531">
        <f t="shared" si="23"/>
        <v>335.28011363636369</v>
      </c>
      <c r="T148" s="531" cm="1">
        <f t="array" ref="T148">AVERAGE(_xlfn._xlws.FILTER(PTS!X:X, (PTS!$C:$C=A148) * ISNUMBER(PTS!X:X)))</f>
        <v>52</v>
      </c>
      <c r="U148" s="531" cm="1">
        <f t="array" ref="U148">AVERAGE(_xlfn._xlws.FILTER(PTS!Y:Y, (PTS!$C:$C=A148) * ISNUMBER(PTS!Y:Y)))</f>
        <v>50.4</v>
      </c>
      <c r="V148" s="531" cm="1">
        <f t="array" ref="V148">AVERAGE(_xlfn._xlws.FILTER(PTS!Z:Z, (PTS!$C:$C=A148) * ISNUMBER(PTS!Z:Z)))</f>
        <v>26.25</v>
      </c>
      <c r="X148" s="531">
        <f t="shared" si="24"/>
        <v>128.65</v>
      </c>
      <c r="Y148" s="531" cm="1">
        <f t="array" ref="Y148">AVERAGE(_xlfn._xlws.FILTER(PTS!AC:AC, (PTS!$C:$C=A148) * ISNUMBER(PTS!AC:AC)))</f>
        <v>110.22727272727273</v>
      </c>
      <c r="Z148" s="531" cm="1">
        <f t="array" ref="Z148">AVERAGE(_xlfn._xlws.FILTER(PTS!AD:AD, (PTS!$C:$C=A148) * ISNUMBER(PTS!AD:AD)))</f>
        <v>107.04545454545455</v>
      </c>
      <c r="AB148" s="531">
        <f t="shared" si="25"/>
        <v>217.27272727272728</v>
      </c>
      <c r="AC148" s="10" cm="1">
        <f t="array" ref="AC148">AVERAGE(_xlfn._xlws.FILTER(PTS!AG:AG, (PTS!$C:$C=A148) * ISNUMBER(PTS!AG:AG)))</f>
        <v>28.814300000000003</v>
      </c>
      <c r="AD148" s="531" cm="1">
        <f t="array" ref="AD148">AVERAGE(_xlfn._xlws.FILTER(PTS!AH:AH, (PTS!$C:$C=A148) * ISNUMBER(PTS!AH:AH)))</f>
        <v>6.973140495867769</v>
      </c>
      <c r="AE148" s="531" cm="1">
        <f t="array" ref="AE148">AVERAGE(_xlfn._xlws.FILTER(PTS!AI:AI, (PTS!$C:$C=A148) * ISNUMBER(PTS!AI:AI)))</f>
        <v>12.587317427197677</v>
      </c>
      <c r="AF148" s="531" cm="1">
        <f t="array" ref="AF148">AVERAGE(_xlfn._xlws.FILTER(PTS!AJ:AJ, (PTS!$C:$C=A148) * ISNUMBER(PTS!AJ:AJ)))</f>
        <v>6.7351999999999999</v>
      </c>
      <c r="AH148" s="531">
        <f t="shared" si="26"/>
        <v>55.109957923065444</v>
      </c>
      <c r="AI148" s="10" cm="1">
        <f t="array" ref="AI148">AVERAGE(_xlfn._xlws.FILTER(PTS!AM:AM, (PTS!$C:$C=A148) * ISNUMBER(PTS!AM:AM)))</f>
        <v>79.999999999999986</v>
      </c>
      <c r="AJ148" s="10" cm="1">
        <f t="array" ref="AJ148">AVERAGE(_xlfn._xlws.FILTER(PTS!AN:AN, (PTS!$C:$C=A148) * ISNUMBER(PTS!AN:AN)))</f>
        <v>26.17808219178082</v>
      </c>
      <c r="AK148" s="10" cm="1">
        <f t="array" ref="AK148">AVERAGE(_xlfn._xlws.FILTER(PTS!AO:AO, (PTS!$C:$C=A148) * ISNUMBER(PTS!AO:AO)))</f>
        <v>0</v>
      </c>
      <c r="AN148" s="10">
        <f t="shared" si="27"/>
        <v>106.1780821917808</v>
      </c>
      <c r="AR148" s="531">
        <f t="shared" si="28"/>
        <v>935.40754769060391</v>
      </c>
      <c r="AS148" s="531">
        <f t="shared" si="29"/>
        <v>1110.4075476906039</v>
      </c>
    </row>
    <row r="149" spans="1:45">
      <c r="A149" s="32" t="s">
        <v>531</v>
      </c>
      <c r="B149" s="319" t="s">
        <v>108</v>
      </c>
      <c r="C149" s="319" t="str">
        <f t="shared" si="20"/>
        <v>McFarlandCA</v>
      </c>
      <c r="D149" s="10">
        <f>VLOOKUP(A:A,PTS!C:R,6,FALSE)</f>
        <v>5</v>
      </c>
      <c r="E149" s="531" cm="1">
        <f t="array" ref="E149">AVERAGE(_xlfn._xlws.FILTER(PTS!I:I, (PTS!$C:$C=A149) * ISNUMBER(PTS!I:I)))</f>
        <v>0</v>
      </c>
      <c r="F149" s="10" cm="1">
        <f t="array" ref="F149">AVERAGE(_xlfn._xlws.FILTER(PTS!J:J, (PTS!$C:$C=A149) * ISNUMBER(PTS!J:J)))</f>
        <v>190</v>
      </c>
      <c r="G149" s="531" cm="1">
        <f t="array" ref="G149">AVERAGE(_xlfn._xlws.FILTER(PTS!K:K, (PTS!$C:$C=A149) * ISNUMBER(PTS!K:K)))</f>
        <v>0</v>
      </c>
      <c r="H149" s="531" cm="1">
        <f t="array" ref="H149">AVERAGE(_xlfn._xlws.FILTER(PTS!L:L, (PTS!$C:$C=A149) * ISNUMBER(PTS!L:L)))</f>
        <v>0</v>
      </c>
      <c r="I149" s="531" cm="1">
        <f t="array" ref="I149">AVERAGE(_xlfn._xlws.FILTER(PTS!M:M, (PTS!$C:$C=A149) * ISNUMBER(PTS!M:M)))</f>
        <v>10</v>
      </c>
      <c r="J149" s="531" cm="1">
        <f t="array" ref="J149">AVERAGE(_xlfn._xlws.FILTER(PTS!N:N, (PTS!$C:$C=A149) * ISNUMBER(PTS!N:N)))</f>
        <v>96</v>
      </c>
      <c r="K149" s="531" cm="1">
        <f t="array" ref="K149">AVERAGE(_xlfn._xlws.FILTER(PTS!O:O, (PTS!$C:$C=A149) * ISNUMBER(PTS!O:O)))</f>
        <v>37.916666666666671</v>
      </c>
      <c r="L149" s="10" t="e" cm="1" vm="1">
        <f t="array" ref="L149">AVERAGE(_xlfn._xlws.FILTER(PTS!P:P, (PTS!$C:$C=A149) * ISNUMBER(PTS!P:P)))</f>
        <v>#VALUE!</v>
      </c>
      <c r="M149" s="531" t="e" vm="2">
        <f t="shared" si="21"/>
        <v>#VALUE!</v>
      </c>
      <c r="N149" s="531" t="e">
        <f t="shared" si="22"/>
        <v>#VALUE!</v>
      </c>
      <c r="O149" s="531" cm="1">
        <f t="array" ref="O149">AVERAGE(_xlfn._xlws.FILTER(PTS!S:S, (PTS!$C:$C=A149) * ISNUMBER(PTS!S:S)))</f>
        <v>0</v>
      </c>
      <c r="P149" s="531" cm="1">
        <f t="array" ref="P149">AVERAGE(_xlfn._xlws.FILTER(PTS!T:T, (PTS!$C:$C=A149) * ISNUMBER(PTS!T:T)))</f>
        <v>0</v>
      </c>
      <c r="Q149" s="531" t="e" cm="1" vm="1">
        <f t="array" ref="Q149">AVERAGE(_xlfn._xlws.FILTER(PTS!U:U, (PTS!$C:$C=A149) * ISNUMBER(PTS!U:U)))</f>
        <v>#VALUE!</v>
      </c>
      <c r="S149" s="531" t="e" vm="2">
        <f t="shared" si="23"/>
        <v>#VALUE!</v>
      </c>
      <c r="T149" s="531" t="e" cm="1" vm="1">
        <f t="array" ref="T149">AVERAGE(_xlfn._xlws.FILTER(PTS!X:X, (PTS!$C:$C=A149) * ISNUMBER(PTS!X:X)))</f>
        <v>#VALUE!</v>
      </c>
      <c r="U149" s="531" t="e" cm="1" vm="1">
        <f t="array" ref="U149">AVERAGE(_xlfn._xlws.FILTER(PTS!Y:Y, (PTS!$C:$C=A149) * ISNUMBER(PTS!Y:Y)))</f>
        <v>#VALUE!</v>
      </c>
      <c r="V149" s="531" cm="1">
        <f t="array" ref="V149">AVERAGE(_xlfn._xlws.FILTER(PTS!Z:Z, (PTS!$C:$C=A149) * ISNUMBER(PTS!Z:Z)))</f>
        <v>26.25</v>
      </c>
      <c r="X149" s="531" t="e" vm="2">
        <f t="shared" si="24"/>
        <v>#VALUE!</v>
      </c>
      <c r="Y149" s="531" t="e" cm="1" vm="1">
        <f t="array" ref="Y149">AVERAGE(_xlfn._xlws.FILTER(PTS!AC:AC, (PTS!$C:$C=A149) * ISNUMBER(PTS!AC:AC)))</f>
        <v>#VALUE!</v>
      </c>
      <c r="Z149" s="531" t="e" cm="1" vm="1">
        <f t="array" ref="Z149">AVERAGE(_xlfn._xlws.FILTER(PTS!AD:AD, (PTS!$C:$C=A149) * ISNUMBER(PTS!AD:AD)))</f>
        <v>#VALUE!</v>
      </c>
      <c r="AB149" s="531" t="e" vm="2">
        <f t="shared" si="25"/>
        <v>#VALUE!</v>
      </c>
      <c r="AC149" s="10" cm="1">
        <f t="array" ref="AC149">AVERAGE(_xlfn._xlws.FILTER(PTS!AG:AG, (PTS!$C:$C=A149) * ISNUMBER(PTS!AG:AG)))</f>
        <v>28.814300000000003</v>
      </c>
      <c r="AD149" s="531" cm="1">
        <f t="array" ref="AD149">AVERAGE(_xlfn._xlws.FILTER(PTS!AH:AH, (PTS!$C:$C=A149) * ISNUMBER(PTS!AH:AH)))</f>
        <v>6.973140495867769</v>
      </c>
      <c r="AE149" s="531" cm="1">
        <f t="array" ref="AE149">AVERAGE(_xlfn._xlws.FILTER(PTS!AI:AI, (PTS!$C:$C=A149) * ISNUMBER(PTS!AI:AI)))</f>
        <v>12.587317427197677</v>
      </c>
      <c r="AF149" s="531" cm="1">
        <f t="array" ref="AF149">AVERAGE(_xlfn._xlws.FILTER(PTS!AJ:AJ, (PTS!$C:$C=A149) * ISNUMBER(PTS!AJ:AJ)))</f>
        <v>6.7351999999999999</v>
      </c>
      <c r="AH149" s="531">
        <f t="shared" si="26"/>
        <v>55.109957923065444</v>
      </c>
      <c r="AI149" s="10" cm="1">
        <f t="array" ref="AI149">AVERAGE(_xlfn._xlws.FILTER(PTS!AM:AM, (PTS!$C:$C=A149) * ISNUMBER(PTS!AM:AM)))</f>
        <v>79.999999999999986</v>
      </c>
      <c r="AJ149" s="10" cm="1">
        <f t="array" ref="AJ149">AVERAGE(_xlfn._xlws.FILTER(PTS!AN:AN, (PTS!$C:$C=A149) * ISNUMBER(PTS!AN:AN)))</f>
        <v>26.17808219178082</v>
      </c>
      <c r="AK149" s="10" cm="1">
        <f t="array" ref="AK149">AVERAGE(_xlfn._xlws.FILTER(PTS!AO:AO, (PTS!$C:$C=A149) * ISNUMBER(PTS!AO:AO)))</f>
        <v>0</v>
      </c>
      <c r="AN149" s="10">
        <f t="shared" si="27"/>
        <v>106.1780821917808</v>
      </c>
      <c r="AR149" s="531" t="e">
        <f t="shared" si="28"/>
        <v>#VALUE!</v>
      </c>
      <c r="AS149" s="531" t="e" vm="2">
        <f t="shared" si="29"/>
        <v>#VALUE!</v>
      </c>
    </row>
    <row r="150" spans="1:45">
      <c r="A150" s="32" t="s">
        <v>533</v>
      </c>
      <c r="B150" s="319" t="s">
        <v>149</v>
      </c>
      <c r="C150" s="319" t="str">
        <f t="shared" si="20"/>
        <v>McGeheeAR</v>
      </c>
      <c r="D150" s="10">
        <f>VLOOKUP(A:A,PTS!C:R,6,FALSE)</f>
        <v>1</v>
      </c>
      <c r="E150" s="531" cm="1">
        <f t="array" ref="E150">AVERAGE(_xlfn._xlws.FILTER(PTS!I:I, (PTS!$C:$C=A150) * ISNUMBER(PTS!I:I)))</f>
        <v>54</v>
      </c>
      <c r="F150" s="10" cm="1">
        <f t="array" ref="F150">AVERAGE(_xlfn._xlws.FILTER(PTS!J:J, (PTS!$C:$C=A150) * ISNUMBER(PTS!J:J)))</f>
        <v>365</v>
      </c>
      <c r="G150" s="531" cm="1">
        <f t="array" ref="G150">AVERAGE(_xlfn._xlws.FILTER(PTS!K:K, (PTS!$C:$C=A150) * ISNUMBER(PTS!K:K)))</f>
        <v>0</v>
      </c>
      <c r="H150" s="531" cm="1">
        <f t="array" ref="H150">AVERAGE(_xlfn._xlws.FILTER(PTS!L:L, (PTS!$C:$C=A150) * ISNUMBER(PTS!L:L)))</f>
        <v>61</v>
      </c>
      <c r="I150" s="531" cm="1">
        <f t="array" ref="I150">AVERAGE(_xlfn._xlws.FILTER(PTS!M:M, (PTS!$C:$C=A150) * ISNUMBER(PTS!M:M)))</f>
        <v>10</v>
      </c>
      <c r="J150" s="531" cm="1">
        <f t="array" ref="J150">AVERAGE(_xlfn._xlws.FILTER(PTS!N:N, (PTS!$C:$C=A150) * ISNUMBER(PTS!N:N)))</f>
        <v>65</v>
      </c>
      <c r="K150" s="531" cm="1">
        <f t="array" ref="K150">AVERAGE(_xlfn._xlws.FILTER(PTS!O:O, (PTS!$C:$C=A150) * ISNUMBER(PTS!O:O)))</f>
        <v>37.916666666666671</v>
      </c>
      <c r="L150" s="10" cm="1">
        <f t="array" ref="L150">AVERAGE(_xlfn._xlws.FILTER(PTS!P:P, (PTS!$C:$C=A150) * ISNUMBER(PTS!P:P)))</f>
        <v>0</v>
      </c>
      <c r="M150" s="531">
        <f t="shared" si="21"/>
        <v>592.91666666666663</v>
      </c>
      <c r="N150" s="531">
        <f t="shared" si="22"/>
        <v>102.91666666666667</v>
      </c>
      <c r="O150" s="531" cm="1">
        <f t="array" ref="O150">AVERAGE(_xlfn._xlws.FILTER(PTS!S:S, (PTS!$C:$C=A150) * ISNUMBER(PTS!S:S)))</f>
        <v>0</v>
      </c>
      <c r="P150" s="531" cm="1">
        <f t="array" ref="P150">AVERAGE(_xlfn._xlws.FILTER(PTS!T:T, (PTS!$C:$C=A150) * ISNUMBER(PTS!T:T)))</f>
        <v>0</v>
      </c>
      <c r="Q150" s="531" cm="1">
        <f t="array" ref="Q150">AVERAGE(_xlfn._xlws.FILTER(PTS!U:U, (PTS!$C:$C=A150) * ISNUMBER(PTS!U:U)))</f>
        <v>314.77272727272725</v>
      </c>
      <c r="S150" s="531">
        <f t="shared" si="23"/>
        <v>314.77272727272725</v>
      </c>
      <c r="T150" s="531" cm="1">
        <f t="array" ref="T150">AVERAGE(_xlfn._xlws.FILTER(PTS!X:X, (PTS!$C:$C=A150) * ISNUMBER(PTS!X:X)))</f>
        <v>50</v>
      </c>
      <c r="U150" s="531" cm="1">
        <f t="array" ref="U150">AVERAGE(_xlfn._xlws.FILTER(PTS!Y:Y, (PTS!$C:$C=A150) * ISNUMBER(PTS!Y:Y)))</f>
        <v>33.6</v>
      </c>
      <c r="V150" s="531" cm="1">
        <f t="array" ref="V150">AVERAGE(_xlfn._xlws.FILTER(PTS!Z:Z, (PTS!$C:$C=A150) * ISNUMBER(PTS!Z:Z)))</f>
        <v>26.25</v>
      </c>
      <c r="X150" s="531">
        <f t="shared" si="24"/>
        <v>109.85</v>
      </c>
      <c r="Y150" s="531" cm="1">
        <f t="array" ref="Y150">AVERAGE(_xlfn._xlws.FILTER(PTS!AC:AC, (PTS!$C:$C=A150) * ISNUMBER(PTS!AC:AC)))</f>
        <v>146.02272727272725</v>
      </c>
      <c r="Z150" s="531" cm="1">
        <f t="array" ref="Z150">AVERAGE(_xlfn._xlws.FILTER(PTS!AD:AD, (PTS!$C:$C=A150) * ISNUMBER(PTS!AD:AD)))</f>
        <v>182.72727272727275</v>
      </c>
      <c r="AB150" s="531">
        <f t="shared" si="25"/>
        <v>328.75</v>
      </c>
      <c r="AC150" s="10" cm="1">
        <f t="array" ref="AC150">AVERAGE(_xlfn._xlws.FILTER(PTS!AG:AG, (PTS!$C:$C=A150) * ISNUMBER(PTS!AG:AG)))</f>
        <v>28.814300000000003</v>
      </c>
      <c r="AD150" s="531" cm="1">
        <f t="array" ref="AD150">AVERAGE(_xlfn._xlws.FILTER(PTS!AH:AH, (PTS!$C:$C=A150) * ISNUMBER(PTS!AH:AH)))</f>
        <v>6.973140495867769</v>
      </c>
      <c r="AE150" s="531" cm="1">
        <f t="array" ref="AE150">AVERAGE(_xlfn._xlws.FILTER(PTS!AI:AI, (PTS!$C:$C=A150) * ISNUMBER(PTS!AI:AI)))</f>
        <v>12.587317427197677</v>
      </c>
      <c r="AF150" s="531" cm="1">
        <f t="array" ref="AF150">AVERAGE(_xlfn._xlws.FILTER(PTS!AJ:AJ, (PTS!$C:$C=A150) * ISNUMBER(PTS!AJ:AJ)))</f>
        <v>6.7351999999999999</v>
      </c>
      <c r="AH150" s="531">
        <f t="shared" si="26"/>
        <v>55.109957923065444</v>
      </c>
      <c r="AI150" s="10" cm="1">
        <f t="array" ref="AI150">AVERAGE(_xlfn._xlws.FILTER(PTS!AM:AM, (PTS!$C:$C=A150) * ISNUMBER(PTS!AM:AM)))</f>
        <v>79.999999999999986</v>
      </c>
      <c r="AJ150" s="10" cm="1">
        <f t="array" ref="AJ150">AVERAGE(_xlfn._xlws.FILTER(PTS!AN:AN, (PTS!$C:$C=A150) * ISNUMBER(PTS!AN:AN)))</f>
        <v>26.17808219178082</v>
      </c>
      <c r="AK150" s="10" cm="1">
        <f t="array" ref="AK150">AVERAGE(_xlfn._xlws.FILTER(PTS!AO:AO, (PTS!$C:$C=A150) * ISNUMBER(PTS!AO:AO)))</f>
        <v>0</v>
      </c>
      <c r="AN150" s="10">
        <f t="shared" si="27"/>
        <v>106.1780821917808</v>
      </c>
      <c r="AR150" s="531">
        <f t="shared" si="28"/>
        <v>1017.5774340542401</v>
      </c>
      <c r="AS150" s="531">
        <f t="shared" si="29"/>
        <v>1507.57743405424</v>
      </c>
    </row>
    <row r="151" spans="1:45">
      <c r="A151" s="32" t="s">
        <v>535</v>
      </c>
      <c r="B151" s="319" t="s">
        <v>76</v>
      </c>
      <c r="C151" s="319" t="str">
        <f t="shared" si="20"/>
        <v>MeigsGA</v>
      </c>
      <c r="D151" s="10">
        <f>VLOOKUP(A:A,PTS!C:R,6,FALSE)</f>
        <v>4</v>
      </c>
      <c r="E151" s="531" cm="1">
        <f t="array" ref="E151">AVERAGE(_xlfn._xlws.FILTER(PTS!I:I, (PTS!$C:$C=A151) * ISNUMBER(PTS!I:I)))</f>
        <v>60</v>
      </c>
      <c r="F151" s="10" cm="1">
        <f t="array" ref="F151">AVERAGE(_xlfn._xlws.FILTER(PTS!J:J, (PTS!$C:$C=A151) * ISNUMBER(PTS!J:J)))</f>
        <v>100</v>
      </c>
      <c r="G151" s="531" cm="1">
        <f t="array" ref="G151">AVERAGE(_xlfn._xlws.FILTER(PTS!K:K, (PTS!$C:$C=A151) * ISNUMBER(PTS!K:K)))</f>
        <v>0</v>
      </c>
      <c r="H151" s="531" cm="1">
        <f t="array" ref="H151">AVERAGE(_xlfn._xlws.FILTER(PTS!L:L, (PTS!$C:$C=A151) * ISNUMBER(PTS!L:L)))</f>
        <v>0</v>
      </c>
      <c r="I151" s="531" cm="1">
        <f t="array" ref="I151">AVERAGE(_xlfn._xlws.FILTER(PTS!M:M, (PTS!$C:$C=A151) * ISNUMBER(PTS!M:M)))</f>
        <v>20</v>
      </c>
      <c r="J151" s="531" cm="1">
        <f t="array" ref="J151">AVERAGE(_xlfn._xlws.FILTER(PTS!N:N, (PTS!$C:$C=A151) * ISNUMBER(PTS!N:N)))</f>
        <v>60</v>
      </c>
      <c r="K151" s="531" cm="1">
        <f t="array" ref="K151">AVERAGE(_xlfn._xlws.FILTER(PTS!O:O, (PTS!$C:$C=A151) * ISNUMBER(PTS!O:O)))</f>
        <v>37.916666666666671</v>
      </c>
      <c r="L151" s="10" cm="1">
        <f t="array" ref="L151">AVERAGE(_xlfn._xlws.FILTER(PTS!P:P, (PTS!$C:$C=A151) * ISNUMBER(PTS!P:P)))</f>
        <v>0</v>
      </c>
      <c r="M151" s="531">
        <f t="shared" si="21"/>
        <v>277.91666666666669</v>
      </c>
      <c r="N151" s="531">
        <f t="shared" si="22"/>
        <v>37.916666666666671</v>
      </c>
      <c r="O151" s="531" cm="1">
        <f t="array" ref="O151">AVERAGE(_xlfn._xlws.FILTER(PTS!S:S, (PTS!$C:$C=A151) * ISNUMBER(PTS!S:S)))</f>
        <v>0</v>
      </c>
      <c r="P151" s="531" cm="1">
        <f t="array" ref="P151">AVERAGE(_xlfn._xlws.FILTER(PTS!T:T, (PTS!$C:$C=A151) * ISNUMBER(PTS!T:T)))</f>
        <v>0</v>
      </c>
      <c r="Q151" s="531" cm="1">
        <f t="array" ref="Q151">AVERAGE(_xlfn._xlws.FILTER(PTS!U:U, (PTS!$C:$C=A151) * ISNUMBER(PTS!U:U)))</f>
        <v>231.64090909090908</v>
      </c>
      <c r="S151" s="531">
        <f t="shared" si="23"/>
        <v>231.64090909090908</v>
      </c>
      <c r="T151" s="531" cm="1">
        <f t="array" ref="T151">AVERAGE(_xlfn._xlws.FILTER(PTS!X:X, (PTS!$C:$C=A151) * ISNUMBER(PTS!X:X)))</f>
        <v>52</v>
      </c>
      <c r="U151" s="531" cm="1">
        <f t="array" ref="U151">AVERAGE(_xlfn._xlws.FILTER(PTS!Y:Y, (PTS!$C:$C=A151) * ISNUMBER(PTS!Y:Y)))</f>
        <v>50.4</v>
      </c>
      <c r="V151" s="531" cm="1">
        <f t="array" ref="V151">AVERAGE(_xlfn._xlws.FILTER(PTS!Z:Z, (PTS!$C:$C=A151) * ISNUMBER(PTS!Z:Z)))</f>
        <v>26.25</v>
      </c>
      <c r="X151" s="531">
        <f t="shared" si="24"/>
        <v>128.65</v>
      </c>
      <c r="Y151" s="531" cm="1">
        <f t="array" ref="Y151">AVERAGE(_xlfn._xlws.FILTER(PTS!AC:AC, (PTS!$C:$C=A151) * ISNUMBER(PTS!AC:AC)))</f>
        <v>110.22727272727273</v>
      </c>
      <c r="Z151" s="531" cm="1">
        <f t="array" ref="Z151">AVERAGE(_xlfn._xlws.FILTER(PTS!AD:AD, (PTS!$C:$C=A151) * ISNUMBER(PTS!AD:AD)))</f>
        <v>107.04545454545455</v>
      </c>
      <c r="AB151" s="531">
        <f t="shared" si="25"/>
        <v>217.27272727272728</v>
      </c>
      <c r="AC151" s="10" cm="1">
        <f t="array" ref="AC151">AVERAGE(_xlfn._xlws.FILTER(PTS!AG:AG, (PTS!$C:$C=A151) * ISNUMBER(PTS!AG:AG)))</f>
        <v>28.814300000000003</v>
      </c>
      <c r="AD151" s="531" cm="1">
        <f t="array" ref="AD151">AVERAGE(_xlfn._xlws.FILTER(PTS!AH:AH, (PTS!$C:$C=A151) * ISNUMBER(PTS!AH:AH)))</f>
        <v>6.973140495867769</v>
      </c>
      <c r="AE151" s="531" cm="1">
        <f t="array" ref="AE151">AVERAGE(_xlfn._xlws.FILTER(PTS!AI:AI, (PTS!$C:$C=A151) * ISNUMBER(PTS!AI:AI)))</f>
        <v>12.587317427197677</v>
      </c>
      <c r="AF151" s="531" cm="1">
        <f t="array" ref="AF151">AVERAGE(_xlfn._xlws.FILTER(PTS!AJ:AJ, (PTS!$C:$C=A151) * ISNUMBER(PTS!AJ:AJ)))</f>
        <v>6.7351999999999999</v>
      </c>
      <c r="AH151" s="531">
        <f t="shared" si="26"/>
        <v>55.109957923065444</v>
      </c>
      <c r="AI151" s="10" cm="1">
        <f t="array" ref="AI151">AVERAGE(_xlfn._xlws.FILTER(PTS!AM:AM, (PTS!$C:$C=A151) * ISNUMBER(PTS!AM:AM)))</f>
        <v>79.999999999999986</v>
      </c>
      <c r="AJ151" s="10" cm="1">
        <f t="array" ref="AJ151">AVERAGE(_xlfn._xlws.FILTER(PTS!AN:AN, (PTS!$C:$C=A151) * ISNUMBER(PTS!AN:AN)))</f>
        <v>26.17808219178082</v>
      </c>
      <c r="AK151" s="10" cm="1">
        <f t="array" ref="AK151">AVERAGE(_xlfn._xlws.FILTER(PTS!AO:AO, (PTS!$C:$C=A151) * ISNUMBER(PTS!AO:AO)))</f>
        <v>0</v>
      </c>
      <c r="AN151" s="10">
        <f t="shared" si="27"/>
        <v>106.1780821917808</v>
      </c>
      <c r="AR151" s="531">
        <f t="shared" si="28"/>
        <v>776.76834314514929</v>
      </c>
      <c r="AS151" s="531">
        <f t="shared" si="29"/>
        <v>1016.7683431451493</v>
      </c>
    </row>
    <row r="152" spans="1:45">
      <c r="A152" s="32" t="s">
        <v>537</v>
      </c>
      <c r="B152" s="319" t="s">
        <v>168</v>
      </c>
      <c r="C152" s="319" t="str">
        <f t="shared" si="20"/>
        <v>MemphisTN</v>
      </c>
      <c r="D152" s="10">
        <f>VLOOKUP(A:A,PTS!C:R,6,FALSE)</f>
        <v>1</v>
      </c>
      <c r="E152" s="531" cm="1">
        <f t="array" ref="E152">AVERAGE(_xlfn._xlws.FILTER(PTS!I:I, (PTS!$C:$C=A152) * ISNUMBER(PTS!I:I)))</f>
        <v>54.75</v>
      </c>
      <c r="F152" s="10" cm="1">
        <f t="array" ref="F152">AVERAGE(_xlfn._xlws.FILTER(PTS!J:J, (PTS!$C:$C=A152) * ISNUMBER(PTS!J:J)))</f>
        <v>262.41666666666669</v>
      </c>
      <c r="G152" s="531" cm="1">
        <f t="array" ref="G152">AVERAGE(_xlfn._xlws.FILTER(PTS!K:K, (PTS!$C:$C=A152) * ISNUMBER(PTS!K:K)))</f>
        <v>53.333333333333336</v>
      </c>
      <c r="H152" s="531" cm="1">
        <f t="array" ref="H152">AVERAGE(_xlfn._xlws.FILTER(PTS!L:L, (PTS!$C:$C=A152) * ISNUMBER(PTS!L:L)))</f>
        <v>50.5</v>
      </c>
      <c r="I152" s="531" cm="1">
        <f t="array" ref="I152">AVERAGE(_xlfn._xlws.FILTER(PTS!M:M, (PTS!$C:$C=A152) * ISNUMBER(PTS!M:M)))</f>
        <v>8.5</v>
      </c>
      <c r="J152" s="531" cm="1">
        <f t="array" ref="J152">AVERAGE(_xlfn._xlws.FILTER(PTS!N:N, (PTS!$C:$C=A152) * ISNUMBER(PTS!N:N)))</f>
        <v>76.583333333333329</v>
      </c>
      <c r="K152" s="531" cm="1">
        <f t="array" ref="K152">AVERAGE(_xlfn._xlws.FILTER(PTS!O:O, (PTS!$C:$C=A152) * ISNUMBER(PTS!O:O)))</f>
        <v>37.916666666666679</v>
      </c>
      <c r="L152" s="10" cm="1">
        <f t="array" ref="L152">AVERAGE(_xlfn._xlws.FILTER(PTS!P:P, (PTS!$C:$C=A152) * ISNUMBER(PTS!P:P)))</f>
        <v>0</v>
      </c>
      <c r="M152" s="531">
        <f t="shared" si="21"/>
        <v>544</v>
      </c>
      <c r="N152" s="531">
        <f t="shared" si="22"/>
        <v>114.5</v>
      </c>
      <c r="O152" s="531" cm="1">
        <f t="array" ref="O152">AVERAGE(_xlfn._xlws.FILTER(PTS!S:S, (PTS!$C:$C=A152) * ISNUMBER(PTS!S:S)))</f>
        <v>0</v>
      </c>
      <c r="P152" s="531" cm="1">
        <f t="array" ref="P152">AVERAGE(_xlfn._xlws.FILTER(PTS!T:T, (PTS!$C:$C=A152) * ISNUMBER(PTS!T:T)))</f>
        <v>0</v>
      </c>
      <c r="Q152" s="531" cm="1">
        <f t="array" ref="Q152">AVERAGE(_xlfn._xlws.FILTER(PTS!U:U, (PTS!$C:$C=A152) * ISNUMBER(PTS!U:U)))</f>
        <v>121.13636363636358</v>
      </c>
      <c r="S152" s="531">
        <f t="shared" si="23"/>
        <v>121.13636363636358</v>
      </c>
      <c r="T152" s="531" cm="1">
        <f t="array" ref="T152">AVERAGE(_xlfn._xlws.FILTER(PTS!X:X, (PTS!$C:$C=A152) * ISNUMBER(PTS!X:X)))</f>
        <v>50</v>
      </c>
      <c r="U152" s="531" cm="1">
        <f t="array" ref="U152">AVERAGE(_xlfn._xlws.FILTER(PTS!Y:Y, (PTS!$C:$C=A152) * ISNUMBER(PTS!Y:Y)))</f>
        <v>33.600000000000009</v>
      </c>
      <c r="V152" s="531" cm="1">
        <f t="array" ref="V152">AVERAGE(_xlfn._xlws.FILTER(PTS!Z:Z, (PTS!$C:$C=A152) * ISNUMBER(PTS!Z:Z)))</f>
        <v>26.25</v>
      </c>
      <c r="X152" s="531">
        <f t="shared" si="24"/>
        <v>109.85000000000001</v>
      </c>
      <c r="Y152" s="531" cm="1">
        <f t="array" ref="Y152">AVERAGE(_xlfn._xlws.FILTER(PTS!AC:AC, (PTS!$C:$C=A152) * ISNUMBER(PTS!AC:AC)))</f>
        <v>146.02272727272725</v>
      </c>
      <c r="Z152" s="531" cm="1">
        <f t="array" ref="Z152">AVERAGE(_xlfn._xlws.FILTER(PTS!AD:AD, (PTS!$C:$C=A152) * ISNUMBER(PTS!AD:AD)))</f>
        <v>182.72727272727275</v>
      </c>
      <c r="AB152" s="531">
        <f t="shared" si="25"/>
        <v>328.75</v>
      </c>
      <c r="AC152" s="10" cm="1">
        <f t="array" ref="AC152">AVERAGE(_xlfn._xlws.FILTER(PTS!AG:AG, (PTS!$C:$C=A152) * ISNUMBER(PTS!AG:AG)))</f>
        <v>28.814300000000003</v>
      </c>
      <c r="AD152" s="531" cm="1">
        <f t="array" ref="AD152">AVERAGE(_xlfn._xlws.FILTER(PTS!AH:AH, (PTS!$C:$C=A152) * ISNUMBER(PTS!AH:AH)))</f>
        <v>6.9731404958677681</v>
      </c>
      <c r="AE152" s="531" cm="1">
        <f t="array" ref="AE152">AVERAGE(_xlfn._xlws.FILTER(PTS!AI:AI, (PTS!$C:$C=A152) * ISNUMBER(PTS!AI:AI)))</f>
        <v>12.587317427197677</v>
      </c>
      <c r="AF152" s="531" cm="1">
        <f t="array" ref="AF152">AVERAGE(_xlfn._xlws.FILTER(PTS!AJ:AJ, (PTS!$C:$C=A152) * ISNUMBER(PTS!AJ:AJ)))</f>
        <v>6.7352000000000016</v>
      </c>
      <c r="AH152" s="531">
        <f t="shared" si="26"/>
        <v>55.109957923065444</v>
      </c>
      <c r="AI152" s="10" cm="1">
        <f t="array" ref="AI152">AVERAGE(_xlfn._xlws.FILTER(PTS!AM:AM, (PTS!$C:$C=A152) * ISNUMBER(PTS!AM:AM)))</f>
        <v>79.999999999999986</v>
      </c>
      <c r="AJ152" s="10" cm="1">
        <f t="array" ref="AJ152">AVERAGE(_xlfn._xlws.FILTER(PTS!AN:AN, (PTS!$C:$C=A152) * ISNUMBER(PTS!AN:AN)))</f>
        <v>26.178082191780828</v>
      </c>
      <c r="AK152" s="10" cm="1">
        <f t="array" ref="AK152">AVERAGE(_xlfn._xlws.FILTER(PTS!AO:AO, (PTS!$C:$C=A152) * ISNUMBER(PTS!AO:AO)))</f>
        <v>0</v>
      </c>
      <c r="AN152" s="10">
        <f t="shared" si="27"/>
        <v>106.17808219178082</v>
      </c>
      <c r="AR152" s="531">
        <f t="shared" si="28"/>
        <v>835.52440375120989</v>
      </c>
      <c r="AS152" s="531">
        <f t="shared" si="29"/>
        <v>1265.0244037512098</v>
      </c>
    </row>
    <row r="153" spans="1:45">
      <c r="A153" s="32" t="s">
        <v>560</v>
      </c>
      <c r="B153" s="319" t="s">
        <v>76</v>
      </c>
      <c r="C153" s="319" t="str">
        <f t="shared" si="20"/>
        <v>MetterGA</v>
      </c>
      <c r="D153" s="10">
        <f>VLOOKUP(A:A,PTS!C:R,6,FALSE)</f>
        <v>4</v>
      </c>
      <c r="E153" s="531" cm="1">
        <f t="array" ref="E153">AVERAGE(_xlfn._xlws.FILTER(PTS!I:I, (PTS!$C:$C=A153) * ISNUMBER(PTS!I:I)))</f>
        <v>65</v>
      </c>
      <c r="F153" s="10" cm="1">
        <f t="array" ref="F153">AVERAGE(_xlfn._xlws.FILTER(PTS!J:J, (PTS!$C:$C=A153) * ISNUMBER(PTS!J:J)))</f>
        <v>95</v>
      </c>
      <c r="G153" s="531" cm="1">
        <f t="array" ref="G153">AVERAGE(_xlfn._xlws.FILTER(PTS!K:K, (PTS!$C:$C=A153) * ISNUMBER(PTS!K:K)))</f>
        <v>0</v>
      </c>
      <c r="H153" s="531" cm="1">
        <f t="array" ref="H153">AVERAGE(_xlfn._xlws.FILTER(PTS!L:L, (PTS!$C:$C=A153) * ISNUMBER(PTS!L:L)))</f>
        <v>0</v>
      </c>
      <c r="I153" s="531" cm="1">
        <f t="array" ref="I153">AVERAGE(_xlfn._xlws.FILTER(PTS!M:M, (PTS!$C:$C=A153) * ISNUMBER(PTS!M:M)))</f>
        <v>20</v>
      </c>
      <c r="J153" s="531" cm="1">
        <f t="array" ref="J153">AVERAGE(_xlfn._xlws.FILTER(PTS!N:N, (PTS!$C:$C=A153) * ISNUMBER(PTS!N:N)))</f>
        <v>56.5</v>
      </c>
      <c r="K153" s="531" cm="1">
        <f t="array" ref="K153">AVERAGE(_xlfn._xlws.FILTER(PTS!O:O, (PTS!$C:$C=A153) * ISNUMBER(PTS!O:O)))</f>
        <v>37.916666666666671</v>
      </c>
      <c r="L153" s="10" cm="1">
        <f t="array" ref="L153">AVERAGE(_xlfn._xlws.FILTER(PTS!P:P, (PTS!$C:$C=A153) * ISNUMBER(PTS!P:P)))</f>
        <v>0</v>
      </c>
      <c r="M153" s="531">
        <f t="shared" si="21"/>
        <v>274.41666666666669</v>
      </c>
      <c r="N153" s="531">
        <f t="shared" si="22"/>
        <v>37.916666666666671</v>
      </c>
      <c r="O153" s="531" cm="1">
        <f t="array" ref="O153">AVERAGE(_xlfn._xlws.FILTER(PTS!S:S, (PTS!$C:$C=A153) * ISNUMBER(PTS!S:S)))</f>
        <v>0</v>
      </c>
      <c r="P153" s="531" cm="1">
        <f t="array" ref="P153">AVERAGE(_xlfn._xlws.FILTER(PTS!T:T, (PTS!$C:$C=A153) * ISNUMBER(PTS!T:T)))</f>
        <v>0</v>
      </c>
      <c r="Q153" s="531" cm="1">
        <f t="array" ref="Q153">AVERAGE(_xlfn._xlws.FILTER(PTS!U:U, (PTS!$C:$C=A153) * ISNUMBER(PTS!U:U)))</f>
        <v>156.74772727272727</v>
      </c>
      <c r="S153" s="531">
        <f t="shared" si="23"/>
        <v>156.74772727272727</v>
      </c>
      <c r="T153" s="531" cm="1">
        <f t="array" ref="T153">AVERAGE(_xlfn._xlws.FILTER(PTS!X:X, (PTS!$C:$C=A153) * ISNUMBER(PTS!X:X)))</f>
        <v>52</v>
      </c>
      <c r="U153" s="531" cm="1">
        <f t="array" ref="U153">AVERAGE(_xlfn._xlws.FILTER(PTS!Y:Y, (PTS!$C:$C=A153) * ISNUMBER(PTS!Y:Y)))</f>
        <v>50.4</v>
      </c>
      <c r="V153" s="531" cm="1">
        <f t="array" ref="V153">AVERAGE(_xlfn._xlws.FILTER(PTS!Z:Z, (PTS!$C:$C=A153) * ISNUMBER(PTS!Z:Z)))</f>
        <v>26.25</v>
      </c>
      <c r="X153" s="531">
        <f t="shared" si="24"/>
        <v>128.65</v>
      </c>
      <c r="Y153" s="531" cm="1">
        <f t="array" ref="Y153">AVERAGE(_xlfn._xlws.FILTER(PTS!AC:AC, (PTS!$C:$C=A153) * ISNUMBER(PTS!AC:AC)))</f>
        <v>110.22727272727273</v>
      </c>
      <c r="Z153" s="531" cm="1">
        <f t="array" ref="Z153">AVERAGE(_xlfn._xlws.FILTER(PTS!AD:AD, (PTS!$C:$C=A153) * ISNUMBER(PTS!AD:AD)))</f>
        <v>107.04545454545455</v>
      </c>
      <c r="AB153" s="531">
        <f t="shared" si="25"/>
        <v>217.27272727272728</v>
      </c>
      <c r="AC153" s="10" cm="1">
        <f t="array" ref="AC153">AVERAGE(_xlfn._xlws.FILTER(PTS!AG:AG, (PTS!$C:$C=A153) * ISNUMBER(PTS!AG:AG)))</f>
        <v>28.814300000000003</v>
      </c>
      <c r="AD153" s="531" cm="1">
        <f t="array" ref="AD153">AVERAGE(_xlfn._xlws.FILTER(PTS!AH:AH, (PTS!$C:$C=A153) * ISNUMBER(PTS!AH:AH)))</f>
        <v>6.973140495867769</v>
      </c>
      <c r="AE153" s="531" cm="1">
        <f t="array" ref="AE153">AVERAGE(_xlfn._xlws.FILTER(PTS!AI:AI, (PTS!$C:$C=A153) * ISNUMBER(PTS!AI:AI)))</f>
        <v>12.587317427197677</v>
      </c>
      <c r="AF153" s="531" cm="1">
        <f t="array" ref="AF153">AVERAGE(_xlfn._xlws.FILTER(PTS!AJ:AJ, (PTS!$C:$C=A153) * ISNUMBER(PTS!AJ:AJ)))</f>
        <v>6.7351999999999999</v>
      </c>
      <c r="AH153" s="531">
        <f t="shared" si="26"/>
        <v>55.109957923065444</v>
      </c>
      <c r="AI153" s="10" cm="1">
        <f t="array" ref="AI153">AVERAGE(_xlfn._xlws.FILTER(PTS!AM:AM, (PTS!$C:$C=A153) * ISNUMBER(PTS!AM:AM)))</f>
        <v>79.999999999999986</v>
      </c>
      <c r="AJ153" s="10" cm="1">
        <f t="array" ref="AJ153">AVERAGE(_xlfn._xlws.FILTER(PTS!AN:AN, (PTS!$C:$C=A153) * ISNUMBER(PTS!AN:AN)))</f>
        <v>26.17808219178082</v>
      </c>
      <c r="AK153" s="10" cm="1">
        <f t="array" ref="AK153">AVERAGE(_xlfn._xlws.FILTER(PTS!AO:AO, (PTS!$C:$C=A153) * ISNUMBER(PTS!AO:AO)))</f>
        <v>0</v>
      </c>
      <c r="AN153" s="10">
        <f t="shared" si="27"/>
        <v>106.1780821917808</v>
      </c>
      <c r="AR153" s="531">
        <f t="shared" si="28"/>
        <v>701.87516132696749</v>
      </c>
      <c r="AS153" s="531">
        <f t="shared" si="29"/>
        <v>938.37516132696749</v>
      </c>
    </row>
    <row r="154" spans="1:45">
      <c r="A154" s="32" t="s">
        <v>564</v>
      </c>
      <c r="B154" s="319" t="s">
        <v>76</v>
      </c>
      <c r="C154" s="319" t="str">
        <f t="shared" si="20"/>
        <v>MidvilleGA</v>
      </c>
      <c r="D154" s="10">
        <f>VLOOKUP(A:A,PTS!C:R,6,FALSE)</f>
        <v>4</v>
      </c>
      <c r="E154" s="531" cm="1">
        <f t="array" ref="E154">AVERAGE(_xlfn._xlws.FILTER(PTS!I:I, (PTS!$C:$C=A154) * ISNUMBER(PTS!I:I)))</f>
        <v>55</v>
      </c>
      <c r="F154" s="10" cm="1">
        <f t="array" ref="F154">AVERAGE(_xlfn._xlws.FILTER(PTS!J:J, (PTS!$C:$C=A154) * ISNUMBER(PTS!J:J)))</f>
        <v>105</v>
      </c>
      <c r="G154" s="531" cm="1">
        <f t="array" ref="G154">AVERAGE(_xlfn._xlws.FILTER(PTS!K:K, (PTS!$C:$C=A154) * ISNUMBER(PTS!K:K)))</f>
        <v>0</v>
      </c>
      <c r="H154" s="531" cm="1">
        <f t="array" ref="H154">AVERAGE(_xlfn._xlws.FILTER(PTS!L:L, (PTS!$C:$C=A154) * ISNUMBER(PTS!L:L)))</f>
        <v>0</v>
      </c>
      <c r="I154" s="531" cm="1">
        <f t="array" ref="I154">AVERAGE(_xlfn._xlws.FILTER(PTS!M:M, (PTS!$C:$C=A154) * ISNUMBER(PTS!M:M)))</f>
        <v>0</v>
      </c>
      <c r="J154" s="531" cm="1">
        <f t="array" ref="J154">AVERAGE(_xlfn._xlws.FILTER(PTS!N:N, (PTS!$C:$C=A154) * ISNUMBER(PTS!N:N)))</f>
        <v>50</v>
      </c>
      <c r="K154" s="531" cm="1">
        <f t="array" ref="K154">AVERAGE(_xlfn._xlws.FILTER(PTS!O:O, (PTS!$C:$C=A154) * ISNUMBER(PTS!O:O)))</f>
        <v>37.916666666666671</v>
      </c>
      <c r="L154" s="10" cm="1">
        <f t="array" ref="L154">AVERAGE(_xlfn._xlws.FILTER(PTS!P:P, (PTS!$C:$C=A154) * ISNUMBER(PTS!P:P)))</f>
        <v>0</v>
      </c>
      <c r="M154" s="531">
        <f t="shared" si="21"/>
        <v>247.91666666666669</v>
      </c>
      <c r="N154" s="531">
        <f t="shared" si="22"/>
        <v>37.916666666666671</v>
      </c>
      <c r="O154" s="531" cm="1">
        <f t="array" ref="O154">AVERAGE(_xlfn._xlws.FILTER(PTS!S:S, (PTS!$C:$C=A154) * ISNUMBER(PTS!S:S)))</f>
        <v>0</v>
      </c>
      <c r="P154" s="531" cm="1">
        <f t="array" ref="P154">AVERAGE(_xlfn._xlws.FILTER(PTS!T:T, (PTS!$C:$C=A154) * ISNUMBER(PTS!T:T)))</f>
        <v>0</v>
      </c>
      <c r="Q154" s="531" cm="1">
        <f t="array" ref="Q154">AVERAGE(_xlfn._xlws.FILTER(PTS!U:U, (PTS!$C:$C=A154) * ISNUMBER(PTS!U:U)))</f>
        <v>163.56590909090912</v>
      </c>
      <c r="S154" s="531">
        <f t="shared" si="23"/>
        <v>163.56590909090912</v>
      </c>
      <c r="T154" s="531" cm="1">
        <f t="array" ref="T154">AVERAGE(_xlfn._xlws.FILTER(PTS!X:X, (PTS!$C:$C=A154) * ISNUMBER(PTS!X:X)))</f>
        <v>52</v>
      </c>
      <c r="U154" s="531" cm="1">
        <f t="array" ref="U154">AVERAGE(_xlfn._xlws.FILTER(PTS!Y:Y, (PTS!$C:$C=A154) * ISNUMBER(PTS!Y:Y)))</f>
        <v>50.4</v>
      </c>
      <c r="V154" s="531" cm="1">
        <f t="array" ref="V154">AVERAGE(_xlfn._xlws.FILTER(PTS!Z:Z, (PTS!$C:$C=A154) * ISNUMBER(PTS!Z:Z)))</f>
        <v>26.25</v>
      </c>
      <c r="X154" s="531">
        <f t="shared" si="24"/>
        <v>128.65</v>
      </c>
      <c r="Y154" s="531" cm="1">
        <f t="array" ref="Y154">AVERAGE(_xlfn._xlws.FILTER(PTS!AC:AC, (PTS!$C:$C=A154) * ISNUMBER(PTS!AC:AC)))</f>
        <v>110.22727272727273</v>
      </c>
      <c r="Z154" s="531" cm="1">
        <f t="array" ref="Z154">AVERAGE(_xlfn._xlws.FILTER(PTS!AD:AD, (PTS!$C:$C=A154) * ISNUMBER(PTS!AD:AD)))</f>
        <v>107.04545454545455</v>
      </c>
      <c r="AB154" s="531">
        <f t="shared" si="25"/>
        <v>217.27272727272728</v>
      </c>
      <c r="AC154" s="10" cm="1">
        <f t="array" ref="AC154">AVERAGE(_xlfn._xlws.FILTER(PTS!AG:AG, (PTS!$C:$C=A154) * ISNUMBER(PTS!AG:AG)))</f>
        <v>28.814300000000003</v>
      </c>
      <c r="AD154" s="531" cm="1">
        <f t="array" ref="AD154">AVERAGE(_xlfn._xlws.FILTER(PTS!AH:AH, (PTS!$C:$C=A154) * ISNUMBER(PTS!AH:AH)))</f>
        <v>6.973140495867769</v>
      </c>
      <c r="AE154" s="531" cm="1">
        <f t="array" ref="AE154">AVERAGE(_xlfn._xlws.FILTER(PTS!AI:AI, (PTS!$C:$C=A154) * ISNUMBER(PTS!AI:AI)))</f>
        <v>12.587317427197677</v>
      </c>
      <c r="AF154" s="531" cm="1">
        <f t="array" ref="AF154">AVERAGE(_xlfn._xlws.FILTER(PTS!AJ:AJ, (PTS!$C:$C=A154) * ISNUMBER(PTS!AJ:AJ)))</f>
        <v>6.7351999999999999</v>
      </c>
      <c r="AH154" s="531">
        <f t="shared" si="26"/>
        <v>55.109957923065444</v>
      </c>
      <c r="AI154" s="10" cm="1">
        <f t="array" ref="AI154">AVERAGE(_xlfn._xlws.FILTER(PTS!AM:AM, (PTS!$C:$C=A154) * ISNUMBER(PTS!AM:AM)))</f>
        <v>79.999999999999986</v>
      </c>
      <c r="AJ154" s="10" cm="1">
        <f t="array" ref="AJ154">AVERAGE(_xlfn._xlws.FILTER(PTS!AN:AN, (PTS!$C:$C=A154) * ISNUMBER(PTS!AN:AN)))</f>
        <v>26.17808219178082</v>
      </c>
      <c r="AK154" s="10" cm="1">
        <f t="array" ref="AK154">AVERAGE(_xlfn._xlws.FILTER(PTS!AO:AO, (PTS!$C:$C=A154) * ISNUMBER(PTS!AO:AO)))</f>
        <v>0</v>
      </c>
      <c r="AN154" s="10">
        <f t="shared" si="27"/>
        <v>106.1780821917808</v>
      </c>
      <c r="AR154" s="531">
        <f t="shared" si="28"/>
        <v>708.69334314514924</v>
      </c>
      <c r="AS154" s="531">
        <f t="shared" si="29"/>
        <v>918.69334314514924</v>
      </c>
    </row>
    <row r="155" spans="1:45">
      <c r="A155" s="32" t="s">
        <v>568</v>
      </c>
      <c r="B155" s="319" t="s">
        <v>168</v>
      </c>
      <c r="C155" s="319" t="str">
        <f t="shared" si="20"/>
        <v>MilanTN</v>
      </c>
      <c r="D155" s="10">
        <f>VLOOKUP(A:A,PTS!C:R,6,FALSE)</f>
        <v>1</v>
      </c>
      <c r="E155" s="531" cm="1">
        <f t="array" ref="E155">AVERAGE(_xlfn._xlws.FILTER(PTS!I:I, (PTS!$C:$C=A155) * ISNUMBER(PTS!I:I)))</f>
        <v>0</v>
      </c>
      <c r="F155" s="10" cm="1">
        <f t="array" ref="F155">AVERAGE(_xlfn._xlws.FILTER(PTS!J:J, (PTS!$C:$C=A155) * ISNUMBER(PTS!J:J)))</f>
        <v>289</v>
      </c>
      <c r="G155" s="531" cm="1">
        <f t="array" ref="G155">AVERAGE(_xlfn._xlws.FILTER(PTS!K:K, (PTS!$C:$C=A155) * ISNUMBER(PTS!K:K)))</f>
        <v>0</v>
      </c>
      <c r="H155" s="531" cm="1">
        <f t="array" ref="H155">AVERAGE(_xlfn._xlws.FILTER(PTS!L:L, (PTS!$C:$C=A155) * ISNUMBER(PTS!L:L)))</f>
        <v>61</v>
      </c>
      <c r="I155" s="531" cm="1">
        <f t="array" ref="I155">AVERAGE(_xlfn._xlws.FILTER(PTS!M:M, (PTS!$C:$C=A155) * ISNUMBER(PTS!M:M)))</f>
        <v>0</v>
      </c>
      <c r="J155" s="531" cm="1">
        <f t="array" ref="J155">AVERAGE(_xlfn._xlws.FILTER(PTS!N:N, (PTS!$C:$C=A155) * ISNUMBER(PTS!N:N)))</f>
        <v>80</v>
      </c>
      <c r="K155" s="531" cm="1">
        <f t="array" ref="K155">AVERAGE(_xlfn._xlws.FILTER(PTS!O:O, (PTS!$C:$C=A155) * ISNUMBER(PTS!O:O)))</f>
        <v>37.916666666666671</v>
      </c>
      <c r="L155" s="10" cm="1">
        <f t="array" ref="L155">AVERAGE(_xlfn._xlws.FILTER(PTS!P:P, (PTS!$C:$C=A155) * ISNUMBER(PTS!P:P)))</f>
        <v>0</v>
      </c>
      <c r="M155" s="531">
        <f t="shared" si="21"/>
        <v>467.91666666666669</v>
      </c>
      <c r="N155" s="531">
        <f t="shared" si="22"/>
        <v>117.91666666666667</v>
      </c>
      <c r="O155" s="531" cm="1">
        <f t="array" ref="O155">AVERAGE(_xlfn._xlws.FILTER(PTS!S:S, (PTS!$C:$C=A155) * ISNUMBER(PTS!S:S)))</f>
        <v>0</v>
      </c>
      <c r="P155" s="531" cm="1">
        <f t="array" ref="P155">AVERAGE(_xlfn._xlws.FILTER(PTS!T:T, (PTS!$C:$C=A155) * ISNUMBER(PTS!T:T)))</f>
        <v>0</v>
      </c>
      <c r="Q155" s="531" cm="1">
        <f t="array" ref="Q155">AVERAGE(_xlfn._xlws.FILTER(PTS!U:U, (PTS!$C:$C=A155) * ISNUMBER(PTS!U:U)))</f>
        <v>200.56818181818184</v>
      </c>
      <c r="S155" s="531">
        <f t="shared" si="23"/>
        <v>200.56818181818184</v>
      </c>
      <c r="T155" s="531" cm="1">
        <f t="array" ref="T155">AVERAGE(_xlfn._xlws.FILTER(PTS!X:X, (PTS!$C:$C=A155) * ISNUMBER(PTS!X:X)))</f>
        <v>50</v>
      </c>
      <c r="U155" s="531" cm="1">
        <f t="array" ref="U155">AVERAGE(_xlfn._xlws.FILTER(PTS!Y:Y, (PTS!$C:$C=A155) * ISNUMBER(PTS!Y:Y)))</f>
        <v>33.6</v>
      </c>
      <c r="V155" s="531" cm="1">
        <f t="array" ref="V155">AVERAGE(_xlfn._xlws.FILTER(PTS!Z:Z, (PTS!$C:$C=A155) * ISNUMBER(PTS!Z:Z)))</f>
        <v>26.25</v>
      </c>
      <c r="X155" s="531">
        <f t="shared" si="24"/>
        <v>109.85</v>
      </c>
      <c r="Y155" s="531" cm="1">
        <f t="array" ref="Y155">AVERAGE(_xlfn._xlws.FILTER(PTS!AC:AC, (PTS!$C:$C=A155) * ISNUMBER(PTS!AC:AC)))</f>
        <v>146.02272727272725</v>
      </c>
      <c r="Z155" s="531" cm="1">
        <f t="array" ref="Z155">AVERAGE(_xlfn._xlws.FILTER(PTS!AD:AD, (PTS!$C:$C=A155) * ISNUMBER(PTS!AD:AD)))</f>
        <v>182.72727272727275</v>
      </c>
      <c r="AB155" s="531">
        <f t="shared" si="25"/>
        <v>328.75</v>
      </c>
      <c r="AC155" s="10" cm="1">
        <f t="array" ref="AC155">AVERAGE(_xlfn._xlws.FILTER(PTS!AG:AG, (PTS!$C:$C=A155) * ISNUMBER(PTS!AG:AG)))</f>
        <v>28.814300000000003</v>
      </c>
      <c r="AD155" s="531" cm="1">
        <f t="array" ref="AD155">AVERAGE(_xlfn._xlws.FILTER(PTS!AH:AH, (PTS!$C:$C=A155) * ISNUMBER(PTS!AH:AH)))</f>
        <v>6.973140495867769</v>
      </c>
      <c r="AE155" s="531" cm="1">
        <f t="array" ref="AE155">AVERAGE(_xlfn._xlws.FILTER(PTS!AI:AI, (PTS!$C:$C=A155) * ISNUMBER(PTS!AI:AI)))</f>
        <v>12.587317427197677</v>
      </c>
      <c r="AF155" s="531" cm="1">
        <f t="array" ref="AF155">AVERAGE(_xlfn._xlws.FILTER(PTS!AJ:AJ, (PTS!$C:$C=A155) * ISNUMBER(PTS!AJ:AJ)))</f>
        <v>6.7351999999999999</v>
      </c>
      <c r="AH155" s="531">
        <f t="shared" si="26"/>
        <v>55.109957923065444</v>
      </c>
      <c r="AI155" s="10" cm="1">
        <f t="array" ref="AI155">AVERAGE(_xlfn._xlws.FILTER(PTS!AM:AM, (PTS!$C:$C=A155) * ISNUMBER(PTS!AM:AM)))</f>
        <v>79.999999999999986</v>
      </c>
      <c r="AJ155" s="10" cm="1">
        <f t="array" ref="AJ155">AVERAGE(_xlfn._xlws.FILTER(PTS!AN:AN, (PTS!$C:$C=A155) * ISNUMBER(PTS!AN:AN)))</f>
        <v>26.17808219178082</v>
      </c>
      <c r="AK155" s="10" cm="1">
        <f t="array" ref="AK155">AVERAGE(_xlfn._xlws.FILTER(PTS!AO:AO, (PTS!$C:$C=A155) * ISNUMBER(PTS!AO:AO)))</f>
        <v>0</v>
      </c>
      <c r="AN155" s="10">
        <f t="shared" si="27"/>
        <v>106.1780821917808</v>
      </c>
      <c r="AR155" s="531">
        <f t="shared" si="28"/>
        <v>918.37288859969476</v>
      </c>
      <c r="AS155" s="531">
        <f t="shared" si="29"/>
        <v>1268.3728885996945</v>
      </c>
    </row>
    <row r="156" spans="1:45">
      <c r="A156" s="32" t="s">
        <v>570</v>
      </c>
      <c r="B156" s="319" t="s">
        <v>76</v>
      </c>
      <c r="C156" s="319" t="str">
        <f t="shared" si="20"/>
        <v>MillenGA</v>
      </c>
      <c r="D156" s="10">
        <f>VLOOKUP(A:A,PTS!C:R,6,FALSE)</f>
        <v>4</v>
      </c>
      <c r="E156" s="531" cm="1">
        <f t="array" ref="E156">AVERAGE(_xlfn._xlws.FILTER(PTS!I:I, (PTS!$C:$C=A156) * ISNUMBER(PTS!I:I)))</f>
        <v>70</v>
      </c>
      <c r="F156" s="10" cm="1">
        <f t="array" ref="F156">AVERAGE(_xlfn._xlws.FILTER(PTS!J:J, (PTS!$C:$C=A156) * ISNUMBER(PTS!J:J)))</f>
        <v>100</v>
      </c>
      <c r="G156" s="531" cm="1">
        <f t="array" ref="G156">AVERAGE(_xlfn._xlws.FILTER(PTS!K:K, (PTS!$C:$C=A156) * ISNUMBER(PTS!K:K)))</f>
        <v>0</v>
      </c>
      <c r="H156" s="531" cm="1">
        <f t="array" ref="H156">AVERAGE(_xlfn._xlws.FILTER(PTS!L:L, (PTS!$C:$C=A156) * ISNUMBER(PTS!L:L)))</f>
        <v>0</v>
      </c>
      <c r="I156" s="531" cm="1">
        <f t="array" ref="I156">AVERAGE(_xlfn._xlws.FILTER(PTS!M:M, (PTS!$C:$C=A156) * ISNUMBER(PTS!M:M)))</f>
        <v>22</v>
      </c>
      <c r="J156" s="531" cm="1">
        <f t="array" ref="J156">AVERAGE(_xlfn._xlws.FILTER(PTS!N:N, (PTS!$C:$C=A156) * ISNUMBER(PTS!N:N)))</f>
        <v>77</v>
      </c>
      <c r="K156" s="531" cm="1">
        <f t="array" ref="K156">AVERAGE(_xlfn._xlws.FILTER(PTS!O:O, (PTS!$C:$C=A156) * ISNUMBER(PTS!O:O)))</f>
        <v>37.916666666666671</v>
      </c>
      <c r="L156" s="10" cm="1">
        <f t="array" ref="L156">AVERAGE(_xlfn._xlws.FILTER(PTS!P:P, (PTS!$C:$C=A156) * ISNUMBER(PTS!P:P)))</f>
        <v>0</v>
      </c>
      <c r="M156" s="531">
        <f t="shared" si="21"/>
        <v>306.91666666666669</v>
      </c>
      <c r="N156" s="531">
        <f t="shared" si="22"/>
        <v>37.916666666666671</v>
      </c>
      <c r="O156" s="531" cm="1">
        <f t="array" ref="O156">AVERAGE(_xlfn._xlws.FILTER(PTS!S:S, (PTS!$C:$C=A156) * ISNUMBER(PTS!S:S)))</f>
        <v>0</v>
      </c>
      <c r="P156" s="531" cm="1">
        <f t="array" ref="P156">AVERAGE(_xlfn._xlws.FILTER(PTS!T:T, (PTS!$C:$C=A156) * ISNUMBER(PTS!T:T)))</f>
        <v>0</v>
      </c>
      <c r="Q156" s="531" cm="1">
        <f t="array" ref="Q156">AVERAGE(_xlfn._xlws.FILTER(PTS!U:U, (PTS!$C:$C=A156) * ISNUMBER(PTS!U:U)))</f>
        <v>139.95113636363635</v>
      </c>
      <c r="S156" s="531">
        <f t="shared" si="23"/>
        <v>139.95113636363635</v>
      </c>
      <c r="T156" s="531" cm="1">
        <f t="array" ref="T156">AVERAGE(_xlfn._xlws.FILTER(PTS!X:X, (PTS!$C:$C=A156) * ISNUMBER(PTS!X:X)))</f>
        <v>52</v>
      </c>
      <c r="U156" s="531" cm="1">
        <f t="array" ref="U156">AVERAGE(_xlfn._xlws.FILTER(PTS!Y:Y, (PTS!$C:$C=A156) * ISNUMBER(PTS!Y:Y)))</f>
        <v>50.4</v>
      </c>
      <c r="V156" s="531" cm="1">
        <f t="array" ref="V156">AVERAGE(_xlfn._xlws.FILTER(PTS!Z:Z, (PTS!$C:$C=A156) * ISNUMBER(PTS!Z:Z)))</f>
        <v>26.25</v>
      </c>
      <c r="X156" s="531">
        <f t="shared" si="24"/>
        <v>128.65</v>
      </c>
      <c r="Y156" s="531" cm="1">
        <f t="array" ref="Y156">AVERAGE(_xlfn._xlws.FILTER(PTS!AC:AC, (PTS!$C:$C=A156) * ISNUMBER(PTS!AC:AC)))</f>
        <v>110.22727272727273</v>
      </c>
      <c r="Z156" s="531" cm="1">
        <f t="array" ref="Z156">AVERAGE(_xlfn._xlws.FILTER(PTS!AD:AD, (PTS!$C:$C=A156) * ISNUMBER(PTS!AD:AD)))</f>
        <v>107.04545454545455</v>
      </c>
      <c r="AB156" s="531">
        <f t="shared" si="25"/>
        <v>217.27272727272728</v>
      </c>
      <c r="AC156" s="10" cm="1">
        <f t="array" ref="AC156">AVERAGE(_xlfn._xlws.FILTER(PTS!AG:AG, (PTS!$C:$C=A156) * ISNUMBER(PTS!AG:AG)))</f>
        <v>28.814300000000003</v>
      </c>
      <c r="AD156" s="531" cm="1">
        <f t="array" ref="AD156">AVERAGE(_xlfn._xlws.FILTER(PTS!AH:AH, (PTS!$C:$C=A156) * ISNUMBER(PTS!AH:AH)))</f>
        <v>6.973140495867769</v>
      </c>
      <c r="AE156" s="531" cm="1">
        <f t="array" ref="AE156">AVERAGE(_xlfn._xlws.FILTER(PTS!AI:AI, (PTS!$C:$C=A156) * ISNUMBER(PTS!AI:AI)))</f>
        <v>12.587317427197677</v>
      </c>
      <c r="AF156" s="531" cm="1">
        <f t="array" ref="AF156">AVERAGE(_xlfn._xlws.FILTER(PTS!AJ:AJ, (PTS!$C:$C=A156) * ISNUMBER(PTS!AJ:AJ)))</f>
        <v>6.7351999999999999</v>
      </c>
      <c r="AH156" s="531">
        <f t="shared" si="26"/>
        <v>55.109957923065444</v>
      </c>
      <c r="AI156" s="10" cm="1">
        <f t="array" ref="AI156">AVERAGE(_xlfn._xlws.FILTER(PTS!AM:AM, (PTS!$C:$C=A156) * ISNUMBER(PTS!AM:AM)))</f>
        <v>79.999999999999986</v>
      </c>
      <c r="AJ156" s="10" cm="1">
        <f t="array" ref="AJ156">AVERAGE(_xlfn._xlws.FILTER(PTS!AN:AN, (PTS!$C:$C=A156) * ISNUMBER(PTS!AN:AN)))</f>
        <v>26.17808219178082</v>
      </c>
      <c r="AK156" s="10" cm="1">
        <f t="array" ref="AK156">AVERAGE(_xlfn._xlws.FILTER(PTS!AO:AO, (PTS!$C:$C=A156) * ISNUMBER(PTS!AO:AO)))</f>
        <v>0</v>
      </c>
      <c r="AN156" s="10">
        <f t="shared" si="27"/>
        <v>106.1780821917808</v>
      </c>
      <c r="AR156" s="531">
        <f t="shared" si="28"/>
        <v>685.07857041787656</v>
      </c>
      <c r="AS156" s="531">
        <f t="shared" si="29"/>
        <v>954.07857041787656</v>
      </c>
    </row>
    <row r="157" spans="1:45">
      <c r="A157" s="32" t="s">
        <v>573</v>
      </c>
      <c r="B157" s="319" t="s">
        <v>149</v>
      </c>
      <c r="C157" s="319" t="str">
        <f t="shared" si="20"/>
        <v>MonetteAR</v>
      </c>
      <c r="D157" s="10">
        <f>VLOOKUP(A:A,PTS!C:R,6,FALSE)</f>
        <v>1</v>
      </c>
      <c r="E157" s="531" cm="1">
        <f t="array" ref="E157">AVERAGE(_xlfn._xlws.FILTER(PTS!I:I, (PTS!$C:$C=A157) * ISNUMBER(PTS!I:I)))</f>
        <v>30</v>
      </c>
      <c r="F157" s="10" cm="1">
        <f t="array" ref="F157">AVERAGE(_xlfn._xlws.FILTER(PTS!J:J, (PTS!$C:$C=A157) * ISNUMBER(PTS!J:J)))</f>
        <v>205</v>
      </c>
      <c r="G157" s="531" cm="1">
        <f t="array" ref="G157">AVERAGE(_xlfn._xlws.FILTER(PTS!K:K, (PTS!$C:$C=A157) * ISNUMBER(PTS!K:K)))</f>
        <v>160</v>
      </c>
      <c r="H157" s="531" cm="1">
        <f t="array" ref="H157">AVERAGE(_xlfn._xlws.FILTER(PTS!L:L, (PTS!$C:$C=A157) * ISNUMBER(PTS!L:L)))</f>
        <v>0</v>
      </c>
      <c r="I157" s="531" cm="1">
        <f t="array" ref="I157">AVERAGE(_xlfn._xlws.FILTER(PTS!M:M, (PTS!$C:$C=A157) * ISNUMBER(PTS!M:M)))</f>
        <v>0</v>
      </c>
      <c r="J157" s="531" cm="1">
        <f t="array" ref="J157">AVERAGE(_xlfn._xlws.FILTER(PTS!N:N, (PTS!$C:$C=A157) * ISNUMBER(PTS!N:N)))</f>
        <v>60</v>
      </c>
      <c r="K157" s="531" cm="1">
        <f t="array" ref="K157">AVERAGE(_xlfn._xlws.FILTER(PTS!O:O, (PTS!$C:$C=A157) * ISNUMBER(PTS!O:O)))</f>
        <v>37.916666666666671</v>
      </c>
      <c r="L157" s="10" cm="1">
        <f t="array" ref="L157">AVERAGE(_xlfn._xlws.FILTER(PTS!P:P, (PTS!$C:$C=A157) * ISNUMBER(PTS!P:P)))</f>
        <v>0</v>
      </c>
      <c r="M157" s="531">
        <f t="shared" si="21"/>
        <v>492.91666666666669</v>
      </c>
      <c r="N157" s="531">
        <f t="shared" si="22"/>
        <v>97.916666666666671</v>
      </c>
      <c r="O157" s="531" cm="1">
        <f t="array" ref="O157">AVERAGE(_xlfn._xlws.FILTER(PTS!S:S, (PTS!$C:$C=A157) * ISNUMBER(PTS!S:S)))</f>
        <v>0</v>
      </c>
      <c r="P157" s="531" cm="1">
        <f t="array" ref="P157">AVERAGE(_xlfn._xlws.FILTER(PTS!T:T, (PTS!$C:$C=A157) * ISNUMBER(PTS!T:T)))</f>
        <v>0</v>
      </c>
      <c r="Q157" s="531" cm="1">
        <f t="array" ref="Q157">AVERAGE(_xlfn._xlws.FILTER(PTS!U:U, (PTS!$C:$C=A157) * ISNUMBER(PTS!U:U)))</f>
        <v>166.47727272727275</v>
      </c>
      <c r="S157" s="531">
        <f t="shared" si="23"/>
        <v>166.47727272727275</v>
      </c>
      <c r="T157" s="531" cm="1">
        <f t="array" ref="T157">AVERAGE(_xlfn._xlws.FILTER(PTS!X:X, (PTS!$C:$C=A157) * ISNUMBER(PTS!X:X)))</f>
        <v>50</v>
      </c>
      <c r="U157" s="531" cm="1">
        <f t="array" ref="U157">AVERAGE(_xlfn._xlws.FILTER(PTS!Y:Y, (PTS!$C:$C=A157) * ISNUMBER(PTS!Y:Y)))</f>
        <v>33.6</v>
      </c>
      <c r="V157" s="531" cm="1">
        <f t="array" ref="V157">AVERAGE(_xlfn._xlws.FILTER(PTS!Z:Z, (PTS!$C:$C=A157) * ISNUMBER(PTS!Z:Z)))</f>
        <v>26.25</v>
      </c>
      <c r="X157" s="531">
        <f t="shared" si="24"/>
        <v>109.85</v>
      </c>
      <c r="Y157" s="531" cm="1">
        <f t="array" ref="Y157">AVERAGE(_xlfn._xlws.FILTER(PTS!AC:AC, (PTS!$C:$C=A157) * ISNUMBER(PTS!AC:AC)))</f>
        <v>146.02272727272725</v>
      </c>
      <c r="Z157" s="531" cm="1">
        <f t="array" ref="Z157">AVERAGE(_xlfn._xlws.FILTER(PTS!AD:AD, (PTS!$C:$C=A157) * ISNUMBER(PTS!AD:AD)))</f>
        <v>182.72727272727275</v>
      </c>
      <c r="AB157" s="531">
        <f t="shared" si="25"/>
        <v>328.75</v>
      </c>
      <c r="AC157" s="10" cm="1">
        <f t="array" ref="AC157">AVERAGE(_xlfn._xlws.FILTER(PTS!AG:AG, (PTS!$C:$C=A157) * ISNUMBER(PTS!AG:AG)))</f>
        <v>28.814300000000003</v>
      </c>
      <c r="AD157" s="531" cm="1">
        <f t="array" ref="AD157">AVERAGE(_xlfn._xlws.FILTER(PTS!AH:AH, (PTS!$C:$C=A157) * ISNUMBER(PTS!AH:AH)))</f>
        <v>6.973140495867769</v>
      </c>
      <c r="AE157" s="531" cm="1">
        <f t="array" ref="AE157">AVERAGE(_xlfn._xlws.FILTER(PTS!AI:AI, (PTS!$C:$C=A157) * ISNUMBER(PTS!AI:AI)))</f>
        <v>12.587317427197677</v>
      </c>
      <c r="AF157" s="531" cm="1">
        <f t="array" ref="AF157">AVERAGE(_xlfn._xlws.FILTER(PTS!AJ:AJ, (PTS!$C:$C=A157) * ISNUMBER(PTS!AJ:AJ)))</f>
        <v>6.7351999999999999</v>
      </c>
      <c r="AH157" s="531">
        <f t="shared" si="26"/>
        <v>55.109957923065444</v>
      </c>
      <c r="AI157" s="10" cm="1">
        <f t="array" ref="AI157">AVERAGE(_xlfn._xlws.FILTER(PTS!AM:AM, (PTS!$C:$C=A157) * ISNUMBER(PTS!AM:AM)))</f>
        <v>79.999999999999986</v>
      </c>
      <c r="AJ157" s="10" cm="1">
        <f t="array" ref="AJ157">AVERAGE(_xlfn._xlws.FILTER(PTS!AN:AN, (PTS!$C:$C=A157) * ISNUMBER(PTS!AN:AN)))</f>
        <v>26.17808219178082</v>
      </c>
      <c r="AK157" s="10" cm="1">
        <f t="array" ref="AK157">AVERAGE(_xlfn._xlws.FILTER(PTS!AO:AO, (PTS!$C:$C=A157) * ISNUMBER(PTS!AO:AO)))</f>
        <v>0</v>
      </c>
      <c r="AN157" s="10">
        <f t="shared" si="27"/>
        <v>106.1780821917808</v>
      </c>
      <c r="AR157" s="531">
        <f t="shared" si="28"/>
        <v>864.28197950878564</v>
      </c>
      <c r="AS157" s="531">
        <f t="shared" si="29"/>
        <v>1259.2819795087855</v>
      </c>
    </row>
    <row r="158" spans="1:45">
      <c r="A158" s="32" t="s">
        <v>576</v>
      </c>
      <c r="B158" s="319" t="s">
        <v>76</v>
      </c>
      <c r="C158" s="319" t="str">
        <f t="shared" si="20"/>
        <v>MoultrieGA</v>
      </c>
      <c r="D158" s="10">
        <f>VLOOKUP(A:A,PTS!C:R,6,FALSE)</f>
        <v>4</v>
      </c>
      <c r="E158" s="531" cm="1">
        <f t="array" ref="E158">AVERAGE(_xlfn._xlws.FILTER(PTS!I:I, (PTS!$C:$C=A158) * ISNUMBER(PTS!I:I)))</f>
        <v>60</v>
      </c>
      <c r="F158" s="10" cm="1">
        <f t="array" ref="F158">AVERAGE(_xlfn._xlws.FILTER(PTS!J:J, (PTS!$C:$C=A158) * ISNUMBER(PTS!J:J)))</f>
        <v>60</v>
      </c>
      <c r="G158" s="531" cm="1">
        <f t="array" ref="G158">AVERAGE(_xlfn._xlws.FILTER(PTS!K:K, (PTS!$C:$C=A158) * ISNUMBER(PTS!K:K)))</f>
        <v>0</v>
      </c>
      <c r="H158" s="531" cm="1">
        <f t="array" ref="H158">AVERAGE(_xlfn._xlws.FILTER(PTS!L:L, (PTS!$C:$C=A158) * ISNUMBER(PTS!L:L)))</f>
        <v>0</v>
      </c>
      <c r="I158" s="531" cm="1">
        <f t="array" ref="I158">AVERAGE(_xlfn._xlws.FILTER(PTS!M:M, (PTS!$C:$C=A158) * ISNUMBER(PTS!M:M)))</f>
        <v>25</v>
      </c>
      <c r="J158" s="531" cm="1">
        <f t="array" ref="J158">AVERAGE(_xlfn._xlws.FILTER(PTS!N:N, (PTS!$C:$C=A158) * ISNUMBER(PTS!N:N)))</f>
        <v>55</v>
      </c>
      <c r="K158" s="531" cm="1">
        <f t="array" ref="K158">AVERAGE(_xlfn._xlws.FILTER(PTS!O:O, (PTS!$C:$C=A158) * ISNUMBER(PTS!O:O)))</f>
        <v>37.916666666666671</v>
      </c>
      <c r="L158" s="10" cm="1">
        <f t="array" ref="L158">AVERAGE(_xlfn._xlws.FILTER(PTS!P:P, (PTS!$C:$C=A158) * ISNUMBER(PTS!P:P)))</f>
        <v>0</v>
      </c>
      <c r="M158" s="531">
        <f t="shared" si="21"/>
        <v>237.91666666666669</v>
      </c>
      <c r="N158" s="531">
        <f t="shared" si="22"/>
        <v>37.916666666666671</v>
      </c>
      <c r="O158" s="531" cm="1">
        <f t="array" ref="O158">AVERAGE(_xlfn._xlws.FILTER(PTS!S:S, (PTS!$C:$C=A158) * ISNUMBER(PTS!S:S)))</f>
        <v>0</v>
      </c>
      <c r="P158" s="531" cm="1">
        <f t="array" ref="P158">AVERAGE(_xlfn._xlws.FILTER(PTS!T:T, (PTS!$C:$C=A158) * ISNUMBER(PTS!T:T)))</f>
        <v>18.939393939393938</v>
      </c>
      <c r="Q158" s="531" cm="1">
        <f t="array" ref="Q158">AVERAGE(_xlfn._xlws.FILTER(PTS!U:U, (PTS!$C:$C=A158) * ISNUMBER(PTS!U:U)))</f>
        <v>225.39090909090908</v>
      </c>
      <c r="S158" s="531">
        <f t="shared" si="23"/>
        <v>244.33030303030301</v>
      </c>
      <c r="T158" s="531" cm="1">
        <f t="array" ref="T158">AVERAGE(_xlfn._xlws.FILTER(PTS!X:X, (PTS!$C:$C=A158) * ISNUMBER(PTS!X:X)))</f>
        <v>52</v>
      </c>
      <c r="U158" s="531" cm="1">
        <f t="array" ref="U158">AVERAGE(_xlfn._xlws.FILTER(PTS!Y:Y, (PTS!$C:$C=A158) * ISNUMBER(PTS!Y:Y)))</f>
        <v>50.4</v>
      </c>
      <c r="V158" s="531" cm="1">
        <f t="array" ref="V158">AVERAGE(_xlfn._xlws.FILTER(PTS!Z:Z, (PTS!$C:$C=A158) * ISNUMBER(PTS!Z:Z)))</f>
        <v>26.25</v>
      </c>
      <c r="X158" s="531">
        <f t="shared" si="24"/>
        <v>128.65</v>
      </c>
      <c r="Y158" s="531" cm="1">
        <f t="array" ref="Y158">AVERAGE(_xlfn._xlws.FILTER(PTS!AC:AC, (PTS!$C:$C=A158) * ISNUMBER(PTS!AC:AC)))</f>
        <v>110.22727272727273</v>
      </c>
      <c r="Z158" s="531" cm="1">
        <f t="array" ref="Z158">AVERAGE(_xlfn._xlws.FILTER(PTS!AD:AD, (PTS!$C:$C=A158) * ISNUMBER(PTS!AD:AD)))</f>
        <v>107.04545454545455</v>
      </c>
      <c r="AB158" s="531">
        <f t="shared" si="25"/>
        <v>217.27272727272728</v>
      </c>
      <c r="AC158" s="10" cm="1">
        <f t="array" ref="AC158">AVERAGE(_xlfn._xlws.FILTER(PTS!AG:AG, (PTS!$C:$C=A158) * ISNUMBER(PTS!AG:AG)))</f>
        <v>28.814300000000003</v>
      </c>
      <c r="AD158" s="531" cm="1">
        <f t="array" ref="AD158">AVERAGE(_xlfn._xlws.FILTER(PTS!AH:AH, (PTS!$C:$C=A158) * ISNUMBER(PTS!AH:AH)))</f>
        <v>6.9731404958677699</v>
      </c>
      <c r="AE158" s="531" cm="1">
        <f t="array" ref="AE158">AVERAGE(_xlfn._xlws.FILTER(PTS!AI:AI, (PTS!$C:$C=A158) * ISNUMBER(PTS!AI:AI)))</f>
        <v>12.587317427197677</v>
      </c>
      <c r="AF158" s="531" cm="1">
        <f t="array" ref="AF158">AVERAGE(_xlfn._xlws.FILTER(PTS!AJ:AJ, (PTS!$C:$C=A158) * ISNUMBER(PTS!AJ:AJ)))</f>
        <v>6.7351999999999999</v>
      </c>
      <c r="AH158" s="531">
        <f t="shared" si="26"/>
        <v>55.109957923065444</v>
      </c>
      <c r="AI158" s="10" cm="1">
        <f t="array" ref="AI158">AVERAGE(_xlfn._xlws.FILTER(PTS!AM:AM, (PTS!$C:$C=A158) * ISNUMBER(PTS!AM:AM)))</f>
        <v>79.999999999999986</v>
      </c>
      <c r="AJ158" s="10" cm="1">
        <f t="array" ref="AJ158">AVERAGE(_xlfn._xlws.FILTER(PTS!AN:AN, (PTS!$C:$C=A158) * ISNUMBER(PTS!AN:AN)))</f>
        <v>26.17808219178082</v>
      </c>
      <c r="AK158" s="10" cm="1">
        <f t="array" ref="AK158">AVERAGE(_xlfn._xlws.FILTER(PTS!AO:AO, (PTS!$C:$C=A158) * ISNUMBER(PTS!AO:AO)))</f>
        <v>0</v>
      </c>
      <c r="AN158" s="10">
        <f t="shared" si="27"/>
        <v>106.1780821917808</v>
      </c>
      <c r="AR158" s="531">
        <f t="shared" si="28"/>
        <v>789.45773708454317</v>
      </c>
      <c r="AS158" s="531">
        <f t="shared" si="29"/>
        <v>989.45773708454317</v>
      </c>
    </row>
    <row r="159" spans="1:45">
      <c r="A159" s="32" t="s">
        <v>580</v>
      </c>
      <c r="B159" s="319" t="s">
        <v>136</v>
      </c>
      <c r="C159" s="319" t="str">
        <f t="shared" si="20"/>
        <v>MurfreesboroNC</v>
      </c>
      <c r="D159" s="10">
        <f>VLOOKUP(A:A,PTS!C:R,6,FALSE)</f>
        <v>1</v>
      </c>
      <c r="E159" s="531" cm="1">
        <f t="array" ref="E159">AVERAGE(_xlfn._xlws.FILTER(PTS!I:I, (PTS!$C:$C=A159) * ISNUMBER(PTS!I:I)))</f>
        <v>80</v>
      </c>
      <c r="F159" s="10" cm="1">
        <f t="array" ref="F159">AVERAGE(_xlfn._xlws.FILTER(PTS!J:J, (PTS!$C:$C=A159) * ISNUMBER(PTS!J:J)))</f>
        <v>90</v>
      </c>
      <c r="G159" s="531" cm="1">
        <f t="array" ref="G159">AVERAGE(_xlfn._xlws.FILTER(PTS!K:K, (PTS!$C:$C=A159) * ISNUMBER(PTS!K:K)))</f>
        <v>0</v>
      </c>
      <c r="H159" s="531" cm="1">
        <f t="array" ref="H159">AVERAGE(_xlfn._xlws.FILTER(PTS!L:L, (PTS!$C:$C=A159) * ISNUMBER(PTS!L:L)))</f>
        <v>0</v>
      </c>
      <c r="I159" s="531" cm="1">
        <f t="array" ref="I159">AVERAGE(_xlfn._xlws.FILTER(PTS!M:M, (PTS!$C:$C=A159) * ISNUMBER(PTS!M:M)))</f>
        <v>10</v>
      </c>
      <c r="J159" s="531" cm="1">
        <f t="array" ref="J159">AVERAGE(_xlfn._xlws.FILTER(PTS!N:N, (PTS!$C:$C=A159) * ISNUMBER(PTS!N:N)))</f>
        <v>34</v>
      </c>
      <c r="K159" s="531" cm="1">
        <f t="array" ref="K159">AVERAGE(_xlfn._xlws.FILTER(PTS!O:O, (PTS!$C:$C=A159) * ISNUMBER(PTS!O:O)))</f>
        <v>37.916666666666671</v>
      </c>
      <c r="L159" s="10" cm="1">
        <f t="array" ref="L159">AVERAGE(_xlfn._xlws.FILTER(PTS!P:P, (PTS!$C:$C=A159) * ISNUMBER(PTS!P:P)))</f>
        <v>0</v>
      </c>
      <c r="M159" s="531">
        <f t="shared" si="21"/>
        <v>251.91666666666669</v>
      </c>
      <c r="N159" s="531">
        <f t="shared" si="22"/>
        <v>71.916666666666671</v>
      </c>
      <c r="O159" s="531" cm="1">
        <f t="array" ref="O159">AVERAGE(_xlfn._xlws.FILTER(PTS!S:S, (PTS!$C:$C=A159) * ISNUMBER(PTS!S:S)))</f>
        <v>0</v>
      </c>
      <c r="P159" s="531" cm="1">
        <f t="array" ref="P159">AVERAGE(_xlfn._xlws.FILTER(PTS!T:T, (PTS!$C:$C=A159) * ISNUMBER(PTS!T:T)))</f>
        <v>0</v>
      </c>
      <c r="Q159" s="531" cm="1">
        <f t="array" ref="Q159">AVERAGE(_xlfn._xlws.FILTER(PTS!U:U, (PTS!$C:$C=A159) * ISNUMBER(PTS!U:U)))</f>
        <v>300.65056818181824</v>
      </c>
      <c r="S159" s="531">
        <f t="shared" si="23"/>
        <v>300.65056818181824</v>
      </c>
      <c r="T159" s="531" cm="1">
        <f t="array" ref="T159">AVERAGE(_xlfn._xlws.FILTER(PTS!X:X, (PTS!$C:$C=A159) * ISNUMBER(PTS!X:X)))</f>
        <v>52</v>
      </c>
      <c r="U159" s="531" cm="1">
        <f t="array" ref="U159">AVERAGE(_xlfn._xlws.FILTER(PTS!Y:Y, (PTS!$C:$C=A159) * ISNUMBER(PTS!Y:Y)))</f>
        <v>50.4</v>
      </c>
      <c r="V159" s="531" cm="1">
        <f t="array" ref="V159">AVERAGE(_xlfn._xlws.FILTER(PTS!Z:Z, (PTS!$C:$C=A159) * ISNUMBER(PTS!Z:Z)))</f>
        <v>26.25</v>
      </c>
      <c r="X159" s="531">
        <f t="shared" si="24"/>
        <v>128.65</v>
      </c>
      <c r="Y159" s="531" cm="1">
        <f t="array" ref="Y159">AVERAGE(_xlfn._xlws.FILTER(PTS!AC:AC, (PTS!$C:$C=A159) * ISNUMBER(PTS!AC:AC)))</f>
        <v>110.22727272727273</v>
      </c>
      <c r="Z159" s="531" cm="1">
        <f t="array" ref="Z159">AVERAGE(_xlfn._xlws.FILTER(PTS!AD:AD, (PTS!$C:$C=A159) * ISNUMBER(PTS!AD:AD)))</f>
        <v>107.04545454545455</v>
      </c>
      <c r="AB159" s="531">
        <f t="shared" si="25"/>
        <v>217.27272727272728</v>
      </c>
      <c r="AC159" s="10" cm="1">
        <f t="array" ref="AC159">AVERAGE(_xlfn._xlws.FILTER(PTS!AG:AG, (PTS!$C:$C=A159) * ISNUMBER(PTS!AG:AG)))</f>
        <v>28.814300000000003</v>
      </c>
      <c r="AD159" s="531" cm="1">
        <f t="array" ref="AD159">AVERAGE(_xlfn._xlws.FILTER(PTS!AH:AH, (PTS!$C:$C=A159) * ISNUMBER(PTS!AH:AH)))</f>
        <v>6.973140495867769</v>
      </c>
      <c r="AE159" s="531" cm="1">
        <f t="array" ref="AE159">AVERAGE(_xlfn._xlws.FILTER(PTS!AI:AI, (PTS!$C:$C=A159) * ISNUMBER(PTS!AI:AI)))</f>
        <v>12.587317427197677</v>
      </c>
      <c r="AF159" s="531" cm="1">
        <f t="array" ref="AF159">AVERAGE(_xlfn._xlws.FILTER(PTS!AJ:AJ, (PTS!$C:$C=A159) * ISNUMBER(PTS!AJ:AJ)))</f>
        <v>6.7351999999999999</v>
      </c>
      <c r="AH159" s="531">
        <f t="shared" si="26"/>
        <v>55.109957923065444</v>
      </c>
      <c r="AI159" s="10" cm="1">
        <f t="array" ref="AI159">AVERAGE(_xlfn._xlws.FILTER(PTS!AM:AM, (PTS!$C:$C=A159) * ISNUMBER(PTS!AM:AM)))</f>
        <v>79.999999999999986</v>
      </c>
      <c r="AJ159" s="10" cm="1">
        <f t="array" ref="AJ159">AVERAGE(_xlfn._xlws.FILTER(PTS!AN:AN, (PTS!$C:$C=A159) * ISNUMBER(PTS!AN:AN)))</f>
        <v>26.17808219178082</v>
      </c>
      <c r="AK159" s="10" cm="1">
        <f t="array" ref="AK159">AVERAGE(_xlfn._xlws.FILTER(PTS!AO:AO, (PTS!$C:$C=A159) * ISNUMBER(PTS!AO:AO)))</f>
        <v>0</v>
      </c>
      <c r="AN159" s="10">
        <f t="shared" si="27"/>
        <v>106.1780821917808</v>
      </c>
      <c r="AR159" s="531">
        <f t="shared" si="28"/>
        <v>879.77800223605846</v>
      </c>
      <c r="AS159" s="531">
        <f t="shared" si="29"/>
        <v>1059.7780022360585</v>
      </c>
    </row>
    <row r="160" spans="1:45">
      <c r="A160" s="32" t="s">
        <v>583</v>
      </c>
      <c r="B160" s="319" t="s">
        <v>136</v>
      </c>
      <c r="C160" s="319" t="str">
        <f t="shared" si="20"/>
        <v>New LondonNC</v>
      </c>
      <c r="D160" s="10">
        <f>VLOOKUP(A:A,PTS!C:R,6,FALSE)</f>
        <v>1</v>
      </c>
      <c r="E160" s="531" cm="1">
        <f t="array" ref="E160">AVERAGE(_xlfn._xlws.FILTER(PTS!I:I, (PTS!$C:$C=A160) * ISNUMBER(PTS!I:I)))</f>
        <v>67</v>
      </c>
      <c r="F160" s="10" cm="1">
        <f t="array" ref="F160">AVERAGE(_xlfn._xlws.FILTER(PTS!J:J, (PTS!$C:$C=A160) * ISNUMBER(PTS!J:J)))</f>
        <v>80</v>
      </c>
      <c r="G160" s="531" cm="1">
        <f t="array" ref="G160">AVERAGE(_xlfn._xlws.FILTER(PTS!K:K, (PTS!$C:$C=A160) * ISNUMBER(PTS!K:K)))</f>
        <v>0</v>
      </c>
      <c r="H160" s="531" cm="1">
        <f t="array" ref="H160">AVERAGE(_xlfn._xlws.FILTER(PTS!L:L, (PTS!$C:$C=A160) * ISNUMBER(PTS!L:L)))</f>
        <v>0</v>
      </c>
      <c r="I160" s="531" cm="1">
        <f t="array" ref="I160">AVERAGE(_xlfn._xlws.FILTER(PTS!M:M, (PTS!$C:$C=A160) * ISNUMBER(PTS!M:M)))</f>
        <v>0</v>
      </c>
      <c r="J160" s="531" cm="1">
        <f t="array" ref="J160">AVERAGE(_xlfn._xlws.FILTER(PTS!N:N, (PTS!$C:$C=A160) * ISNUMBER(PTS!N:N)))</f>
        <v>50</v>
      </c>
      <c r="K160" s="531" cm="1">
        <f t="array" ref="K160">AVERAGE(_xlfn._xlws.FILTER(PTS!O:O, (PTS!$C:$C=A160) * ISNUMBER(PTS!O:O)))</f>
        <v>37.916666666666671</v>
      </c>
      <c r="L160" s="10" cm="1">
        <f t="array" ref="L160">AVERAGE(_xlfn._xlws.FILTER(PTS!P:P, (PTS!$C:$C=A160) * ISNUMBER(PTS!P:P)))</f>
        <v>0</v>
      </c>
      <c r="M160" s="531">
        <f t="shared" si="21"/>
        <v>234.91666666666669</v>
      </c>
      <c r="N160" s="531">
        <f t="shared" si="22"/>
        <v>87.916666666666671</v>
      </c>
      <c r="O160" s="531" cm="1">
        <f t="array" ref="O160">AVERAGE(_xlfn._xlws.FILTER(PTS!S:S, (PTS!$C:$C=A160) * ISNUMBER(PTS!S:S)))</f>
        <v>0</v>
      </c>
      <c r="P160" s="531" cm="1">
        <f t="array" ref="P160">AVERAGE(_xlfn._xlws.FILTER(PTS!T:T, (PTS!$C:$C=A160) * ISNUMBER(PTS!T:T)))</f>
        <v>0</v>
      </c>
      <c r="Q160" s="531" cm="1">
        <f t="array" ref="Q160">AVERAGE(_xlfn._xlws.FILTER(PTS!U:U, (PTS!$C:$C=A160) * ISNUMBER(PTS!U:U)))</f>
        <v>221.28863636363636</v>
      </c>
      <c r="S160" s="531">
        <f t="shared" si="23"/>
        <v>221.28863636363636</v>
      </c>
      <c r="T160" s="531" cm="1">
        <f t="array" ref="T160">AVERAGE(_xlfn._xlws.FILTER(PTS!X:X, (PTS!$C:$C=A160) * ISNUMBER(PTS!X:X)))</f>
        <v>52</v>
      </c>
      <c r="U160" s="531" cm="1">
        <f t="array" ref="U160">AVERAGE(_xlfn._xlws.FILTER(PTS!Y:Y, (PTS!$C:$C=A160) * ISNUMBER(PTS!Y:Y)))</f>
        <v>50.4</v>
      </c>
      <c r="V160" s="531" cm="1">
        <f t="array" ref="V160">AVERAGE(_xlfn._xlws.FILTER(PTS!Z:Z, (PTS!$C:$C=A160) * ISNUMBER(PTS!Z:Z)))</f>
        <v>26.25</v>
      </c>
      <c r="X160" s="531">
        <f t="shared" si="24"/>
        <v>128.65</v>
      </c>
      <c r="Y160" s="531" cm="1">
        <f t="array" ref="Y160">AVERAGE(_xlfn._xlws.FILTER(PTS!AC:AC, (PTS!$C:$C=A160) * ISNUMBER(PTS!AC:AC)))</f>
        <v>110.22727272727273</v>
      </c>
      <c r="Z160" s="531" cm="1">
        <f t="array" ref="Z160">AVERAGE(_xlfn._xlws.FILTER(PTS!AD:AD, (PTS!$C:$C=A160) * ISNUMBER(PTS!AD:AD)))</f>
        <v>107.04545454545455</v>
      </c>
      <c r="AB160" s="531">
        <f t="shared" si="25"/>
        <v>217.27272727272728</v>
      </c>
      <c r="AC160" s="10" cm="1">
        <f t="array" ref="AC160">AVERAGE(_xlfn._xlws.FILTER(PTS!AG:AG, (PTS!$C:$C=A160) * ISNUMBER(PTS!AG:AG)))</f>
        <v>28.814300000000003</v>
      </c>
      <c r="AD160" s="531" cm="1">
        <f t="array" ref="AD160">AVERAGE(_xlfn._xlws.FILTER(PTS!AH:AH, (PTS!$C:$C=A160) * ISNUMBER(PTS!AH:AH)))</f>
        <v>6.973140495867769</v>
      </c>
      <c r="AE160" s="531" cm="1">
        <f t="array" ref="AE160">AVERAGE(_xlfn._xlws.FILTER(PTS!AI:AI, (PTS!$C:$C=A160) * ISNUMBER(PTS!AI:AI)))</f>
        <v>12.587317427197677</v>
      </c>
      <c r="AF160" s="531" cm="1">
        <f t="array" ref="AF160">AVERAGE(_xlfn._xlws.FILTER(PTS!AJ:AJ, (PTS!$C:$C=A160) * ISNUMBER(PTS!AJ:AJ)))</f>
        <v>6.7351999999999999</v>
      </c>
      <c r="AH160" s="531">
        <f t="shared" si="26"/>
        <v>55.109957923065444</v>
      </c>
      <c r="AI160" s="10" cm="1">
        <f t="array" ref="AI160">AVERAGE(_xlfn._xlws.FILTER(PTS!AM:AM, (PTS!$C:$C=A160) * ISNUMBER(PTS!AM:AM)))</f>
        <v>79.999999999999986</v>
      </c>
      <c r="AJ160" s="10" cm="1">
        <f t="array" ref="AJ160">AVERAGE(_xlfn._xlws.FILTER(PTS!AN:AN, (PTS!$C:$C=A160) * ISNUMBER(PTS!AN:AN)))</f>
        <v>26.17808219178082</v>
      </c>
      <c r="AK160" s="10" cm="1">
        <f t="array" ref="AK160">AVERAGE(_xlfn._xlws.FILTER(PTS!AO:AO, (PTS!$C:$C=A160) * ISNUMBER(PTS!AO:AO)))</f>
        <v>0</v>
      </c>
      <c r="AN160" s="10">
        <f t="shared" si="27"/>
        <v>106.1780821917808</v>
      </c>
      <c r="AR160" s="531">
        <f t="shared" si="28"/>
        <v>816.41607041787654</v>
      </c>
      <c r="AS160" s="531">
        <f t="shared" si="29"/>
        <v>963.41607041787654</v>
      </c>
    </row>
    <row r="161" spans="1:45">
      <c r="A161" s="32" t="s">
        <v>586</v>
      </c>
      <c r="B161" s="319" t="s">
        <v>190</v>
      </c>
      <c r="C161" s="319" t="str">
        <f t="shared" si="20"/>
        <v>New MadridMO</v>
      </c>
      <c r="D161" s="10">
        <f>VLOOKUP(A:A,PTS!C:R,6,FALSE)</f>
        <v>1</v>
      </c>
      <c r="E161" s="531" cm="1">
        <f t="array" ref="E161">AVERAGE(_xlfn._xlws.FILTER(PTS!I:I, (PTS!$C:$C=A161) * ISNUMBER(PTS!I:I)))</f>
        <v>32</v>
      </c>
      <c r="F161" s="10" cm="1">
        <f t="array" ref="F161">AVERAGE(_xlfn._xlws.FILTER(PTS!J:J, (PTS!$C:$C=A161) * ISNUMBER(PTS!J:J)))</f>
        <v>225</v>
      </c>
      <c r="G161" s="531" cm="1">
        <f t="array" ref="G161">AVERAGE(_xlfn._xlws.FILTER(PTS!K:K, (PTS!$C:$C=A161) * ISNUMBER(PTS!K:K)))</f>
        <v>160</v>
      </c>
      <c r="H161" s="531" cm="1">
        <f t="array" ref="H161">AVERAGE(_xlfn._xlws.FILTER(PTS!L:L, (PTS!$C:$C=A161) * ISNUMBER(PTS!L:L)))</f>
        <v>0</v>
      </c>
      <c r="I161" s="531" cm="1">
        <f t="array" ref="I161">AVERAGE(_xlfn._xlws.FILTER(PTS!M:M, (PTS!$C:$C=A161) * ISNUMBER(PTS!M:M)))</f>
        <v>0</v>
      </c>
      <c r="J161" s="531" cm="1">
        <f t="array" ref="J161">AVERAGE(_xlfn._xlws.FILTER(PTS!N:N, (PTS!$C:$C=A161) * ISNUMBER(PTS!N:N)))</f>
        <v>65</v>
      </c>
      <c r="K161" s="531" cm="1">
        <f t="array" ref="K161">AVERAGE(_xlfn._xlws.FILTER(PTS!O:O, (PTS!$C:$C=A161) * ISNUMBER(PTS!O:O)))</f>
        <v>37.916666666666671</v>
      </c>
      <c r="L161" s="10" cm="1">
        <f t="array" ref="L161">AVERAGE(_xlfn._xlws.FILTER(PTS!P:P, (PTS!$C:$C=A161) * ISNUMBER(PTS!P:P)))</f>
        <v>0</v>
      </c>
      <c r="M161" s="531">
        <f t="shared" si="21"/>
        <v>519.91666666666663</v>
      </c>
      <c r="N161" s="531">
        <f t="shared" si="22"/>
        <v>102.91666666666667</v>
      </c>
      <c r="O161" s="531" cm="1">
        <f t="array" ref="O161">AVERAGE(_xlfn._xlws.FILTER(PTS!S:S, (PTS!$C:$C=A161) * ISNUMBER(PTS!S:S)))</f>
        <v>0</v>
      </c>
      <c r="P161" s="531" cm="1">
        <f t="array" ref="P161">AVERAGE(_xlfn._xlws.FILTER(PTS!T:T, (PTS!$C:$C=A161) * ISNUMBER(PTS!T:T)))</f>
        <v>0</v>
      </c>
      <c r="Q161" s="531" cm="1">
        <f t="array" ref="Q161">AVERAGE(_xlfn._xlws.FILTER(PTS!U:U, (PTS!$C:$C=A161) * ISNUMBER(PTS!U:U)))</f>
        <v>234.65909090909091</v>
      </c>
      <c r="S161" s="531">
        <f t="shared" si="23"/>
        <v>234.65909090909091</v>
      </c>
      <c r="T161" s="531" cm="1">
        <f t="array" ref="T161">AVERAGE(_xlfn._xlws.FILTER(PTS!X:X, (PTS!$C:$C=A161) * ISNUMBER(PTS!X:X)))</f>
        <v>50</v>
      </c>
      <c r="U161" s="531" cm="1">
        <f t="array" ref="U161">AVERAGE(_xlfn._xlws.FILTER(PTS!Y:Y, (PTS!$C:$C=A161) * ISNUMBER(PTS!Y:Y)))</f>
        <v>33.6</v>
      </c>
      <c r="V161" s="531" cm="1">
        <f t="array" ref="V161">AVERAGE(_xlfn._xlws.FILTER(PTS!Z:Z, (PTS!$C:$C=A161) * ISNUMBER(PTS!Z:Z)))</f>
        <v>26.25</v>
      </c>
      <c r="X161" s="531">
        <f t="shared" si="24"/>
        <v>109.85</v>
      </c>
      <c r="Y161" s="531" cm="1">
        <f t="array" ref="Y161">AVERAGE(_xlfn._xlws.FILTER(PTS!AC:AC, (PTS!$C:$C=A161) * ISNUMBER(PTS!AC:AC)))</f>
        <v>146.02272727272725</v>
      </c>
      <c r="Z161" s="531" cm="1">
        <f t="array" ref="Z161">AVERAGE(_xlfn._xlws.FILTER(PTS!AD:AD, (PTS!$C:$C=A161) * ISNUMBER(PTS!AD:AD)))</f>
        <v>182.72727272727275</v>
      </c>
      <c r="AB161" s="531">
        <f t="shared" si="25"/>
        <v>328.75</v>
      </c>
      <c r="AC161" s="10" cm="1">
        <f t="array" ref="AC161">AVERAGE(_xlfn._xlws.FILTER(PTS!AG:AG, (PTS!$C:$C=A161) * ISNUMBER(PTS!AG:AG)))</f>
        <v>28.814300000000003</v>
      </c>
      <c r="AD161" s="531" cm="1">
        <f t="array" ref="AD161">AVERAGE(_xlfn._xlws.FILTER(PTS!AH:AH, (PTS!$C:$C=A161) * ISNUMBER(PTS!AH:AH)))</f>
        <v>6.973140495867769</v>
      </c>
      <c r="AE161" s="531" cm="1">
        <f t="array" ref="AE161">AVERAGE(_xlfn._xlws.FILTER(PTS!AI:AI, (PTS!$C:$C=A161) * ISNUMBER(PTS!AI:AI)))</f>
        <v>12.587317427197677</v>
      </c>
      <c r="AF161" s="531" cm="1">
        <f t="array" ref="AF161">AVERAGE(_xlfn._xlws.FILTER(PTS!AJ:AJ, (PTS!$C:$C=A161) * ISNUMBER(PTS!AJ:AJ)))</f>
        <v>6.7351999999999999</v>
      </c>
      <c r="AH161" s="531">
        <f t="shared" si="26"/>
        <v>55.109957923065444</v>
      </c>
      <c r="AI161" s="10" cm="1">
        <f t="array" ref="AI161">AVERAGE(_xlfn._xlws.FILTER(PTS!AM:AM, (PTS!$C:$C=A161) * ISNUMBER(PTS!AM:AM)))</f>
        <v>79.999999999999986</v>
      </c>
      <c r="AJ161" s="10" cm="1">
        <f t="array" ref="AJ161">AVERAGE(_xlfn._xlws.FILTER(PTS!AN:AN, (PTS!$C:$C=A161) * ISNUMBER(PTS!AN:AN)))</f>
        <v>26.17808219178082</v>
      </c>
      <c r="AK161" s="10" cm="1">
        <f t="array" ref="AK161">AVERAGE(_xlfn._xlws.FILTER(PTS!AO:AO, (PTS!$C:$C=A161) * ISNUMBER(PTS!AO:AO)))</f>
        <v>0</v>
      </c>
      <c r="AN161" s="10">
        <f t="shared" si="27"/>
        <v>106.1780821917808</v>
      </c>
      <c r="AR161" s="531">
        <f t="shared" si="28"/>
        <v>937.46379769060377</v>
      </c>
      <c r="AS161" s="531">
        <f t="shared" si="29"/>
        <v>1354.4637976906035</v>
      </c>
    </row>
    <row r="162" spans="1:45">
      <c r="A162" s="32" t="s">
        <v>589</v>
      </c>
      <c r="B162" s="319" t="s">
        <v>65</v>
      </c>
      <c r="C162" s="319" t="str">
        <f t="shared" si="20"/>
        <v>New Market AL</v>
      </c>
      <c r="D162" s="10">
        <f>VLOOKUP(A:A,PTS!C:R,6,FALSE)</f>
        <v>1</v>
      </c>
      <c r="E162" s="531" cm="1">
        <f t="array" ref="E162">AVERAGE(_xlfn._xlws.FILTER(PTS!I:I, (PTS!$C:$C=A162) * ISNUMBER(PTS!I:I)))</f>
        <v>80</v>
      </c>
      <c r="F162" s="10" cm="1">
        <f t="array" ref="F162">AVERAGE(_xlfn._xlws.FILTER(PTS!J:J, (PTS!$C:$C=A162) * ISNUMBER(PTS!J:J)))</f>
        <v>120</v>
      </c>
      <c r="G162" s="531" cm="1">
        <f t="array" ref="G162">AVERAGE(_xlfn._xlws.FILTER(PTS!K:K, (PTS!$C:$C=A162) * ISNUMBER(PTS!K:K)))</f>
        <v>150</v>
      </c>
      <c r="H162" s="531" cm="1">
        <f t="array" ref="H162">AVERAGE(_xlfn._xlws.FILTER(PTS!L:L, (PTS!$C:$C=A162) * ISNUMBER(PTS!L:L)))</f>
        <v>0</v>
      </c>
      <c r="I162" s="531" cm="1">
        <f t="array" ref="I162">AVERAGE(_xlfn._xlws.FILTER(PTS!M:M, (PTS!$C:$C=A162) * ISNUMBER(PTS!M:M)))</f>
        <v>20</v>
      </c>
      <c r="J162" s="531" cm="1">
        <f t="array" ref="J162">AVERAGE(_xlfn._xlws.FILTER(PTS!N:N, (PTS!$C:$C=A162) * ISNUMBER(PTS!N:N)))</f>
        <v>60</v>
      </c>
      <c r="K162" s="531" cm="1">
        <f t="array" ref="K162">AVERAGE(_xlfn._xlws.FILTER(PTS!O:O, (PTS!$C:$C=A162) * ISNUMBER(PTS!O:O)))</f>
        <v>37.916666666666671</v>
      </c>
      <c r="L162" s="10" cm="1">
        <f t="array" ref="L162">AVERAGE(_xlfn._xlws.FILTER(PTS!P:P, (PTS!$C:$C=A162) * ISNUMBER(PTS!P:P)))</f>
        <v>0</v>
      </c>
      <c r="M162" s="531">
        <f t="shared" si="21"/>
        <v>467.91666666666669</v>
      </c>
      <c r="N162" s="531">
        <f t="shared" si="22"/>
        <v>97.916666666666671</v>
      </c>
      <c r="O162" s="531" cm="1">
        <f t="array" ref="O162">AVERAGE(_xlfn._xlws.FILTER(PTS!S:S, (PTS!$C:$C=A162) * ISNUMBER(PTS!S:S)))</f>
        <v>0</v>
      </c>
      <c r="P162" s="531" cm="1">
        <f t="array" ref="P162">AVERAGE(_xlfn._xlws.FILTER(PTS!T:T, (PTS!$C:$C=A162) * ISNUMBER(PTS!T:T)))</f>
        <v>0</v>
      </c>
      <c r="Q162" s="531" cm="1">
        <f t="array" ref="Q162">AVERAGE(_xlfn._xlws.FILTER(PTS!U:U, (PTS!$C:$C=A162) * ISNUMBER(PTS!U:U)))</f>
        <v>248.97727272727275</v>
      </c>
      <c r="S162" s="531">
        <f t="shared" si="23"/>
        <v>248.97727272727275</v>
      </c>
      <c r="T162" s="531" cm="1">
        <f t="array" ref="T162">AVERAGE(_xlfn._xlws.FILTER(PTS!X:X, (PTS!$C:$C=A162) * ISNUMBER(PTS!X:X)))</f>
        <v>50</v>
      </c>
      <c r="U162" s="531" cm="1">
        <f t="array" ref="U162">AVERAGE(_xlfn._xlws.FILTER(PTS!Y:Y, (PTS!$C:$C=A162) * ISNUMBER(PTS!Y:Y)))</f>
        <v>33.6</v>
      </c>
      <c r="V162" s="531" cm="1">
        <f t="array" ref="V162">AVERAGE(_xlfn._xlws.FILTER(PTS!Z:Z, (PTS!$C:$C=A162) * ISNUMBER(PTS!Z:Z)))</f>
        <v>26.25</v>
      </c>
      <c r="X162" s="531">
        <f t="shared" si="24"/>
        <v>109.85</v>
      </c>
      <c r="Y162" s="531" cm="1">
        <f t="array" ref="Y162">AVERAGE(_xlfn._xlws.FILTER(PTS!AC:AC, (PTS!$C:$C=A162) * ISNUMBER(PTS!AC:AC)))</f>
        <v>146.02272727272725</v>
      </c>
      <c r="Z162" s="531" cm="1">
        <f t="array" ref="Z162">AVERAGE(_xlfn._xlws.FILTER(PTS!AD:AD, (PTS!$C:$C=A162) * ISNUMBER(PTS!AD:AD)))</f>
        <v>182.72727272727275</v>
      </c>
      <c r="AB162" s="531">
        <f t="shared" si="25"/>
        <v>328.75</v>
      </c>
      <c r="AC162" s="10" cm="1">
        <f t="array" ref="AC162">AVERAGE(_xlfn._xlws.FILTER(PTS!AG:AG, (PTS!$C:$C=A162) * ISNUMBER(PTS!AG:AG)))</f>
        <v>28.814300000000003</v>
      </c>
      <c r="AD162" s="531" cm="1">
        <f t="array" ref="AD162">AVERAGE(_xlfn._xlws.FILTER(PTS!AH:AH, (PTS!$C:$C=A162) * ISNUMBER(PTS!AH:AH)))</f>
        <v>6.973140495867769</v>
      </c>
      <c r="AE162" s="531" cm="1">
        <f t="array" ref="AE162">AVERAGE(_xlfn._xlws.FILTER(PTS!AI:AI, (PTS!$C:$C=A162) * ISNUMBER(PTS!AI:AI)))</f>
        <v>12.587317427197677</v>
      </c>
      <c r="AF162" s="531" cm="1">
        <f t="array" ref="AF162">AVERAGE(_xlfn._xlws.FILTER(PTS!AJ:AJ, (PTS!$C:$C=A162) * ISNUMBER(PTS!AJ:AJ)))</f>
        <v>6.7351999999999999</v>
      </c>
      <c r="AH162" s="531">
        <f t="shared" si="26"/>
        <v>55.109957923065444</v>
      </c>
      <c r="AI162" s="10" cm="1">
        <f t="array" ref="AI162">AVERAGE(_xlfn._xlws.FILTER(PTS!AM:AM, (PTS!$C:$C=A162) * ISNUMBER(PTS!AM:AM)))</f>
        <v>79.999999999999986</v>
      </c>
      <c r="AJ162" s="10" cm="1">
        <f t="array" ref="AJ162">AVERAGE(_xlfn._xlws.FILTER(PTS!AN:AN, (PTS!$C:$C=A162) * ISNUMBER(PTS!AN:AN)))</f>
        <v>26.17808219178082</v>
      </c>
      <c r="AK162" s="10" cm="1">
        <f t="array" ref="AK162">AVERAGE(_xlfn._xlws.FILTER(PTS!AO:AO, (PTS!$C:$C=A162) * ISNUMBER(PTS!AO:AO)))</f>
        <v>0</v>
      </c>
      <c r="AN162" s="10">
        <f t="shared" si="27"/>
        <v>106.1780821917808</v>
      </c>
      <c r="AR162" s="531">
        <f t="shared" si="28"/>
        <v>946.78197950878564</v>
      </c>
      <c r="AS162" s="531">
        <f t="shared" si="29"/>
        <v>1316.7819795087855</v>
      </c>
    </row>
    <row r="163" spans="1:45">
      <c r="A163" s="32" t="s">
        <v>591</v>
      </c>
      <c r="B163" s="319" t="s">
        <v>80</v>
      </c>
      <c r="C163" s="319" t="str">
        <f t="shared" si="20"/>
        <v>New OrleansLA</v>
      </c>
      <c r="D163" s="10">
        <f>VLOOKUP(A:A,PTS!C:R,6,FALSE)</f>
        <v>1</v>
      </c>
      <c r="E163" s="531" cm="1">
        <f t="array" ref="E163">AVERAGE(_xlfn._xlws.FILTER(PTS!I:I, (PTS!$C:$C=A163) * ISNUMBER(PTS!I:I)))</f>
        <v>0</v>
      </c>
      <c r="F163" s="10" cm="1">
        <f t="array" ref="F163">AVERAGE(_xlfn._xlws.FILTER(PTS!J:J, (PTS!$C:$C=A163) * ISNUMBER(PTS!J:J)))</f>
        <v>50</v>
      </c>
      <c r="G163" s="531" cm="1">
        <f t="array" ref="G163">AVERAGE(_xlfn._xlws.FILTER(PTS!K:K, (PTS!$C:$C=A163) * ISNUMBER(PTS!K:K)))</f>
        <v>0</v>
      </c>
      <c r="H163" s="531" cm="1">
        <f t="array" ref="H163">AVERAGE(_xlfn._xlws.FILTER(PTS!L:L, (PTS!$C:$C=A163) * ISNUMBER(PTS!L:L)))</f>
        <v>0</v>
      </c>
      <c r="I163" s="531" cm="1">
        <f t="array" ref="I163">AVERAGE(_xlfn._xlws.FILTER(PTS!M:M, (PTS!$C:$C=A163) * ISNUMBER(PTS!M:M)))</f>
        <v>0</v>
      </c>
      <c r="J163" s="531" cm="1">
        <f t="array" ref="J163">AVERAGE(_xlfn._xlws.FILTER(PTS!N:N, (PTS!$C:$C=A163) * ISNUMBER(PTS!N:N)))</f>
        <v>48</v>
      </c>
      <c r="K163" s="531" cm="1">
        <f t="array" ref="K163">AVERAGE(_xlfn._xlws.FILTER(PTS!O:O, (PTS!$C:$C=A163) * ISNUMBER(PTS!O:O)))</f>
        <v>37.916666666666671</v>
      </c>
      <c r="L163" s="10" cm="1">
        <f t="array" ref="L163">AVERAGE(_xlfn._xlws.FILTER(PTS!P:P, (PTS!$C:$C=A163) * ISNUMBER(PTS!P:P)))</f>
        <v>0</v>
      </c>
      <c r="M163" s="531">
        <f t="shared" si="21"/>
        <v>135.91666666666669</v>
      </c>
      <c r="N163" s="531">
        <f t="shared" si="22"/>
        <v>85.916666666666671</v>
      </c>
      <c r="O163" s="531" cm="1">
        <f t="array" ref="O163">AVERAGE(_xlfn._xlws.FILTER(PTS!S:S, (PTS!$C:$C=A163) * ISNUMBER(PTS!S:S)))</f>
        <v>0</v>
      </c>
      <c r="P163" s="531" cm="1">
        <f t="array" ref="P163">AVERAGE(_xlfn._xlws.FILTER(PTS!T:T, (PTS!$C:$C=A163) * ISNUMBER(PTS!T:T)))</f>
        <v>0</v>
      </c>
      <c r="Q163" s="531" cm="1">
        <f t="array" ref="Q163">AVERAGE(_xlfn._xlws.FILTER(PTS!U:U, (PTS!$C:$C=A163) * ISNUMBER(PTS!U:U)))</f>
        <v>281.7045454545455</v>
      </c>
      <c r="S163" s="531">
        <f t="shared" si="23"/>
        <v>281.7045454545455</v>
      </c>
      <c r="T163" s="531" cm="1">
        <f t="array" ref="T163">AVERAGE(_xlfn._xlws.FILTER(PTS!X:X, (PTS!$C:$C=A163) * ISNUMBER(PTS!X:X)))</f>
        <v>54</v>
      </c>
      <c r="U163" s="531" cm="1">
        <f t="array" ref="U163">AVERAGE(_xlfn._xlws.FILTER(PTS!Y:Y, (PTS!$C:$C=A163) * ISNUMBER(PTS!Y:Y)))</f>
        <v>50.4</v>
      </c>
      <c r="V163" s="531" cm="1">
        <f t="array" ref="V163">AVERAGE(_xlfn._xlws.FILTER(PTS!Z:Z, (PTS!$C:$C=A163) * ISNUMBER(PTS!Z:Z)))</f>
        <v>26.25</v>
      </c>
      <c r="X163" s="531">
        <f t="shared" si="24"/>
        <v>130.65</v>
      </c>
      <c r="Y163" s="531" cm="1">
        <f t="array" ref="Y163">AVERAGE(_xlfn._xlws.FILTER(PTS!AC:AC, (PTS!$C:$C=A163) * ISNUMBER(PTS!AC:AC)))</f>
        <v>132.95454545454544</v>
      </c>
      <c r="Z163" s="531" cm="1">
        <f t="array" ref="Z163">AVERAGE(_xlfn._xlws.FILTER(PTS!AD:AD, (PTS!$C:$C=A163) * ISNUMBER(PTS!AD:AD)))</f>
        <v>197.95454545454547</v>
      </c>
      <c r="AB163" s="531">
        <f t="shared" si="25"/>
        <v>330.90909090909088</v>
      </c>
      <c r="AC163" s="10" cm="1">
        <f t="array" ref="AC163">AVERAGE(_xlfn._xlws.FILTER(PTS!AG:AG, (PTS!$C:$C=A163) * ISNUMBER(PTS!AG:AG)))</f>
        <v>28.814300000000003</v>
      </c>
      <c r="AD163" s="531" cm="1">
        <f t="array" ref="AD163">AVERAGE(_xlfn._xlws.FILTER(PTS!AH:AH, (PTS!$C:$C=A163) * ISNUMBER(PTS!AH:AH)))</f>
        <v>6.973140495867769</v>
      </c>
      <c r="AE163" s="531" cm="1">
        <f t="array" ref="AE163">AVERAGE(_xlfn._xlws.FILTER(PTS!AI:AI, (PTS!$C:$C=A163) * ISNUMBER(PTS!AI:AI)))</f>
        <v>12.587317427197677</v>
      </c>
      <c r="AF163" s="531" cm="1">
        <f t="array" ref="AF163">AVERAGE(_xlfn._xlws.FILTER(PTS!AJ:AJ, (PTS!$C:$C=A163) * ISNUMBER(PTS!AJ:AJ)))</f>
        <v>6.7351999999999999</v>
      </c>
      <c r="AH163" s="531">
        <f t="shared" si="26"/>
        <v>55.109957923065444</v>
      </c>
      <c r="AI163" s="10" cm="1">
        <f t="array" ref="AI163">AVERAGE(_xlfn._xlws.FILTER(PTS!AM:AM, (PTS!$C:$C=A163) * ISNUMBER(PTS!AM:AM)))</f>
        <v>79.999999999999986</v>
      </c>
      <c r="AJ163" s="10" cm="1">
        <f t="array" ref="AJ163">AVERAGE(_xlfn._xlws.FILTER(PTS!AN:AN, (PTS!$C:$C=A163) * ISNUMBER(PTS!AN:AN)))</f>
        <v>26.17808219178082</v>
      </c>
      <c r="AK163" s="10" cm="1">
        <f t="array" ref="AK163">AVERAGE(_xlfn._xlws.FILTER(PTS!AO:AO, (PTS!$C:$C=A163) * ISNUMBER(PTS!AO:AO)))</f>
        <v>0</v>
      </c>
      <c r="AN163" s="10">
        <f t="shared" si="27"/>
        <v>106.1780821917808</v>
      </c>
      <c r="AR163" s="531">
        <f t="shared" si="28"/>
        <v>990.46834314514933</v>
      </c>
      <c r="AS163" s="531">
        <f t="shared" si="29"/>
        <v>1040.4683431451492</v>
      </c>
    </row>
    <row r="164" spans="1:45">
      <c r="A164" s="32" t="s">
        <v>595</v>
      </c>
      <c r="B164" s="319" t="s">
        <v>136</v>
      </c>
      <c r="C164" s="319" t="str">
        <f t="shared" si="20"/>
        <v>Newton Grove NC</v>
      </c>
      <c r="D164" s="10" t="e">
        <f>VLOOKUP(A:A,PTS!C:R,6,FALSE)</f>
        <v>#N/A</v>
      </c>
      <c r="E164" s="531" t="e" cm="1" vm="1">
        <f t="array" ref="E164">AVERAGE(_xlfn._xlws.FILTER(PTS!I:I, (PTS!$C:$C=A164) * ISNUMBER(PTS!I:I)))</f>
        <v>#VALUE!</v>
      </c>
      <c r="F164" s="10" t="e" cm="1" vm="1">
        <f t="array" ref="F164">AVERAGE(_xlfn._xlws.FILTER(PTS!J:J, (PTS!$C:$C=A164) * ISNUMBER(PTS!J:J)))</f>
        <v>#VALUE!</v>
      </c>
      <c r="G164" s="531" t="e" cm="1" vm="1">
        <f t="array" ref="G164">AVERAGE(_xlfn._xlws.FILTER(PTS!K:K, (PTS!$C:$C=A164) * ISNUMBER(PTS!K:K)))</f>
        <v>#VALUE!</v>
      </c>
      <c r="H164" s="531" t="e" cm="1" vm="1">
        <f t="array" ref="H164">AVERAGE(_xlfn._xlws.FILTER(PTS!L:L, (PTS!$C:$C=A164) * ISNUMBER(PTS!L:L)))</f>
        <v>#VALUE!</v>
      </c>
      <c r="I164" s="531" t="e" cm="1" vm="1">
        <f t="array" ref="I164">AVERAGE(_xlfn._xlws.FILTER(PTS!M:M, (PTS!$C:$C=A164) * ISNUMBER(PTS!M:M)))</f>
        <v>#VALUE!</v>
      </c>
      <c r="J164" s="531" t="e" cm="1" vm="1">
        <f t="array" ref="J164">AVERAGE(_xlfn._xlws.FILTER(PTS!N:N, (PTS!$C:$C=A164) * ISNUMBER(PTS!N:N)))</f>
        <v>#VALUE!</v>
      </c>
      <c r="K164" s="531" t="e" cm="1" vm="1">
        <f t="array" ref="K164">AVERAGE(_xlfn._xlws.FILTER(PTS!O:O, (PTS!$C:$C=A164) * ISNUMBER(PTS!O:O)))</f>
        <v>#VALUE!</v>
      </c>
      <c r="L164" s="10" t="e" cm="1" vm="1">
        <f t="array" ref="L164">AVERAGE(_xlfn._xlws.FILTER(PTS!P:P, (PTS!$C:$C=A164) * ISNUMBER(PTS!P:P)))</f>
        <v>#VALUE!</v>
      </c>
      <c r="M164" s="531" t="e" vm="2">
        <f t="shared" si="21"/>
        <v>#VALUE!</v>
      </c>
      <c r="N164" s="531" t="e">
        <f t="shared" si="22"/>
        <v>#N/A</v>
      </c>
      <c r="O164" s="531" t="e" cm="1" vm="1">
        <f t="array" ref="O164">AVERAGE(_xlfn._xlws.FILTER(PTS!S:S, (PTS!$C:$C=A164) * ISNUMBER(PTS!S:S)))</f>
        <v>#VALUE!</v>
      </c>
      <c r="P164" s="531" t="e" cm="1" vm="1">
        <f t="array" ref="P164">AVERAGE(_xlfn._xlws.FILTER(PTS!T:T, (PTS!$C:$C=A164) * ISNUMBER(PTS!T:T)))</f>
        <v>#VALUE!</v>
      </c>
      <c r="Q164" s="531" t="e" cm="1" vm="1">
        <f t="array" ref="Q164">AVERAGE(_xlfn._xlws.FILTER(PTS!U:U, (PTS!$C:$C=A164) * ISNUMBER(PTS!U:U)))</f>
        <v>#VALUE!</v>
      </c>
      <c r="S164" s="531" t="e" vm="2">
        <f t="shared" si="23"/>
        <v>#VALUE!</v>
      </c>
      <c r="T164" s="531" t="e" cm="1" vm="1">
        <f t="array" ref="T164">AVERAGE(_xlfn._xlws.FILTER(PTS!X:X, (PTS!$C:$C=A164) * ISNUMBER(PTS!X:X)))</f>
        <v>#VALUE!</v>
      </c>
      <c r="U164" s="531" t="e" cm="1" vm="1">
        <f t="array" ref="U164">AVERAGE(_xlfn._xlws.FILTER(PTS!Y:Y, (PTS!$C:$C=A164) * ISNUMBER(PTS!Y:Y)))</f>
        <v>#VALUE!</v>
      </c>
      <c r="V164" s="531" t="e" cm="1" vm="1">
        <f t="array" ref="V164">AVERAGE(_xlfn._xlws.FILTER(PTS!Z:Z, (PTS!$C:$C=A164) * ISNUMBER(PTS!Z:Z)))</f>
        <v>#VALUE!</v>
      </c>
      <c r="X164" s="531" t="e" vm="2">
        <f t="shared" si="24"/>
        <v>#VALUE!</v>
      </c>
      <c r="Y164" s="531" t="e" cm="1" vm="1">
        <f t="array" ref="Y164">AVERAGE(_xlfn._xlws.FILTER(PTS!AC:AC, (PTS!$C:$C=A164) * ISNUMBER(PTS!AC:AC)))</f>
        <v>#VALUE!</v>
      </c>
      <c r="Z164" s="531" t="e" cm="1" vm="1">
        <f t="array" ref="Z164">AVERAGE(_xlfn._xlws.FILTER(PTS!AD:AD, (PTS!$C:$C=A164) * ISNUMBER(PTS!AD:AD)))</f>
        <v>#VALUE!</v>
      </c>
      <c r="AB164" s="531" t="e" vm="2">
        <f t="shared" si="25"/>
        <v>#VALUE!</v>
      </c>
      <c r="AC164" s="10" t="e" cm="1" vm="1">
        <f t="array" ref="AC164">AVERAGE(_xlfn._xlws.FILTER(PTS!AG:AG, (PTS!$C:$C=A164) * ISNUMBER(PTS!AG:AG)))</f>
        <v>#VALUE!</v>
      </c>
      <c r="AD164" s="531" t="e" cm="1" vm="1">
        <f t="array" ref="AD164">AVERAGE(_xlfn._xlws.FILTER(PTS!AH:AH, (PTS!$C:$C=A164) * ISNUMBER(PTS!AH:AH)))</f>
        <v>#VALUE!</v>
      </c>
      <c r="AE164" s="531" t="e" cm="1" vm="1">
        <f t="array" ref="AE164">AVERAGE(_xlfn._xlws.FILTER(PTS!AI:AI, (PTS!$C:$C=A164) * ISNUMBER(PTS!AI:AI)))</f>
        <v>#VALUE!</v>
      </c>
      <c r="AF164" s="531" t="e" cm="1" vm="1">
        <f t="array" ref="AF164">AVERAGE(_xlfn._xlws.FILTER(PTS!AJ:AJ, (PTS!$C:$C=A164) * ISNUMBER(PTS!AJ:AJ)))</f>
        <v>#VALUE!</v>
      </c>
      <c r="AH164" s="531" t="e" vm="2">
        <f t="shared" si="26"/>
        <v>#VALUE!</v>
      </c>
      <c r="AI164" s="10" t="e" cm="1" vm="1">
        <f t="array" ref="AI164">AVERAGE(_xlfn._xlws.FILTER(PTS!AM:AM, (PTS!$C:$C=A164) * ISNUMBER(PTS!AM:AM)))</f>
        <v>#VALUE!</v>
      </c>
      <c r="AJ164" s="10" t="e" cm="1" vm="1">
        <f t="array" ref="AJ164">AVERAGE(_xlfn._xlws.FILTER(PTS!AN:AN, (PTS!$C:$C=A164) * ISNUMBER(PTS!AN:AN)))</f>
        <v>#VALUE!</v>
      </c>
      <c r="AK164" s="10" t="e" cm="1" vm="1">
        <f t="array" ref="AK164">AVERAGE(_xlfn._xlws.FILTER(PTS!AO:AO, (PTS!$C:$C=A164) * ISNUMBER(PTS!AO:AO)))</f>
        <v>#VALUE!</v>
      </c>
      <c r="AN164" s="10" t="e" vm="2">
        <f t="shared" si="27"/>
        <v>#VALUE!</v>
      </c>
      <c r="AR164" s="531" t="e">
        <f t="shared" si="28"/>
        <v>#N/A</v>
      </c>
      <c r="AS164" s="531" t="e" vm="2">
        <f t="shared" si="29"/>
        <v>#VALUE!</v>
      </c>
    </row>
    <row r="165" spans="1:45">
      <c r="A165" s="32" t="s">
        <v>598</v>
      </c>
      <c r="B165" s="319" t="s">
        <v>76</v>
      </c>
      <c r="C165" s="319" t="str">
        <f t="shared" si="20"/>
        <v>Norman ParkGA</v>
      </c>
      <c r="D165" s="10">
        <f>VLOOKUP(A:A,PTS!C:R,6,FALSE)</f>
        <v>4</v>
      </c>
      <c r="E165" s="531" cm="1">
        <f t="array" ref="E165">AVERAGE(_xlfn._xlws.FILTER(PTS!I:I, (PTS!$C:$C=A165) * ISNUMBER(PTS!I:I)))</f>
        <v>80</v>
      </c>
      <c r="F165" s="10" cm="1">
        <f t="array" ref="F165">AVERAGE(_xlfn._xlws.FILTER(PTS!J:J, (PTS!$C:$C=A165) * ISNUMBER(PTS!J:J)))</f>
        <v>120</v>
      </c>
      <c r="G165" s="531" cm="1">
        <f t="array" ref="G165">AVERAGE(_xlfn._xlws.FILTER(PTS!K:K, (PTS!$C:$C=A165) * ISNUMBER(PTS!K:K)))</f>
        <v>0</v>
      </c>
      <c r="H165" s="531" cm="1">
        <f t="array" ref="H165">AVERAGE(_xlfn._xlws.FILTER(PTS!L:L, (PTS!$C:$C=A165) * ISNUMBER(PTS!L:L)))</f>
        <v>0</v>
      </c>
      <c r="I165" s="531" cm="1">
        <f t="array" ref="I165">AVERAGE(_xlfn._xlws.FILTER(PTS!M:M, (PTS!$C:$C=A165) * ISNUMBER(PTS!M:M)))</f>
        <v>0</v>
      </c>
      <c r="J165" s="531" cm="1">
        <f t="array" ref="J165">AVERAGE(_xlfn._xlws.FILTER(PTS!N:N, (PTS!$C:$C=A165) * ISNUMBER(PTS!N:N)))</f>
        <v>55</v>
      </c>
      <c r="K165" s="531" cm="1">
        <f t="array" ref="K165">AVERAGE(_xlfn._xlws.FILTER(PTS!O:O, (PTS!$C:$C=A165) * ISNUMBER(PTS!O:O)))</f>
        <v>37.916666666666671</v>
      </c>
      <c r="L165" s="10" cm="1">
        <f t="array" ref="L165">AVERAGE(_xlfn._xlws.FILTER(PTS!P:P, (PTS!$C:$C=A165) * ISNUMBER(PTS!P:P)))</f>
        <v>0</v>
      </c>
      <c r="M165" s="531">
        <f t="shared" si="21"/>
        <v>292.91666666666669</v>
      </c>
      <c r="N165" s="531">
        <f t="shared" si="22"/>
        <v>37.916666666666671</v>
      </c>
      <c r="O165" s="531" cm="1">
        <f t="array" ref="O165">AVERAGE(_xlfn._xlws.FILTER(PTS!S:S, (PTS!$C:$C=A165) * ISNUMBER(PTS!S:S)))</f>
        <v>0</v>
      </c>
      <c r="P165" s="531" cm="1">
        <f t="array" ref="P165">AVERAGE(_xlfn._xlws.FILTER(PTS!T:T, (PTS!$C:$C=A165) * ISNUMBER(PTS!T:T)))</f>
        <v>0</v>
      </c>
      <c r="Q165" s="531" cm="1">
        <f t="array" ref="Q165">AVERAGE(_xlfn._xlws.FILTER(PTS!U:U, (PTS!$C:$C=A165) * ISNUMBER(PTS!U:U)))</f>
        <v>219.70909090909092</v>
      </c>
      <c r="S165" s="531">
        <f t="shared" si="23"/>
        <v>219.70909090909092</v>
      </c>
      <c r="T165" s="531" cm="1">
        <f t="array" ref="T165">AVERAGE(_xlfn._xlws.FILTER(PTS!X:X, (PTS!$C:$C=A165) * ISNUMBER(PTS!X:X)))</f>
        <v>52</v>
      </c>
      <c r="U165" s="531" cm="1">
        <f t="array" ref="U165">AVERAGE(_xlfn._xlws.FILTER(PTS!Y:Y, (PTS!$C:$C=A165) * ISNUMBER(PTS!Y:Y)))</f>
        <v>50.4</v>
      </c>
      <c r="V165" s="531" cm="1">
        <f t="array" ref="V165">AVERAGE(_xlfn._xlws.FILTER(PTS!Z:Z, (PTS!$C:$C=A165) * ISNUMBER(PTS!Z:Z)))</f>
        <v>26.25</v>
      </c>
      <c r="X165" s="531">
        <f t="shared" si="24"/>
        <v>128.65</v>
      </c>
      <c r="Y165" s="531" cm="1">
        <f t="array" ref="Y165">AVERAGE(_xlfn._xlws.FILTER(PTS!AC:AC, (PTS!$C:$C=A165) * ISNUMBER(PTS!AC:AC)))</f>
        <v>110.22727272727273</v>
      </c>
      <c r="Z165" s="531" cm="1">
        <f t="array" ref="Z165">AVERAGE(_xlfn._xlws.FILTER(PTS!AD:AD, (PTS!$C:$C=A165) * ISNUMBER(PTS!AD:AD)))</f>
        <v>107.04545454545455</v>
      </c>
      <c r="AB165" s="531">
        <f t="shared" si="25"/>
        <v>217.27272727272728</v>
      </c>
      <c r="AC165" s="10" cm="1">
        <f t="array" ref="AC165">AVERAGE(_xlfn._xlws.FILTER(PTS!AG:AG, (PTS!$C:$C=A165) * ISNUMBER(PTS!AG:AG)))</f>
        <v>28.814300000000003</v>
      </c>
      <c r="AD165" s="531" cm="1">
        <f t="array" ref="AD165">AVERAGE(_xlfn._xlws.FILTER(PTS!AH:AH, (PTS!$C:$C=A165) * ISNUMBER(PTS!AH:AH)))</f>
        <v>6.973140495867769</v>
      </c>
      <c r="AE165" s="531" cm="1">
        <f t="array" ref="AE165">AVERAGE(_xlfn._xlws.FILTER(PTS!AI:AI, (PTS!$C:$C=A165) * ISNUMBER(PTS!AI:AI)))</f>
        <v>12.587317427197677</v>
      </c>
      <c r="AF165" s="531" cm="1">
        <f t="array" ref="AF165">AVERAGE(_xlfn._xlws.FILTER(PTS!AJ:AJ, (PTS!$C:$C=A165) * ISNUMBER(PTS!AJ:AJ)))</f>
        <v>6.7351999999999999</v>
      </c>
      <c r="AH165" s="531">
        <f t="shared" si="26"/>
        <v>55.109957923065444</v>
      </c>
      <c r="AI165" s="10" cm="1">
        <f t="array" ref="AI165">AVERAGE(_xlfn._xlws.FILTER(PTS!AM:AM, (PTS!$C:$C=A165) * ISNUMBER(PTS!AM:AM)))</f>
        <v>79.999999999999986</v>
      </c>
      <c r="AJ165" s="10" cm="1">
        <f t="array" ref="AJ165">AVERAGE(_xlfn._xlws.FILTER(PTS!AN:AN, (PTS!$C:$C=A165) * ISNUMBER(PTS!AN:AN)))</f>
        <v>26.17808219178082</v>
      </c>
      <c r="AK165" s="10" cm="1">
        <f t="array" ref="AK165">AVERAGE(_xlfn._xlws.FILTER(PTS!AO:AO, (PTS!$C:$C=A165) * ISNUMBER(PTS!AO:AO)))</f>
        <v>0</v>
      </c>
      <c r="AN165" s="10">
        <f t="shared" si="27"/>
        <v>106.1780821917808</v>
      </c>
      <c r="AR165" s="531">
        <f t="shared" si="28"/>
        <v>764.83652496333104</v>
      </c>
      <c r="AS165" s="531">
        <f t="shared" si="29"/>
        <v>1019.836524963331</v>
      </c>
    </row>
    <row r="166" spans="1:45">
      <c r="A166" s="32" t="s">
        <v>600</v>
      </c>
      <c r="B166" s="319" t="s">
        <v>132</v>
      </c>
      <c r="C166" s="319" t="str">
        <f t="shared" si="20"/>
        <v>NorthSC</v>
      </c>
      <c r="D166" s="10">
        <f>VLOOKUP(A:A,PTS!C:R,6,FALSE)</f>
        <v>1</v>
      </c>
      <c r="E166" s="531" cm="1">
        <f t="array" ref="E166">AVERAGE(_xlfn._xlws.FILTER(PTS!I:I, (PTS!$C:$C=A166) * ISNUMBER(PTS!I:I)))</f>
        <v>40</v>
      </c>
      <c r="F166" s="10" cm="1">
        <f t="array" ref="F166">AVERAGE(_xlfn._xlws.FILTER(PTS!J:J, (PTS!$C:$C=A166) * ISNUMBER(PTS!J:J)))</f>
        <v>80</v>
      </c>
      <c r="G166" s="531" cm="1">
        <f t="array" ref="G166">AVERAGE(_xlfn._xlws.FILTER(PTS!K:K, (PTS!$C:$C=A166) * ISNUMBER(PTS!K:K)))</f>
        <v>0</v>
      </c>
      <c r="H166" s="531" cm="1">
        <f t="array" ref="H166">AVERAGE(_xlfn._xlws.FILTER(PTS!L:L, (PTS!$C:$C=A166) * ISNUMBER(PTS!L:L)))</f>
        <v>0</v>
      </c>
      <c r="I166" s="531" cm="1">
        <f t="array" ref="I166">AVERAGE(_xlfn._xlws.FILTER(PTS!M:M, (PTS!$C:$C=A166) * ISNUMBER(PTS!M:M)))</f>
        <v>10</v>
      </c>
      <c r="J166" s="531" cm="1">
        <f t="array" ref="J166">AVERAGE(_xlfn._xlws.FILTER(PTS!N:N, (PTS!$C:$C=A166) * ISNUMBER(PTS!N:N)))</f>
        <v>54</v>
      </c>
      <c r="K166" s="531" cm="1">
        <f t="array" ref="K166">AVERAGE(_xlfn._xlws.FILTER(PTS!O:O, (PTS!$C:$C=A166) * ISNUMBER(PTS!O:O)))</f>
        <v>37.916666666666671</v>
      </c>
      <c r="L166" s="10" cm="1">
        <f t="array" ref="L166">AVERAGE(_xlfn._xlws.FILTER(PTS!P:P, (PTS!$C:$C=A166) * ISNUMBER(PTS!P:P)))</f>
        <v>0</v>
      </c>
      <c r="M166" s="531">
        <f t="shared" si="21"/>
        <v>221.91666666666669</v>
      </c>
      <c r="N166" s="531">
        <f t="shared" si="22"/>
        <v>91.916666666666671</v>
      </c>
      <c r="O166" s="531" cm="1">
        <f t="array" ref="O166">AVERAGE(_xlfn._xlws.FILTER(PTS!S:S, (PTS!$C:$C=A166) * ISNUMBER(PTS!S:S)))</f>
        <v>0</v>
      </c>
      <c r="P166" s="531" cm="1">
        <f t="array" ref="P166">AVERAGE(_xlfn._xlws.FILTER(PTS!T:T, (PTS!$C:$C=A166) * ISNUMBER(PTS!T:T)))</f>
        <v>0</v>
      </c>
      <c r="Q166" s="531" cm="1">
        <f t="array" ref="Q166">AVERAGE(_xlfn._xlws.FILTER(PTS!U:U, (PTS!$C:$C=A166) * ISNUMBER(PTS!U:U)))</f>
        <v>172.01704545454547</v>
      </c>
      <c r="S166" s="531">
        <f t="shared" si="23"/>
        <v>172.01704545454547</v>
      </c>
      <c r="T166" s="531" cm="1">
        <f t="array" ref="T166">AVERAGE(_xlfn._xlws.FILTER(PTS!X:X, (PTS!$C:$C=A166) * ISNUMBER(PTS!X:X)))</f>
        <v>52</v>
      </c>
      <c r="U166" s="531" cm="1">
        <f t="array" ref="U166">AVERAGE(_xlfn._xlws.FILTER(PTS!Y:Y, (PTS!$C:$C=A166) * ISNUMBER(PTS!Y:Y)))</f>
        <v>50.4</v>
      </c>
      <c r="V166" s="531" cm="1">
        <f t="array" ref="V166">AVERAGE(_xlfn._xlws.FILTER(PTS!Z:Z, (PTS!$C:$C=A166) * ISNUMBER(PTS!Z:Z)))</f>
        <v>26.25</v>
      </c>
      <c r="X166" s="531">
        <f t="shared" si="24"/>
        <v>128.65</v>
      </c>
      <c r="Y166" s="531" cm="1">
        <f t="array" ref="Y166">AVERAGE(_xlfn._xlws.FILTER(PTS!AC:AC, (PTS!$C:$C=A166) * ISNUMBER(PTS!AC:AC)))</f>
        <v>110.22727272727273</v>
      </c>
      <c r="Z166" s="531" cm="1">
        <f t="array" ref="Z166">AVERAGE(_xlfn._xlws.FILTER(PTS!AD:AD, (PTS!$C:$C=A166) * ISNUMBER(PTS!AD:AD)))</f>
        <v>107.04545454545455</v>
      </c>
      <c r="AB166" s="531">
        <f t="shared" si="25"/>
        <v>217.27272727272728</v>
      </c>
      <c r="AC166" s="10" cm="1">
        <f t="array" ref="AC166">AVERAGE(_xlfn._xlws.FILTER(PTS!AG:AG, (PTS!$C:$C=A166) * ISNUMBER(PTS!AG:AG)))</f>
        <v>28.814300000000003</v>
      </c>
      <c r="AD166" s="531" cm="1">
        <f t="array" ref="AD166">AVERAGE(_xlfn._xlws.FILTER(PTS!AH:AH, (PTS!$C:$C=A166) * ISNUMBER(PTS!AH:AH)))</f>
        <v>6.973140495867769</v>
      </c>
      <c r="AE166" s="531" cm="1">
        <f t="array" ref="AE166">AVERAGE(_xlfn._xlws.FILTER(PTS!AI:AI, (PTS!$C:$C=A166) * ISNUMBER(PTS!AI:AI)))</f>
        <v>12.587317427197677</v>
      </c>
      <c r="AF166" s="531" cm="1">
        <f t="array" ref="AF166">AVERAGE(_xlfn._xlws.FILTER(PTS!AJ:AJ, (PTS!$C:$C=A166) * ISNUMBER(PTS!AJ:AJ)))</f>
        <v>6.7351999999999999</v>
      </c>
      <c r="AH166" s="531">
        <f t="shared" si="26"/>
        <v>55.109957923065444</v>
      </c>
      <c r="AI166" s="10" cm="1">
        <f t="array" ref="AI166">AVERAGE(_xlfn._xlws.FILTER(PTS!AM:AM, (PTS!$C:$C=A166) * ISNUMBER(PTS!AM:AM)))</f>
        <v>79.999999999999986</v>
      </c>
      <c r="AJ166" s="10" cm="1">
        <f t="array" ref="AJ166">AVERAGE(_xlfn._xlws.FILTER(PTS!AN:AN, (PTS!$C:$C=A166) * ISNUMBER(PTS!AN:AN)))</f>
        <v>26.17808219178082</v>
      </c>
      <c r="AK166" s="10" cm="1">
        <f t="array" ref="AK166">AVERAGE(_xlfn._xlws.FILTER(PTS!AO:AO, (PTS!$C:$C=A166) * ISNUMBER(PTS!AO:AO)))</f>
        <v>0</v>
      </c>
      <c r="AN166" s="10">
        <f t="shared" si="27"/>
        <v>106.1780821917808</v>
      </c>
      <c r="AR166" s="531">
        <f t="shared" si="28"/>
        <v>771.14447950878559</v>
      </c>
      <c r="AS166" s="531">
        <f t="shared" si="29"/>
        <v>901.14447950878559</v>
      </c>
    </row>
    <row r="167" spans="1:45">
      <c r="A167" s="32" t="s">
        <v>602</v>
      </c>
      <c r="B167" s="319" t="s">
        <v>76</v>
      </c>
      <c r="C167" s="319" t="str">
        <f t="shared" si="20"/>
        <v>OcillaGA</v>
      </c>
      <c r="D167" s="10">
        <f>VLOOKUP(A:A,PTS!C:R,6,FALSE)</f>
        <v>4</v>
      </c>
      <c r="E167" s="531" cm="1">
        <f t="array" ref="E167">AVERAGE(_xlfn._xlws.FILTER(PTS!I:I, (PTS!$C:$C=A167) * ISNUMBER(PTS!I:I)))</f>
        <v>60</v>
      </c>
      <c r="F167" s="10" cm="1">
        <f t="array" ref="F167">AVERAGE(_xlfn._xlws.FILTER(PTS!J:J, (PTS!$C:$C=A167) * ISNUMBER(PTS!J:J)))</f>
        <v>100</v>
      </c>
      <c r="G167" s="531" cm="1">
        <f t="array" ref="G167">AVERAGE(_xlfn._xlws.FILTER(PTS!K:K, (PTS!$C:$C=A167) * ISNUMBER(PTS!K:K)))</f>
        <v>0</v>
      </c>
      <c r="H167" s="531" cm="1">
        <f t="array" ref="H167">AVERAGE(_xlfn._xlws.FILTER(PTS!L:L, (PTS!$C:$C=A167) * ISNUMBER(PTS!L:L)))</f>
        <v>0</v>
      </c>
      <c r="I167" s="531" cm="1">
        <f t="array" ref="I167">AVERAGE(_xlfn._xlws.FILTER(PTS!M:M, (PTS!$C:$C=A167) * ISNUMBER(PTS!M:M)))</f>
        <v>10</v>
      </c>
      <c r="J167" s="531" cm="1">
        <f t="array" ref="J167">AVERAGE(_xlfn._xlws.FILTER(PTS!N:N, (PTS!$C:$C=A167) * ISNUMBER(PTS!N:N)))</f>
        <v>60</v>
      </c>
      <c r="K167" s="531" cm="1">
        <f t="array" ref="K167">AVERAGE(_xlfn._xlws.FILTER(PTS!O:O, (PTS!$C:$C=A167) * ISNUMBER(PTS!O:O)))</f>
        <v>37.916666666666671</v>
      </c>
      <c r="L167" s="10" cm="1">
        <f t="array" ref="L167">AVERAGE(_xlfn._xlws.FILTER(PTS!P:P, (PTS!$C:$C=A167) * ISNUMBER(PTS!P:P)))</f>
        <v>0</v>
      </c>
      <c r="M167" s="531">
        <f t="shared" si="21"/>
        <v>267.91666666666669</v>
      </c>
      <c r="N167" s="531">
        <f t="shared" si="22"/>
        <v>37.916666666666671</v>
      </c>
      <c r="O167" s="531" cm="1">
        <f t="array" ref="O167">AVERAGE(_xlfn._xlws.FILTER(PTS!S:S, (PTS!$C:$C=A167) * ISNUMBER(PTS!S:S)))</f>
        <v>0</v>
      </c>
      <c r="P167" s="531" cm="1">
        <f t="array" ref="P167">AVERAGE(_xlfn._xlws.FILTER(PTS!T:T, (PTS!$C:$C=A167) * ISNUMBER(PTS!T:T)))</f>
        <v>0</v>
      </c>
      <c r="Q167" s="531" cm="1">
        <f t="array" ref="Q167">AVERAGE(_xlfn._xlws.FILTER(PTS!U:U, (PTS!$C:$C=A167) * ISNUMBER(PTS!U:U)))</f>
        <v>202.66363636363636</v>
      </c>
      <c r="S167" s="531">
        <f t="shared" si="23"/>
        <v>202.66363636363636</v>
      </c>
      <c r="T167" s="531" cm="1">
        <f t="array" ref="T167">AVERAGE(_xlfn._xlws.FILTER(PTS!X:X, (PTS!$C:$C=A167) * ISNUMBER(PTS!X:X)))</f>
        <v>52</v>
      </c>
      <c r="U167" s="531" cm="1">
        <f t="array" ref="U167">AVERAGE(_xlfn._xlws.FILTER(PTS!Y:Y, (PTS!$C:$C=A167) * ISNUMBER(PTS!Y:Y)))</f>
        <v>50.4</v>
      </c>
      <c r="V167" s="531" cm="1">
        <f t="array" ref="V167">AVERAGE(_xlfn._xlws.FILTER(PTS!Z:Z, (PTS!$C:$C=A167) * ISNUMBER(PTS!Z:Z)))</f>
        <v>26.25</v>
      </c>
      <c r="X167" s="531">
        <f t="shared" si="24"/>
        <v>128.65</v>
      </c>
      <c r="Y167" s="531" cm="1">
        <f t="array" ref="Y167">AVERAGE(_xlfn._xlws.FILTER(PTS!AC:AC, (PTS!$C:$C=A167) * ISNUMBER(PTS!AC:AC)))</f>
        <v>110.22727272727273</v>
      </c>
      <c r="Z167" s="531" cm="1">
        <f t="array" ref="Z167">AVERAGE(_xlfn._xlws.FILTER(PTS!AD:AD, (PTS!$C:$C=A167) * ISNUMBER(PTS!AD:AD)))</f>
        <v>107.04545454545455</v>
      </c>
      <c r="AB167" s="531">
        <f t="shared" si="25"/>
        <v>217.27272727272728</v>
      </c>
      <c r="AC167" s="10" cm="1">
        <f t="array" ref="AC167">AVERAGE(_xlfn._xlws.FILTER(PTS!AG:AG, (PTS!$C:$C=A167) * ISNUMBER(PTS!AG:AG)))</f>
        <v>28.814300000000003</v>
      </c>
      <c r="AD167" s="531" cm="1">
        <f t="array" ref="AD167">AVERAGE(_xlfn._xlws.FILTER(PTS!AH:AH, (PTS!$C:$C=A167) * ISNUMBER(PTS!AH:AH)))</f>
        <v>6.973140495867769</v>
      </c>
      <c r="AE167" s="531" cm="1">
        <f t="array" ref="AE167">AVERAGE(_xlfn._xlws.FILTER(PTS!AI:AI, (PTS!$C:$C=A167) * ISNUMBER(PTS!AI:AI)))</f>
        <v>12.587317427197677</v>
      </c>
      <c r="AF167" s="531" cm="1">
        <f t="array" ref="AF167">AVERAGE(_xlfn._xlws.FILTER(PTS!AJ:AJ, (PTS!$C:$C=A167) * ISNUMBER(PTS!AJ:AJ)))</f>
        <v>6.7351999999999999</v>
      </c>
      <c r="AH167" s="531">
        <f t="shared" si="26"/>
        <v>55.109957923065444</v>
      </c>
      <c r="AI167" s="10" cm="1">
        <f t="array" ref="AI167">AVERAGE(_xlfn._xlws.FILTER(PTS!AM:AM, (PTS!$C:$C=A167) * ISNUMBER(PTS!AM:AM)))</f>
        <v>79.999999999999986</v>
      </c>
      <c r="AJ167" s="10" cm="1">
        <f t="array" ref="AJ167">AVERAGE(_xlfn._xlws.FILTER(PTS!AN:AN, (PTS!$C:$C=A167) * ISNUMBER(PTS!AN:AN)))</f>
        <v>26.17808219178082</v>
      </c>
      <c r="AK167" s="10" cm="1">
        <f t="array" ref="AK167">AVERAGE(_xlfn._xlws.FILTER(PTS!AO:AO, (PTS!$C:$C=A167) * ISNUMBER(PTS!AO:AO)))</f>
        <v>0</v>
      </c>
      <c r="AN167" s="10">
        <f t="shared" si="27"/>
        <v>106.1780821917808</v>
      </c>
      <c r="AR167" s="531">
        <f t="shared" si="28"/>
        <v>747.79107041787654</v>
      </c>
      <c r="AS167" s="531">
        <f t="shared" si="29"/>
        <v>977.79107041787654</v>
      </c>
    </row>
    <row r="168" spans="1:45">
      <c r="A168" s="32" t="s">
        <v>605</v>
      </c>
      <c r="B168" s="319" t="s">
        <v>76</v>
      </c>
      <c r="C168" s="319" t="str">
        <f t="shared" si="20"/>
        <v>Ocilla GA</v>
      </c>
      <c r="D168" s="10">
        <f>VLOOKUP(A:A,PTS!C:R,6,FALSE)</f>
        <v>4</v>
      </c>
      <c r="E168" s="531" cm="1">
        <f t="array" ref="E168">AVERAGE(_xlfn._xlws.FILTER(PTS!I:I, (PTS!$C:$C=A168) * ISNUMBER(PTS!I:I)))</f>
        <v>60</v>
      </c>
      <c r="F168" s="10" cm="1">
        <f t="array" ref="F168">AVERAGE(_xlfn._xlws.FILTER(PTS!J:J, (PTS!$C:$C=A168) * ISNUMBER(PTS!J:J)))</f>
        <v>100</v>
      </c>
      <c r="G168" s="531" cm="1">
        <f t="array" ref="G168">AVERAGE(_xlfn._xlws.FILTER(PTS!K:K, (PTS!$C:$C=A168) * ISNUMBER(PTS!K:K)))</f>
        <v>0</v>
      </c>
      <c r="H168" s="531" cm="1">
        <f t="array" ref="H168">AVERAGE(_xlfn._xlws.FILTER(PTS!L:L, (PTS!$C:$C=A168) * ISNUMBER(PTS!L:L)))</f>
        <v>0</v>
      </c>
      <c r="I168" s="531" cm="1">
        <f t="array" ref="I168">AVERAGE(_xlfn._xlws.FILTER(PTS!M:M, (PTS!$C:$C=A168) * ISNUMBER(PTS!M:M)))</f>
        <v>10</v>
      </c>
      <c r="J168" s="531" cm="1">
        <f t="array" ref="J168">AVERAGE(_xlfn._xlws.FILTER(PTS!N:N, (PTS!$C:$C=A168) * ISNUMBER(PTS!N:N)))</f>
        <v>60</v>
      </c>
      <c r="K168" s="531" cm="1">
        <f t="array" ref="K168">AVERAGE(_xlfn._xlws.FILTER(PTS!O:O, (PTS!$C:$C=A168) * ISNUMBER(PTS!O:O)))</f>
        <v>37.916666666666671</v>
      </c>
      <c r="L168" s="10" cm="1">
        <f t="array" ref="L168">AVERAGE(_xlfn._xlws.FILTER(PTS!P:P, (PTS!$C:$C=A168) * ISNUMBER(PTS!P:P)))</f>
        <v>0</v>
      </c>
      <c r="M168" s="531">
        <f t="shared" si="21"/>
        <v>267.91666666666669</v>
      </c>
      <c r="N168" s="531">
        <f t="shared" si="22"/>
        <v>37.916666666666671</v>
      </c>
      <c r="O168" s="531" cm="1">
        <f t="array" ref="O168">AVERAGE(_xlfn._xlws.FILTER(PTS!S:S, (PTS!$C:$C=A168) * ISNUMBER(PTS!S:S)))</f>
        <v>0</v>
      </c>
      <c r="P168" s="531" cm="1">
        <f t="array" ref="P168">AVERAGE(_xlfn._xlws.FILTER(PTS!T:T, (PTS!$C:$C=A168) * ISNUMBER(PTS!T:T)))</f>
        <v>0</v>
      </c>
      <c r="Q168" s="531" cm="1">
        <f t="array" ref="Q168">AVERAGE(_xlfn._xlws.FILTER(PTS!U:U, (PTS!$C:$C=A168) * ISNUMBER(PTS!U:U)))</f>
        <v>202.66363636363636</v>
      </c>
      <c r="S168" s="531">
        <f t="shared" si="23"/>
        <v>202.66363636363636</v>
      </c>
      <c r="T168" s="531" cm="1">
        <f t="array" ref="T168">AVERAGE(_xlfn._xlws.FILTER(PTS!X:X, (PTS!$C:$C=A168) * ISNUMBER(PTS!X:X)))</f>
        <v>52</v>
      </c>
      <c r="U168" s="531" cm="1">
        <f t="array" ref="U168">AVERAGE(_xlfn._xlws.FILTER(PTS!Y:Y, (PTS!$C:$C=A168) * ISNUMBER(PTS!Y:Y)))</f>
        <v>50.4</v>
      </c>
      <c r="V168" s="531" cm="1">
        <f t="array" ref="V168">AVERAGE(_xlfn._xlws.FILTER(PTS!Z:Z, (PTS!$C:$C=A168) * ISNUMBER(PTS!Z:Z)))</f>
        <v>26.25</v>
      </c>
      <c r="X168" s="531">
        <f t="shared" si="24"/>
        <v>128.65</v>
      </c>
      <c r="Y168" s="531" cm="1">
        <f t="array" ref="Y168">AVERAGE(_xlfn._xlws.FILTER(PTS!AC:AC, (PTS!$C:$C=A168) * ISNUMBER(PTS!AC:AC)))</f>
        <v>110.22727272727273</v>
      </c>
      <c r="Z168" s="531" cm="1">
        <f t="array" ref="Z168">AVERAGE(_xlfn._xlws.FILTER(PTS!AD:AD, (PTS!$C:$C=A168) * ISNUMBER(PTS!AD:AD)))</f>
        <v>107.04545454545455</v>
      </c>
      <c r="AB168" s="531">
        <f t="shared" si="25"/>
        <v>217.27272727272728</v>
      </c>
      <c r="AC168" s="10" cm="1">
        <f t="array" ref="AC168">AVERAGE(_xlfn._xlws.FILTER(PTS!AG:AG, (PTS!$C:$C=A168) * ISNUMBER(PTS!AG:AG)))</f>
        <v>28.814300000000003</v>
      </c>
      <c r="AD168" s="531" cm="1">
        <f t="array" ref="AD168">AVERAGE(_xlfn._xlws.FILTER(PTS!AH:AH, (PTS!$C:$C=A168) * ISNUMBER(PTS!AH:AH)))</f>
        <v>6.973140495867769</v>
      </c>
      <c r="AE168" s="531" cm="1">
        <f t="array" ref="AE168">AVERAGE(_xlfn._xlws.FILTER(PTS!AI:AI, (PTS!$C:$C=A168) * ISNUMBER(PTS!AI:AI)))</f>
        <v>12.587317427197677</v>
      </c>
      <c r="AF168" s="531" cm="1">
        <f t="array" ref="AF168">AVERAGE(_xlfn._xlws.FILTER(PTS!AJ:AJ, (PTS!$C:$C=A168) * ISNUMBER(PTS!AJ:AJ)))</f>
        <v>6.7351999999999999</v>
      </c>
      <c r="AH168" s="531">
        <f t="shared" si="26"/>
        <v>55.109957923065444</v>
      </c>
      <c r="AI168" s="10" cm="1">
        <f t="array" ref="AI168">AVERAGE(_xlfn._xlws.FILTER(PTS!AM:AM, (PTS!$C:$C=A168) * ISNUMBER(PTS!AM:AM)))</f>
        <v>79.999999999999986</v>
      </c>
      <c r="AJ168" s="10" cm="1">
        <f t="array" ref="AJ168">AVERAGE(_xlfn._xlws.FILTER(PTS!AN:AN, (PTS!$C:$C=A168) * ISNUMBER(PTS!AN:AN)))</f>
        <v>26.17808219178082</v>
      </c>
      <c r="AK168" s="10" cm="1">
        <f t="array" ref="AK168">AVERAGE(_xlfn._xlws.FILTER(PTS!AO:AO, (PTS!$C:$C=A168) * ISNUMBER(PTS!AO:AO)))</f>
        <v>0</v>
      </c>
      <c r="AN168" s="10">
        <f t="shared" si="27"/>
        <v>106.1780821917808</v>
      </c>
      <c r="AR168" s="531">
        <f t="shared" si="28"/>
        <v>747.79107041787654</v>
      </c>
      <c r="AS168" s="531">
        <f t="shared" si="29"/>
        <v>977.79107041787654</v>
      </c>
    </row>
    <row r="169" spans="1:45">
      <c r="A169" s="32" t="s">
        <v>607</v>
      </c>
      <c r="B169" s="319" t="s">
        <v>71</v>
      </c>
      <c r="C169" s="319" t="str">
        <f t="shared" si="20"/>
        <v>O'donnellTX</v>
      </c>
      <c r="D169" s="10">
        <f>VLOOKUP(A:A,PTS!C:R,6,FALSE)</f>
        <v>2</v>
      </c>
      <c r="E169" s="531" cm="1">
        <f t="array" ref="E169">AVERAGE(_xlfn._xlws.FILTER(PTS!I:I, (PTS!$C:$C=A169) * ISNUMBER(PTS!I:I)))</f>
        <v>95</v>
      </c>
      <c r="F169" s="10" cm="1">
        <f t="array" ref="F169">AVERAGE(_xlfn._xlws.FILTER(PTS!J:J, (PTS!$C:$C=A169) * ISNUMBER(PTS!J:J)))</f>
        <v>109</v>
      </c>
      <c r="G169" s="531" cm="1">
        <f t="array" ref="G169">AVERAGE(_xlfn._xlws.FILTER(PTS!K:K, (PTS!$C:$C=A169) * ISNUMBER(PTS!K:K)))</f>
        <v>195</v>
      </c>
      <c r="H169" s="531" cm="1">
        <f t="array" ref="H169">AVERAGE(_xlfn._xlws.FILTER(PTS!L:L, (PTS!$C:$C=A169) * ISNUMBER(PTS!L:L)))</f>
        <v>0</v>
      </c>
      <c r="I169" s="531" cm="1">
        <f t="array" ref="I169">AVERAGE(_xlfn._xlws.FILTER(PTS!M:M, (PTS!$C:$C=A169) * ISNUMBER(PTS!M:M)))</f>
        <v>20</v>
      </c>
      <c r="J169" s="531" cm="1">
        <f t="array" ref="J169">AVERAGE(_xlfn._xlws.FILTER(PTS!N:N, (PTS!$C:$C=A169) * ISNUMBER(PTS!N:N)))</f>
        <v>48</v>
      </c>
      <c r="K169" s="531" cm="1">
        <f t="array" ref="K169">AVERAGE(_xlfn._xlws.FILTER(PTS!O:O, (PTS!$C:$C=A169) * ISNUMBER(PTS!O:O)))</f>
        <v>37.916666666666671</v>
      </c>
      <c r="L169" s="10" cm="1">
        <f t="array" ref="L169">AVERAGE(_xlfn._xlws.FILTER(PTS!P:P, (PTS!$C:$C=A169) * ISNUMBER(PTS!P:P)))</f>
        <v>0</v>
      </c>
      <c r="M169" s="531">
        <f t="shared" si="21"/>
        <v>504.91666666666669</v>
      </c>
      <c r="N169" s="531">
        <f t="shared" si="22"/>
        <v>280.91666666666669</v>
      </c>
      <c r="O169" s="531" cm="1">
        <f t="array" ref="O169">AVERAGE(_xlfn._xlws.FILTER(PTS!S:S, (PTS!$C:$C=A169) * ISNUMBER(PTS!S:S)))</f>
        <v>0</v>
      </c>
      <c r="P169" s="531" cm="1">
        <f t="array" ref="P169">AVERAGE(_xlfn._xlws.FILTER(PTS!T:T, (PTS!$C:$C=A169) * ISNUMBER(PTS!T:T)))</f>
        <v>0</v>
      </c>
      <c r="Q169" s="531" cm="1">
        <f t="array" ref="Q169">AVERAGE(_xlfn._xlws.FILTER(PTS!U:U, (PTS!$C:$C=A169) * ISNUMBER(PTS!U:U)))</f>
        <v>223.57954545454544</v>
      </c>
      <c r="S169" s="531">
        <f t="shared" si="23"/>
        <v>223.57954545454544</v>
      </c>
      <c r="T169" s="531" cm="1">
        <f t="array" ref="T169">AVERAGE(_xlfn._xlws.FILTER(PTS!X:X, (PTS!$C:$C=A169) * ISNUMBER(PTS!X:X)))</f>
        <v>54</v>
      </c>
      <c r="U169" s="531" cm="1">
        <f t="array" ref="U169">AVERAGE(_xlfn._xlws.FILTER(PTS!Y:Y, (PTS!$C:$C=A169) * ISNUMBER(PTS!Y:Y)))</f>
        <v>50.4</v>
      </c>
      <c r="V169" s="531" cm="1">
        <f t="array" ref="V169">AVERAGE(_xlfn._xlws.FILTER(PTS!Z:Z, (PTS!$C:$C=A169) * ISNUMBER(PTS!Z:Z)))</f>
        <v>26.25</v>
      </c>
      <c r="X169" s="531">
        <f t="shared" si="24"/>
        <v>130.65</v>
      </c>
      <c r="Y169" s="531" cm="1">
        <f t="array" ref="Y169">AVERAGE(_xlfn._xlws.FILTER(PTS!AC:AC, (PTS!$C:$C=A169) * ISNUMBER(PTS!AC:AC)))</f>
        <v>147.72727272727272</v>
      </c>
      <c r="Z169" s="531" cm="1">
        <f t="array" ref="Z169">AVERAGE(_xlfn._xlws.FILTER(PTS!AD:AD, (PTS!$C:$C=A169) * ISNUMBER(PTS!AD:AD)))</f>
        <v>233.06818181818181</v>
      </c>
      <c r="AB169" s="531">
        <f t="shared" si="25"/>
        <v>380.7954545454545</v>
      </c>
      <c r="AC169" s="10" cm="1">
        <f t="array" ref="AC169">AVERAGE(_xlfn._xlws.FILTER(PTS!AG:AG, (PTS!$C:$C=A169) * ISNUMBER(PTS!AG:AG)))</f>
        <v>28.814300000000003</v>
      </c>
      <c r="AD169" s="531" cm="1">
        <f t="array" ref="AD169">AVERAGE(_xlfn._xlws.FILTER(PTS!AH:AH, (PTS!$C:$C=A169) * ISNUMBER(PTS!AH:AH)))</f>
        <v>6.973140495867769</v>
      </c>
      <c r="AE169" s="531" cm="1">
        <f t="array" ref="AE169">AVERAGE(_xlfn._xlws.FILTER(PTS!AI:AI, (PTS!$C:$C=A169) * ISNUMBER(PTS!AI:AI)))</f>
        <v>12.587317427197677</v>
      </c>
      <c r="AF169" s="531" cm="1">
        <f t="array" ref="AF169">AVERAGE(_xlfn._xlws.FILTER(PTS!AJ:AJ, (PTS!$C:$C=A169) * ISNUMBER(PTS!AJ:AJ)))</f>
        <v>6.7351999999999999</v>
      </c>
      <c r="AH169" s="531">
        <f t="shared" si="26"/>
        <v>55.109957923065444</v>
      </c>
      <c r="AI169" s="10" cm="1">
        <f t="array" ref="AI169">AVERAGE(_xlfn._xlws.FILTER(PTS!AM:AM, (PTS!$C:$C=A169) * ISNUMBER(PTS!AM:AM)))</f>
        <v>79.999999999999986</v>
      </c>
      <c r="AJ169" s="10" cm="1">
        <f t="array" ref="AJ169">AVERAGE(_xlfn._xlws.FILTER(PTS!AN:AN, (PTS!$C:$C=A169) * ISNUMBER(PTS!AN:AN)))</f>
        <v>26.17808219178082</v>
      </c>
      <c r="AK169" s="10" cm="1">
        <f t="array" ref="AK169">AVERAGE(_xlfn._xlws.FILTER(PTS!AO:AO, (PTS!$C:$C=A169) * ISNUMBER(PTS!AO:AO)))</f>
        <v>0</v>
      </c>
      <c r="AN169" s="10">
        <f t="shared" si="27"/>
        <v>106.1780821917808</v>
      </c>
      <c r="AR169" s="531">
        <f t="shared" si="28"/>
        <v>1177.2297067815127</v>
      </c>
      <c r="AS169" s="531">
        <f t="shared" si="29"/>
        <v>1401.2297067815127</v>
      </c>
    </row>
    <row r="170" spans="1:45">
      <c r="A170" s="32" t="s">
        <v>610</v>
      </c>
      <c r="B170" s="319" t="s">
        <v>128</v>
      </c>
      <c r="C170" s="319" t="str">
        <f t="shared" si="20"/>
        <v>Olive BranchMS</v>
      </c>
      <c r="D170" s="10">
        <f>VLOOKUP(A:A,PTS!C:R,6,FALSE)</f>
        <v>1</v>
      </c>
      <c r="E170" s="531" cm="1">
        <f t="array" ref="E170">AVERAGE(_xlfn._xlws.FILTER(PTS!I:I, (PTS!$C:$C=A170) * ISNUMBER(PTS!I:I)))</f>
        <v>100</v>
      </c>
      <c r="F170" s="10" cm="1">
        <f t="array" ref="F170">AVERAGE(_xlfn._xlws.FILTER(PTS!J:J, (PTS!$C:$C=A170) * ISNUMBER(PTS!J:J)))</f>
        <v>160</v>
      </c>
      <c r="G170" s="531" cm="1">
        <f t="array" ref="G170">AVERAGE(_xlfn._xlws.FILTER(PTS!K:K, (PTS!$C:$C=A170) * ISNUMBER(PTS!K:K)))</f>
        <v>160</v>
      </c>
      <c r="H170" s="531" cm="1">
        <f t="array" ref="H170">AVERAGE(_xlfn._xlws.FILTER(PTS!L:L, (PTS!$C:$C=A170) * ISNUMBER(PTS!L:L)))</f>
        <v>0</v>
      </c>
      <c r="I170" s="531" cm="1">
        <f t="array" ref="I170">AVERAGE(_xlfn._xlws.FILTER(PTS!M:M, (PTS!$C:$C=A170) * ISNUMBER(PTS!M:M)))</f>
        <v>0</v>
      </c>
      <c r="J170" s="531" cm="1">
        <f t="array" ref="J170">AVERAGE(_xlfn._xlws.FILTER(PTS!N:N, (PTS!$C:$C=A170) * ISNUMBER(PTS!N:N)))</f>
        <v>80</v>
      </c>
      <c r="K170" s="531" cm="1">
        <f t="array" ref="K170">AVERAGE(_xlfn._xlws.FILTER(PTS!O:O, (PTS!$C:$C=A170) * ISNUMBER(PTS!O:O)))</f>
        <v>37.916666666666671</v>
      </c>
      <c r="L170" s="10" cm="1">
        <f t="array" ref="L170">AVERAGE(_xlfn._xlws.FILTER(PTS!P:P, (PTS!$C:$C=A170) * ISNUMBER(PTS!P:P)))</f>
        <v>0</v>
      </c>
      <c r="M170" s="531">
        <f t="shared" si="21"/>
        <v>537.91666666666663</v>
      </c>
      <c r="N170" s="531">
        <f t="shared" si="22"/>
        <v>117.91666666666667</v>
      </c>
      <c r="O170" s="531" cm="1">
        <f t="array" ref="O170">AVERAGE(_xlfn._xlws.FILTER(PTS!S:S, (PTS!$C:$C=A170) * ISNUMBER(PTS!S:S)))</f>
        <v>0</v>
      </c>
      <c r="P170" s="531" cm="1">
        <f t="array" ref="P170">AVERAGE(_xlfn._xlws.FILTER(PTS!T:T, (PTS!$C:$C=A170) * ISNUMBER(PTS!T:T)))</f>
        <v>0</v>
      </c>
      <c r="Q170" s="531" cm="1">
        <f t="array" ref="Q170">AVERAGE(_xlfn._xlws.FILTER(PTS!U:U, (PTS!$C:$C=A170) * ISNUMBER(PTS!U:U)))</f>
        <v>127.27272727272727</v>
      </c>
      <c r="S170" s="531">
        <f t="shared" si="23"/>
        <v>127.27272727272727</v>
      </c>
      <c r="T170" s="531" cm="1">
        <f t="array" ref="T170">AVERAGE(_xlfn._xlws.FILTER(PTS!X:X, (PTS!$C:$C=A170) * ISNUMBER(PTS!X:X)))</f>
        <v>50</v>
      </c>
      <c r="U170" s="531" cm="1">
        <f t="array" ref="U170">AVERAGE(_xlfn._xlws.FILTER(PTS!Y:Y, (PTS!$C:$C=A170) * ISNUMBER(PTS!Y:Y)))</f>
        <v>33.6</v>
      </c>
      <c r="V170" s="531" cm="1">
        <f t="array" ref="V170">AVERAGE(_xlfn._xlws.FILTER(PTS!Z:Z, (PTS!$C:$C=A170) * ISNUMBER(PTS!Z:Z)))</f>
        <v>26.25</v>
      </c>
      <c r="X170" s="531">
        <f t="shared" si="24"/>
        <v>109.85</v>
      </c>
      <c r="Y170" s="531" cm="1">
        <f t="array" ref="Y170">AVERAGE(_xlfn._xlws.FILTER(PTS!AC:AC, (PTS!$C:$C=A170) * ISNUMBER(PTS!AC:AC)))</f>
        <v>146.02272727272725</v>
      </c>
      <c r="Z170" s="531" cm="1">
        <f t="array" ref="Z170">AVERAGE(_xlfn._xlws.FILTER(PTS!AD:AD, (PTS!$C:$C=A170) * ISNUMBER(PTS!AD:AD)))</f>
        <v>182.72727272727275</v>
      </c>
      <c r="AB170" s="531">
        <f t="shared" si="25"/>
        <v>328.75</v>
      </c>
      <c r="AC170" s="10" cm="1">
        <f t="array" ref="AC170">AVERAGE(_xlfn._xlws.FILTER(PTS!AG:AG, (PTS!$C:$C=A170) * ISNUMBER(PTS!AG:AG)))</f>
        <v>28.814300000000003</v>
      </c>
      <c r="AD170" s="531" cm="1">
        <f t="array" ref="AD170">AVERAGE(_xlfn._xlws.FILTER(PTS!AH:AH, (PTS!$C:$C=A170) * ISNUMBER(PTS!AH:AH)))</f>
        <v>6.973140495867769</v>
      </c>
      <c r="AE170" s="531" cm="1">
        <f t="array" ref="AE170">AVERAGE(_xlfn._xlws.FILTER(PTS!AI:AI, (PTS!$C:$C=A170) * ISNUMBER(PTS!AI:AI)))</f>
        <v>12.587317427197677</v>
      </c>
      <c r="AF170" s="531" cm="1">
        <f t="array" ref="AF170">AVERAGE(_xlfn._xlws.FILTER(PTS!AJ:AJ, (PTS!$C:$C=A170) * ISNUMBER(PTS!AJ:AJ)))</f>
        <v>6.7351999999999999</v>
      </c>
      <c r="AH170" s="531">
        <f t="shared" si="26"/>
        <v>55.109957923065444</v>
      </c>
      <c r="AI170" s="10" cm="1">
        <f t="array" ref="AI170">AVERAGE(_xlfn._xlws.FILTER(PTS!AM:AM, (PTS!$C:$C=A170) * ISNUMBER(PTS!AM:AM)))</f>
        <v>79.999999999999986</v>
      </c>
      <c r="AJ170" s="10" cm="1">
        <f t="array" ref="AJ170">AVERAGE(_xlfn._xlws.FILTER(PTS!AN:AN, (PTS!$C:$C=A170) * ISNUMBER(PTS!AN:AN)))</f>
        <v>26.17808219178082</v>
      </c>
      <c r="AK170" s="10" cm="1">
        <f t="array" ref="AK170">AVERAGE(_xlfn._xlws.FILTER(PTS!AO:AO, (PTS!$C:$C=A170) * ISNUMBER(PTS!AO:AO)))</f>
        <v>0</v>
      </c>
      <c r="AN170" s="10">
        <f t="shared" si="27"/>
        <v>106.1780821917808</v>
      </c>
      <c r="AR170" s="531">
        <f t="shared" si="28"/>
        <v>845.07743405424014</v>
      </c>
      <c r="AS170" s="531">
        <f t="shared" si="29"/>
        <v>1265.07743405424</v>
      </c>
    </row>
    <row r="171" spans="1:45">
      <c r="A171" s="32" t="s">
        <v>613</v>
      </c>
      <c r="B171" s="319" t="s">
        <v>76</v>
      </c>
      <c r="C171" s="319" t="str">
        <f t="shared" si="20"/>
        <v>Omega GA</v>
      </c>
      <c r="D171" s="10">
        <f>VLOOKUP(A:A,PTS!C:R,6,FALSE)</f>
        <v>4</v>
      </c>
      <c r="E171" s="531" cm="1">
        <f t="array" ref="E171">AVERAGE(_xlfn._xlws.FILTER(PTS!I:I, (PTS!$C:$C=A171) * ISNUMBER(PTS!I:I)))</f>
        <v>70</v>
      </c>
      <c r="F171" s="10" cm="1">
        <f t="array" ref="F171">AVERAGE(_xlfn._xlws.FILTER(PTS!J:J, (PTS!$C:$C=A171) * ISNUMBER(PTS!J:J)))</f>
        <v>110</v>
      </c>
      <c r="G171" s="531" cm="1">
        <f t="array" ref="G171">AVERAGE(_xlfn._xlws.FILTER(PTS!K:K, (PTS!$C:$C=A171) * ISNUMBER(PTS!K:K)))</f>
        <v>0</v>
      </c>
      <c r="H171" s="531" cm="1">
        <f t="array" ref="H171">AVERAGE(_xlfn._xlws.FILTER(PTS!L:L, (PTS!$C:$C=A171) * ISNUMBER(PTS!L:L)))</f>
        <v>0</v>
      </c>
      <c r="I171" s="531" cm="1">
        <f t="array" ref="I171">AVERAGE(_xlfn._xlws.FILTER(PTS!M:M, (PTS!$C:$C=A171) * ISNUMBER(PTS!M:M)))</f>
        <v>20</v>
      </c>
      <c r="J171" s="531" cm="1">
        <f t="array" ref="J171">AVERAGE(_xlfn._xlws.FILTER(PTS!N:N, (PTS!$C:$C=A171) * ISNUMBER(PTS!N:N)))</f>
        <v>70</v>
      </c>
      <c r="K171" s="531" cm="1">
        <f t="array" ref="K171">AVERAGE(_xlfn._xlws.FILTER(PTS!O:O, (PTS!$C:$C=A171) * ISNUMBER(PTS!O:O)))</f>
        <v>37.916666666666671</v>
      </c>
      <c r="L171" s="10" cm="1">
        <f t="array" ref="L171">AVERAGE(_xlfn._xlws.FILTER(PTS!P:P, (PTS!$C:$C=A171) * ISNUMBER(PTS!P:P)))</f>
        <v>0</v>
      </c>
      <c r="M171" s="531">
        <f t="shared" si="21"/>
        <v>307.91666666666669</v>
      </c>
      <c r="N171" s="531">
        <f t="shared" si="22"/>
        <v>37.916666666666671</v>
      </c>
      <c r="O171" s="531" cm="1">
        <f t="array" ref="O171">AVERAGE(_xlfn._xlws.FILTER(PTS!S:S, (PTS!$C:$C=A171) * ISNUMBER(PTS!S:S)))</f>
        <v>0</v>
      </c>
      <c r="P171" s="531" cm="1">
        <f t="array" ref="P171">AVERAGE(_xlfn._xlws.FILTER(PTS!T:T, (PTS!$C:$C=A171) * ISNUMBER(PTS!T:T)))</f>
        <v>0</v>
      </c>
      <c r="Q171" s="531" cm="1">
        <f t="array" ref="Q171">AVERAGE(_xlfn._xlws.FILTER(PTS!U:U, (PTS!$C:$C=A171) * ISNUMBER(PTS!U:U)))</f>
        <v>217.43636363636367</v>
      </c>
      <c r="S171" s="531">
        <f t="shared" si="23"/>
        <v>217.43636363636367</v>
      </c>
      <c r="T171" s="531" cm="1">
        <f t="array" ref="T171">AVERAGE(_xlfn._xlws.FILTER(PTS!X:X, (PTS!$C:$C=A171) * ISNUMBER(PTS!X:X)))</f>
        <v>52</v>
      </c>
      <c r="U171" s="531" cm="1">
        <f t="array" ref="U171">AVERAGE(_xlfn._xlws.FILTER(PTS!Y:Y, (PTS!$C:$C=A171) * ISNUMBER(PTS!Y:Y)))</f>
        <v>50.4</v>
      </c>
      <c r="V171" s="531" cm="1">
        <f t="array" ref="V171">AVERAGE(_xlfn._xlws.FILTER(PTS!Z:Z, (PTS!$C:$C=A171) * ISNUMBER(PTS!Z:Z)))</f>
        <v>26.25</v>
      </c>
      <c r="X171" s="531">
        <f t="shared" si="24"/>
        <v>128.65</v>
      </c>
      <c r="Y171" s="531" cm="1">
        <f t="array" ref="Y171">AVERAGE(_xlfn._xlws.FILTER(PTS!AC:AC, (PTS!$C:$C=A171) * ISNUMBER(PTS!AC:AC)))</f>
        <v>110.22727272727273</v>
      </c>
      <c r="Z171" s="531" cm="1">
        <f t="array" ref="Z171">AVERAGE(_xlfn._xlws.FILTER(PTS!AD:AD, (PTS!$C:$C=A171) * ISNUMBER(PTS!AD:AD)))</f>
        <v>107.04545454545455</v>
      </c>
      <c r="AB171" s="531">
        <f t="shared" si="25"/>
        <v>217.27272727272728</v>
      </c>
      <c r="AC171" s="10" cm="1">
        <f t="array" ref="AC171">AVERAGE(_xlfn._xlws.FILTER(PTS!AG:AG, (PTS!$C:$C=A171) * ISNUMBER(PTS!AG:AG)))</f>
        <v>28.814300000000003</v>
      </c>
      <c r="AD171" s="531" cm="1">
        <f t="array" ref="AD171">AVERAGE(_xlfn._xlws.FILTER(PTS!AH:AH, (PTS!$C:$C=A171) * ISNUMBER(PTS!AH:AH)))</f>
        <v>6.973140495867769</v>
      </c>
      <c r="AE171" s="531" cm="1">
        <f t="array" ref="AE171">AVERAGE(_xlfn._xlws.FILTER(PTS!AI:AI, (PTS!$C:$C=A171) * ISNUMBER(PTS!AI:AI)))</f>
        <v>12.587317427197677</v>
      </c>
      <c r="AF171" s="531" cm="1">
        <f t="array" ref="AF171">AVERAGE(_xlfn._xlws.FILTER(PTS!AJ:AJ, (PTS!$C:$C=A171) * ISNUMBER(PTS!AJ:AJ)))</f>
        <v>6.7351999999999999</v>
      </c>
      <c r="AH171" s="531">
        <f t="shared" si="26"/>
        <v>55.109957923065444</v>
      </c>
      <c r="AI171" s="10" cm="1">
        <f t="array" ref="AI171">AVERAGE(_xlfn._xlws.FILTER(PTS!AM:AM, (PTS!$C:$C=A171) * ISNUMBER(PTS!AM:AM)))</f>
        <v>79.999999999999986</v>
      </c>
      <c r="AJ171" s="10" cm="1">
        <f t="array" ref="AJ171">AVERAGE(_xlfn._xlws.FILTER(PTS!AN:AN, (PTS!$C:$C=A171) * ISNUMBER(PTS!AN:AN)))</f>
        <v>26.17808219178082</v>
      </c>
      <c r="AK171" s="10" cm="1">
        <f t="array" ref="AK171">AVERAGE(_xlfn._xlws.FILTER(PTS!AO:AO, (PTS!$C:$C=A171) * ISNUMBER(PTS!AO:AO)))</f>
        <v>0</v>
      </c>
      <c r="AN171" s="10">
        <f t="shared" si="27"/>
        <v>106.1780821917808</v>
      </c>
      <c r="AR171" s="531">
        <f t="shared" si="28"/>
        <v>762.56379769060379</v>
      </c>
      <c r="AS171" s="531">
        <f t="shared" si="29"/>
        <v>1032.5637976906037</v>
      </c>
    </row>
    <row r="172" spans="1:45">
      <c r="A172" s="32" t="s">
        <v>616</v>
      </c>
      <c r="B172" s="319" t="s">
        <v>71</v>
      </c>
      <c r="C172" s="319" t="str">
        <f t="shared" si="20"/>
        <v>PaducahTX</v>
      </c>
      <c r="D172" s="10">
        <f>VLOOKUP(A:A,PTS!C:R,6,FALSE)</f>
        <v>2</v>
      </c>
      <c r="E172" s="531" cm="1">
        <f t="array" ref="E172">AVERAGE(_xlfn._xlws.FILTER(PTS!I:I, (PTS!$C:$C=A172) * ISNUMBER(PTS!I:I)))</f>
        <v>100</v>
      </c>
      <c r="F172" s="10" cm="1">
        <f t="array" ref="F172">AVERAGE(_xlfn._xlws.FILTER(PTS!J:J, (PTS!$C:$C=A172) * ISNUMBER(PTS!J:J)))</f>
        <v>125</v>
      </c>
      <c r="G172" s="531" cm="1">
        <f t="array" ref="G172">AVERAGE(_xlfn._xlws.FILTER(PTS!K:K, (PTS!$C:$C=A172) * ISNUMBER(PTS!K:K)))</f>
        <v>205</v>
      </c>
      <c r="H172" s="531" cm="1">
        <f t="array" ref="H172">AVERAGE(_xlfn._xlws.FILTER(PTS!L:L, (PTS!$C:$C=A172) * ISNUMBER(PTS!L:L)))</f>
        <v>0</v>
      </c>
      <c r="I172" s="531" cm="1">
        <f t="array" ref="I172">AVERAGE(_xlfn._xlws.FILTER(PTS!M:M, (PTS!$C:$C=A172) * ISNUMBER(PTS!M:M)))</f>
        <v>0</v>
      </c>
      <c r="J172" s="531" cm="1">
        <f t="array" ref="J172">AVERAGE(_xlfn._xlws.FILTER(PTS!N:N, (PTS!$C:$C=A172) * ISNUMBER(PTS!N:N)))</f>
        <v>48</v>
      </c>
      <c r="K172" s="531" cm="1">
        <f t="array" ref="K172">AVERAGE(_xlfn._xlws.FILTER(PTS!O:O, (PTS!$C:$C=A172) * ISNUMBER(PTS!O:O)))</f>
        <v>37.916666666666671</v>
      </c>
      <c r="L172" s="10" cm="1">
        <f t="array" ref="L172">AVERAGE(_xlfn._xlws.FILTER(PTS!P:P, (PTS!$C:$C=A172) * ISNUMBER(PTS!P:P)))</f>
        <v>0</v>
      </c>
      <c r="M172" s="531">
        <f t="shared" si="21"/>
        <v>515.91666666666663</v>
      </c>
      <c r="N172" s="531">
        <f t="shared" si="22"/>
        <v>290.91666666666669</v>
      </c>
      <c r="O172" s="531" cm="1">
        <f t="array" ref="O172">AVERAGE(_xlfn._xlws.FILTER(PTS!S:S, (PTS!$C:$C=A172) * ISNUMBER(PTS!S:S)))</f>
        <v>0</v>
      </c>
      <c r="P172" s="531" cm="1">
        <f t="array" ref="P172">AVERAGE(_xlfn._xlws.FILTER(PTS!T:T, (PTS!$C:$C=A172) * ISNUMBER(PTS!T:T)))</f>
        <v>0</v>
      </c>
      <c r="Q172" s="531" cm="1">
        <f t="array" ref="Q172">AVERAGE(_xlfn._xlws.FILTER(PTS!U:U, (PTS!$C:$C=A172) * ISNUMBER(PTS!U:U)))</f>
        <v>238.92045454545456</v>
      </c>
      <c r="S172" s="531">
        <f t="shared" si="23"/>
        <v>238.92045454545456</v>
      </c>
      <c r="T172" s="531" cm="1">
        <f t="array" ref="T172">AVERAGE(_xlfn._xlws.FILTER(PTS!X:X, (PTS!$C:$C=A172) * ISNUMBER(PTS!X:X)))</f>
        <v>54</v>
      </c>
      <c r="U172" s="531" cm="1">
        <f t="array" ref="U172">AVERAGE(_xlfn._xlws.FILTER(PTS!Y:Y, (PTS!$C:$C=A172) * ISNUMBER(PTS!Y:Y)))</f>
        <v>50.4</v>
      </c>
      <c r="V172" s="531" cm="1">
        <f t="array" ref="V172">AVERAGE(_xlfn._xlws.FILTER(PTS!Z:Z, (PTS!$C:$C=A172) * ISNUMBER(PTS!Z:Z)))</f>
        <v>26.25</v>
      </c>
      <c r="X172" s="531">
        <f t="shared" si="24"/>
        <v>130.65</v>
      </c>
      <c r="Y172" s="531" cm="1">
        <f t="array" ref="Y172">AVERAGE(_xlfn._xlws.FILTER(PTS!AC:AC, (PTS!$C:$C=A172) * ISNUMBER(PTS!AC:AC)))</f>
        <v>147.72727272727272</v>
      </c>
      <c r="Z172" s="531" cm="1">
        <f t="array" ref="Z172">AVERAGE(_xlfn._xlws.FILTER(PTS!AD:AD, (PTS!$C:$C=A172) * ISNUMBER(PTS!AD:AD)))</f>
        <v>233.06818181818181</v>
      </c>
      <c r="AB172" s="531">
        <f t="shared" si="25"/>
        <v>380.7954545454545</v>
      </c>
      <c r="AC172" s="10" cm="1">
        <f t="array" ref="AC172">AVERAGE(_xlfn._xlws.FILTER(PTS!AG:AG, (PTS!$C:$C=A172) * ISNUMBER(PTS!AG:AG)))</f>
        <v>28.814300000000003</v>
      </c>
      <c r="AD172" s="531" cm="1">
        <f t="array" ref="AD172">AVERAGE(_xlfn._xlws.FILTER(PTS!AH:AH, (PTS!$C:$C=A172) * ISNUMBER(PTS!AH:AH)))</f>
        <v>6.973140495867769</v>
      </c>
      <c r="AE172" s="531" cm="1">
        <f t="array" ref="AE172">AVERAGE(_xlfn._xlws.FILTER(PTS!AI:AI, (PTS!$C:$C=A172) * ISNUMBER(PTS!AI:AI)))</f>
        <v>12.587317427197677</v>
      </c>
      <c r="AF172" s="531" cm="1">
        <f t="array" ref="AF172">AVERAGE(_xlfn._xlws.FILTER(PTS!AJ:AJ, (PTS!$C:$C=A172) * ISNUMBER(PTS!AJ:AJ)))</f>
        <v>6.7351999999999999</v>
      </c>
      <c r="AH172" s="531">
        <f t="shared" si="26"/>
        <v>55.109957923065444</v>
      </c>
      <c r="AI172" s="10" cm="1">
        <f t="array" ref="AI172">AVERAGE(_xlfn._xlws.FILTER(PTS!AM:AM, (PTS!$C:$C=A172) * ISNUMBER(PTS!AM:AM)))</f>
        <v>79.999999999999986</v>
      </c>
      <c r="AJ172" s="10" cm="1">
        <f t="array" ref="AJ172">AVERAGE(_xlfn._xlws.FILTER(PTS!AN:AN, (PTS!$C:$C=A172) * ISNUMBER(PTS!AN:AN)))</f>
        <v>26.17808219178082</v>
      </c>
      <c r="AK172" s="10" cm="1">
        <f t="array" ref="AK172">AVERAGE(_xlfn._xlws.FILTER(PTS!AO:AO, (PTS!$C:$C=A172) * ISNUMBER(PTS!AO:AO)))</f>
        <v>0</v>
      </c>
      <c r="AN172" s="10">
        <f t="shared" si="27"/>
        <v>106.1780821917808</v>
      </c>
      <c r="AR172" s="531">
        <f t="shared" si="28"/>
        <v>1202.5706158724217</v>
      </c>
      <c r="AS172" s="531">
        <f t="shared" si="29"/>
        <v>1427.5706158724217</v>
      </c>
    </row>
    <row r="173" spans="1:45">
      <c r="A173" s="32" t="s">
        <v>619</v>
      </c>
      <c r="B173" s="319" t="s">
        <v>136</v>
      </c>
      <c r="C173" s="319" t="str">
        <f t="shared" si="20"/>
        <v>PantegoNC</v>
      </c>
      <c r="D173" s="10">
        <f>VLOOKUP(A:A,PTS!C:R,6,FALSE)</f>
        <v>1</v>
      </c>
      <c r="E173" s="531" cm="1">
        <f t="array" ref="E173">AVERAGE(_xlfn._xlws.FILTER(PTS!I:I, (PTS!$C:$C=A173) * ISNUMBER(PTS!I:I)))</f>
        <v>85</v>
      </c>
      <c r="F173" s="10" cm="1">
        <f t="array" ref="F173">AVERAGE(_xlfn._xlws.FILTER(PTS!J:J, (PTS!$C:$C=A173) * ISNUMBER(PTS!J:J)))</f>
        <v>85</v>
      </c>
      <c r="G173" s="531" cm="1">
        <f t="array" ref="G173">AVERAGE(_xlfn._xlws.FILTER(PTS!K:K, (PTS!$C:$C=A173) * ISNUMBER(PTS!K:K)))</f>
        <v>0</v>
      </c>
      <c r="H173" s="531" cm="1">
        <f t="array" ref="H173">AVERAGE(_xlfn._xlws.FILTER(PTS!L:L, (PTS!$C:$C=A173) * ISNUMBER(PTS!L:L)))</f>
        <v>0</v>
      </c>
      <c r="I173" s="531" cm="1">
        <f t="array" ref="I173">AVERAGE(_xlfn._xlws.FILTER(PTS!M:M, (PTS!$C:$C=A173) * ISNUMBER(PTS!M:M)))</f>
        <v>0</v>
      </c>
      <c r="J173" s="531" cm="1">
        <f t="array" ref="J173">AVERAGE(_xlfn._xlws.FILTER(PTS!N:N, (PTS!$C:$C=A173) * ISNUMBER(PTS!N:N)))</f>
        <v>40</v>
      </c>
      <c r="K173" s="531" cm="1">
        <f t="array" ref="K173">AVERAGE(_xlfn._xlws.FILTER(PTS!O:O, (PTS!$C:$C=A173) * ISNUMBER(PTS!O:O)))</f>
        <v>37.916666666666671</v>
      </c>
      <c r="L173" s="10" cm="1">
        <f t="array" ref="L173">AVERAGE(_xlfn._xlws.FILTER(PTS!P:P, (PTS!$C:$C=A173) * ISNUMBER(PTS!P:P)))</f>
        <v>0</v>
      </c>
      <c r="M173" s="531">
        <f t="shared" si="21"/>
        <v>247.91666666666669</v>
      </c>
      <c r="N173" s="531">
        <f t="shared" si="22"/>
        <v>77.916666666666671</v>
      </c>
      <c r="O173" s="531" cm="1">
        <f t="array" ref="O173">AVERAGE(_xlfn._xlws.FILTER(PTS!S:S, (PTS!$C:$C=A173) * ISNUMBER(PTS!S:S)))</f>
        <v>0</v>
      </c>
      <c r="P173" s="531" cm="1">
        <f t="array" ref="P173">AVERAGE(_xlfn._xlws.FILTER(PTS!T:T, (PTS!$C:$C=A173) * ISNUMBER(PTS!T:T)))</f>
        <v>0</v>
      </c>
      <c r="Q173" s="531" cm="1">
        <f t="array" ref="Q173">AVERAGE(_xlfn._xlws.FILTER(PTS!U:U, (PTS!$C:$C=A173) * ISNUMBER(PTS!U:U)))</f>
        <v>291.3880681818182</v>
      </c>
      <c r="S173" s="531">
        <f t="shared" si="23"/>
        <v>291.3880681818182</v>
      </c>
      <c r="T173" s="531" cm="1">
        <f t="array" ref="T173">AVERAGE(_xlfn._xlws.FILTER(PTS!X:X, (PTS!$C:$C=A173) * ISNUMBER(PTS!X:X)))</f>
        <v>52</v>
      </c>
      <c r="U173" s="531" cm="1">
        <f t="array" ref="U173">AVERAGE(_xlfn._xlws.FILTER(PTS!Y:Y, (PTS!$C:$C=A173) * ISNUMBER(PTS!Y:Y)))</f>
        <v>50.4</v>
      </c>
      <c r="V173" s="531" cm="1">
        <f t="array" ref="V173">AVERAGE(_xlfn._xlws.FILTER(PTS!Z:Z, (PTS!$C:$C=A173) * ISNUMBER(PTS!Z:Z)))</f>
        <v>26.25</v>
      </c>
      <c r="X173" s="531">
        <f t="shared" si="24"/>
        <v>128.65</v>
      </c>
      <c r="Y173" s="531" cm="1">
        <f t="array" ref="Y173">AVERAGE(_xlfn._xlws.FILTER(PTS!AC:AC, (PTS!$C:$C=A173) * ISNUMBER(PTS!AC:AC)))</f>
        <v>110.22727272727273</v>
      </c>
      <c r="Z173" s="531" cm="1">
        <f t="array" ref="Z173">AVERAGE(_xlfn._xlws.FILTER(PTS!AD:AD, (PTS!$C:$C=A173) * ISNUMBER(PTS!AD:AD)))</f>
        <v>107.04545454545455</v>
      </c>
      <c r="AB173" s="531">
        <f t="shared" si="25"/>
        <v>217.27272727272728</v>
      </c>
      <c r="AC173" s="10" cm="1">
        <f t="array" ref="AC173">AVERAGE(_xlfn._xlws.FILTER(PTS!AG:AG, (PTS!$C:$C=A173) * ISNUMBER(PTS!AG:AG)))</f>
        <v>28.814300000000003</v>
      </c>
      <c r="AD173" s="531" cm="1">
        <f t="array" ref="AD173">AVERAGE(_xlfn._xlws.FILTER(PTS!AH:AH, (PTS!$C:$C=A173) * ISNUMBER(PTS!AH:AH)))</f>
        <v>6.973140495867769</v>
      </c>
      <c r="AE173" s="531" cm="1">
        <f t="array" ref="AE173">AVERAGE(_xlfn._xlws.FILTER(PTS!AI:AI, (PTS!$C:$C=A173) * ISNUMBER(PTS!AI:AI)))</f>
        <v>12.587317427197677</v>
      </c>
      <c r="AF173" s="531" cm="1">
        <f t="array" ref="AF173">AVERAGE(_xlfn._xlws.FILTER(PTS!AJ:AJ, (PTS!$C:$C=A173) * ISNUMBER(PTS!AJ:AJ)))</f>
        <v>6.7351999999999999</v>
      </c>
      <c r="AH173" s="531">
        <f t="shared" si="26"/>
        <v>55.109957923065444</v>
      </c>
      <c r="AI173" s="10" cm="1">
        <f t="array" ref="AI173">AVERAGE(_xlfn._xlws.FILTER(PTS!AM:AM, (PTS!$C:$C=A173) * ISNUMBER(PTS!AM:AM)))</f>
        <v>79.999999999999986</v>
      </c>
      <c r="AJ173" s="10" cm="1">
        <f t="array" ref="AJ173">AVERAGE(_xlfn._xlws.FILTER(PTS!AN:AN, (PTS!$C:$C=A173) * ISNUMBER(PTS!AN:AN)))</f>
        <v>26.17808219178082</v>
      </c>
      <c r="AK173" s="10" cm="1">
        <f t="array" ref="AK173">AVERAGE(_xlfn._xlws.FILTER(PTS!AO:AO, (PTS!$C:$C=A173) * ISNUMBER(PTS!AO:AO)))</f>
        <v>0</v>
      </c>
      <c r="AN173" s="10">
        <f t="shared" si="27"/>
        <v>106.1780821917808</v>
      </c>
      <c r="AR173" s="531">
        <f t="shared" si="28"/>
        <v>876.51550223605841</v>
      </c>
      <c r="AS173" s="531">
        <f t="shared" si="29"/>
        <v>1046.5155022360584</v>
      </c>
    </row>
    <row r="174" spans="1:45">
      <c r="A174" s="32" t="s">
        <v>621</v>
      </c>
      <c r="B174" s="319" t="s">
        <v>71</v>
      </c>
      <c r="C174" s="319" t="str">
        <f t="shared" si="20"/>
        <v>PasadenaTX</v>
      </c>
      <c r="D174" s="10">
        <f>VLOOKUP(A:A,PTS!C:R,6,FALSE)</f>
        <v>3</v>
      </c>
      <c r="E174" s="531" cm="1">
        <f t="array" ref="E174">AVERAGE(_xlfn._xlws.FILTER(PTS!I:I, (PTS!$C:$C=A174) * ISNUMBER(PTS!I:I)))</f>
        <v>60</v>
      </c>
      <c r="F174" s="10" cm="1">
        <f t="array" ref="F174">AVERAGE(_xlfn._xlws.FILTER(PTS!J:J, (PTS!$C:$C=A174) * ISNUMBER(PTS!J:J)))</f>
        <v>80</v>
      </c>
      <c r="G174" s="531" cm="1">
        <f t="array" ref="G174">AVERAGE(_xlfn._xlws.FILTER(PTS!K:K, (PTS!$C:$C=A174) * ISNUMBER(PTS!K:K)))</f>
        <v>0</v>
      </c>
      <c r="H174" s="531" cm="1">
        <f t="array" ref="H174">AVERAGE(_xlfn._xlws.FILTER(PTS!L:L, (PTS!$C:$C=A174) * ISNUMBER(PTS!L:L)))</f>
        <v>0</v>
      </c>
      <c r="I174" s="531" cm="1">
        <f t="array" ref="I174">AVERAGE(_xlfn._xlws.FILTER(PTS!M:M, (PTS!$C:$C=A174) * ISNUMBER(PTS!M:M)))</f>
        <v>0</v>
      </c>
      <c r="J174" s="531" cm="1">
        <f t="array" ref="J174">AVERAGE(_xlfn._xlws.FILTER(PTS!N:N, (PTS!$C:$C=A174) * ISNUMBER(PTS!N:N)))</f>
        <v>72</v>
      </c>
      <c r="K174" s="531" cm="1">
        <f t="array" ref="K174">AVERAGE(_xlfn._xlws.FILTER(PTS!O:O, (PTS!$C:$C=A174) * ISNUMBER(PTS!O:O)))</f>
        <v>37.916666666666671</v>
      </c>
      <c r="L174" s="10" cm="1">
        <f t="array" ref="L174">AVERAGE(_xlfn._xlws.FILTER(PTS!P:P, (PTS!$C:$C=A174) * ISNUMBER(PTS!P:P)))</f>
        <v>0</v>
      </c>
      <c r="M174" s="531">
        <f t="shared" si="21"/>
        <v>249.91666666666669</v>
      </c>
      <c r="N174" s="531">
        <f t="shared" si="22"/>
        <v>189.91666666666669</v>
      </c>
      <c r="O174" s="531" cm="1">
        <f t="array" ref="O174">AVERAGE(_xlfn._xlws.FILTER(PTS!S:S, (PTS!$C:$C=A174) * ISNUMBER(PTS!S:S)))</f>
        <v>0</v>
      </c>
      <c r="P174" s="531" cm="1">
        <f t="array" ref="P174">AVERAGE(_xlfn._xlws.FILTER(PTS!T:T, (PTS!$C:$C=A174) * ISNUMBER(PTS!T:T)))</f>
        <v>0</v>
      </c>
      <c r="Q174" s="531" cm="1">
        <f t="array" ref="Q174">AVERAGE(_xlfn._xlws.FILTER(PTS!U:U, (PTS!$C:$C=A174) * ISNUMBER(PTS!U:U)))</f>
        <v>130.68181818181819</v>
      </c>
      <c r="S174" s="531">
        <f t="shared" si="23"/>
        <v>130.68181818181819</v>
      </c>
      <c r="T174" s="531" cm="1">
        <f t="array" ref="T174">AVERAGE(_xlfn._xlws.FILTER(PTS!X:X, (PTS!$C:$C=A174) * ISNUMBER(PTS!X:X)))</f>
        <v>54</v>
      </c>
      <c r="U174" s="531" cm="1">
        <f t="array" ref="U174">AVERAGE(_xlfn._xlws.FILTER(PTS!Y:Y, (PTS!$C:$C=A174) * ISNUMBER(PTS!Y:Y)))</f>
        <v>50.4</v>
      </c>
      <c r="V174" s="531" cm="1">
        <f t="array" ref="V174">AVERAGE(_xlfn._xlws.FILTER(PTS!Z:Z, (PTS!$C:$C=A174) * ISNUMBER(PTS!Z:Z)))</f>
        <v>26.25</v>
      </c>
      <c r="X174" s="531">
        <f t="shared" si="24"/>
        <v>130.65</v>
      </c>
      <c r="Y174" s="531" cm="1">
        <f t="array" ref="Y174">AVERAGE(_xlfn._xlws.FILTER(PTS!AC:AC, (PTS!$C:$C=A174) * ISNUMBER(PTS!AC:AC)))</f>
        <v>132.95454545454544</v>
      </c>
      <c r="Z174" s="531" cm="1">
        <f t="array" ref="Z174">AVERAGE(_xlfn._xlws.FILTER(PTS!AD:AD, (PTS!$C:$C=A174) * ISNUMBER(PTS!AD:AD)))</f>
        <v>197.95454545454547</v>
      </c>
      <c r="AB174" s="531">
        <f t="shared" si="25"/>
        <v>330.90909090909088</v>
      </c>
      <c r="AC174" s="10" cm="1">
        <f t="array" ref="AC174">AVERAGE(_xlfn._xlws.FILTER(PTS!AG:AG, (PTS!$C:$C=A174) * ISNUMBER(PTS!AG:AG)))</f>
        <v>28.814300000000003</v>
      </c>
      <c r="AD174" s="531" cm="1">
        <f t="array" ref="AD174">AVERAGE(_xlfn._xlws.FILTER(PTS!AH:AH, (PTS!$C:$C=A174) * ISNUMBER(PTS!AH:AH)))</f>
        <v>6.973140495867769</v>
      </c>
      <c r="AE174" s="531" cm="1">
        <f t="array" ref="AE174">AVERAGE(_xlfn._xlws.FILTER(PTS!AI:AI, (PTS!$C:$C=A174) * ISNUMBER(PTS!AI:AI)))</f>
        <v>12.587317427197677</v>
      </c>
      <c r="AF174" s="531" cm="1">
        <f t="array" ref="AF174">AVERAGE(_xlfn._xlws.FILTER(PTS!AJ:AJ, (PTS!$C:$C=A174) * ISNUMBER(PTS!AJ:AJ)))</f>
        <v>6.7351999999999999</v>
      </c>
      <c r="AH174" s="531">
        <f t="shared" si="26"/>
        <v>55.109957923065444</v>
      </c>
      <c r="AI174" s="10" cm="1">
        <f t="array" ref="AI174">AVERAGE(_xlfn._xlws.FILTER(PTS!AM:AM, (PTS!$C:$C=A174) * ISNUMBER(PTS!AM:AM)))</f>
        <v>79.999999999999986</v>
      </c>
      <c r="AJ174" s="10" cm="1">
        <f t="array" ref="AJ174">AVERAGE(_xlfn._xlws.FILTER(PTS!AN:AN, (PTS!$C:$C=A174) * ISNUMBER(PTS!AN:AN)))</f>
        <v>26.17808219178082</v>
      </c>
      <c r="AK174" s="10" cm="1">
        <f t="array" ref="AK174">AVERAGE(_xlfn._xlws.FILTER(PTS!AO:AO, (PTS!$C:$C=A174) * ISNUMBER(PTS!AO:AO)))</f>
        <v>0</v>
      </c>
      <c r="AN174" s="10">
        <f t="shared" si="27"/>
        <v>106.1780821917808</v>
      </c>
      <c r="AR174" s="531">
        <f t="shared" si="28"/>
        <v>943.44561587242197</v>
      </c>
      <c r="AS174" s="531">
        <f t="shared" si="29"/>
        <v>1003.445615872422</v>
      </c>
    </row>
    <row r="175" spans="1:45">
      <c r="A175" s="32" t="s">
        <v>623</v>
      </c>
      <c r="B175" s="319" t="s">
        <v>76</v>
      </c>
      <c r="C175" s="319" t="str">
        <f t="shared" si="20"/>
        <v>PelhamGA</v>
      </c>
      <c r="D175" s="10">
        <f>VLOOKUP(A:A,PTS!C:R,6,FALSE)</f>
        <v>4</v>
      </c>
      <c r="E175" s="531" cm="1">
        <f t="array" ref="E175">AVERAGE(_xlfn._xlws.FILTER(PTS!I:I, (PTS!$C:$C=A175) * ISNUMBER(PTS!I:I)))</f>
        <v>75</v>
      </c>
      <c r="F175" s="10" cm="1">
        <f t="array" ref="F175">AVERAGE(_xlfn._xlws.FILTER(PTS!J:J, (PTS!$C:$C=A175) * ISNUMBER(PTS!J:J)))</f>
        <v>115</v>
      </c>
      <c r="G175" s="531" cm="1">
        <f t="array" ref="G175">AVERAGE(_xlfn._xlws.FILTER(PTS!K:K, (PTS!$C:$C=A175) * ISNUMBER(PTS!K:K)))</f>
        <v>0</v>
      </c>
      <c r="H175" s="531" cm="1">
        <f t="array" ref="H175">AVERAGE(_xlfn._xlws.FILTER(PTS!L:L, (PTS!$C:$C=A175) * ISNUMBER(PTS!L:L)))</f>
        <v>0</v>
      </c>
      <c r="I175" s="531" cm="1">
        <f t="array" ref="I175">AVERAGE(_xlfn._xlws.FILTER(PTS!M:M, (PTS!$C:$C=A175) * ISNUMBER(PTS!M:M)))</f>
        <v>20</v>
      </c>
      <c r="J175" s="531" cm="1">
        <f t="array" ref="J175">AVERAGE(_xlfn._xlws.FILTER(PTS!N:N, (PTS!$C:$C=A175) * ISNUMBER(PTS!N:N)))</f>
        <v>45</v>
      </c>
      <c r="K175" s="531" cm="1">
        <f t="array" ref="K175">AVERAGE(_xlfn._xlws.FILTER(PTS!O:O, (PTS!$C:$C=A175) * ISNUMBER(PTS!O:O)))</f>
        <v>37.916666666666671</v>
      </c>
      <c r="L175" s="10" cm="1">
        <f t="array" ref="L175">AVERAGE(_xlfn._xlws.FILTER(PTS!P:P, (PTS!$C:$C=A175) * ISNUMBER(PTS!P:P)))</f>
        <v>0</v>
      </c>
      <c r="M175" s="531">
        <f t="shared" si="21"/>
        <v>292.91666666666669</v>
      </c>
      <c r="N175" s="531">
        <f t="shared" si="22"/>
        <v>37.916666666666671</v>
      </c>
      <c r="O175" s="531" cm="1">
        <f t="array" ref="O175">AVERAGE(_xlfn._xlws.FILTER(PTS!S:S, (PTS!$C:$C=A175) * ISNUMBER(PTS!S:S)))</f>
        <v>0</v>
      </c>
      <c r="P175" s="531" cm="1">
        <f t="array" ref="P175">AVERAGE(_xlfn._xlws.FILTER(PTS!T:T, (PTS!$C:$C=A175) * ISNUMBER(PTS!T:T)))</f>
        <v>0</v>
      </c>
      <c r="Q175" s="531" cm="1">
        <f t="array" ref="Q175">AVERAGE(_xlfn._xlws.FILTER(PTS!U:U, (PTS!$C:$C=A175) * ISNUMBER(PTS!U:U)))</f>
        <v>235.04999999999998</v>
      </c>
      <c r="S175" s="531">
        <f t="shared" si="23"/>
        <v>235.04999999999998</v>
      </c>
      <c r="T175" s="531" cm="1">
        <f t="array" ref="T175">AVERAGE(_xlfn._xlws.FILTER(PTS!X:X, (PTS!$C:$C=A175) * ISNUMBER(PTS!X:X)))</f>
        <v>52</v>
      </c>
      <c r="U175" s="531" cm="1">
        <f t="array" ref="U175">AVERAGE(_xlfn._xlws.FILTER(PTS!Y:Y, (PTS!$C:$C=A175) * ISNUMBER(PTS!Y:Y)))</f>
        <v>50.4</v>
      </c>
      <c r="V175" s="531" cm="1">
        <f t="array" ref="V175">AVERAGE(_xlfn._xlws.FILTER(PTS!Z:Z, (PTS!$C:$C=A175) * ISNUMBER(PTS!Z:Z)))</f>
        <v>26.25</v>
      </c>
      <c r="X175" s="531">
        <f t="shared" si="24"/>
        <v>128.65</v>
      </c>
      <c r="Y175" s="531" cm="1">
        <f t="array" ref="Y175">AVERAGE(_xlfn._xlws.FILTER(PTS!AC:AC, (PTS!$C:$C=A175) * ISNUMBER(PTS!AC:AC)))</f>
        <v>110.22727272727273</v>
      </c>
      <c r="Z175" s="531" cm="1">
        <f t="array" ref="Z175">AVERAGE(_xlfn._xlws.FILTER(PTS!AD:AD, (PTS!$C:$C=A175) * ISNUMBER(PTS!AD:AD)))</f>
        <v>107.04545454545455</v>
      </c>
      <c r="AB175" s="531">
        <f t="shared" si="25"/>
        <v>217.27272727272728</v>
      </c>
      <c r="AC175" s="10" cm="1">
        <f t="array" ref="AC175">AVERAGE(_xlfn._xlws.FILTER(PTS!AG:AG, (PTS!$C:$C=A175) * ISNUMBER(PTS!AG:AG)))</f>
        <v>28.814300000000003</v>
      </c>
      <c r="AD175" s="531" cm="1">
        <f t="array" ref="AD175">AVERAGE(_xlfn._xlws.FILTER(PTS!AH:AH, (PTS!$C:$C=A175) * ISNUMBER(PTS!AH:AH)))</f>
        <v>6.973140495867769</v>
      </c>
      <c r="AE175" s="531" cm="1">
        <f t="array" ref="AE175">AVERAGE(_xlfn._xlws.FILTER(PTS!AI:AI, (PTS!$C:$C=A175) * ISNUMBER(PTS!AI:AI)))</f>
        <v>12.587317427197677</v>
      </c>
      <c r="AF175" s="531" cm="1">
        <f t="array" ref="AF175">AVERAGE(_xlfn._xlws.FILTER(PTS!AJ:AJ, (PTS!$C:$C=A175) * ISNUMBER(PTS!AJ:AJ)))</f>
        <v>6.7351999999999999</v>
      </c>
      <c r="AH175" s="531">
        <f t="shared" si="26"/>
        <v>55.109957923065444</v>
      </c>
      <c r="AI175" s="10" cm="1">
        <f t="array" ref="AI175">AVERAGE(_xlfn._xlws.FILTER(PTS!AM:AM, (PTS!$C:$C=A175) * ISNUMBER(PTS!AM:AM)))</f>
        <v>79.999999999999986</v>
      </c>
      <c r="AJ175" s="10" cm="1">
        <f t="array" ref="AJ175">AVERAGE(_xlfn._xlws.FILTER(PTS!AN:AN, (PTS!$C:$C=A175) * ISNUMBER(PTS!AN:AN)))</f>
        <v>26.17808219178082</v>
      </c>
      <c r="AK175" s="10" cm="1">
        <f t="array" ref="AK175">AVERAGE(_xlfn._xlws.FILTER(PTS!AO:AO, (PTS!$C:$C=A175) * ISNUMBER(PTS!AO:AO)))</f>
        <v>0</v>
      </c>
      <c r="AN175" s="10">
        <f t="shared" si="27"/>
        <v>106.1780821917808</v>
      </c>
      <c r="AR175" s="531">
        <f t="shared" si="28"/>
        <v>780.17743405424017</v>
      </c>
      <c r="AS175" s="531">
        <f t="shared" si="29"/>
        <v>1035.1774340542402</v>
      </c>
    </row>
    <row r="176" spans="1:45">
      <c r="A176" s="32" t="s">
        <v>627</v>
      </c>
      <c r="B176" s="319" t="s">
        <v>319</v>
      </c>
      <c r="C176" s="319" t="str">
        <f t="shared" si="20"/>
        <v>Phoenix AZ</v>
      </c>
      <c r="D176" s="10">
        <f>VLOOKUP(A:A,PTS!C:R,6,FALSE)</f>
        <v>6</v>
      </c>
      <c r="E176" s="531" cm="1">
        <f t="array" ref="E176">AVERAGE(_xlfn._xlws.FILTER(PTS!I:I, (PTS!$C:$C=A176) * ISNUMBER(PTS!I:I)))</f>
        <v>105</v>
      </c>
      <c r="F176" s="10" cm="1">
        <f t="array" ref="F176">AVERAGE(_xlfn._xlws.FILTER(PTS!J:J, (PTS!$C:$C=A176) * ISNUMBER(PTS!J:J)))</f>
        <v>105</v>
      </c>
      <c r="G176" s="531" cm="1">
        <f t="array" ref="G176">AVERAGE(_xlfn._xlws.FILTER(PTS!K:K, (PTS!$C:$C=A176) * ISNUMBER(PTS!K:K)))</f>
        <v>200</v>
      </c>
      <c r="H176" s="531" cm="1">
        <f t="array" ref="H176">AVERAGE(_xlfn._xlws.FILTER(PTS!L:L, (PTS!$C:$C=A176) * ISNUMBER(PTS!L:L)))</f>
        <v>0</v>
      </c>
      <c r="I176" s="531" cm="1">
        <f t="array" ref="I176">AVERAGE(_xlfn._xlws.FILTER(PTS!M:M, (PTS!$C:$C=A176) * ISNUMBER(PTS!M:M)))</f>
        <v>0</v>
      </c>
      <c r="J176" s="531" cm="1">
        <f t="array" ref="J176">AVERAGE(_xlfn._xlws.FILTER(PTS!N:N, (PTS!$C:$C=A176) * ISNUMBER(PTS!N:N)))</f>
        <v>90</v>
      </c>
      <c r="K176" s="531" cm="1">
        <f t="array" ref="K176">AVERAGE(_xlfn._xlws.FILTER(PTS!O:O, (PTS!$C:$C=A176) * ISNUMBER(PTS!O:O)))</f>
        <v>37.916666666666671</v>
      </c>
      <c r="L176" s="10" t="e" cm="1" vm="1">
        <f t="array" ref="L176">AVERAGE(_xlfn._xlws.FILTER(PTS!P:P, (PTS!$C:$C=A176) * ISNUMBER(PTS!P:P)))</f>
        <v>#VALUE!</v>
      </c>
      <c r="M176" s="531" t="e" vm="2">
        <f t="shared" si="21"/>
        <v>#VALUE!</v>
      </c>
      <c r="N176" s="531" t="e">
        <f t="shared" si="22"/>
        <v>#VALUE!</v>
      </c>
      <c r="O176" s="531" cm="1">
        <f t="array" ref="O176">AVERAGE(_xlfn._xlws.FILTER(PTS!S:S, (PTS!$C:$C=A176) * ISNUMBER(PTS!S:S)))</f>
        <v>0</v>
      </c>
      <c r="P176" s="531" cm="1">
        <f t="array" ref="P176">AVERAGE(_xlfn._xlws.FILTER(PTS!T:T, (PTS!$C:$C=A176) * ISNUMBER(PTS!T:T)))</f>
        <v>0</v>
      </c>
      <c r="Q176" s="531" t="e" cm="1" vm="1">
        <f t="array" ref="Q176">AVERAGE(_xlfn._xlws.FILTER(PTS!U:U, (PTS!$C:$C=A176) * ISNUMBER(PTS!U:U)))</f>
        <v>#VALUE!</v>
      </c>
      <c r="S176" s="531" t="e" vm="2">
        <f t="shared" si="23"/>
        <v>#VALUE!</v>
      </c>
      <c r="T176" s="531" t="e" cm="1" vm="1">
        <f t="array" ref="T176">AVERAGE(_xlfn._xlws.FILTER(PTS!X:X, (PTS!$C:$C=A176) * ISNUMBER(PTS!X:X)))</f>
        <v>#VALUE!</v>
      </c>
      <c r="U176" s="531" t="e" cm="1" vm="1">
        <f t="array" ref="U176">AVERAGE(_xlfn._xlws.FILTER(PTS!Y:Y, (PTS!$C:$C=A176) * ISNUMBER(PTS!Y:Y)))</f>
        <v>#VALUE!</v>
      </c>
      <c r="V176" s="531" cm="1">
        <f t="array" ref="V176">AVERAGE(_xlfn._xlws.FILTER(PTS!Z:Z, (PTS!$C:$C=A176) * ISNUMBER(PTS!Z:Z)))</f>
        <v>26.25</v>
      </c>
      <c r="X176" s="531" t="e" vm="2">
        <f t="shared" si="24"/>
        <v>#VALUE!</v>
      </c>
      <c r="Y176" s="531" t="e" cm="1" vm="1">
        <f t="array" ref="Y176">AVERAGE(_xlfn._xlws.FILTER(PTS!AC:AC, (PTS!$C:$C=A176) * ISNUMBER(PTS!AC:AC)))</f>
        <v>#VALUE!</v>
      </c>
      <c r="Z176" s="531" t="e" cm="1" vm="1">
        <f t="array" ref="Z176">AVERAGE(_xlfn._xlws.FILTER(PTS!AD:AD, (PTS!$C:$C=A176) * ISNUMBER(PTS!AD:AD)))</f>
        <v>#VALUE!</v>
      </c>
      <c r="AB176" s="531" t="e" vm="2">
        <f t="shared" si="25"/>
        <v>#VALUE!</v>
      </c>
      <c r="AC176" s="10" cm="1">
        <f t="array" ref="AC176">AVERAGE(_xlfn._xlws.FILTER(PTS!AG:AG, (PTS!$C:$C=A176) * ISNUMBER(PTS!AG:AG)))</f>
        <v>28.814300000000003</v>
      </c>
      <c r="AD176" s="531" cm="1">
        <f t="array" ref="AD176">AVERAGE(_xlfn._xlws.FILTER(PTS!AH:AH, (PTS!$C:$C=A176) * ISNUMBER(PTS!AH:AH)))</f>
        <v>6.973140495867769</v>
      </c>
      <c r="AE176" s="531" cm="1">
        <f t="array" ref="AE176">AVERAGE(_xlfn._xlws.FILTER(PTS!AI:AI, (PTS!$C:$C=A176) * ISNUMBER(PTS!AI:AI)))</f>
        <v>12.587317427197677</v>
      </c>
      <c r="AF176" s="531" cm="1">
        <f t="array" ref="AF176">AVERAGE(_xlfn._xlws.FILTER(PTS!AJ:AJ, (PTS!$C:$C=A176) * ISNUMBER(PTS!AJ:AJ)))</f>
        <v>6.7351999999999999</v>
      </c>
      <c r="AH176" s="531">
        <f t="shared" si="26"/>
        <v>55.109957923065444</v>
      </c>
      <c r="AI176" s="10" cm="1">
        <f t="array" ref="AI176">AVERAGE(_xlfn._xlws.FILTER(PTS!AM:AM, (PTS!$C:$C=A176) * ISNUMBER(PTS!AM:AM)))</f>
        <v>79.999999999999986</v>
      </c>
      <c r="AJ176" s="10" cm="1">
        <f t="array" ref="AJ176">AVERAGE(_xlfn._xlws.FILTER(PTS!AN:AN, (PTS!$C:$C=A176) * ISNUMBER(PTS!AN:AN)))</f>
        <v>26.17808219178082</v>
      </c>
      <c r="AK176" s="10" cm="1">
        <f t="array" ref="AK176">AVERAGE(_xlfn._xlws.FILTER(PTS!AO:AO, (PTS!$C:$C=A176) * ISNUMBER(PTS!AO:AO)))</f>
        <v>0</v>
      </c>
      <c r="AN176" s="10">
        <f t="shared" si="27"/>
        <v>106.1780821917808</v>
      </c>
      <c r="AR176" s="531" t="e">
        <f t="shared" si="28"/>
        <v>#VALUE!</v>
      </c>
      <c r="AS176" s="531" t="e" vm="2">
        <f t="shared" si="29"/>
        <v>#VALUE!</v>
      </c>
    </row>
    <row r="177" spans="1:45">
      <c r="A177" s="32" t="s">
        <v>629</v>
      </c>
      <c r="B177" s="319" t="s">
        <v>76</v>
      </c>
      <c r="C177" s="319" t="str">
        <f t="shared" si="20"/>
        <v>PinehurstGA</v>
      </c>
      <c r="D177" s="10">
        <f>VLOOKUP(A:A,PTS!C:R,6,FALSE)</f>
        <v>4</v>
      </c>
      <c r="E177" s="531" cm="1">
        <f t="array" ref="E177">AVERAGE(_xlfn._xlws.FILTER(PTS!I:I, (PTS!$C:$C=A177) * ISNUMBER(PTS!I:I)))</f>
        <v>0</v>
      </c>
      <c r="F177" s="10" cm="1">
        <f t="array" ref="F177">AVERAGE(_xlfn._xlws.FILTER(PTS!J:J, (PTS!$C:$C=A177) * ISNUMBER(PTS!J:J)))</f>
        <v>0</v>
      </c>
      <c r="G177" s="531" cm="1">
        <f t="array" ref="G177">AVERAGE(_xlfn._xlws.FILTER(PTS!K:K, (PTS!$C:$C=A177) * ISNUMBER(PTS!K:K)))</f>
        <v>0</v>
      </c>
      <c r="H177" s="531" cm="1">
        <f t="array" ref="H177">AVERAGE(_xlfn._xlws.FILTER(PTS!L:L, (PTS!$C:$C=A177) * ISNUMBER(PTS!L:L)))</f>
        <v>0</v>
      </c>
      <c r="I177" s="531" cm="1">
        <f t="array" ref="I177">AVERAGE(_xlfn._xlws.FILTER(PTS!M:M, (PTS!$C:$C=A177) * ISNUMBER(PTS!M:M)))</f>
        <v>20</v>
      </c>
      <c r="J177" s="531" cm="1">
        <f t="array" ref="J177">AVERAGE(_xlfn._xlws.FILTER(PTS!N:N, (PTS!$C:$C=A177) * ISNUMBER(PTS!N:N)))</f>
        <v>85</v>
      </c>
      <c r="K177" s="531" cm="1">
        <f t="array" ref="K177">AVERAGE(_xlfn._xlws.FILTER(PTS!O:O, (PTS!$C:$C=A177) * ISNUMBER(PTS!O:O)))</f>
        <v>37.916666666666671</v>
      </c>
      <c r="L177" s="10" cm="1">
        <f t="array" ref="L177">AVERAGE(_xlfn._xlws.FILTER(PTS!P:P, (PTS!$C:$C=A177) * ISNUMBER(PTS!P:P)))</f>
        <v>0</v>
      </c>
      <c r="M177" s="531">
        <f t="shared" si="21"/>
        <v>142.91666666666669</v>
      </c>
      <c r="N177" s="531">
        <f t="shared" si="22"/>
        <v>37.916666666666671</v>
      </c>
      <c r="O177" s="531" cm="1">
        <f t="array" ref="O177">AVERAGE(_xlfn._xlws.FILTER(PTS!S:S, (PTS!$C:$C=A177) * ISNUMBER(PTS!S:S)))</f>
        <v>0</v>
      </c>
      <c r="P177" s="531" cm="1">
        <f t="array" ref="P177">AVERAGE(_xlfn._xlws.FILTER(PTS!T:T, (PTS!$C:$C=A177) * ISNUMBER(PTS!T:T)))</f>
        <v>0</v>
      </c>
      <c r="Q177" s="531" cm="1">
        <f t="array" ref="Q177">AVERAGE(_xlfn._xlws.FILTER(PTS!U:U, (PTS!$C:$C=A177) * ISNUMBER(PTS!U:U)))</f>
        <v>224.04090909090908</v>
      </c>
      <c r="S177" s="531">
        <f t="shared" si="23"/>
        <v>224.04090909090908</v>
      </c>
      <c r="T177" s="531" cm="1">
        <f t="array" ref="T177">AVERAGE(_xlfn._xlws.FILTER(PTS!X:X, (PTS!$C:$C=A177) * ISNUMBER(PTS!X:X)))</f>
        <v>52</v>
      </c>
      <c r="U177" s="531" cm="1">
        <f t="array" ref="U177">AVERAGE(_xlfn._xlws.FILTER(PTS!Y:Y, (PTS!$C:$C=A177) * ISNUMBER(PTS!Y:Y)))</f>
        <v>50.4</v>
      </c>
      <c r="V177" s="531" cm="1">
        <f t="array" ref="V177">AVERAGE(_xlfn._xlws.FILTER(PTS!Z:Z, (PTS!$C:$C=A177) * ISNUMBER(PTS!Z:Z)))</f>
        <v>26.25</v>
      </c>
      <c r="X177" s="531">
        <f t="shared" si="24"/>
        <v>128.65</v>
      </c>
      <c r="Y177" s="531" cm="1">
        <f t="array" ref="Y177">AVERAGE(_xlfn._xlws.FILTER(PTS!AC:AC, (PTS!$C:$C=A177) * ISNUMBER(PTS!AC:AC)))</f>
        <v>110.22727272727273</v>
      </c>
      <c r="Z177" s="531" cm="1">
        <f t="array" ref="Z177">AVERAGE(_xlfn._xlws.FILTER(PTS!AD:AD, (PTS!$C:$C=A177) * ISNUMBER(PTS!AD:AD)))</f>
        <v>107.04545454545455</v>
      </c>
      <c r="AB177" s="531">
        <f t="shared" si="25"/>
        <v>217.27272727272728</v>
      </c>
      <c r="AC177" s="10" cm="1">
        <f t="array" ref="AC177">AVERAGE(_xlfn._xlws.FILTER(PTS!AG:AG, (PTS!$C:$C=A177) * ISNUMBER(PTS!AG:AG)))</f>
        <v>28.814300000000003</v>
      </c>
      <c r="AD177" s="531" cm="1">
        <f t="array" ref="AD177">AVERAGE(_xlfn._xlws.FILTER(PTS!AH:AH, (PTS!$C:$C=A177) * ISNUMBER(PTS!AH:AH)))</f>
        <v>6.973140495867769</v>
      </c>
      <c r="AE177" s="531" cm="1">
        <f t="array" ref="AE177">AVERAGE(_xlfn._xlws.FILTER(PTS!AI:AI, (PTS!$C:$C=A177) * ISNUMBER(PTS!AI:AI)))</f>
        <v>12.587317427197677</v>
      </c>
      <c r="AF177" s="531" cm="1">
        <f t="array" ref="AF177">AVERAGE(_xlfn._xlws.FILTER(PTS!AJ:AJ, (PTS!$C:$C=A177) * ISNUMBER(PTS!AJ:AJ)))</f>
        <v>6.7351999999999999</v>
      </c>
      <c r="AH177" s="531">
        <f t="shared" si="26"/>
        <v>55.109957923065444</v>
      </c>
      <c r="AI177" s="10" cm="1">
        <f t="array" ref="AI177">AVERAGE(_xlfn._xlws.FILTER(PTS!AM:AM, (PTS!$C:$C=A177) * ISNUMBER(PTS!AM:AM)))</f>
        <v>79.999999999999986</v>
      </c>
      <c r="AJ177" s="10" cm="1">
        <f t="array" ref="AJ177">AVERAGE(_xlfn._xlws.FILTER(PTS!AN:AN, (PTS!$C:$C=A177) * ISNUMBER(PTS!AN:AN)))</f>
        <v>26.17808219178082</v>
      </c>
      <c r="AK177" s="10" cm="1">
        <f t="array" ref="AK177">AVERAGE(_xlfn._xlws.FILTER(PTS!AO:AO, (PTS!$C:$C=A177) * ISNUMBER(PTS!AO:AO)))</f>
        <v>0</v>
      </c>
      <c r="AN177" s="10">
        <f t="shared" si="27"/>
        <v>106.1780821917808</v>
      </c>
      <c r="AR177" s="531">
        <f t="shared" si="28"/>
        <v>769.16834314514927</v>
      </c>
      <c r="AS177" s="531">
        <f t="shared" si="29"/>
        <v>874.16834314514927</v>
      </c>
    </row>
    <row r="178" spans="1:45">
      <c r="A178" s="32" t="s">
        <v>631</v>
      </c>
      <c r="B178" s="319" t="s">
        <v>71</v>
      </c>
      <c r="C178" s="319" t="str">
        <f t="shared" si="20"/>
        <v>PlainviewTX</v>
      </c>
      <c r="D178" s="10">
        <f>VLOOKUP(A:A,PTS!C:R,6,FALSE)</f>
        <v>2</v>
      </c>
      <c r="E178" s="531" cm="1">
        <f t="array" ref="E178">AVERAGE(_xlfn._xlws.FILTER(PTS!I:I, (PTS!$C:$C=A178) * ISNUMBER(PTS!I:I)))</f>
        <v>89.5</v>
      </c>
      <c r="F178" s="10" cm="1">
        <f t="array" ref="F178">AVERAGE(_xlfn._xlws.FILTER(PTS!J:J, (PTS!$C:$C=A178) * ISNUMBER(PTS!J:J)))</f>
        <v>113.75</v>
      </c>
      <c r="G178" s="531" cm="1">
        <f t="array" ref="G178">AVERAGE(_xlfn._xlws.FILTER(PTS!K:K, (PTS!$C:$C=A178) * ISNUMBER(PTS!K:K)))</f>
        <v>220</v>
      </c>
      <c r="H178" s="531" cm="1">
        <f t="array" ref="H178">AVERAGE(_xlfn._xlws.FILTER(PTS!L:L, (PTS!$C:$C=A178) * ISNUMBER(PTS!L:L)))</f>
        <v>0</v>
      </c>
      <c r="I178" s="531" cm="1">
        <f t="array" ref="I178">AVERAGE(_xlfn._xlws.FILTER(PTS!M:M, (PTS!$C:$C=A178) * ISNUMBER(PTS!M:M)))</f>
        <v>2.5</v>
      </c>
      <c r="J178" s="531" cm="1">
        <f t="array" ref="J178">AVERAGE(_xlfn._xlws.FILTER(PTS!N:N, (PTS!$C:$C=A178) * ISNUMBER(PTS!N:N)))</f>
        <v>46.5</v>
      </c>
      <c r="K178" s="531" cm="1">
        <f t="array" ref="K178">AVERAGE(_xlfn._xlws.FILTER(PTS!O:O, (PTS!$C:$C=A178) * ISNUMBER(PTS!O:O)))</f>
        <v>37.916666666666679</v>
      </c>
      <c r="L178" s="10" cm="1">
        <f t="array" ref="L178">AVERAGE(_xlfn._xlws.FILTER(PTS!P:P, (PTS!$C:$C=A178) * ISNUMBER(PTS!P:P)))</f>
        <v>0</v>
      </c>
      <c r="M178" s="531">
        <f t="shared" si="21"/>
        <v>510.16666666666669</v>
      </c>
      <c r="N178" s="531">
        <f t="shared" si="22"/>
        <v>304.41666666666669</v>
      </c>
      <c r="O178" s="531" cm="1">
        <f t="array" ref="O178">AVERAGE(_xlfn._xlws.FILTER(PTS!S:S, (PTS!$C:$C=A178) * ISNUMBER(PTS!S:S)))</f>
        <v>0</v>
      </c>
      <c r="P178" s="531" cm="1">
        <f t="array" ref="P178">AVERAGE(_xlfn._xlws.FILTER(PTS!T:T, (PTS!$C:$C=A178) * ISNUMBER(PTS!T:T)))</f>
        <v>0</v>
      </c>
      <c r="Q178" s="531" cm="1">
        <f t="array" ref="Q178">AVERAGE(_xlfn._xlws.FILTER(PTS!U:U, (PTS!$C:$C=A178) * ISNUMBER(PTS!U:U)))</f>
        <v>241.47727272727275</v>
      </c>
      <c r="S178" s="531">
        <f t="shared" si="23"/>
        <v>241.47727272727275</v>
      </c>
      <c r="T178" s="531" cm="1">
        <f t="array" ref="T178">AVERAGE(_xlfn._xlws.FILTER(PTS!X:X, (PTS!$C:$C=A178) * ISNUMBER(PTS!X:X)))</f>
        <v>54</v>
      </c>
      <c r="U178" s="531" cm="1">
        <f t="array" ref="U178">AVERAGE(_xlfn._xlws.FILTER(PTS!Y:Y, (PTS!$C:$C=A178) * ISNUMBER(PTS!Y:Y)))</f>
        <v>50.399999999999991</v>
      </c>
      <c r="V178" s="531" cm="1">
        <f t="array" ref="V178">AVERAGE(_xlfn._xlws.FILTER(PTS!Z:Z, (PTS!$C:$C=A178) * ISNUMBER(PTS!Z:Z)))</f>
        <v>26.25</v>
      </c>
      <c r="X178" s="531">
        <f t="shared" si="24"/>
        <v>130.64999999999998</v>
      </c>
      <c r="Y178" s="531" cm="1">
        <f t="array" ref="Y178">AVERAGE(_xlfn._xlws.FILTER(PTS!AC:AC, (PTS!$C:$C=A178) * ISNUMBER(PTS!AC:AC)))</f>
        <v>147.72727272727272</v>
      </c>
      <c r="Z178" s="531" cm="1">
        <f t="array" ref="Z178">AVERAGE(_xlfn._xlws.FILTER(PTS!AD:AD, (PTS!$C:$C=A178) * ISNUMBER(PTS!AD:AD)))</f>
        <v>233.06818181818184</v>
      </c>
      <c r="AB178" s="531">
        <f t="shared" si="25"/>
        <v>380.79545454545456</v>
      </c>
      <c r="AC178" s="10" cm="1">
        <f t="array" ref="AC178">AVERAGE(_xlfn._xlws.FILTER(PTS!AG:AG, (PTS!$C:$C=A178) * ISNUMBER(PTS!AG:AG)))</f>
        <v>28.814300000000003</v>
      </c>
      <c r="AD178" s="531" cm="1">
        <f t="array" ref="AD178">AVERAGE(_xlfn._xlws.FILTER(PTS!AH:AH, (PTS!$C:$C=A178) * ISNUMBER(PTS!AH:AH)))</f>
        <v>6.9731404958677681</v>
      </c>
      <c r="AE178" s="531" cm="1">
        <f t="array" ref="AE178">AVERAGE(_xlfn._xlws.FILTER(PTS!AI:AI, (PTS!$C:$C=A178) * ISNUMBER(PTS!AI:AI)))</f>
        <v>12.587317427197677</v>
      </c>
      <c r="AF178" s="531" cm="1">
        <f t="array" ref="AF178">AVERAGE(_xlfn._xlws.FILTER(PTS!AJ:AJ, (PTS!$C:$C=A178) * ISNUMBER(PTS!AJ:AJ)))</f>
        <v>6.7351999999999999</v>
      </c>
      <c r="AH178" s="531">
        <f t="shared" si="26"/>
        <v>55.109957923065444</v>
      </c>
      <c r="AI178" s="10" cm="1">
        <f t="array" ref="AI178">AVERAGE(_xlfn._xlws.FILTER(PTS!AM:AM, (PTS!$C:$C=A178) * ISNUMBER(PTS!AM:AM)))</f>
        <v>79.999999999999986</v>
      </c>
      <c r="AJ178" s="10" cm="1">
        <f t="array" ref="AJ178">AVERAGE(_xlfn._xlws.FILTER(PTS!AN:AN, (PTS!$C:$C=A178) * ISNUMBER(PTS!AN:AN)))</f>
        <v>26.17808219178082</v>
      </c>
      <c r="AK178" s="10" cm="1">
        <f t="array" ref="AK178">AVERAGE(_xlfn._xlws.FILTER(PTS!AO:AO, (PTS!$C:$C=A178) * ISNUMBER(PTS!AO:AO)))</f>
        <v>0</v>
      </c>
      <c r="AN178" s="10">
        <f t="shared" si="27"/>
        <v>106.1780821917808</v>
      </c>
      <c r="AR178" s="531">
        <f t="shared" si="28"/>
        <v>1218.6274340542402</v>
      </c>
      <c r="AS178" s="531">
        <f t="shared" si="29"/>
        <v>1424.3774340542402</v>
      </c>
    </row>
    <row r="179" spans="1:45">
      <c r="A179" s="32" t="s">
        <v>636</v>
      </c>
      <c r="B179" s="319" t="s">
        <v>76</v>
      </c>
      <c r="C179" s="319" t="str">
        <f t="shared" si="20"/>
        <v>PoolerGA</v>
      </c>
      <c r="D179" s="10">
        <f>VLOOKUP(A:A,PTS!C:R,6,FALSE)</f>
        <v>4</v>
      </c>
      <c r="E179" s="531" cm="1">
        <f t="array" ref="E179">AVERAGE(_xlfn._xlws.FILTER(PTS!I:I, (PTS!$C:$C=A179) * ISNUMBER(PTS!I:I)))</f>
        <v>60</v>
      </c>
      <c r="F179" s="10" cm="1">
        <f t="array" ref="F179">AVERAGE(_xlfn._xlws.FILTER(PTS!J:J, (PTS!$C:$C=A179) * ISNUMBER(PTS!J:J)))</f>
        <v>80</v>
      </c>
      <c r="G179" s="531" cm="1">
        <f t="array" ref="G179">AVERAGE(_xlfn._xlws.FILTER(PTS!K:K, (PTS!$C:$C=A179) * ISNUMBER(PTS!K:K)))</f>
        <v>0</v>
      </c>
      <c r="H179" s="531" cm="1">
        <f t="array" ref="H179">AVERAGE(_xlfn._xlws.FILTER(PTS!L:L, (PTS!$C:$C=A179) * ISNUMBER(PTS!L:L)))</f>
        <v>0</v>
      </c>
      <c r="I179" s="531" cm="1">
        <f t="array" ref="I179">AVERAGE(_xlfn._xlws.FILTER(PTS!M:M, (PTS!$C:$C=A179) * ISNUMBER(PTS!M:M)))</f>
        <v>0</v>
      </c>
      <c r="J179" s="531" cm="1">
        <f t="array" ref="J179">AVERAGE(_xlfn._xlws.FILTER(PTS!N:N, (PTS!$C:$C=A179) * ISNUMBER(PTS!N:N)))</f>
        <v>72</v>
      </c>
      <c r="K179" s="531" cm="1">
        <f t="array" ref="K179">AVERAGE(_xlfn._xlws.FILTER(PTS!O:O, (PTS!$C:$C=A179) * ISNUMBER(PTS!O:O)))</f>
        <v>37.916666666666671</v>
      </c>
      <c r="L179" s="10" cm="1">
        <f t="array" ref="L179">AVERAGE(_xlfn._xlws.FILTER(PTS!P:P, (PTS!$C:$C=A179) * ISNUMBER(PTS!P:P)))</f>
        <v>0</v>
      </c>
      <c r="M179" s="531">
        <f t="shared" si="21"/>
        <v>249.91666666666669</v>
      </c>
      <c r="N179" s="531">
        <f t="shared" si="22"/>
        <v>37.916666666666671</v>
      </c>
      <c r="O179" s="531" cm="1">
        <f t="array" ref="O179">AVERAGE(_xlfn._xlws.FILTER(PTS!S:S, (PTS!$C:$C=A179) * ISNUMBER(PTS!S:S)))</f>
        <v>0</v>
      </c>
      <c r="P179" s="531" cm="1">
        <f t="array" ref="P179">AVERAGE(_xlfn._xlws.FILTER(PTS!T:T, (PTS!$C:$C=A179) * ISNUMBER(PTS!T:T)))</f>
        <v>0</v>
      </c>
      <c r="Q179" s="531" t="e" cm="1" vm="1">
        <f t="array" ref="Q179">AVERAGE(_xlfn._xlws.FILTER(PTS!U:U, (PTS!$C:$C=A179) * ISNUMBER(PTS!U:U)))</f>
        <v>#VALUE!</v>
      </c>
      <c r="S179" s="531" t="e" vm="2">
        <f t="shared" si="23"/>
        <v>#VALUE!</v>
      </c>
      <c r="T179" s="531" cm="1">
        <f t="array" ref="T179">AVERAGE(_xlfn._xlws.FILTER(PTS!X:X, (PTS!$C:$C=A179) * ISNUMBER(PTS!X:X)))</f>
        <v>52</v>
      </c>
      <c r="U179" s="531" cm="1">
        <f t="array" ref="U179">AVERAGE(_xlfn._xlws.FILTER(PTS!Y:Y, (PTS!$C:$C=A179) * ISNUMBER(PTS!Y:Y)))</f>
        <v>50.4</v>
      </c>
      <c r="V179" s="531" cm="1">
        <f t="array" ref="V179">AVERAGE(_xlfn._xlws.FILTER(PTS!Z:Z, (PTS!$C:$C=A179) * ISNUMBER(PTS!Z:Z)))</f>
        <v>26.25</v>
      </c>
      <c r="X179" s="531">
        <f t="shared" si="24"/>
        <v>128.65</v>
      </c>
      <c r="Y179" s="531" cm="1">
        <f t="array" ref="Y179">AVERAGE(_xlfn._xlws.FILTER(PTS!AC:AC, (PTS!$C:$C=A179) * ISNUMBER(PTS!AC:AC)))</f>
        <v>110.22727272727273</v>
      </c>
      <c r="Z179" s="531" cm="1">
        <f t="array" ref="Z179">AVERAGE(_xlfn._xlws.FILTER(PTS!AD:AD, (PTS!$C:$C=A179) * ISNUMBER(PTS!AD:AD)))</f>
        <v>107.04545454545455</v>
      </c>
      <c r="AB179" s="531">
        <f t="shared" si="25"/>
        <v>217.27272727272728</v>
      </c>
      <c r="AC179" s="10" cm="1">
        <f t="array" ref="AC179">AVERAGE(_xlfn._xlws.FILTER(PTS!AG:AG, (PTS!$C:$C=A179) * ISNUMBER(PTS!AG:AG)))</f>
        <v>28.814300000000003</v>
      </c>
      <c r="AD179" s="531" cm="1">
        <f t="array" ref="AD179">AVERAGE(_xlfn._xlws.FILTER(PTS!AH:AH, (PTS!$C:$C=A179) * ISNUMBER(PTS!AH:AH)))</f>
        <v>6.973140495867769</v>
      </c>
      <c r="AE179" s="531" cm="1">
        <f t="array" ref="AE179">AVERAGE(_xlfn._xlws.FILTER(PTS!AI:AI, (PTS!$C:$C=A179) * ISNUMBER(PTS!AI:AI)))</f>
        <v>12.587317427197677</v>
      </c>
      <c r="AF179" s="531" cm="1">
        <f t="array" ref="AF179">AVERAGE(_xlfn._xlws.FILTER(PTS!AJ:AJ, (PTS!$C:$C=A179) * ISNUMBER(PTS!AJ:AJ)))</f>
        <v>6.7351999999999999</v>
      </c>
      <c r="AH179" s="531">
        <f t="shared" si="26"/>
        <v>55.109957923065444</v>
      </c>
      <c r="AI179" s="10" cm="1">
        <f t="array" ref="AI179">AVERAGE(_xlfn._xlws.FILTER(PTS!AM:AM, (PTS!$C:$C=A179) * ISNUMBER(PTS!AM:AM)))</f>
        <v>79.999999999999986</v>
      </c>
      <c r="AJ179" s="10" cm="1">
        <f t="array" ref="AJ179">AVERAGE(_xlfn._xlws.FILTER(PTS!AN:AN, (PTS!$C:$C=A179) * ISNUMBER(PTS!AN:AN)))</f>
        <v>26.17808219178082</v>
      </c>
      <c r="AK179" s="10" cm="1">
        <f t="array" ref="AK179">AVERAGE(_xlfn._xlws.FILTER(PTS!AO:AO, (PTS!$C:$C=A179) * ISNUMBER(PTS!AO:AO)))</f>
        <v>0</v>
      </c>
      <c r="AN179" s="10">
        <f t="shared" si="27"/>
        <v>106.1780821917808</v>
      </c>
      <c r="AR179" s="531" t="e" vm="2">
        <f t="shared" si="28"/>
        <v>#VALUE!</v>
      </c>
      <c r="AS179" s="531" t="e" vm="2">
        <f t="shared" si="29"/>
        <v>#VALUE!</v>
      </c>
    </row>
    <row r="180" spans="1:45">
      <c r="A180" s="32" t="s">
        <v>639</v>
      </c>
      <c r="B180" s="319" t="s">
        <v>76</v>
      </c>
      <c r="C180" s="319" t="str">
        <f t="shared" si="20"/>
        <v>Port WentworthGA</v>
      </c>
      <c r="D180" s="10">
        <f>VLOOKUP(A:A,PTS!C:R,6,FALSE)</f>
        <v>1</v>
      </c>
      <c r="E180" s="531" cm="1">
        <f t="array" ref="E180">AVERAGE(_xlfn._xlws.FILTER(PTS!I:I, (PTS!$C:$C=A180) * ISNUMBER(PTS!I:I)))</f>
        <v>60</v>
      </c>
      <c r="F180" s="10" cm="1">
        <f t="array" ref="F180">AVERAGE(_xlfn._xlws.FILTER(PTS!J:J, (PTS!$C:$C=A180) * ISNUMBER(PTS!J:J)))</f>
        <v>120</v>
      </c>
      <c r="G180" s="531" cm="1">
        <f t="array" ref="G180">AVERAGE(_xlfn._xlws.FILTER(PTS!K:K, (PTS!$C:$C=A180) * ISNUMBER(PTS!K:K)))</f>
        <v>140</v>
      </c>
      <c r="H180" s="531" cm="1">
        <f t="array" ref="H180">AVERAGE(_xlfn._xlws.FILTER(PTS!L:L, (PTS!$C:$C=A180) * ISNUMBER(PTS!L:L)))</f>
        <v>61</v>
      </c>
      <c r="I180" s="531" cm="1">
        <f t="array" ref="I180">AVERAGE(_xlfn._xlws.FILTER(PTS!M:M, (PTS!$C:$C=A180) * ISNUMBER(PTS!M:M)))</f>
        <v>10</v>
      </c>
      <c r="J180" s="531" cm="1">
        <f t="array" ref="J180">AVERAGE(_xlfn._xlws.FILTER(PTS!N:N, (PTS!$C:$C=A180) * ISNUMBER(PTS!N:N)))</f>
        <v>60</v>
      </c>
      <c r="K180" s="531" cm="1">
        <f t="array" ref="K180">AVERAGE(_xlfn._xlws.FILTER(PTS!O:O, (PTS!$C:$C=A180) * ISNUMBER(PTS!O:O)))</f>
        <v>37.916666666666671</v>
      </c>
      <c r="L180" s="10" cm="1">
        <f t="array" ref="L180">AVERAGE(_xlfn._xlws.FILTER(PTS!P:P, (PTS!$C:$C=A180) * ISNUMBER(PTS!P:P)))</f>
        <v>0</v>
      </c>
      <c r="M180" s="531">
        <f t="shared" si="21"/>
        <v>488.91666666666669</v>
      </c>
      <c r="N180" s="531">
        <f t="shared" si="22"/>
        <v>97.916666666666671</v>
      </c>
      <c r="O180" s="531" cm="1">
        <f t="array" ref="O180">AVERAGE(_xlfn._xlws.FILTER(PTS!S:S, (PTS!$C:$C=A180) * ISNUMBER(PTS!S:S)))</f>
        <v>0</v>
      </c>
      <c r="P180" s="531" cm="1">
        <f t="array" ref="P180">AVERAGE(_xlfn._xlws.FILTER(PTS!T:T, (PTS!$C:$C=A180) * ISNUMBER(PTS!T:T)))</f>
        <v>0</v>
      </c>
      <c r="Q180" s="531" cm="1">
        <f t="array" ref="Q180">AVERAGE(_xlfn._xlws.FILTER(PTS!U:U, (PTS!$C:$C=A180) * ISNUMBER(PTS!U:U)))</f>
        <v>116.54886363636365</v>
      </c>
      <c r="S180" s="531">
        <f t="shared" si="23"/>
        <v>116.54886363636365</v>
      </c>
      <c r="T180" s="531" cm="1">
        <f t="array" ref="T180">AVERAGE(_xlfn._xlws.FILTER(PTS!X:X, (PTS!$C:$C=A180) * ISNUMBER(PTS!X:X)))</f>
        <v>52</v>
      </c>
      <c r="U180" s="531" cm="1">
        <f t="array" ref="U180">AVERAGE(_xlfn._xlws.FILTER(PTS!Y:Y, (PTS!$C:$C=A180) * ISNUMBER(PTS!Y:Y)))</f>
        <v>50.4</v>
      </c>
      <c r="V180" s="531" cm="1">
        <f t="array" ref="V180">AVERAGE(_xlfn._xlws.FILTER(PTS!Z:Z, (PTS!$C:$C=A180) * ISNUMBER(PTS!Z:Z)))</f>
        <v>26.25</v>
      </c>
      <c r="X180" s="531">
        <f t="shared" si="24"/>
        <v>128.65</v>
      </c>
      <c r="Y180" s="531" cm="1">
        <f t="array" ref="Y180">AVERAGE(_xlfn._xlws.FILTER(PTS!AC:AC, (PTS!$C:$C=A180) * ISNUMBER(PTS!AC:AC)))</f>
        <v>110.22727272727273</v>
      </c>
      <c r="Z180" s="531" cm="1">
        <f t="array" ref="Z180">AVERAGE(_xlfn._xlws.FILTER(PTS!AD:AD, (PTS!$C:$C=A180) * ISNUMBER(PTS!AD:AD)))</f>
        <v>107.04545454545455</v>
      </c>
      <c r="AB180" s="531">
        <f t="shared" si="25"/>
        <v>217.27272727272728</v>
      </c>
      <c r="AC180" s="10" cm="1">
        <f t="array" ref="AC180">AVERAGE(_xlfn._xlws.FILTER(PTS!AG:AG, (PTS!$C:$C=A180) * ISNUMBER(PTS!AG:AG)))</f>
        <v>28.814300000000003</v>
      </c>
      <c r="AD180" s="531" cm="1">
        <f t="array" ref="AD180">AVERAGE(_xlfn._xlws.FILTER(PTS!AH:AH, (PTS!$C:$C=A180) * ISNUMBER(PTS!AH:AH)))</f>
        <v>6.973140495867769</v>
      </c>
      <c r="AE180" s="531" cm="1">
        <f t="array" ref="AE180">AVERAGE(_xlfn._xlws.FILTER(PTS!AI:AI, (PTS!$C:$C=A180) * ISNUMBER(PTS!AI:AI)))</f>
        <v>12.587317427197677</v>
      </c>
      <c r="AF180" s="531" cm="1">
        <f t="array" ref="AF180">AVERAGE(_xlfn._xlws.FILTER(PTS!AJ:AJ, (PTS!$C:$C=A180) * ISNUMBER(PTS!AJ:AJ)))</f>
        <v>6.7351999999999999</v>
      </c>
      <c r="AH180" s="531">
        <f t="shared" si="26"/>
        <v>55.109957923065444</v>
      </c>
      <c r="AI180" s="10" cm="1">
        <f t="array" ref="AI180">AVERAGE(_xlfn._xlws.FILTER(PTS!AM:AM, (PTS!$C:$C=A180) * ISNUMBER(PTS!AM:AM)))</f>
        <v>79.999999999999986</v>
      </c>
      <c r="AJ180" s="10" cm="1">
        <f t="array" ref="AJ180">AVERAGE(_xlfn._xlws.FILTER(PTS!AN:AN, (PTS!$C:$C=A180) * ISNUMBER(PTS!AN:AN)))</f>
        <v>26.17808219178082</v>
      </c>
      <c r="AK180" s="10" cm="1">
        <f t="array" ref="AK180">AVERAGE(_xlfn._xlws.FILTER(PTS!AO:AO, (PTS!$C:$C=A180) * ISNUMBER(PTS!AO:AO)))</f>
        <v>0</v>
      </c>
      <c r="AN180" s="10">
        <f t="shared" si="27"/>
        <v>106.1780821917808</v>
      </c>
      <c r="AR180" s="531">
        <f t="shared" si="28"/>
        <v>721.67629769060386</v>
      </c>
      <c r="AS180" s="531">
        <f t="shared" si="29"/>
        <v>1112.6762976906039</v>
      </c>
    </row>
    <row r="181" spans="1:45">
      <c r="A181" s="32" t="s">
        <v>641</v>
      </c>
      <c r="B181" s="319" t="s">
        <v>190</v>
      </c>
      <c r="C181" s="319" t="str">
        <f t="shared" si="20"/>
        <v>PortagevilleMO</v>
      </c>
      <c r="D181" s="10">
        <f>VLOOKUP(A:A,PTS!C:R,6,FALSE)</f>
        <v>1</v>
      </c>
      <c r="E181" s="531" cm="1">
        <f t="array" ref="E181">AVERAGE(_xlfn._xlws.FILTER(PTS!I:I, (PTS!$C:$C=A181) * ISNUMBER(PTS!I:I)))</f>
        <v>36</v>
      </c>
      <c r="F181" s="10" cm="1">
        <f t="array" ref="F181">AVERAGE(_xlfn._xlws.FILTER(PTS!J:J, (PTS!$C:$C=A181) * ISNUMBER(PTS!J:J)))</f>
        <v>310</v>
      </c>
      <c r="G181" s="531" cm="1">
        <f t="array" ref="G181">AVERAGE(_xlfn._xlws.FILTER(PTS!K:K, (PTS!$C:$C=A181) * ISNUMBER(PTS!K:K)))</f>
        <v>80</v>
      </c>
      <c r="H181" s="531" cm="1">
        <f t="array" ref="H181">AVERAGE(_xlfn._xlws.FILTER(PTS!L:L, (PTS!$C:$C=A181) * ISNUMBER(PTS!L:L)))</f>
        <v>0</v>
      </c>
      <c r="I181" s="531" cm="1">
        <f t="array" ref="I181">AVERAGE(_xlfn._xlws.FILTER(PTS!M:M, (PTS!$C:$C=A181) * ISNUMBER(PTS!M:M)))</f>
        <v>5</v>
      </c>
      <c r="J181" s="531" cm="1">
        <f t="array" ref="J181">AVERAGE(_xlfn._xlws.FILTER(PTS!N:N, (PTS!$C:$C=A181) * ISNUMBER(PTS!N:N)))</f>
        <v>60</v>
      </c>
      <c r="K181" s="531" cm="1">
        <f t="array" ref="K181">AVERAGE(_xlfn._xlws.FILTER(PTS!O:O, (PTS!$C:$C=A181) * ISNUMBER(PTS!O:O)))</f>
        <v>37.916666666666671</v>
      </c>
      <c r="L181" s="10" cm="1">
        <f t="array" ref="L181">AVERAGE(_xlfn._xlws.FILTER(PTS!P:P, (PTS!$C:$C=A181) * ISNUMBER(PTS!P:P)))</f>
        <v>0</v>
      </c>
      <c r="M181" s="531">
        <f t="shared" si="21"/>
        <v>528.91666666666663</v>
      </c>
      <c r="N181" s="531">
        <f t="shared" si="22"/>
        <v>97.916666666666671</v>
      </c>
      <c r="O181" s="531" cm="1">
        <f t="array" ref="O181">AVERAGE(_xlfn._xlws.FILTER(PTS!S:S, (PTS!$C:$C=A181) * ISNUMBER(PTS!S:S)))</f>
        <v>0</v>
      </c>
      <c r="P181" s="531" cm="1">
        <f t="array" ref="P181">AVERAGE(_xlfn._xlws.FILTER(PTS!T:T, (PTS!$C:$C=A181) * ISNUMBER(PTS!T:T)))</f>
        <v>0</v>
      </c>
      <c r="Q181" s="531" cm="1">
        <f t="array" ref="Q181">AVERAGE(_xlfn._xlws.FILTER(PTS!U:U, (PTS!$C:$C=A181) * ISNUMBER(PTS!U:U)))</f>
        <v>186.93181818181816</v>
      </c>
      <c r="S181" s="531">
        <f t="shared" si="23"/>
        <v>186.93181818181816</v>
      </c>
      <c r="T181" s="531" cm="1">
        <f t="array" ref="T181">AVERAGE(_xlfn._xlws.FILTER(PTS!X:X, (PTS!$C:$C=A181) * ISNUMBER(PTS!X:X)))</f>
        <v>50</v>
      </c>
      <c r="U181" s="531" cm="1">
        <f t="array" ref="U181">AVERAGE(_xlfn._xlws.FILTER(PTS!Y:Y, (PTS!$C:$C=A181) * ISNUMBER(PTS!Y:Y)))</f>
        <v>33.6</v>
      </c>
      <c r="V181" s="531" cm="1">
        <f t="array" ref="V181">AVERAGE(_xlfn._xlws.FILTER(PTS!Z:Z, (PTS!$C:$C=A181) * ISNUMBER(PTS!Z:Z)))</f>
        <v>26.25</v>
      </c>
      <c r="X181" s="531">
        <f t="shared" si="24"/>
        <v>109.85</v>
      </c>
      <c r="Y181" s="531" cm="1">
        <f t="array" ref="Y181">AVERAGE(_xlfn._xlws.FILTER(PTS!AC:AC, (PTS!$C:$C=A181) * ISNUMBER(PTS!AC:AC)))</f>
        <v>146.02272727272725</v>
      </c>
      <c r="Z181" s="531" cm="1">
        <f t="array" ref="Z181">AVERAGE(_xlfn._xlws.FILTER(PTS!AD:AD, (PTS!$C:$C=A181) * ISNUMBER(PTS!AD:AD)))</f>
        <v>182.72727272727275</v>
      </c>
      <c r="AB181" s="531">
        <f t="shared" si="25"/>
        <v>328.75</v>
      </c>
      <c r="AC181" s="10" cm="1">
        <f t="array" ref="AC181">AVERAGE(_xlfn._xlws.FILTER(PTS!AG:AG, (PTS!$C:$C=A181) * ISNUMBER(PTS!AG:AG)))</f>
        <v>28.814300000000003</v>
      </c>
      <c r="AD181" s="531" cm="1">
        <f t="array" ref="AD181">AVERAGE(_xlfn._xlws.FILTER(PTS!AH:AH, (PTS!$C:$C=A181) * ISNUMBER(PTS!AH:AH)))</f>
        <v>6.973140495867769</v>
      </c>
      <c r="AE181" s="531" cm="1">
        <f t="array" ref="AE181">AVERAGE(_xlfn._xlws.FILTER(PTS!AI:AI, (PTS!$C:$C=A181) * ISNUMBER(PTS!AI:AI)))</f>
        <v>12.587317427197677</v>
      </c>
      <c r="AF181" s="531" cm="1">
        <f t="array" ref="AF181">AVERAGE(_xlfn._xlws.FILTER(PTS!AJ:AJ, (PTS!$C:$C=A181) * ISNUMBER(PTS!AJ:AJ)))</f>
        <v>6.7351999999999999</v>
      </c>
      <c r="AH181" s="531">
        <f t="shared" si="26"/>
        <v>55.109957923065444</v>
      </c>
      <c r="AI181" s="10" cm="1">
        <f t="array" ref="AI181">AVERAGE(_xlfn._xlws.FILTER(PTS!AM:AM, (PTS!$C:$C=A181) * ISNUMBER(PTS!AM:AM)))</f>
        <v>79.999999999999986</v>
      </c>
      <c r="AJ181" s="10" cm="1">
        <f t="array" ref="AJ181">AVERAGE(_xlfn._xlws.FILTER(PTS!AN:AN, (PTS!$C:$C=A181) * ISNUMBER(PTS!AN:AN)))</f>
        <v>26.17808219178082</v>
      </c>
      <c r="AK181" s="10" cm="1">
        <f t="array" ref="AK181">AVERAGE(_xlfn._xlws.FILTER(PTS!AO:AO, (PTS!$C:$C=A181) * ISNUMBER(PTS!AO:AO)))</f>
        <v>0</v>
      </c>
      <c r="AN181" s="10">
        <f t="shared" si="27"/>
        <v>106.1780821917808</v>
      </c>
      <c r="AR181" s="531">
        <f t="shared" si="28"/>
        <v>884.73652496333102</v>
      </c>
      <c r="AS181" s="531">
        <f t="shared" si="29"/>
        <v>1315.736524963331</v>
      </c>
    </row>
    <row r="182" spans="1:45">
      <c r="A182" s="32" t="s">
        <v>650</v>
      </c>
      <c r="B182" s="319" t="s">
        <v>71</v>
      </c>
      <c r="C182" s="319" t="str">
        <f t="shared" si="20"/>
        <v>Post TX</v>
      </c>
      <c r="D182" s="10">
        <f>VLOOKUP(A:A,PTS!C:R,6,FALSE)</f>
        <v>2</v>
      </c>
      <c r="E182" s="531" cm="1">
        <f t="array" ref="E182">AVERAGE(_xlfn._xlws.FILTER(PTS!I:I, (PTS!$C:$C=A182) * ISNUMBER(PTS!I:I)))</f>
        <v>102</v>
      </c>
      <c r="F182" s="10" cm="1">
        <f t="array" ref="F182">AVERAGE(_xlfn._xlws.FILTER(PTS!J:J, (PTS!$C:$C=A182) * ISNUMBER(PTS!J:J)))</f>
        <v>125</v>
      </c>
      <c r="G182" s="531" cm="1">
        <f t="array" ref="G182">AVERAGE(_xlfn._xlws.FILTER(PTS!K:K, (PTS!$C:$C=A182) * ISNUMBER(PTS!K:K)))</f>
        <v>205</v>
      </c>
      <c r="H182" s="531" cm="1">
        <f t="array" ref="H182">AVERAGE(_xlfn._xlws.FILTER(PTS!L:L, (PTS!$C:$C=A182) * ISNUMBER(PTS!L:L)))</f>
        <v>0</v>
      </c>
      <c r="I182" s="531" cm="1">
        <f t="array" ref="I182">AVERAGE(_xlfn._xlws.FILTER(PTS!M:M, (PTS!$C:$C=A182) * ISNUMBER(PTS!M:M)))</f>
        <v>0</v>
      </c>
      <c r="J182" s="531" cm="1">
        <f t="array" ref="J182">AVERAGE(_xlfn._xlws.FILTER(PTS!N:N, (PTS!$C:$C=A182) * ISNUMBER(PTS!N:N)))</f>
        <v>48</v>
      </c>
      <c r="K182" s="531" cm="1">
        <f t="array" ref="K182">AVERAGE(_xlfn._xlws.FILTER(PTS!O:O, (PTS!$C:$C=A182) * ISNUMBER(PTS!O:O)))</f>
        <v>37.916666666666671</v>
      </c>
      <c r="L182" s="10" cm="1">
        <f t="array" ref="L182">AVERAGE(_xlfn._xlws.FILTER(PTS!P:P, (PTS!$C:$C=A182) * ISNUMBER(PTS!P:P)))</f>
        <v>0</v>
      </c>
      <c r="M182" s="531">
        <f t="shared" si="21"/>
        <v>517.91666666666663</v>
      </c>
      <c r="N182" s="531">
        <f t="shared" si="22"/>
        <v>290.91666666666669</v>
      </c>
      <c r="O182" s="531" cm="1">
        <f t="array" ref="O182">AVERAGE(_xlfn._xlws.FILTER(PTS!S:S, (PTS!$C:$C=A182) * ISNUMBER(PTS!S:S)))</f>
        <v>0</v>
      </c>
      <c r="P182" s="531" cm="1">
        <f t="array" ref="P182">AVERAGE(_xlfn._xlws.FILTER(PTS!T:T, (PTS!$C:$C=A182) * ISNUMBER(PTS!T:T)))</f>
        <v>0</v>
      </c>
      <c r="Q182" s="531" cm="1">
        <f t="array" ref="Q182">AVERAGE(_xlfn._xlws.FILTER(PTS!U:U, (PTS!$C:$C=A182) * ISNUMBER(PTS!U:U)))</f>
        <v>231.25</v>
      </c>
      <c r="S182" s="531">
        <f t="shared" si="23"/>
        <v>231.25</v>
      </c>
      <c r="T182" s="531" cm="1">
        <f t="array" ref="T182">AVERAGE(_xlfn._xlws.FILTER(PTS!X:X, (PTS!$C:$C=A182) * ISNUMBER(PTS!X:X)))</f>
        <v>54</v>
      </c>
      <c r="U182" s="531" cm="1">
        <f t="array" ref="U182">AVERAGE(_xlfn._xlws.FILTER(PTS!Y:Y, (PTS!$C:$C=A182) * ISNUMBER(PTS!Y:Y)))</f>
        <v>50.4</v>
      </c>
      <c r="V182" s="531" cm="1">
        <f t="array" ref="V182">AVERAGE(_xlfn._xlws.FILTER(PTS!Z:Z, (PTS!$C:$C=A182) * ISNUMBER(PTS!Z:Z)))</f>
        <v>26.25</v>
      </c>
      <c r="X182" s="531">
        <f t="shared" si="24"/>
        <v>130.65</v>
      </c>
      <c r="Y182" s="531" cm="1">
        <f t="array" ref="Y182">AVERAGE(_xlfn._xlws.FILTER(PTS!AC:AC, (PTS!$C:$C=A182) * ISNUMBER(PTS!AC:AC)))</f>
        <v>147.72727272727272</v>
      </c>
      <c r="Z182" s="531" cm="1">
        <f t="array" ref="Z182">AVERAGE(_xlfn._xlws.FILTER(PTS!AD:AD, (PTS!$C:$C=A182) * ISNUMBER(PTS!AD:AD)))</f>
        <v>233.06818181818181</v>
      </c>
      <c r="AB182" s="531">
        <f t="shared" si="25"/>
        <v>380.7954545454545</v>
      </c>
      <c r="AC182" s="10" cm="1">
        <f t="array" ref="AC182">AVERAGE(_xlfn._xlws.FILTER(PTS!AG:AG, (PTS!$C:$C=A182) * ISNUMBER(PTS!AG:AG)))</f>
        <v>28.814300000000003</v>
      </c>
      <c r="AD182" s="531" cm="1">
        <f t="array" ref="AD182">AVERAGE(_xlfn._xlws.FILTER(PTS!AH:AH, (PTS!$C:$C=A182) * ISNUMBER(PTS!AH:AH)))</f>
        <v>6.973140495867769</v>
      </c>
      <c r="AE182" s="531" cm="1">
        <f t="array" ref="AE182">AVERAGE(_xlfn._xlws.FILTER(PTS!AI:AI, (PTS!$C:$C=A182) * ISNUMBER(PTS!AI:AI)))</f>
        <v>12.587317427197677</v>
      </c>
      <c r="AF182" s="531" cm="1">
        <f t="array" ref="AF182">AVERAGE(_xlfn._xlws.FILTER(PTS!AJ:AJ, (PTS!$C:$C=A182) * ISNUMBER(PTS!AJ:AJ)))</f>
        <v>6.7351999999999999</v>
      </c>
      <c r="AH182" s="531">
        <f t="shared" si="26"/>
        <v>55.109957923065444</v>
      </c>
      <c r="AI182" s="10" cm="1">
        <f t="array" ref="AI182">AVERAGE(_xlfn._xlws.FILTER(PTS!AM:AM, (PTS!$C:$C=A182) * ISNUMBER(PTS!AM:AM)))</f>
        <v>79.999999999999986</v>
      </c>
      <c r="AJ182" s="10" cm="1">
        <f t="array" ref="AJ182">AVERAGE(_xlfn._xlws.FILTER(PTS!AN:AN, (PTS!$C:$C=A182) * ISNUMBER(PTS!AN:AN)))</f>
        <v>26.17808219178082</v>
      </c>
      <c r="AK182" s="10" cm="1">
        <f t="array" ref="AK182">AVERAGE(_xlfn._xlws.FILTER(PTS!AO:AO, (PTS!$C:$C=A182) * ISNUMBER(PTS!AO:AO)))</f>
        <v>0</v>
      </c>
      <c r="AN182" s="10">
        <f t="shared" si="27"/>
        <v>106.1780821917808</v>
      </c>
      <c r="AR182" s="531">
        <f t="shared" si="28"/>
        <v>1194.9001613269672</v>
      </c>
      <c r="AS182" s="531">
        <f t="shared" si="29"/>
        <v>1421.9001613269672</v>
      </c>
    </row>
    <row r="183" spans="1:45">
      <c r="A183" s="32" t="s">
        <v>653</v>
      </c>
      <c r="B183" s="319" t="s">
        <v>71</v>
      </c>
      <c r="C183" s="319" t="str">
        <f t="shared" si="20"/>
        <v>Quanah TX</v>
      </c>
      <c r="D183" s="10">
        <f>VLOOKUP(A:A,PTS!C:R,6,FALSE)</f>
        <v>2</v>
      </c>
      <c r="E183" s="531" cm="1">
        <f t="array" ref="E183">AVERAGE(_xlfn._xlws.FILTER(PTS!I:I, (PTS!$C:$C=A183) * ISNUMBER(PTS!I:I)))</f>
        <v>100</v>
      </c>
      <c r="F183" s="10" cm="1">
        <f t="array" ref="F183">AVERAGE(_xlfn._xlws.FILTER(PTS!J:J, (PTS!$C:$C=A183) * ISNUMBER(PTS!J:J)))</f>
        <v>125</v>
      </c>
      <c r="G183" s="531" cm="1">
        <f t="array" ref="G183">AVERAGE(_xlfn._xlws.FILTER(PTS!K:K, (PTS!$C:$C=A183) * ISNUMBER(PTS!K:K)))</f>
        <v>205</v>
      </c>
      <c r="H183" s="531" cm="1">
        <f t="array" ref="H183">AVERAGE(_xlfn._xlws.FILTER(PTS!L:L, (PTS!$C:$C=A183) * ISNUMBER(PTS!L:L)))</f>
        <v>0</v>
      </c>
      <c r="I183" s="531" cm="1">
        <f t="array" ref="I183">AVERAGE(_xlfn._xlws.FILTER(PTS!M:M, (PTS!$C:$C=A183) * ISNUMBER(PTS!M:M)))</f>
        <v>0</v>
      </c>
      <c r="J183" s="531" cm="1">
        <f t="array" ref="J183">AVERAGE(_xlfn._xlws.FILTER(PTS!N:N, (PTS!$C:$C=A183) * ISNUMBER(PTS!N:N)))</f>
        <v>48</v>
      </c>
      <c r="K183" s="531" cm="1">
        <f t="array" ref="K183">AVERAGE(_xlfn._xlws.FILTER(PTS!O:O, (PTS!$C:$C=A183) * ISNUMBER(PTS!O:O)))</f>
        <v>37.916666666666671</v>
      </c>
      <c r="L183" s="10" cm="1">
        <f t="array" ref="L183">AVERAGE(_xlfn._xlws.FILTER(PTS!P:P, (PTS!$C:$C=A183) * ISNUMBER(PTS!P:P)))</f>
        <v>0</v>
      </c>
      <c r="M183" s="531">
        <f t="shared" si="21"/>
        <v>515.91666666666663</v>
      </c>
      <c r="N183" s="531">
        <f t="shared" si="22"/>
        <v>290.91666666666669</v>
      </c>
      <c r="O183" s="531" cm="1">
        <f t="array" ref="O183">AVERAGE(_xlfn._xlws.FILTER(PTS!S:S, (PTS!$C:$C=A183) * ISNUMBER(PTS!S:S)))</f>
        <v>0</v>
      </c>
      <c r="P183" s="531" cm="1">
        <f t="array" ref="P183">AVERAGE(_xlfn._xlws.FILTER(PTS!T:T, (PTS!$C:$C=A183) * ISNUMBER(PTS!T:T)))</f>
        <v>0</v>
      </c>
      <c r="Q183" s="531" cm="1">
        <f t="array" ref="Q183">AVERAGE(_xlfn._xlws.FILTER(PTS!U:U, (PTS!$C:$C=A183) * ISNUMBER(PTS!U:U)))</f>
        <v>232.78409090909091</v>
      </c>
      <c r="S183" s="531">
        <f t="shared" si="23"/>
        <v>232.78409090909091</v>
      </c>
      <c r="T183" s="531" cm="1">
        <f t="array" ref="T183">AVERAGE(_xlfn._xlws.FILTER(PTS!X:X, (PTS!$C:$C=A183) * ISNUMBER(PTS!X:X)))</f>
        <v>54</v>
      </c>
      <c r="U183" s="531" cm="1">
        <f t="array" ref="U183">AVERAGE(_xlfn._xlws.FILTER(PTS!Y:Y, (PTS!$C:$C=A183) * ISNUMBER(PTS!Y:Y)))</f>
        <v>50.4</v>
      </c>
      <c r="V183" s="531" cm="1">
        <f t="array" ref="V183">AVERAGE(_xlfn._xlws.FILTER(PTS!Z:Z, (PTS!$C:$C=A183) * ISNUMBER(PTS!Z:Z)))</f>
        <v>26.25</v>
      </c>
      <c r="X183" s="531">
        <f t="shared" si="24"/>
        <v>130.65</v>
      </c>
      <c r="Y183" s="531" cm="1">
        <f t="array" ref="Y183">AVERAGE(_xlfn._xlws.FILTER(PTS!AC:AC, (PTS!$C:$C=A183) * ISNUMBER(PTS!AC:AC)))</f>
        <v>147.72727272727272</v>
      </c>
      <c r="Z183" s="531" cm="1">
        <f t="array" ref="Z183">AVERAGE(_xlfn._xlws.FILTER(PTS!AD:AD, (PTS!$C:$C=A183) * ISNUMBER(PTS!AD:AD)))</f>
        <v>233.06818181818181</v>
      </c>
      <c r="AB183" s="531">
        <f t="shared" si="25"/>
        <v>380.7954545454545</v>
      </c>
      <c r="AC183" s="10" cm="1">
        <f t="array" ref="AC183">AVERAGE(_xlfn._xlws.FILTER(PTS!AG:AG, (PTS!$C:$C=A183) * ISNUMBER(PTS!AG:AG)))</f>
        <v>28.814300000000003</v>
      </c>
      <c r="AD183" s="531" cm="1">
        <f t="array" ref="AD183">AVERAGE(_xlfn._xlws.FILTER(PTS!AH:AH, (PTS!$C:$C=A183) * ISNUMBER(PTS!AH:AH)))</f>
        <v>6.973140495867769</v>
      </c>
      <c r="AE183" s="531" cm="1">
        <f t="array" ref="AE183">AVERAGE(_xlfn._xlws.FILTER(PTS!AI:AI, (PTS!$C:$C=A183) * ISNUMBER(PTS!AI:AI)))</f>
        <v>12.587317427197677</v>
      </c>
      <c r="AF183" s="531" cm="1">
        <f t="array" ref="AF183">AVERAGE(_xlfn._xlws.FILTER(PTS!AJ:AJ, (PTS!$C:$C=A183) * ISNUMBER(PTS!AJ:AJ)))</f>
        <v>6.7351999999999999</v>
      </c>
      <c r="AH183" s="531">
        <f t="shared" si="26"/>
        <v>55.109957923065444</v>
      </c>
      <c r="AI183" s="10" cm="1">
        <f t="array" ref="AI183">AVERAGE(_xlfn._xlws.FILTER(PTS!AM:AM, (PTS!$C:$C=A183) * ISNUMBER(PTS!AM:AM)))</f>
        <v>79.999999999999986</v>
      </c>
      <c r="AJ183" s="10" cm="1">
        <f t="array" ref="AJ183">AVERAGE(_xlfn._xlws.FILTER(PTS!AN:AN, (PTS!$C:$C=A183) * ISNUMBER(PTS!AN:AN)))</f>
        <v>26.17808219178082</v>
      </c>
      <c r="AK183" s="10" cm="1">
        <f t="array" ref="AK183">AVERAGE(_xlfn._xlws.FILTER(PTS!AO:AO, (PTS!$C:$C=A183) * ISNUMBER(PTS!AO:AO)))</f>
        <v>0</v>
      </c>
      <c r="AN183" s="10">
        <f t="shared" si="27"/>
        <v>106.1780821917808</v>
      </c>
      <c r="AR183" s="531">
        <f t="shared" si="28"/>
        <v>1196.4342522360582</v>
      </c>
      <c r="AS183" s="531">
        <f t="shared" si="29"/>
        <v>1421.4342522360582</v>
      </c>
    </row>
    <row r="184" spans="1:45">
      <c r="A184" s="32" t="s">
        <v>656</v>
      </c>
      <c r="B184" s="319" t="s">
        <v>136</v>
      </c>
      <c r="C184" s="319" t="str">
        <f t="shared" si="20"/>
        <v>RaefordNC</v>
      </c>
      <c r="D184" s="10">
        <f>VLOOKUP(A:A,PTS!C:R,6,FALSE)</f>
        <v>1</v>
      </c>
      <c r="E184" s="531" cm="1">
        <f t="array" ref="E184">AVERAGE(_xlfn._xlws.FILTER(PTS!I:I, (PTS!$C:$C=A184) * ISNUMBER(PTS!I:I)))</f>
        <v>80</v>
      </c>
      <c r="F184" s="10" cm="1">
        <f t="array" ref="F184">AVERAGE(_xlfn._xlws.FILTER(PTS!J:J, (PTS!$C:$C=A184) * ISNUMBER(PTS!J:J)))</f>
        <v>97</v>
      </c>
      <c r="G184" s="531" cm="1">
        <f t="array" ref="G184">AVERAGE(_xlfn._xlws.FILTER(PTS!K:K, (PTS!$C:$C=A184) * ISNUMBER(PTS!K:K)))</f>
        <v>0</v>
      </c>
      <c r="H184" s="531" cm="1">
        <f t="array" ref="H184">AVERAGE(_xlfn._xlws.FILTER(PTS!L:L, (PTS!$C:$C=A184) * ISNUMBER(PTS!L:L)))</f>
        <v>0</v>
      </c>
      <c r="I184" s="531" cm="1">
        <f t="array" ref="I184">AVERAGE(_xlfn._xlws.FILTER(PTS!M:M, (PTS!$C:$C=A184) * ISNUMBER(PTS!M:M)))</f>
        <v>0</v>
      </c>
      <c r="J184" s="531" cm="1">
        <f t="array" ref="J184">AVERAGE(_xlfn._xlws.FILTER(PTS!N:N, (PTS!$C:$C=A184) * ISNUMBER(PTS!N:N)))</f>
        <v>60</v>
      </c>
      <c r="K184" s="531" cm="1">
        <f t="array" ref="K184">AVERAGE(_xlfn._xlws.FILTER(PTS!O:O, (PTS!$C:$C=A184) * ISNUMBER(PTS!O:O)))</f>
        <v>37.916666666666671</v>
      </c>
      <c r="L184" s="10" cm="1">
        <f t="array" ref="L184">AVERAGE(_xlfn._xlws.FILTER(PTS!P:P, (PTS!$C:$C=A184) * ISNUMBER(PTS!P:P)))</f>
        <v>0</v>
      </c>
      <c r="M184" s="531">
        <f t="shared" si="21"/>
        <v>274.91666666666669</v>
      </c>
      <c r="N184" s="531">
        <f t="shared" si="22"/>
        <v>97.916666666666671</v>
      </c>
      <c r="O184" s="531" cm="1">
        <f t="array" ref="O184">AVERAGE(_xlfn._xlws.FILTER(PTS!S:S, (PTS!$C:$C=A184) * ISNUMBER(PTS!S:S)))</f>
        <v>0</v>
      </c>
      <c r="P184" s="531" cm="1">
        <f t="array" ref="P184">AVERAGE(_xlfn._xlws.FILTER(PTS!T:T, (PTS!$C:$C=A184) * ISNUMBER(PTS!T:T)))</f>
        <v>0</v>
      </c>
      <c r="Q184" s="531" cm="1">
        <f t="array" ref="Q184">AVERAGE(_xlfn._xlws.FILTER(PTS!U:U, (PTS!$C:$C=A184) * ISNUMBER(PTS!U:U)))</f>
        <v>221.28863636363636</v>
      </c>
      <c r="S184" s="531">
        <f t="shared" si="23"/>
        <v>221.28863636363636</v>
      </c>
      <c r="T184" s="531" cm="1">
        <f t="array" ref="T184">AVERAGE(_xlfn._xlws.FILTER(PTS!X:X, (PTS!$C:$C=A184) * ISNUMBER(PTS!X:X)))</f>
        <v>52</v>
      </c>
      <c r="U184" s="531" cm="1">
        <f t="array" ref="U184">AVERAGE(_xlfn._xlws.FILTER(PTS!Y:Y, (PTS!$C:$C=A184) * ISNUMBER(PTS!Y:Y)))</f>
        <v>50.4</v>
      </c>
      <c r="V184" s="531" cm="1">
        <f t="array" ref="V184">AVERAGE(_xlfn._xlws.FILTER(PTS!Z:Z, (PTS!$C:$C=A184) * ISNUMBER(PTS!Z:Z)))</f>
        <v>26.25</v>
      </c>
      <c r="X184" s="531">
        <f t="shared" si="24"/>
        <v>128.65</v>
      </c>
      <c r="Y184" s="531" cm="1">
        <f t="array" ref="Y184">AVERAGE(_xlfn._xlws.FILTER(PTS!AC:AC, (PTS!$C:$C=A184) * ISNUMBER(PTS!AC:AC)))</f>
        <v>110.22727272727273</v>
      </c>
      <c r="Z184" s="531" cm="1">
        <f t="array" ref="Z184">AVERAGE(_xlfn._xlws.FILTER(PTS!AD:AD, (PTS!$C:$C=A184) * ISNUMBER(PTS!AD:AD)))</f>
        <v>107.04545454545455</v>
      </c>
      <c r="AB184" s="531">
        <f t="shared" si="25"/>
        <v>217.27272727272728</v>
      </c>
      <c r="AC184" s="10" cm="1">
        <f t="array" ref="AC184">AVERAGE(_xlfn._xlws.FILTER(PTS!AG:AG, (PTS!$C:$C=A184) * ISNUMBER(PTS!AG:AG)))</f>
        <v>28.814300000000003</v>
      </c>
      <c r="AD184" s="531" cm="1">
        <f t="array" ref="AD184">AVERAGE(_xlfn._xlws.FILTER(PTS!AH:AH, (PTS!$C:$C=A184) * ISNUMBER(PTS!AH:AH)))</f>
        <v>6.973140495867769</v>
      </c>
      <c r="AE184" s="531" cm="1">
        <f t="array" ref="AE184">AVERAGE(_xlfn._xlws.FILTER(PTS!AI:AI, (PTS!$C:$C=A184) * ISNUMBER(PTS!AI:AI)))</f>
        <v>12.587317427197677</v>
      </c>
      <c r="AF184" s="531" cm="1">
        <f t="array" ref="AF184">AVERAGE(_xlfn._xlws.FILTER(PTS!AJ:AJ, (PTS!$C:$C=A184) * ISNUMBER(PTS!AJ:AJ)))</f>
        <v>6.7351999999999999</v>
      </c>
      <c r="AH184" s="531">
        <f t="shared" si="26"/>
        <v>55.109957923065444</v>
      </c>
      <c r="AI184" s="10" cm="1">
        <f t="array" ref="AI184">AVERAGE(_xlfn._xlws.FILTER(PTS!AM:AM, (PTS!$C:$C=A184) * ISNUMBER(PTS!AM:AM)))</f>
        <v>79.999999999999986</v>
      </c>
      <c r="AJ184" s="10" cm="1">
        <f t="array" ref="AJ184">AVERAGE(_xlfn._xlws.FILTER(PTS!AN:AN, (PTS!$C:$C=A184) * ISNUMBER(PTS!AN:AN)))</f>
        <v>26.17808219178082</v>
      </c>
      <c r="AK184" s="10" cm="1">
        <f t="array" ref="AK184">AVERAGE(_xlfn._xlws.FILTER(PTS!AO:AO, (PTS!$C:$C=A184) * ISNUMBER(PTS!AO:AO)))</f>
        <v>0</v>
      </c>
      <c r="AN184" s="10">
        <f t="shared" si="27"/>
        <v>106.1780821917808</v>
      </c>
      <c r="AR184" s="531">
        <f t="shared" si="28"/>
        <v>826.41607041787654</v>
      </c>
      <c r="AS184" s="531">
        <f t="shared" si="29"/>
        <v>1003.4160704178765</v>
      </c>
    </row>
    <row r="185" spans="1:45">
      <c r="A185" s="32" t="s">
        <v>659</v>
      </c>
      <c r="B185" s="319" t="s">
        <v>71</v>
      </c>
      <c r="C185" s="319" t="str">
        <f t="shared" si="20"/>
        <v>RallsTX</v>
      </c>
      <c r="D185" s="10">
        <f>VLOOKUP(A:A,PTS!C:R,6,FALSE)</f>
        <v>2</v>
      </c>
      <c r="E185" s="531" cm="1">
        <f t="array" ref="E185">AVERAGE(_xlfn._xlws.FILTER(PTS!I:I, (PTS!$C:$C=A185) * ISNUMBER(PTS!I:I)))</f>
        <v>95</v>
      </c>
      <c r="F185" s="10" cm="1">
        <f t="array" ref="F185">AVERAGE(_xlfn._xlws.FILTER(PTS!J:J, (PTS!$C:$C=A185) * ISNUMBER(PTS!J:J)))</f>
        <v>109</v>
      </c>
      <c r="G185" s="531" cm="1">
        <f t="array" ref="G185">AVERAGE(_xlfn._xlws.FILTER(PTS!K:K, (PTS!$C:$C=A185) * ISNUMBER(PTS!K:K)))</f>
        <v>195</v>
      </c>
      <c r="H185" s="531" cm="1">
        <f t="array" ref="H185">AVERAGE(_xlfn._xlws.FILTER(PTS!L:L, (PTS!$C:$C=A185) * ISNUMBER(PTS!L:L)))</f>
        <v>0</v>
      </c>
      <c r="I185" s="531" cm="1">
        <f t="array" ref="I185">AVERAGE(_xlfn._xlws.FILTER(PTS!M:M, (PTS!$C:$C=A185) * ISNUMBER(PTS!M:M)))</f>
        <v>20</v>
      </c>
      <c r="J185" s="531" cm="1">
        <f t="array" ref="J185">AVERAGE(_xlfn._xlws.FILTER(PTS!N:N, (PTS!$C:$C=A185) * ISNUMBER(PTS!N:N)))</f>
        <v>48</v>
      </c>
      <c r="K185" s="531" cm="1">
        <f t="array" ref="K185">AVERAGE(_xlfn._xlws.FILTER(PTS!O:O, (PTS!$C:$C=A185) * ISNUMBER(PTS!O:O)))</f>
        <v>37.916666666666671</v>
      </c>
      <c r="L185" s="10" cm="1">
        <f t="array" ref="L185">AVERAGE(_xlfn._xlws.FILTER(PTS!P:P, (PTS!$C:$C=A185) * ISNUMBER(PTS!P:P)))</f>
        <v>0</v>
      </c>
      <c r="M185" s="531">
        <f t="shared" si="21"/>
        <v>504.91666666666669</v>
      </c>
      <c r="N185" s="531">
        <f t="shared" si="22"/>
        <v>280.91666666666669</v>
      </c>
      <c r="O185" s="531" cm="1">
        <f t="array" ref="O185">AVERAGE(_xlfn._xlws.FILTER(PTS!S:S, (PTS!$C:$C=A185) * ISNUMBER(PTS!S:S)))</f>
        <v>0</v>
      </c>
      <c r="P185" s="531" cm="1">
        <f t="array" ref="P185">AVERAGE(_xlfn._xlws.FILTER(PTS!T:T, (PTS!$C:$C=A185) * ISNUMBER(PTS!T:T)))</f>
        <v>0</v>
      </c>
      <c r="Q185" s="531" cm="1">
        <f t="array" ref="Q185">AVERAGE(_xlfn._xlws.FILTER(PTS!U:U, (PTS!$C:$C=A185) * ISNUMBER(PTS!U:U)))</f>
        <v>226.13636363636363</v>
      </c>
      <c r="S185" s="531">
        <f t="shared" si="23"/>
        <v>226.13636363636363</v>
      </c>
      <c r="T185" s="531" cm="1">
        <f t="array" ref="T185">AVERAGE(_xlfn._xlws.FILTER(PTS!X:X, (PTS!$C:$C=A185) * ISNUMBER(PTS!X:X)))</f>
        <v>54</v>
      </c>
      <c r="U185" s="531" cm="1">
        <f t="array" ref="U185">AVERAGE(_xlfn._xlws.FILTER(PTS!Y:Y, (PTS!$C:$C=A185) * ISNUMBER(PTS!Y:Y)))</f>
        <v>50.4</v>
      </c>
      <c r="V185" s="531" cm="1">
        <f t="array" ref="V185">AVERAGE(_xlfn._xlws.FILTER(PTS!Z:Z, (PTS!$C:$C=A185) * ISNUMBER(PTS!Z:Z)))</f>
        <v>26.25</v>
      </c>
      <c r="X185" s="531">
        <f t="shared" si="24"/>
        <v>130.65</v>
      </c>
      <c r="Y185" s="531" cm="1">
        <f t="array" ref="Y185">AVERAGE(_xlfn._xlws.FILTER(PTS!AC:AC, (PTS!$C:$C=A185) * ISNUMBER(PTS!AC:AC)))</f>
        <v>147.72727272727272</v>
      </c>
      <c r="Z185" s="531" cm="1">
        <f t="array" ref="Z185">AVERAGE(_xlfn._xlws.FILTER(PTS!AD:AD, (PTS!$C:$C=A185) * ISNUMBER(PTS!AD:AD)))</f>
        <v>233.06818181818181</v>
      </c>
      <c r="AB185" s="531">
        <f t="shared" si="25"/>
        <v>380.7954545454545</v>
      </c>
      <c r="AC185" s="10" cm="1">
        <f t="array" ref="AC185">AVERAGE(_xlfn._xlws.FILTER(PTS!AG:AG, (PTS!$C:$C=A185) * ISNUMBER(PTS!AG:AG)))</f>
        <v>28.814300000000003</v>
      </c>
      <c r="AD185" s="531" cm="1">
        <f t="array" ref="AD185">AVERAGE(_xlfn._xlws.FILTER(PTS!AH:AH, (PTS!$C:$C=A185) * ISNUMBER(PTS!AH:AH)))</f>
        <v>6.973140495867769</v>
      </c>
      <c r="AE185" s="531" cm="1">
        <f t="array" ref="AE185">AVERAGE(_xlfn._xlws.FILTER(PTS!AI:AI, (PTS!$C:$C=A185) * ISNUMBER(PTS!AI:AI)))</f>
        <v>12.587317427197677</v>
      </c>
      <c r="AF185" s="531" cm="1">
        <f t="array" ref="AF185">AVERAGE(_xlfn._xlws.FILTER(PTS!AJ:AJ, (PTS!$C:$C=A185) * ISNUMBER(PTS!AJ:AJ)))</f>
        <v>6.7351999999999999</v>
      </c>
      <c r="AH185" s="531">
        <f t="shared" si="26"/>
        <v>55.109957923065444</v>
      </c>
      <c r="AI185" s="10" cm="1">
        <f t="array" ref="AI185">AVERAGE(_xlfn._xlws.FILTER(PTS!AM:AM, (PTS!$C:$C=A185) * ISNUMBER(PTS!AM:AM)))</f>
        <v>79.999999999999986</v>
      </c>
      <c r="AJ185" s="10" cm="1">
        <f t="array" ref="AJ185">AVERAGE(_xlfn._xlws.FILTER(PTS!AN:AN, (PTS!$C:$C=A185) * ISNUMBER(PTS!AN:AN)))</f>
        <v>26.17808219178082</v>
      </c>
      <c r="AK185" s="10" cm="1">
        <f t="array" ref="AK185">AVERAGE(_xlfn._xlws.FILTER(PTS!AO:AO, (PTS!$C:$C=A185) * ISNUMBER(PTS!AO:AO)))</f>
        <v>0</v>
      </c>
      <c r="AN185" s="10">
        <f t="shared" si="27"/>
        <v>106.1780821917808</v>
      </c>
      <c r="AR185" s="531">
        <f t="shared" si="28"/>
        <v>1179.786524963331</v>
      </c>
      <c r="AS185" s="531">
        <f t="shared" si="29"/>
        <v>1403.7865249633307</v>
      </c>
    </row>
    <row r="186" spans="1:45">
      <c r="A186" s="32" t="s">
        <v>662</v>
      </c>
      <c r="B186" s="319" t="s">
        <v>71</v>
      </c>
      <c r="C186" s="319" t="str">
        <f t="shared" si="20"/>
        <v>RaymondvilleTX</v>
      </c>
      <c r="D186" s="10">
        <f>VLOOKUP(A:A,PTS!C:R,6,FALSE)</f>
        <v>3</v>
      </c>
      <c r="E186" s="531" cm="1">
        <f t="array" ref="E186">AVERAGE(_xlfn._xlws.FILTER(PTS!I:I, (PTS!$C:$C=A186) * ISNUMBER(PTS!I:I)))</f>
        <v>83.333333333333329</v>
      </c>
      <c r="F186" s="10" cm="1">
        <f t="array" ref="F186">AVERAGE(_xlfn._xlws.FILTER(PTS!J:J, (PTS!$C:$C=A186) * ISNUMBER(PTS!J:J)))</f>
        <v>350</v>
      </c>
      <c r="G186" s="531" cm="1">
        <f t="array" ref="G186">AVERAGE(_xlfn._xlws.FILTER(PTS!K:K, (PTS!$C:$C=A186) * ISNUMBER(PTS!K:K)))</f>
        <v>0</v>
      </c>
      <c r="H186" s="531" cm="1">
        <f t="array" ref="H186">AVERAGE(_xlfn._xlws.FILTER(PTS!L:L, (PTS!$C:$C=A186) * ISNUMBER(PTS!L:L)))</f>
        <v>0</v>
      </c>
      <c r="I186" s="531" cm="1">
        <f t="array" ref="I186">AVERAGE(_xlfn._xlws.FILTER(PTS!M:M, (PTS!$C:$C=A186) * ISNUMBER(PTS!M:M)))</f>
        <v>0</v>
      </c>
      <c r="J186" s="531" cm="1">
        <f t="array" ref="J186">AVERAGE(_xlfn._xlws.FILTER(PTS!N:N, (PTS!$C:$C=A186) * ISNUMBER(PTS!N:N)))</f>
        <v>80</v>
      </c>
      <c r="K186" s="531" cm="1">
        <f t="array" ref="K186">AVERAGE(_xlfn._xlws.FILTER(PTS!O:O, (PTS!$C:$C=A186) * ISNUMBER(PTS!O:O)))</f>
        <v>37.916666666666671</v>
      </c>
      <c r="L186" s="10" cm="1">
        <f t="array" ref="L186">AVERAGE(_xlfn._xlws.FILTER(PTS!P:P, (PTS!$C:$C=A186) * ISNUMBER(PTS!P:P)))</f>
        <v>0</v>
      </c>
      <c r="M186" s="531">
        <f t="shared" si="21"/>
        <v>551.24999999999989</v>
      </c>
      <c r="N186" s="531">
        <f t="shared" si="22"/>
        <v>467.91666666666669</v>
      </c>
      <c r="O186" s="531" cm="1">
        <f t="array" ref="O186">AVERAGE(_xlfn._xlws.FILTER(PTS!S:S, (PTS!$C:$C=A186) * ISNUMBER(PTS!S:S)))</f>
        <v>20</v>
      </c>
      <c r="P186" s="531" cm="1">
        <f t="array" ref="P186">AVERAGE(_xlfn._xlws.FILTER(PTS!T:T, (PTS!$C:$C=A186) * ISNUMBER(PTS!T:T)))</f>
        <v>0</v>
      </c>
      <c r="Q186" s="531" cm="1">
        <f t="array" ref="Q186">AVERAGE(_xlfn._xlws.FILTER(PTS!U:U, (PTS!$C:$C=A186) * ISNUMBER(PTS!U:U)))</f>
        <v>258.52272727272725</v>
      </c>
      <c r="S186" s="531">
        <f t="shared" si="23"/>
        <v>278.52272727272725</v>
      </c>
      <c r="T186" s="531" cm="1">
        <f t="array" ref="T186">AVERAGE(_xlfn._xlws.FILTER(PTS!X:X, (PTS!$C:$C=A186) * ISNUMBER(PTS!X:X)))</f>
        <v>54</v>
      </c>
      <c r="U186" s="531" cm="1">
        <f t="array" ref="U186">AVERAGE(_xlfn._xlws.FILTER(PTS!Y:Y, (PTS!$C:$C=A186) * ISNUMBER(PTS!Y:Y)))</f>
        <v>50.4</v>
      </c>
      <c r="V186" s="531" cm="1">
        <f t="array" ref="V186">AVERAGE(_xlfn._xlws.FILTER(PTS!Z:Z, (PTS!$C:$C=A186) * ISNUMBER(PTS!Z:Z)))</f>
        <v>26.25</v>
      </c>
      <c r="X186" s="531">
        <f t="shared" si="24"/>
        <v>130.65</v>
      </c>
      <c r="Y186" s="531" cm="1">
        <f t="array" ref="Y186">AVERAGE(_xlfn._xlws.FILTER(PTS!AC:AC, (PTS!$C:$C=A186) * ISNUMBER(PTS!AC:AC)))</f>
        <v>132.95454545454544</v>
      </c>
      <c r="Z186" s="531" cm="1">
        <f t="array" ref="Z186">AVERAGE(_xlfn._xlws.FILTER(PTS!AD:AD, (PTS!$C:$C=A186) * ISNUMBER(PTS!AD:AD)))</f>
        <v>197.95454545454547</v>
      </c>
      <c r="AB186" s="531">
        <f t="shared" si="25"/>
        <v>330.90909090909088</v>
      </c>
      <c r="AC186" s="10" cm="1">
        <f t="array" ref="AC186">AVERAGE(_xlfn._xlws.FILTER(PTS!AG:AG, (PTS!$C:$C=A186) * ISNUMBER(PTS!AG:AG)))</f>
        <v>28.814300000000003</v>
      </c>
      <c r="AD186" s="531" cm="1">
        <f t="array" ref="AD186">AVERAGE(_xlfn._xlws.FILTER(PTS!AH:AH, (PTS!$C:$C=A186) * ISNUMBER(PTS!AH:AH)))</f>
        <v>6.9731404958677699</v>
      </c>
      <c r="AE186" s="531" cm="1">
        <f t="array" ref="AE186">AVERAGE(_xlfn._xlws.FILTER(PTS!AI:AI, (PTS!$C:$C=A186) * ISNUMBER(PTS!AI:AI)))</f>
        <v>12.587317427197677</v>
      </c>
      <c r="AF186" s="531" cm="1">
        <f t="array" ref="AF186">AVERAGE(_xlfn._xlws.FILTER(PTS!AJ:AJ, (PTS!$C:$C=A186) * ISNUMBER(PTS!AJ:AJ)))</f>
        <v>6.7351999999999999</v>
      </c>
      <c r="AH186" s="531">
        <f t="shared" si="26"/>
        <v>55.109957923065444</v>
      </c>
      <c r="AI186" s="10" cm="1">
        <f t="array" ref="AI186">AVERAGE(_xlfn._xlws.FILTER(PTS!AM:AM, (PTS!$C:$C=A186) * ISNUMBER(PTS!AM:AM)))</f>
        <v>79.999999999999986</v>
      </c>
      <c r="AJ186" s="10" cm="1">
        <f t="array" ref="AJ186">AVERAGE(_xlfn._xlws.FILTER(PTS!AN:AN, (PTS!$C:$C=A186) * ISNUMBER(PTS!AN:AN)))</f>
        <v>26.17808219178082</v>
      </c>
      <c r="AK186" s="10" cm="1">
        <f t="array" ref="AK186">AVERAGE(_xlfn._xlws.FILTER(PTS!AO:AO, (PTS!$C:$C=A186) * ISNUMBER(PTS!AO:AO)))</f>
        <v>0</v>
      </c>
      <c r="AN186" s="10">
        <f t="shared" si="27"/>
        <v>106.1780821917808</v>
      </c>
      <c r="AR186" s="531">
        <f t="shared" si="28"/>
        <v>1369.286524963331</v>
      </c>
      <c r="AS186" s="531">
        <f t="shared" si="29"/>
        <v>1452.6198582966642</v>
      </c>
    </row>
    <row r="187" spans="1:45">
      <c r="A187" s="32" t="s">
        <v>667</v>
      </c>
      <c r="B187" s="319" t="s">
        <v>80</v>
      </c>
      <c r="C187" s="319" t="str">
        <f t="shared" si="20"/>
        <v>RayvilleLA</v>
      </c>
      <c r="D187" s="10">
        <f>VLOOKUP(A:A,PTS!C:R,6,FALSE)</f>
        <v>1</v>
      </c>
      <c r="E187" s="531" cm="1">
        <f t="array" ref="E187">AVERAGE(_xlfn._xlws.FILTER(PTS!I:I, (PTS!$C:$C=A187) * ISNUMBER(PTS!I:I)))</f>
        <v>48</v>
      </c>
      <c r="F187" s="10" cm="1">
        <f t="array" ref="F187">AVERAGE(_xlfn._xlws.FILTER(PTS!J:J, (PTS!$C:$C=A187) * ISNUMBER(PTS!J:J)))</f>
        <v>80</v>
      </c>
      <c r="G187" s="531" cm="1">
        <f t="array" ref="G187">AVERAGE(_xlfn._xlws.FILTER(PTS!K:K, (PTS!$C:$C=A187) * ISNUMBER(PTS!K:K)))</f>
        <v>140</v>
      </c>
      <c r="H187" s="531" cm="1">
        <f t="array" ref="H187">AVERAGE(_xlfn._xlws.FILTER(PTS!L:L, (PTS!$C:$C=A187) * ISNUMBER(PTS!L:L)))</f>
        <v>61</v>
      </c>
      <c r="I187" s="531" cm="1">
        <f t="array" ref="I187">AVERAGE(_xlfn._xlws.FILTER(PTS!M:M, (PTS!$C:$C=A187) * ISNUMBER(PTS!M:M)))</f>
        <v>0</v>
      </c>
      <c r="J187" s="531" cm="1">
        <f t="array" ref="J187">AVERAGE(_xlfn._xlws.FILTER(PTS!N:N, (PTS!$C:$C=A187) * ISNUMBER(PTS!N:N)))</f>
        <v>60</v>
      </c>
      <c r="K187" s="531" cm="1">
        <f t="array" ref="K187">AVERAGE(_xlfn._xlws.FILTER(PTS!O:O, (PTS!$C:$C=A187) * ISNUMBER(PTS!O:O)))</f>
        <v>37.916666666666671</v>
      </c>
      <c r="L187" s="10" cm="1">
        <f t="array" ref="L187">AVERAGE(_xlfn._xlws.FILTER(PTS!P:P, (PTS!$C:$C=A187) * ISNUMBER(PTS!P:P)))</f>
        <v>0</v>
      </c>
      <c r="M187" s="531">
        <f t="shared" si="21"/>
        <v>426.91666666666669</v>
      </c>
      <c r="N187" s="531">
        <f t="shared" si="22"/>
        <v>97.916666666666671</v>
      </c>
      <c r="O187" s="531" cm="1">
        <f t="array" ref="O187">AVERAGE(_xlfn._xlws.FILTER(PTS!S:S, (PTS!$C:$C=A187) * ISNUMBER(PTS!S:S)))</f>
        <v>0</v>
      </c>
      <c r="P187" s="531" cm="1">
        <f t="array" ref="P187">AVERAGE(_xlfn._xlws.FILTER(PTS!T:T, (PTS!$C:$C=A187) * ISNUMBER(PTS!T:T)))</f>
        <v>0</v>
      </c>
      <c r="Q187" s="531" cm="1">
        <f t="array" ref="Q187">AVERAGE(_xlfn._xlws.FILTER(PTS!U:U, (PTS!$C:$C=A187) * ISNUMBER(PTS!U:U)))</f>
        <v>343.75</v>
      </c>
      <c r="S187" s="531">
        <f t="shared" si="23"/>
        <v>343.75</v>
      </c>
      <c r="T187" s="531" cm="1">
        <f t="array" ref="T187">AVERAGE(_xlfn._xlws.FILTER(PTS!X:X, (PTS!$C:$C=A187) * ISNUMBER(PTS!X:X)))</f>
        <v>54</v>
      </c>
      <c r="U187" s="531" cm="1">
        <f t="array" ref="U187">AVERAGE(_xlfn._xlws.FILTER(PTS!Y:Y, (PTS!$C:$C=A187) * ISNUMBER(PTS!Y:Y)))</f>
        <v>50.4</v>
      </c>
      <c r="V187" s="531" cm="1">
        <f t="array" ref="V187">AVERAGE(_xlfn._xlws.FILTER(PTS!Z:Z, (PTS!$C:$C=A187) * ISNUMBER(PTS!Z:Z)))</f>
        <v>26.25</v>
      </c>
      <c r="X187" s="531">
        <f t="shared" si="24"/>
        <v>130.65</v>
      </c>
      <c r="Y187" s="531" cm="1">
        <f t="array" ref="Y187">AVERAGE(_xlfn._xlws.FILTER(PTS!AC:AC, (PTS!$C:$C=A187) * ISNUMBER(PTS!AC:AC)))</f>
        <v>132.95454545454544</v>
      </c>
      <c r="Z187" s="531" cm="1">
        <f t="array" ref="Z187">AVERAGE(_xlfn._xlws.FILTER(PTS!AD:AD, (PTS!$C:$C=A187) * ISNUMBER(PTS!AD:AD)))</f>
        <v>197.95454545454547</v>
      </c>
      <c r="AB187" s="531">
        <f t="shared" si="25"/>
        <v>330.90909090909088</v>
      </c>
      <c r="AC187" s="10" cm="1">
        <f t="array" ref="AC187">AVERAGE(_xlfn._xlws.FILTER(PTS!AG:AG, (PTS!$C:$C=A187) * ISNUMBER(PTS!AG:AG)))</f>
        <v>28.814300000000003</v>
      </c>
      <c r="AD187" s="531" cm="1">
        <f t="array" ref="AD187">AVERAGE(_xlfn._xlws.FILTER(PTS!AH:AH, (PTS!$C:$C=A187) * ISNUMBER(PTS!AH:AH)))</f>
        <v>6.973140495867769</v>
      </c>
      <c r="AE187" s="531" cm="1">
        <f t="array" ref="AE187">AVERAGE(_xlfn._xlws.FILTER(PTS!AI:AI, (PTS!$C:$C=A187) * ISNUMBER(PTS!AI:AI)))</f>
        <v>12.587317427197677</v>
      </c>
      <c r="AF187" s="531" cm="1">
        <f t="array" ref="AF187">AVERAGE(_xlfn._xlws.FILTER(PTS!AJ:AJ, (PTS!$C:$C=A187) * ISNUMBER(PTS!AJ:AJ)))</f>
        <v>6.7351999999999999</v>
      </c>
      <c r="AH187" s="531">
        <f t="shared" si="26"/>
        <v>55.109957923065444</v>
      </c>
      <c r="AI187" s="10" cm="1">
        <f t="array" ref="AI187">AVERAGE(_xlfn._xlws.FILTER(PTS!AM:AM, (PTS!$C:$C=A187) * ISNUMBER(PTS!AM:AM)))</f>
        <v>79.999999999999986</v>
      </c>
      <c r="AJ187" s="10" cm="1">
        <f t="array" ref="AJ187">AVERAGE(_xlfn._xlws.FILTER(PTS!AN:AN, (PTS!$C:$C=A187) * ISNUMBER(PTS!AN:AN)))</f>
        <v>26.17808219178082</v>
      </c>
      <c r="AK187" s="10" cm="1">
        <f t="array" ref="AK187">AVERAGE(_xlfn._xlws.FILTER(PTS!AO:AO, (PTS!$C:$C=A187) * ISNUMBER(PTS!AO:AO)))</f>
        <v>0</v>
      </c>
      <c r="AN187" s="10">
        <f t="shared" si="27"/>
        <v>106.1780821917808</v>
      </c>
      <c r="AR187" s="531">
        <f t="shared" si="28"/>
        <v>1064.5137976906037</v>
      </c>
      <c r="AS187" s="531">
        <f t="shared" si="29"/>
        <v>1393.5137976906037</v>
      </c>
    </row>
    <row r="188" spans="1:45">
      <c r="A188" s="32" t="s">
        <v>670</v>
      </c>
      <c r="B188" s="319" t="s">
        <v>76</v>
      </c>
      <c r="C188" s="319" t="str">
        <f t="shared" si="20"/>
        <v>RinconGA</v>
      </c>
      <c r="D188" s="10">
        <f>VLOOKUP(A:A,PTS!C:R,6,FALSE)</f>
        <v>4</v>
      </c>
      <c r="E188" s="531" cm="1">
        <f t="array" ref="E188">AVERAGE(_xlfn._xlws.FILTER(PTS!I:I, (PTS!$C:$C=A188) * ISNUMBER(PTS!I:I)))</f>
        <v>60</v>
      </c>
      <c r="F188" s="10" cm="1">
        <f t="array" ref="F188">AVERAGE(_xlfn._xlws.FILTER(PTS!J:J, (PTS!$C:$C=A188) * ISNUMBER(PTS!J:J)))</f>
        <v>80</v>
      </c>
      <c r="G188" s="531" cm="1">
        <f t="array" ref="G188">AVERAGE(_xlfn._xlws.FILTER(PTS!K:K, (PTS!$C:$C=A188) * ISNUMBER(PTS!K:K)))</f>
        <v>0</v>
      </c>
      <c r="H188" s="531" cm="1">
        <f t="array" ref="H188">AVERAGE(_xlfn._xlws.FILTER(PTS!L:L, (PTS!$C:$C=A188) * ISNUMBER(PTS!L:L)))</f>
        <v>0</v>
      </c>
      <c r="I188" s="531" cm="1">
        <f t="array" ref="I188">AVERAGE(_xlfn._xlws.FILTER(PTS!M:M, (PTS!$C:$C=A188) * ISNUMBER(PTS!M:M)))</f>
        <v>0</v>
      </c>
      <c r="J188" s="531" cm="1">
        <f t="array" ref="J188">AVERAGE(_xlfn._xlws.FILTER(PTS!N:N, (PTS!$C:$C=A188) * ISNUMBER(PTS!N:N)))</f>
        <v>72</v>
      </c>
      <c r="K188" s="531" cm="1">
        <f t="array" ref="K188">AVERAGE(_xlfn._xlws.FILTER(PTS!O:O, (PTS!$C:$C=A188) * ISNUMBER(PTS!O:O)))</f>
        <v>37.916666666666671</v>
      </c>
      <c r="L188" s="10" cm="1">
        <f t="array" ref="L188">AVERAGE(_xlfn._xlws.FILTER(PTS!P:P, (PTS!$C:$C=A188) * ISNUMBER(PTS!P:P)))</f>
        <v>0</v>
      </c>
      <c r="M188" s="531">
        <f t="shared" si="21"/>
        <v>249.91666666666669</v>
      </c>
      <c r="N188" s="531">
        <f t="shared" si="22"/>
        <v>37.916666666666671</v>
      </c>
      <c r="O188" s="531" cm="1">
        <f t="array" ref="O188">AVERAGE(_xlfn._xlws.FILTER(PTS!S:S, (PTS!$C:$C=A188) * ISNUMBER(PTS!S:S)))</f>
        <v>0</v>
      </c>
      <c r="P188" s="531" cm="1">
        <f t="array" ref="P188">AVERAGE(_xlfn._xlws.FILTER(PTS!T:T, (PTS!$C:$C=A188) * ISNUMBER(PTS!T:T)))</f>
        <v>0</v>
      </c>
      <c r="Q188" s="531" cm="1">
        <f t="array" ref="Q188">AVERAGE(_xlfn._xlws.FILTER(PTS!U:U, (PTS!$C:$C=A188) * ISNUMBER(PTS!U:U)))</f>
        <v>109.48238636363635</v>
      </c>
      <c r="S188" s="531">
        <f t="shared" si="23"/>
        <v>109.48238636363635</v>
      </c>
      <c r="T188" s="531" cm="1">
        <f t="array" ref="T188">AVERAGE(_xlfn._xlws.FILTER(PTS!X:X, (PTS!$C:$C=A188) * ISNUMBER(PTS!X:X)))</f>
        <v>52</v>
      </c>
      <c r="U188" s="531" cm="1">
        <f t="array" ref="U188">AVERAGE(_xlfn._xlws.FILTER(PTS!Y:Y, (PTS!$C:$C=A188) * ISNUMBER(PTS!Y:Y)))</f>
        <v>50.4</v>
      </c>
      <c r="V188" s="531" cm="1">
        <f t="array" ref="V188">AVERAGE(_xlfn._xlws.FILTER(PTS!Z:Z, (PTS!$C:$C=A188) * ISNUMBER(PTS!Z:Z)))</f>
        <v>26.25</v>
      </c>
      <c r="X188" s="531">
        <f t="shared" si="24"/>
        <v>128.65</v>
      </c>
      <c r="Y188" s="531" cm="1">
        <f t="array" ref="Y188">AVERAGE(_xlfn._xlws.FILTER(PTS!AC:AC, (PTS!$C:$C=A188) * ISNUMBER(PTS!AC:AC)))</f>
        <v>110.22727272727273</v>
      </c>
      <c r="Z188" s="531" cm="1">
        <f t="array" ref="Z188">AVERAGE(_xlfn._xlws.FILTER(PTS!AD:AD, (PTS!$C:$C=A188) * ISNUMBER(PTS!AD:AD)))</f>
        <v>107.04545454545455</v>
      </c>
      <c r="AB188" s="531">
        <f t="shared" si="25"/>
        <v>217.27272727272728</v>
      </c>
      <c r="AC188" s="10" cm="1">
        <f t="array" ref="AC188">AVERAGE(_xlfn._xlws.FILTER(PTS!AG:AG, (PTS!$C:$C=A188) * ISNUMBER(PTS!AG:AG)))</f>
        <v>28.814300000000003</v>
      </c>
      <c r="AD188" s="531" cm="1">
        <f t="array" ref="AD188">AVERAGE(_xlfn._xlws.FILTER(PTS!AH:AH, (PTS!$C:$C=A188) * ISNUMBER(PTS!AH:AH)))</f>
        <v>6.973140495867769</v>
      </c>
      <c r="AE188" s="531" cm="1">
        <f t="array" ref="AE188">AVERAGE(_xlfn._xlws.FILTER(PTS!AI:AI, (PTS!$C:$C=A188) * ISNUMBER(PTS!AI:AI)))</f>
        <v>12.587317427197677</v>
      </c>
      <c r="AF188" s="531" cm="1">
        <f t="array" ref="AF188">AVERAGE(_xlfn._xlws.FILTER(PTS!AJ:AJ, (PTS!$C:$C=A188) * ISNUMBER(PTS!AJ:AJ)))</f>
        <v>6.7351999999999999</v>
      </c>
      <c r="AH188" s="531">
        <f t="shared" si="26"/>
        <v>55.109957923065444</v>
      </c>
      <c r="AI188" s="10" cm="1">
        <f t="array" ref="AI188">AVERAGE(_xlfn._xlws.FILTER(PTS!AM:AM, (PTS!$C:$C=A188) * ISNUMBER(PTS!AM:AM)))</f>
        <v>79.999999999999986</v>
      </c>
      <c r="AJ188" s="10" cm="1">
        <f t="array" ref="AJ188">AVERAGE(_xlfn._xlws.FILTER(PTS!AN:AN, (PTS!$C:$C=A188) * ISNUMBER(PTS!AN:AN)))</f>
        <v>26.17808219178082</v>
      </c>
      <c r="AK188" s="10" cm="1">
        <f t="array" ref="AK188">AVERAGE(_xlfn._xlws.FILTER(PTS!AO:AO, (PTS!$C:$C=A188) * ISNUMBER(PTS!AO:AO)))</f>
        <v>0</v>
      </c>
      <c r="AN188" s="10">
        <f t="shared" si="27"/>
        <v>106.1780821917808</v>
      </c>
      <c r="AR188" s="531">
        <f t="shared" si="28"/>
        <v>654.60982041787656</v>
      </c>
      <c r="AS188" s="531">
        <f t="shared" si="29"/>
        <v>866.60982041787656</v>
      </c>
    </row>
    <row r="189" spans="1:45">
      <c r="A189" s="32" t="s">
        <v>673</v>
      </c>
      <c r="B189" s="319" t="s">
        <v>136</v>
      </c>
      <c r="C189" s="319" t="str">
        <f t="shared" si="20"/>
        <v>Roanoke RapidsNC</v>
      </c>
      <c r="D189" s="10">
        <f>VLOOKUP(A:A,PTS!C:R,6,FALSE)</f>
        <v>1</v>
      </c>
      <c r="E189" s="531" cm="1">
        <f t="array" ref="E189">AVERAGE(_xlfn._xlws.FILTER(PTS!I:I, (PTS!$C:$C=A189) * ISNUMBER(PTS!I:I)))</f>
        <v>70</v>
      </c>
      <c r="F189" s="10" cm="1">
        <f t="array" ref="F189">AVERAGE(_xlfn._xlws.FILTER(PTS!J:J, (PTS!$C:$C=A189) * ISNUMBER(PTS!J:J)))</f>
        <v>100</v>
      </c>
      <c r="G189" s="531" cm="1">
        <f t="array" ref="G189">AVERAGE(_xlfn._xlws.FILTER(PTS!K:K, (PTS!$C:$C=A189) * ISNUMBER(PTS!K:K)))</f>
        <v>0</v>
      </c>
      <c r="H189" s="531" cm="1">
        <f t="array" ref="H189">AVERAGE(_xlfn._xlws.FILTER(PTS!L:L, (PTS!$C:$C=A189) * ISNUMBER(PTS!L:L)))</f>
        <v>0</v>
      </c>
      <c r="I189" s="531" cm="1">
        <f t="array" ref="I189">AVERAGE(_xlfn._xlws.FILTER(PTS!M:M, (PTS!$C:$C=A189) * ISNUMBER(PTS!M:M)))</f>
        <v>20</v>
      </c>
      <c r="J189" s="531" cm="1">
        <f t="array" ref="J189">AVERAGE(_xlfn._xlws.FILTER(PTS!N:N, (PTS!$C:$C=A189) * ISNUMBER(PTS!N:N)))</f>
        <v>50</v>
      </c>
      <c r="K189" s="531" cm="1">
        <f t="array" ref="K189">AVERAGE(_xlfn._xlws.FILTER(PTS!O:O, (PTS!$C:$C=A189) * ISNUMBER(PTS!O:O)))</f>
        <v>37.916666666666671</v>
      </c>
      <c r="L189" s="10" cm="1">
        <f t="array" ref="L189">AVERAGE(_xlfn._xlws.FILTER(PTS!P:P, (PTS!$C:$C=A189) * ISNUMBER(PTS!P:P)))</f>
        <v>0</v>
      </c>
      <c r="M189" s="531">
        <f t="shared" si="21"/>
        <v>277.91666666666669</v>
      </c>
      <c r="N189" s="531">
        <f t="shared" si="22"/>
        <v>87.916666666666671</v>
      </c>
      <c r="O189" s="531" cm="1">
        <f t="array" ref="O189">AVERAGE(_xlfn._xlws.FILTER(PTS!S:S, (PTS!$C:$C=A189) * ISNUMBER(PTS!S:S)))</f>
        <v>0</v>
      </c>
      <c r="P189" s="531" cm="1">
        <f t="array" ref="P189">AVERAGE(_xlfn._xlws.FILTER(PTS!T:T, (PTS!$C:$C=A189) * ISNUMBER(PTS!T:T)))</f>
        <v>0</v>
      </c>
      <c r="Q189" s="531" cm="1">
        <f t="array" ref="Q189">AVERAGE(_xlfn._xlws.FILTER(PTS!U:U, (PTS!$C:$C=A189) * ISNUMBER(PTS!U:U)))</f>
        <v>293.80511363636367</v>
      </c>
      <c r="S189" s="531">
        <f t="shared" si="23"/>
        <v>293.80511363636367</v>
      </c>
      <c r="T189" s="531" cm="1">
        <f t="array" ref="T189">AVERAGE(_xlfn._xlws.FILTER(PTS!X:X, (PTS!$C:$C=A189) * ISNUMBER(PTS!X:X)))</f>
        <v>52</v>
      </c>
      <c r="U189" s="531" cm="1">
        <f t="array" ref="U189">AVERAGE(_xlfn._xlws.FILTER(PTS!Y:Y, (PTS!$C:$C=A189) * ISNUMBER(PTS!Y:Y)))</f>
        <v>50.4</v>
      </c>
      <c r="V189" s="531" cm="1">
        <f t="array" ref="V189">AVERAGE(_xlfn._xlws.FILTER(PTS!Z:Z, (PTS!$C:$C=A189) * ISNUMBER(PTS!Z:Z)))</f>
        <v>26.25</v>
      </c>
      <c r="X189" s="531">
        <f t="shared" si="24"/>
        <v>128.65</v>
      </c>
      <c r="Y189" s="531" cm="1">
        <f t="array" ref="Y189">AVERAGE(_xlfn._xlws.FILTER(PTS!AC:AC, (PTS!$C:$C=A189) * ISNUMBER(PTS!AC:AC)))</f>
        <v>110.22727272727273</v>
      </c>
      <c r="Z189" s="531" cm="1">
        <f t="array" ref="Z189">AVERAGE(_xlfn._xlws.FILTER(PTS!AD:AD, (PTS!$C:$C=A189) * ISNUMBER(PTS!AD:AD)))</f>
        <v>107.04545454545455</v>
      </c>
      <c r="AB189" s="531">
        <f t="shared" si="25"/>
        <v>217.27272727272728</v>
      </c>
      <c r="AC189" s="10" cm="1">
        <f t="array" ref="AC189">AVERAGE(_xlfn._xlws.FILTER(PTS!AG:AG, (PTS!$C:$C=A189) * ISNUMBER(PTS!AG:AG)))</f>
        <v>28.814300000000003</v>
      </c>
      <c r="AD189" s="531" cm="1">
        <f t="array" ref="AD189">AVERAGE(_xlfn._xlws.FILTER(PTS!AH:AH, (PTS!$C:$C=A189) * ISNUMBER(PTS!AH:AH)))</f>
        <v>6.973140495867769</v>
      </c>
      <c r="AE189" s="531" cm="1">
        <f t="array" ref="AE189">AVERAGE(_xlfn._xlws.FILTER(PTS!AI:AI, (PTS!$C:$C=A189) * ISNUMBER(PTS!AI:AI)))</f>
        <v>12.587317427197677</v>
      </c>
      <c r="AF189" s="531" cm="1">
        <f t="array" ref="AF189">AVERAGE(_xlfn._xlws.FILTER(PTS!AJ:AJ, (PTS!$C:$C=A189) * ISNUMBER(PTS!AJ:AJ)))</f>
        <v>6.7351999999999999</v>
      </c>
      <c r="AH189" s="531">
        <f t="shared" si="26"/>
        <v>55.109957923065444</v>
      </c>
      <c r="AI189" s="10" cm="1">
        <f t="array" ref="AI189">AVERAGE(_xlfn._xlws.FILTER(PTS!AM:AM, (PTS!$C:$C=A189) * ISNUMBER(PTS!AM:AM)))</f>
        <v>79.999999999999986</v>
      </c>
      <c r="AJ189" s="10" cm="1">
        <f t="array" ref="AJ189">AVERAGE(_xlfn._xlws.FILTER(PTS!AN:AN, (PTS!$C:$C=A189) * ISNUMBER(PTS!AN:AN)))</f>
        <v>26.17808219178082</v>
      </c>
      <c r="AK189" s="10" cm="1">
        <f t="array" ref="AK189">AVERAGE(_xlfn._xlws.FILTER(PTS!AO:AO, (PTS!$C:$C=A189) * ISNUMBER(PTS!AO:AO)))</f>
        <v>0</v>
      </c>
      <c r="AN189" s="10">
        <f t="shared" si="27"/>
        <v>106.1780821917808</v>
      </c>
      <c r="AR189" s="531">
        <f t="shared" si="28"/>
        <v>888.93254769060388</v>
      </c>
      <c r="AS189" s="531">
        <f t="shared" si="29"/>
        <v>1078.9325476906038</v>
      </c>
    </row>
    <row r="190" spans="1:45">
      <c r="A190" s="32" t="s">
        <v>674</v>
      </c>
      <c r="B190" s="319" t="s">
        <v>71</v>
      </c>
      <c r="C190" s="319" t="str">
        <f t="shared" si="20"/>
        <v>RuleTX</v>
      </c>
      <c r="D190" s="10">
        <f>VLOOKUP(A:A,PTS!C:R,6,FALSE)</f>
        <v>2</v>
      </c>
      <c r="E190" s="531" cm="1">
        <f t="array" ref="E190">AVERAGE(_xlfn._xlws.FILTER(PTS!I:I, (PTS!$C:$C=A190) * ISNUMBER(PTS!I:I)))</f>
        <v>103</v>
      </c>
      <c r="F190" s="10" cm="1">
        <f t="array" ref="F190">AVERAGE(_xlfn._xlws.FILTER(PTS!J:J, (PTS!$C:$C=A190) * ISNUMBER(PTS!J:J)))</f>
        <v>125</v>
      </c>
      <c r="G190" s="531" cm="1">
        <f t="array" ref="G190">AVERAGE(_xlfn._xlws.FILTER(PTS!K:K, (PTS!$C:$C=A190) * ISNUMBER(PTS!K:K)))</f>
        <v>240</v>
      </c>
      <c r="H190" s="531" cm="1">
        <f t="array" ref="H190">AVERAGE(_xlfn._xlws.FILTER(PTS!L:L, (PTS!$C:$C=A190) * ISNUMBER(PTS!L:L)))</f>
        <v>0</v>
      </c>
      <c r="I190" s="531" cm="1">
        <f t="array" ref="I190">AVERAGE(_xlfn._xlws.FILTER(PTS!M:M, (PTS!$C:$C=A190) * ISNUMBER(PTS!M:M)))</f>
        <v>0</v>
      </c>
      <c r="J190" s="531" cm="1">
        <f t="array" ref="J190">AVERAGE(_xlfn._xlws.FILTER(PTS!N:N, (PTS!$C:$C=A190) * ISNUMBER(PTS!N:N)))</f>
        <v>39</v>
      </c>
      <c r="K190" s="531" cm="1">
        <f t="array" ref="K190">AVERAGE(_xlfn._xlws.FILTER(PTS!O:O, (PTS!$C:$C=A190) * ISNUMBER(PTS!O:O)))</f>
        <v>37.916666666666671</v>
      </c>
      <c r="L190" s="10" cm="1">
        <f t="array" ref="L190">AVERAGE(_xlfn._xlws.FILTER(PTS!P:P, (PTS!$C:$C=A190) * ISNUMBER(PTS!P:P)))</f>
        <v>0</v>
      </c>
      <c r="M190" s="531">
        <f t="shared" si="21"/>
        <v>544.91666666666663</v>
      </c>
      <c r="N190" s="531">
        <f t="shared" si="22"/>
        <v>316.91666666666669</v>
      </c>
      <c r="O190" s="531" cm="1">
        <f t="array" ref="O190">AVERAGE(_xlfn._xlws.FILTER(PTS!S:S, (PTS!$C:$C=A190) * ISNUMBER(PTS!S:S)))</f>
        <v>20</v>
      </c>
      <c r="P190" s="531" cm="1">
        <f t="array" ref="P190">AVERAGE(_xlfn._xlws.FILTER(PTS!T:T, (PTS!$C:$C=A190) * ISNUMBER(PTS!T:T)))</f>
        <v>5</v>
      </c>
      <c r="Q190" s="531" cm="1">
        <f t="array" ref="Q190">AVERAGE(_xlfn._xlws.FILTER(PTS!U:U, (PTS!$C:$C=A190) * ISNUMBER(PTS!U:U)))</f>
        <v>190.34090909090912</v>
      </c>
      <c r="S190" s="531">
        <f t="shared" si="23"/>
        <v>215.34090909090912</v>
      </c>
      <c r="T190" s="531" cm="1">
        <f t="array" ref="T190">AVERAGE(_xlfn._xlws.FILTER(PTS!X:X, (PTS!$C:$C=A190) * ISNUMBER(PTS!X:X)))</f>
        <v>54</v>
      </c>
      <c r="U190" s="531" cm="1">
        <f t="array" ref="U190">AVERAGE(_xlfn._xlws.FILTER(PTS!Y:Y, (PTS!$C:$C=A190) * ISNUMBER(PTS!Y:Y)))</f>
        <v>50.4</v>
      </c>
      <c r="V190" s="531" cm="1">
        <f t="array" ref="V190">AVERAGE(_xlfn._xlws.FILTER(PTS!Z:Z, (PTS!$C:$C=A190) * ISNUMBER(PTS!Z:Z)))</f>
        <v>26.25</v>
      </c>
      <c r="X190" s="531">
        <f t="shared" si="24"/>
        <v>130.65</v>
      </c>
      <c r="Y190" s="531" cm="1">
        <f t="array" ref="Y190">AVERAGE(_xlfn._xlws.FILTER(PTS!AC:AC, (PTS!$C:$C=A190) * ISNUMBER(PTS!AC:AC)))</f>
        <v>147.72727272727272</v>
      </c>
      <c r="Z190" s="531" cm="1">
        <f t="array" ref="Z190">AVERAGE(_xlfn._xlws.FILTER(PTS!AD:AD, (PTS!$C:$C=A190) * ISNUMBER(PTS!AD:AD)))</f>
        <v>233.06818181818181</v>
      </c>
      <c r="AB190" s="531">
        <f t="shared" si="25"/>
        <v>380.7954545454545</v>
      </c>
      <c r="AC190" s="10" cm="1">
        <f t="array" ref="AC190">AVERAGE(_xlfn._xlws.FILTER(PTS!AG:AG, (PTS!$C:$C=A190) * ISNUMBER(PTS!AG:AG)))</f>
        <v>28.814300000000003</v>
      </c>
      <c r="AD190" s="531" cm="1">
        <f t="array" ref="AD190">AVERAGE(_xlfn._xlws.FILTER(PTS!AH:AH, (PTS!$C:$C=A190) * ISNUMBER(PTS!AH:AH)))</f>
        <v>6.973140495867769</v>
      </c>
      <c r="AE190" s="531" cm="1">
        <f t="array" ref="AE190">AVERAGE(_xlfn._xlws.FILTER(PTS!AI:AI, (PTS!$C:$C=A190) * ISNUMBER(PTS!AI:AI)))</f>
        <v>12.587317427197677</v>
      </c>
      <c r="AF190" s="531" cm="1">
        <f t="array" ref="AF190">AVERAGE(_xlfn._xlws.FILTER(PTS!AJ:AJ, (PTS!$C:$C=A190) * ISNUMBER(PTS!AJ:AJ)))</f>
        <v>6.7351999999999999</v>
      </c>
      <c r="AH190" s="531">
        <f t="shared" si="26"/>
        <v>55.109957923065444</v>
      </c>
      <c r="AI190" s="10" cm="1">
        <f t="array" ref="AI190">AVERAGE(_xlfn._xlws.FILTER(PTS!AM:AM, (PTS!$C:$C=A190) * ISNUMBER(PTS!AM:AM)))</f>
        <v>79.999999999999986</v>
      </c>
      <c r="AJ190" s="10" cm="1">
        <f t="array" ref="AJ190">AVERAGE(_xlfn._xlws.FILTER(PTS!AN:AN, (PTS!$C:$C=A190) * ISNUMBER(PTS!AN:AN)))</f>
        <v>26.17808219178082</v>
      </c>
      <c r="AK190" s="10" cm="1">
        <f t="array" ref="AK190">AVERAGE(_xlfn._xlws.FILTER(PTS!AO:AO, (PTS!$C:$C=A190) * ISNUMBER(PTS!AO:AO)))</f>
        <v>0</v>
      </c>
      <c r="AN190" s="10">
        <f t="shared" si="27"/>
        <v>106.1780821917808</v>
      </c>
      <c r="AR190" s="531">
        <f t="shared" si="28"/>
        <v>1204.9910704178762</v>
      </c>
      <c r="AS190" s="531">
        <f t="shared" si="29"/>
        <v>1432.9910704178762</v>
      </c>
    </row>
    <row r="191" spans="1:45">
      <c r="A191" s="32" t="s">
        <v>677</v>
      </c>
      <c r="B191" s="319" t="s">
        <v>128</v>
      </c>
      <c r="C191" s="319" t="str">
        <f t="shared" si="20"/>
        <v>SaltilloMS</v>
      </c>
      <c r="D191" s="10">
        <f>VLOOKUP(A:A,PTS!C:R,6,FALSE)</f>
        <v>1</v>
      </c>
      <c r="E191" s="531" cm="1">
        <f t="array" ref="E191">AVERAGE(_xlfn._xlws.FILTER(PTS!I:I, (PTS!$C:$C=A191) * ISNUMBER(PTS!I:I)))</f>
        <v>100</v>
      </c>
      <c r="F191" s="10" cm="1">
        <f t="array" ref="F191">AVERAGE(_xlfn._xlws.FILTER(PTS!J:J, (PTS!$C:$C=A191) * ISNUMBER(PTS!J:J)))</f>
        <v>100</v>
      </c>
      <c r="G191" s="531" cm="1">
        <f t="array" ref="G191">AVERAGE(_xlfn._xlws.FILTER(PTS!K:K, (PTS!$C:$C=A191) * ISNUMBER(PTS!K:K)))</f>
        <v>0</v>
      </c>
      <c r="H191" s="531" cm="1">
        <f t="array" ref="H191">AVERAGE(_xlfn._xlws.FILTER(PTS!L:L, (PTS!$C:$C=A191) * ISNUMBER(PTS!L:L)))</f>
        <v>61</v>
      </c>
      <c r="I191" s="531" cm="1">
        <f t="array" ref="I191">AVERAGE(_xlfn._xlws.FILTER(PTS!M:M, (PTS!$C:$C=A191) * ISNUMBER(PTS!M:M)))</f>
        <v>0</v>
      </c>
      <c r="J191" s="531" cm="1">
        <f t="array" ref="J191">AVERAGE(_xlfn._xlws.FILTER(PTS!N:N, (PTS!$C:$C=A191) * ISNUMBER(PTS!N:N)))</f>
        <v>50</v>
      </c>
      <c r="K191" s="531" cm="1">
        <f t="array" ref="K191">AVERAGE(_xlfn._xlws.FILTER(PTS!O:O, (PTS!$C:$C=A191) * ISNUMBER(PTS!O:O)))</f>
        <v>37.916666666666671</v>
      </c>
      <c r="L191" s="10" cm="1">
        <f t="array" ref="L191">AVERAGE(_xlfn._xlws.FILTER(PTS!P:P, (PTS!$C:$C=A191) * ISNUMBER(PTS!P:P)))</f>
        <v>0</v>
      </c>
      <c r="M191" s="531">
        <f t="shared" si="21"/>
        <v>348.91666666666669</v>
      </c>
      <c r="N191" s="531">
        <f t="shared" si="22"/>
        <v>87.916666666666671</v>
      </c>
      <c r="O191" s="531" cm="1">
        <f t="array" ref="O191">AVERAGE(_xlfn._xlws.FILTER(PTS!S:S, (PTS!$C:$C=A191) * ISNUMBER(PTS!S:S)))</f>
        <v>0</v>
      </c>
      <c r="P191" s="531" cm="1">
        <f t="array" ref="P191">AVERAGE(_xlfn._xlws.FILTER(PTS!T:T, (PTS!$C:$C=A191) * ISNUMBER(PTS!T:T)))</f>
        <v>0</v>
      </c>
      <c r="Q191" s="531" cm="1">
        <f t="array" ref="Q191">AVERAGE(_xlfn._xlws.FILTER(PTS!U:U, (PTS!$C:$C=A191) * ISNUMBER(PTS!U:U)))</f>
        <v>213.8125</v>
      </c>
      <c r="S191" s="531">
        <f t="shared" si="23"/>
        <v>213.8125</v>
      </c>
      <c r="T191" s="531" cm="1">
        <f t="array" ref="T191">AVERAGE(_xlfn._xlws.FILTER(PTS!X:X, (PTS!$C:$C=A191) * ISNUMBER(PTS!X:X)))</f>
        <v>50</v>
      </c>
      <c r="U191" s="531" cm="1">
        <f t="array" ref="U191">AVERAGE(_xlfn._xlws.FILTER(PTS!Y:Y, (PTS!$C:$C=A191) * ISNUMBER(PTS!Y:Y)))</f>
        <v>33.6</v>
      </c>
      <c r="V191" s="531" cm="1">
        <f t="array" ref="V191">AVERAGE(_xlfn._xlws.FILTER(PTS!Z:Z, (PTS!$C:$C=A191) * ISNUMBER(PTS!Z:Z)))</f>
        <v>26.25</v>
      </c>
      <c r="X191" s="531">
        <f t="shared" si="24"/>
        <v>109.85</v>
      </c>
      <c r="Y191" s="531" cm="1">
        <f t="array" ref="Y191">AVERAGE(_xlfn._xlws.FILTER(PTS!AC:AC, (PTS!$C:$C=A191) * ISNUMBER(PTS!AC:AC)))</f>
        <v>146.02272727272725</v>
      </c>
      <c r="Z191" s="531" cm="1">
        <f t="array" ref="Z191">AVERAGE(_xlfn._xlws.FILTER(PTS!AD:AD, (PTS!$C:$C=A191) * ISNUMBER(PTS!AD:AD)))</f>
        <v>182.72727272727275</v>
      </c>
      <c r="AB191" s="531">
        <f t="shared" si="25"/>
        <v>328.75</v>
      </c>
      <c r="AC191" s="10" cm="1">
        <f t="array" ref="AC191">AVERAGE(_xlfn._xlws.FILTER(PTS!AG:AG, (PTS!$C:$C=A191) * ISNUMBER(PTS!AG:AG)))</f>
        <v>28.814300000000003</v>
      </c>
      <c r="AD191" s="531" cm="1">
        <f t="array" ref="AD191">AVERAGE(_xlfn._xlws.FILTER(PTS!AH:AH, (PTS!$C:$C=A191) * ISNUMBER(PTS!AH:AH)))</f>
        <v>6.973140495867769</v>
      </c>
      <c r="AE191" s="531" cm="1">
        <f t="array" ref="AE191">AVERAGE(_xlfn._xlws.FILTER(PTS!AI:AI, (PTS!$C:$C=A191) * ISNUMBER(PTS!AI:AI)))</f>
        <v>12.587317427197677</v>
      </c>
      <c r="AF191" s="531" cm="1">
        <f t="array" ref="AF191">AVERAGE(_xlfn._xlws.FILTER(PTS!AJ:AJ, (PTS!$C:$C=A191) * ISNUMBER(PTS!AJ:AJ)))</f>
        <v>6.7351999999999999</v>
      </c>
      <c r="AH191" s="531">
        <f t="shared" si="26"/>
        <v>55.109957923065444</v>
      </c>
      <c r="AI191" s="10" cm="1">
        <f t="array" ref="AI191">AVERAGE(_xlfn._xlws.FILTER(PTS!AM:AM, (PTS!$C:$C=A191) * ISNUMBER(PTS!AM:AM)))</f>
        <v>79.999999999999986</v>
      </c>
      <c r="AJ191" s="10" cm="1">
        <f t="array" ref="AJ191">AVERAGE(_xlfn._xlws.FILTER(PTS!AN:AN, (PTS!$C:$C=A191) * ISNUMBER(PTS!AN:AN)))</f>
        <v>26.17808219178082</v>
      </c>
      <c r="AK191" s="10" cm="1">
        <f t="array" ref="AK191">AVERAGE(_xlfn._xlws.FILTER(PTS!AO:AO, (PTS!$C:$C=A191) * ISNUMBER(PTS!AO:AO)))</f>
        <v>0</v>
      </c>
      <c r="AN191" s="10">
        <f t="shared" si="27"/>
        <v>106.1780821917808</v>
      </c>
      <c r="AR191" s="531">
        <f t="shared" si="28"/>
        <v>901.61720678151289</v>
      </c>
      <c r="AS191" s="531">
        <f t="shared" si="29"/>
        <v>1162.617206781513</v>
      </c>
    </row>
    <row r="192" spans="1:45">
      <c r="A192" s="32" t="s">
        <v>679</v>
      </c>
      <c r="B192" s="319" t="s">
        <v>71</v>
      </c>
      <c r="C192" s="319" t="str">
        <f t="shared" si="20"/>
        <v>San Angelo TX</v>
      </c>
      <c r="D192" s="10">
        <f>VLOOKUP(A:A,PTS!C:R,6,FALSE)</f>
        <v>2</v>
      </c>
      <c r="E192" s="531" cm="1">
        <f t="array" ref="E192">AVERAGE(_xlfn._xlws.FILTER(PTS!I:I, (PTS!$C:$C=A192) * ISNUMBER(PTS!I:I)))</f>
        <v>102</v>
      </c>
      <c r="F192" s="10" cm="1">
        <f t="array" ref="F192">AVERAGE(_xlfn._xlws.FILTER(PTS!J:J, (PTS!$C:$C=A192) * ISNUMBER(PTS!J:J)))</f>
        <v>125</v>
      </c>
      <c r="G192" s="531" cm="1">
        <f t="array" ref="G192">AVERAGE(_xlfn._xlws.FILTER(PTS!K:K, (PTS!$C:$C=A192) * ISNUMBER(PTS!K:K)))</f>
        <v>240</v>
      </c>
      <c r="H192" s="531" cm="1">
        <f t="array" ref="H192">AVERAGE(_xlfn._xlws.FILTER(PTS!L:L, (PTS!$C:$C=A192) * ISNUMBER(PTS!L:L)))</f>
        <v>0</v>
      </c>
      <c r="I192" s="531" cm="1">
        <f t="array" ref="I192">AVERAGE(_xlfn._xlws.FILTER(PTS!M:M, (PTS!$C:$C=A192) * ISNUMBER(PTS!M:M)))</f>
        <v>0</v>
      </c>
      <c r="J192" s="531" cm="1">
        <f t="array" ref="J192">AVERAGE(_xlfn._xlws.FILTER(PTS!N:N, (PTS!$C:$C=A192) * ISNUMBER(PTS!N:N)))</f>
        <v>57</v>
      </c>
      <c r="K192" s="531" cm="1">
        <f t="array" ref="K192">AVERAGE(_xlfn._xlws.FILTER(PTS!O:O, (PTS!$C:$C=A192) * ISNUMBER(PTS!O:O)))</f>
        <v>37.916666666666671</v>
      </c>
      <c r="L192" s="10" cm="1">
        <f t="array" ref="L192">AVERAGE(_xlfn._xlws.FILTER(PTS!P:P, (PTS!$C:$C=A192) * ISNUMBER(PTS!P:P)))</f>
        <v>0</v>
      </c>
      <c r="M192" s="531">
        <f t="shared" si="21"/>
        <v>561.91666666666663</v>
      </c>
      <c r="N192" s="531">
        <f t="shared" si="22"/>
        <v>334.91666666666669</v>
      </c>
      <c r="O192" s="531" cm="1">
        <f t="array" ref="O192">AVERAGE(_xlfn._xlws.FILTER(PTS!S:S, (PTS!$C:$C=A192) * ISNUMBER(PTS!S:S)))</f>
        <v>0</v>
      </c>
      <c r="P192" s="531" cm="1">
        <f t="array" ref="P192">AVERAGE(_xlfn._xlws.FILTER(PTS!T:T, (PTS!$C:$C=A192) * ISNUMBER(PTS!T:T)))</f>
        <v>0</v>
      </c>
      <c r="Q192" s="531" t="e" cm="1" vm="1">
        <f t="array" ref="Q192">AVERAGE(_xlfn._xlws.FILTER(PTS!U:U, (PTS!$C:$C=A192) * ISNUMBER(PTS!U:U)))</f>
        <v>#VALUE!</v>
      </c>
      <c r="S192" s="531" t="e" vm="2">
        <f t="shared" si="23"/>
        <v>#VALUE!</v>
      </c>
      <c r="T192" s="531" cm="1">
        <f t="array" ref="T192">AVERAGE(_xlfn._xlws.FILTER(PTS!X:X, (PTS!$C:$C=A192) * ISNUMBER(PTS!X:X)))</f>
        <v>54</v>
      </c>
      <c r="U192" s="531" cm="1">
        <f t="array" ref="U192">AVERAGE(_xlfn._xlws.FILTER(PTS!Y:Y, (PTS!$C:$C=A192) * ISNUMBER(PTS!Y:Y)))</f>
        <v>50.4</v>
      </c>
      <c r="V192" s="531" cm="1">
        <f t="array" ref="V192">AVERAGE(_xlfn._xlws.FILTER(PTS!Z:Z, (PTS!$C:$C=A192) * ISNUMBER(PTS!Z:Z)))</f>
        <v>26.25</v>
      </c>
      <c r="X192" s="531">
        <f t="shared" si="24"/>
        <v>130.65</v>
      </c>
      <c r="Y192" s="531" cm="1">
        <f t="array" ref="Y192">AVERAGE(_xlfn._xlws.FILTER(PTS!AC:AC, (PTS!$C:$C=A192) * ISNUMBER(PTS!AC:AC)))</f>
        <v>132.95454545454544</v>
      </c>
      <c r="Z192" s="531" cm="1">
        <f t="array" ref="Z192">AVERAGE(_xlfn._xlws.FILTER(PTS!AD:AD, (PTS!$C:$C=A192) * ISNUMBER(PTS!AD:AD)))</f>
        <v>197.95454545454547</v>
      </c>
      <c r="AB192" s="531">
        <f t="shared" si="25"/>
        <v>330.90909090909088</v>
      </c>
      <c r="AC192" s="10" cm="1">
        <f t="array" ref="AC192">AVERAGE(_xlfn._xlws.FILTER(PTS!AG:AG, (PTS!$C:$C=A192) * ISNUMBER(PTS!AG:AG)))</f>
        <v>28.814300000000003</v>
      </c>
      <c r="AD192" s="531" cm="1">
        <f t="array" ref="AD192">AVERAGE(_xlfn._xlws.FILTER(PTS!AH:AH, (PTS!$C:$C=A192) * ISNUMBER(PTS!AH:AH)))</f>
        <v>6.973140495867769</v>
      </c>
      <c r="AE192" s="531" cm="1">
        <f t="array" ref="AE192">AVERAGE(_xlfn._xlws.FILTER(PTS!AI:AI, (PTS!$C:$C=A192) * ISNUMBER(PTS!AI:AI)))</f>
        <v>12.587317427197677</v>
      </c>
      <c r="AF192" s="531" cm="1">
        <f t="array" ref="AF192">AVERAGE(_xlfn._xlws.FILTER(PTS!AJ:AJ, (PTS!$C:$C=A192) * ISNUMBER(PTS!AJ:AJ)))</f>
        <v>6.7351999999999999</v>
      </c>
      <c r="AH192" s="531">
        <f t="shared" si="26"/>
        <v>55.109957923065444</v>
      </c>
      <c r="AI192" s="10" cm="1">
        <f t="array" ref="AI192">AVERAGE(_xlfn._xlws.FILTER(PTS!AM:AM, (PTS!$C:$C=A192) * ISNUMBER(PTS!AM:AM)))</f>
        <v>79.999999999999986</v>
      </c>
      <c r="AJ192" s="10" cm="1">
        <f t="array" ref="AJ192">AVERAGE(_xlfn._xlws.FILTER(PTS!AN:AN, (PTS!$C:$C=A192) * ISNUMBER(PTS!AN:AN)))</f>
        <v>26.17808219178082</v>
      </c>
      <c r="AK192" s="10" cm="1">
        <f t="array" ref="AK192">AVERAGE(_xlfn._xlws.FILTER(PTS!AO:AO, (PTS!$C:$C=A192) * ISNUMBER(PTS!AO:AO)))</f>
        <v>0</v>
      </c>
      <c r="AN192" s="10">
        <f t="shared" si="27"/>
        <v>106.1780821917808</v>
      </c>
      <c r="AR192" s="531" t="e" vm="2">
        <f t="shared" si="28"/>
        <v>#VALUE!</v>
      </c>
      <c r="AS192" s="531" t="e" vm="2">
        <f t="shared" si="29"/>
        <v>#VALUE!</v>
      </c>
    </row>
    <row r="193" spans="1:45">
      <c r="A193" s="32" t="s">
        <v>682</v>
      </c>
      <c r="B193" s="319" t="s">
        <v>76</v>
      </c>
      <c r="C193" s="319" t="str">
        <f t="shared" si="20"/>
        <v>SavannahGA</v>
      </c>
      <c r="D193" s="10">
        <f>VLOOKUP(A:A,PTS!C:R,6,FALSE)</f>
        <v>4</v>
      </c>
      <c r="E193" s="531" cm="1">
        <f t="array" ref="E193">AVERAGE(_xlfn._xlws.FILTER(PTS!I:I, (PTS!$C:$C=A193) * ISNUMBER(PTS!I:I)))</f>
        <v>37</v>
      </c>
      <c r="F193" s="10" cm="1">
        <f t="array" ref="F193">AVERAGE(_xlfn._xlws.FILTER(PTS!J:J, (PTS!$C:$C=A193) * ISNUMBER(PTS!J:J)))</f>
        <v>80</v>
      </c>
      <c r="G193" s="531" cm="1">
        <f t="array" ref="G193">AVERAGE(_xlfn._xlws.FILTER(PTS!K:K, (PTS!$C:$C=A193) * ISNUMBER(PTS!K:K)))</f>
        <v>140</v>
      </c>
      <c r="H193" s="531" cm="1">
        <f t="array" ref="H193">AVERAGE(_xlfn._xlws.FILTER(PTS!L:L, (PTS!$C:$C=A193) * ISNUMBER(PTS!L:L)))</f>
        <v>61</v>
      </c>
      <c r="I193" s="531" cm="1">
        <f t="array" ref="I193">AVERAGE(_xlfn._xlws.FILTER(PTS!M:M, (PTS!$C:$C=A193) * ISNUMBER(PTS!M:M)))</f>
        <v>0</v>
      </c>
      <c r="J193" s="531" cm="1">
        <f t="array" ref="J193">AVERAGE(_xlfn._xlws.FILTER(PTS!N:N, (PTS!$C:$C=A193) * ISNUMBER(PTS!N:N)))</f>
        <v>60</v>
      </c>
      <c r="K193" s="531" cm="1">
        <f t="array" ref="K193">AVERAGE(_xlfn._xlws.FILTER(PTS!O:O, (PTS!$C:$C=A193) * ISNUMBER(PTS!O:O)))</f>
        <v>37.916666666666671</v>
      </c>
      <c r="L193" s="10" cm="1">
        <f t="array" ref="L193">AVERAGE(_xlfn._xlws.FILTER(PTS!P:P, (PTS!$C:$C=A193) * ISNUMBER(PTS!P:P)))</f>
        <v>0</v>
      </c>
      <c r="M193" s="531">
        <f t="shared" si="21"/>
        <v>415.91666666666669</v>
      </c>
      <c r="N193" s="531">
        <f t="shared" si="22"/>
        <v>98.916666666666671</v>
      </c>
      <c r="O193" s="531" cm="1">
        <f t="array" ref="O193">AVERAGE(_xlfn._xlws.FILTER(PTS!S:S, (PTS!$C:$C=A193) * ISNUMBER(PTS!S:S)))</f>
        <v>0</v>
      </c>
      <c r="P193" s="531" cm="1">
        <f t="array" ref="P193">AVERAGE(_xlfn._xlws.FILTER(PTS!T:T, (PTS!$C:$C=A193) * ISNUMBER(PTS!T:T)))</f>
        <v>0</v>
      </c>
      <c r="Q193" s="531" cm="1">
        <f t="array" ref="Q193">AVERAGE(_xlfn._xlws.FILTER(PTS!U:U, (PTS!$C:$C=A193) * ISNUMBER(PTS!U:U)))</f>
        <v>122.23068181818179</v>
      </c>
      <c r="S193" s="531">
        <f t="shared" si="23"/>
        <v>122.23068181818179</v>
      </c>
      <c r="T193" s="531" cm="1">
        <f t="array" ref="T193">AVERAGE(_xlfn._xlws.FILTER(PTS!X:X, (PTS!$C:$C=A193) * ISNUMBER(PTS!X:X)))</f>
        <v>52</v>
      </c>
      <c r="U193" s="531" cm="1">
        <f t="array" ref="U193">AVERAGE(_xlfn._xlws.FILTER(PTS!Y:Y, (PTS!$C:$C=A193) * ISNUMBER(PTS!Y:Y)))</f>
        <v>50.4</v>
      </c>
      <c r="V193" s="531" cm="1">
        <f t="array" ref="V193">AVERAGE(_xlfn._xlws.FILTER(PTS!Z:Z, (PTS!$C:$C=A193) * ISNUMBER(PTS!Z:Z)))</f>
        <v>26.25</v>
      </c>
      <c r="X193" s="531">
        <f t="shared" si="24"/>
        <v>128.65</v>
      </c>
      <c r="Y193" s="531" cm="1">
        <f t="array" ref="Y193">AVERAGE(_xlfn._xlws.FILTER(PTS!AC:AC, (PTS!$C:$C=A193) * ISNUMBER(PTS!AC:AC)))</f>
        <v>110.22727272727273</v>
      </c>
      <c r="Z193" s="531" cm="1">
        <f t="array" ref="Z193">AVERAGE(_xlfn._xlws.FILTER(PTS!AD:AD, (PTS!$C:$C=A193) * ISNUMBER(PTS!AD:AD)))</f>
        <v>107.04545454545455</v>
      </c>
      <c r="AB193" s="531">
        <f t="shared" si="25"/>
        <v>217.27272727272728</v>
      </c>
      <c r="AC193" s="10" cm="1">
        <f t="array" ref="AC193">AVERAGE(_xlfn._xlws.FILTER(PTS!AG:AG, (PTS!$C:$C=A193) * ISNUMBER(PTS!AG:AG)))</f>
        <v>28.814300000000003</v>
      </c>
      <c r="AD193" s="531" cm="1">
        <f t="array" ref="AD193">AVERAGE(_xlfn._xlws.FILTER(PTS!AH:AH, (PTS!$C:$C=A193) * ISNUMBER(PTS!AH:AH)))</f>
        <v>6.973140495867769</v>
      </c>
      <c r="AE193" s="531" cm="1">
        <f t="array" ref="AE193">AVERAGE(_xlfn._xlws.FILTER(PTS!AI:AI, (PTS!$C:$C=A193) * ISNUMBER(PTS!AI:AI)))</f>
        <v>12.587317427197677</v>
      </c>
      <c r="AF193" s="531" cm="1">
        <f t="array" ref="AF193">AVERAGE(_xlfn._xlws.FILTER(PTS!AJ:AJ, (PTS!$C:$C=A193) * ISNUMBER(PTS!AJ:AJ)))</f>
        <v>6.7351999999999999</v>
      </c>
      <c r="AH193" s="531">
        <f t="shared" si="26"/>
        <v>55.109957923065444</v>
      </c>
      <c r="AI193" s="10" cm="1">
        <f t="array" ref="AI193">AVERAGE(_xlfn._xlws.FILTER(PTS!AM:AM, (PTS!$C:$C=A193) * ISNUMBER(PTS!AM:AM)))</f>
        <v>79.999999999999986</v>
      </c>
      <c r="AJ193" s="10" cm="1">
        <f t="array" ref="AJ193">AVERAGE(_xlfn._xlws.FILTER(PTS!AN:AN, (PTS!$C:$C=A193) * ISNUMBER(PTS!AN:AN)))</f>
        <v>26.17808219178082</v>
      </c>
      <c r="AK193" s="10" cm="1">
        <f t="array" ref="AK193">AVERAGE(_xlfn._xlws.FILTER(PTS!AO:AO, (PTS!$C:$C=A193) * ISNUMBER(PTS!AO:AO)))</f>
        <v>0</v>
      </c>
      <c r="AN193" s="10">
        <f t="shared" si="27"/>
        <v>106.1780821917808</v>
      </c>
      <c r="AR193" s="531">
        <f t="shared" si="28"/>
        <v>728.35811587242199</v>
      </c>
      <c r="AS193" s="531">
        <f t="shared" si="29"/>
        <v>1045.3581158724219</v>
      </c>
    </row>
    <row r="194" spans="1:45">
      <c r="A194" s="32" t="s">
        <v>684</v>
      </c>
      <c r="B194" s="319" t="s">
        <v>136</v>
      </c>
      <c r="C194" s="319" t="str">
        <f t="shared" si="20"/>
        <v>Scotland NeckNC</v>
      </c>
      <c r="D194" s="10">
        <f>VLOOKUP(A:A,PTS!C:R,6,FALSE)</f>
        <v>1</v>
      </c>
      <c r="E194" s="531" cm="1">
        <f t="array" ref="E194">AVERAGE(_xlfn._xlws.FILTER(PTS!I:I, (PTS!$C:$C=A194) * ISNUMBER(PTS!I:I)))</f>
        <v>85</v>
      </c>
      <c r="F194" s="10" cm="1">
        <f t="array" ref="F194">AVERAGE(_xlfn._xlws.FILTER(PTS!J:J, (PTS!$C:$C=A194) * ISNUMBER(PTS!J:J)))</f>
        <v>85</v>
      </c>
      <c r="G194" s="531" cm="1">
        <f t="array" ref="G194">AVERAGE(_xlfn._xlws.FILTER(PTS!K:K, (PTS!$C:$C=A194) * ISNUMBER(PTS!K:K)))</f>
        <v>0</v>
      </c>
      <c r="H194" s="531" cm="1">
        <f t="array" ref="H194">AVERAGE(_xlfn._xlws.FILTER(PTS!L:L, (PTS!$C:$C=A194) * ISNUMBER(PTS!L:L)))</f>
        <v>0</v>
      </c>
      <c r="I194" s="531" cm="1">
        <f t="array" ref="I194">AVERAGE(_xlfn._xlws.FILTER(PTS!M:M, (PTS!$C:$C=A194) * ISNUMBER(PTS!M:M)))</f>
        <v>10</v>
      </c>
      <c r="J194" s="531" cm="1">
        <f t="array" ref="J194">AVERAGE(_xlfn._xlws.FILTER(PTS!N:N, (PTS!$C:$C=A194) * ISNUMBER(PTS!N:N)))</f>
        <v>50</v>
      </c>
      <c r="K194" s="531" cm="1">
        <f t="array" ref="K194">AVERAGE(_xlfn._xlws.FILTER(PTS!O:O, (PTS!$C:$C=A194) * ISNUMBER(PTS!O:O)))</f>
        <v>37.916666666666671</v>
      </c>
      <c r="L194" s="10" cm="1">
        <f t="array" ref="L194">AVERAGE(_xlfn._xlws.FILTER(PTS!P:P, (PTS!$C:$C=A194) * ISNUMBER(PTS!P:P)))</f>
        <v>0</v>
      </c>
      <c r="M194" s="531">
        <f t="shared" si="21"/>
        <v>267.91666666666669</v>
      </c>
      <c r="N194" s="531">
        <f t="shared" si="22"/>
        <v>87.916666666666671</v>
      </c>
      <c r="O194" s="531" cm="1">
        <f t="array" ref="O194">AVERAGE(_xlfn._xlws.FILTER(PTS!S:S, (PTS!$C:$C=A194) * ISNUMBER(PTS!S:S)))</f>
        <v>0</v>
      </c>
      <c r="P194" s="531" cm="1">
        <f t="array" ref="P194">AVERAGE(_xlfn._xlws.FILTER(PTS!T:T, (PTS!$C:$C=A194) * ISNUMBER(PTS!T:T)))</f>
        <v>0</v>
      </c>
      <c r="Q194" s="531" cm="1">
        <f t="array" ref="Q194">AVERAGE(_xlfn._xlws.FILTER(PTS!U:U, (PTS!$C:$C=A194) * ISNUMBER(PTS!U:U)))</f>
        <v>290.71818181818185</v>
      </c>
      <c r="S194" s="531">
        <f t="shared" si="23"/>
        <v>290.71818181818185</v>
      </c>
      <c r="T194" s="531" cm="1">
        <f t="array" ref="T194">AVERAGE(_xlfn._xlws.FILTER(PTS!X:X, (PTS!$C:$C=A194) * ISNUMBER(PTS!X:X)))</f>
        <v>52</v>
      </c>
      <c r="U194" s="531" cm="1">
        <f t="array" ref="U194">AVERAGE(_xlfn._xlws.FILTER(PTS!Y:Y, (PTS!$C:$C=A194) * ISNUMBER(PTS!Y:Y)))</f>
        <v>50.4</v>
      </c>
      <c r="V194" s="531" cm="1">
        <f t="array" ref="V194">AVERAGE(_xlfn._xlws.FILTER(PTS!Z:Z, (PTS!$C:$C=A194) * ISNUMBER(PTS!Z:Z)))</f>
        <v>26.25</v>
      </c>
      <c r="X194" s="531">
        <f t="shared" si="24"/>
        <v>128.65</v>
      </c>
      <c r="Y194" s="531" cm="1">
        <f t="array" ref="Y194">AVERAGE(_xlfn._xlws.FILTER(PTS!AC:AC, (PTS!$C:$C=A194) * ISNUMBER(PTS!AC:AC)))</f>
        <v>110.22727272727273</v>
      </c>
      <c r="Z194" s="531" cm="1">
        <f t="array" ref="Z194">AVERAGE(_xlfn._xlws.FILTER(PTS!AD:AD, (PTS!$C:$C=A194) * ISNUMBER(PTS!AD:AD)))</f>
        <v>107.04545454545455</v>
      </c>
      <c r="AB194" s="531">
        <f t="shared" si="25"/>
        <v>217.27272727272728</v>
      </c>
      <c r="AC194" s="10" cm="1">
        <f t="array" ref="AC194">AVERAGE(_xlfn._xlws.FILTER(PTS!AG:AG, (PTS!$C:$C=A194) * ISNUMBER(PTS!AG:AG)))</f>
        <v>28.814300000000003</v>
      </c>
      <c r="AD194" s="531" cm="1">
        <f t="array" ref="AD194">AVERAGE(_xlfn._xlws.FILTER(PTS!AH:AH, (PTS!$C:$C=A194) * ISNUMBER(PTS!AH:AH)))</f>
        <v>6.973140495867769</v>
      </c>
      <c r="AE194" s="531" cm="1">
        <f t="array" ref="AE194">AVERAGE(_xlfn._xlws.FILTER(PTS!AI:AI, (PTS!$C:$C=A194) * ISNUMBER(PTS!AI:AI)))</f>
        <v>12.587317427197677</v>
      </c>
      <c r="AF194" s="531" cm="1">
        <f t="array" ref="AF194">AVERAGE(_xlfn._xlws.FILTER(PTS!AJ:AJ, (PTS!$C:$C=A194) * ISNUMBER(PTS!AJ:AJ)))</f>
        <v>6.7351999999999999</v>
      </c>
      <c r="AH194" s="531">
        <f t="shared" si="26"/>
        <v>55.109957923065444</v>
      </c>
      <c r="AI194" s="10" cm="1">
        <f t="array" ref="AI194">AVERAGE(_xlfn._xlws.FILTER(PTS!AM:AM, (PTS!$C:$C=A194) * ISNUMBER(PTS!AM:AM)))</f>
        <v>79.999999999999986</v>
      </c>
      <c r="AJ194" s="10" cm="1">
        <f t="array" ref="AJ194">AVERAGE(_xlfn._xlws.FILTER(PTS!AN:AN, (PTS!$C:$C=A194) * ISNUMBER(PTS!AN:AN)))</f>
        <v>26.17808219178082</v>
      </c>
      <c r="AK194" s="10" cm="1">
        <f t="array" ref="AK194">AVERAGE(_xlfn._xlws.FILTER(PTS!AO:AO, (PTS!$C:$C=A194) * ISNUMBER(PTS!AO:AO)))</f>
        <v>0</v>
      </c>
      <c r="AN194" s="10">
        <f t="shared" si="27"/>
        <v>106.1780821917808</v>
      </c>
      <c r="AR194" s="531">
        <f t="shared" si="28"/>
        <v>885.84561587242206</v>
      </c>
      <c r="AS194" s="531">
        <f t="shared" si="29"/>
        <v>1065.8456158724221</v>
      </c>
    </row>
    <row r="195" spans="1:45">
      <c r="A195" s="32" t="s">
        <v>686</v>
      </c>
      <c r="B195" s="319" t="s">
        <v>136</v>
      </c>
      <c r="C195" s="319" t="str">
        <f t="shared" ref="C195:C244" si="30">A195&amp;B195</f>
        <v>SeaboardNC</v>
      </c>
      <c r="D195" s="10">
        <f>VLOOKUP(A:A,PTS!C:R,6,FALSE)</f>
        <v>1</v>
      </c>
      <c r="E195" s="531" cm="1">
        <f t="array" ref="E195">AVERAGE(_xlfn._xlws.FILTER(PTS!I:I, (PTS!$C:$C=A195) * ISNUMBER(PTS!I:I)))</f>
        <v>75</v>
      </c>
      <c r="F195" s="10" cm="1">
        <f t="array" ref="F195">AVERAGE(_xlfn._xlws.FILTER(PTS!J:J, (PTS!$C:$C=A195) * ISNUMBER(PTS!J:J)))</f>
        <v>85</v>
      </c>
      <c r="G195" s="531" cm="1">
        <f t="array" ref="G195">AVERAGE(_xlfn._xlws.FILTER(PTS!K:K, (PTS!$C:$C=A195) * ISNUMBER(PTS!K:K)))</f>
        <v>0</v>
      </c>
      <c r="H195" s="531" cm="1">
        <f t="array" ref="H195">AVERAGE(_xlfn._xlws.FILTER(PTS!L:L, (PTS!$C:$C=A195) * ISNUMBER(PTS!L:L)))</f>
        <v>0</v>
      </c>
      <c r="I195" s="531" cm="1">
        <f t="array" ref="I195">AVERAGE(_xlfn._xlws.FILTER(PTS!M:M, (PTS!$C:$C=A195) * ISNUMBER(PTS!M:M)))</f>
        <v>5</v>
      </c>
      <c r="J195" s="531" cm="1">
        <f t="array" ref="J195">AVERAGE(_xlfn._xlws.FILTER(PTS!N:N, (PTS!$C:$C=A195) * ISNUMBER(PTS!N:N)))</f>
        <v>50</v>
      </c>
      <c r="K195" s="531" cm="1">
        <f t="array" ref="K195">AVERAGE(_xlfn._xlws.FILTER(PTS!O:O, (PTS!$C:$C=A195) * ISNUMBER(PTS!O:O)))</f>
        <v>37.916666666666671</v>
      </c>
      <c r="L195" s="10" cm="1">
        <f t="array" ref="L195">AVERAGE(_xlfn._xlws.FILTER(PTS!P:P, (PTS!$C:$C=A195) * ISNUMBER(PTS!P:P)))</f>
        <v>0</v>
      </c>
      <c r="M195" s="531">
        <f t="shared" ref="M195:M244" si="31">E195+F195+G195+H195+I195+J195+K195+L195</f>
        <v>252.91666666666669</v>
      </c>
      <c r="N195" s="531">
        <f t="shared" ref="N195:N244" si="32">IF(D195=1,SUM(J195),IF(D195=2,SUM(G195,J195),IF(D195=3,SUM(F195,G195,H195,J195),IF(D195=4,SUM(H195),"ERROR"))))+K195</f>
        <v>87.916666666666671</v>
      </c>
      <c r="O195" s="531" cm="1">
        <f t="array" ref="O195">AVERAGE(_xlfn._xlws.FILTER(PTS!S:S, (PTS!$C:$C=A195) * ISNUMBER(PTS!S:S)))</f>
        <v>0</v>
      </c>
      <c r="P195" s="531" cm="1">
        <f t="array" ref="P195">AVERAGE(_xlfn._xlws.FILTER(PTS!T:T, (PTS!$C:$C=A195) * ISNUMBER(PTS!T:T)))</f>
        <v>0</v>
      </c>
      <c r="Q195" s="531" cm="1">
        <f t="array" ref="Q195">AVERAGE(_xlfn._xlws.FILTER(PTS!U:U, (PTS!$C:$C=A195) * ISNUMBER(PTS!U:U)))</f>
        <v>297.83124999999995</v>
      </c>
      <c r="S195" s="531">
        <f t="shared" ref="S195:S244" si="33">O195+P195+Q195+R195</f>
        <v>297.83124999999995</v>
      </c>
      <c r="T195" s="531" cm="1">
        <f t="array" ref="T195">AVERAGE(_xlfn._xlws.FILTER(PTS!X:X, (PTS!$C:$C=A195) * ISNUMBER(PTS!X:X)))</f>
        <v>52</v>
      </c>
      <c r="U195" s="531" cm="1">
        <f t="array" ref="U195">AVERAGE(_xlfn._xlws.FILTER(PTS!Y:Y, (PTS!$C:$C=A195) * ISNUMBER(PTS!Y:Y)))</f>
        <v>50.4</v>
      </c>
      <c r="V195" s="531" cm="1">
        <f t="array" ref="V195">AVERAGE(_xlfn._xlws.FILTER(PTS!Z:Z, (PTS!$C:$C=A195) * ISNUMBER(PTS!Z:Z)))</f>
        <v>26.25</v>
      </c>
      <c r="X195" s="531">
        <f t="shared" ref="X195:X244" si="34">T195+U195+V195+W195</f>
        <v>128.65</v>
      </c>
      <c r="Y195" s="531" cm="1">
        <f t="array" ref="Y195">AVERAGE(_xlfn._xlws.FILTER(PTS!AC:AC, (PTS!$C:$C=A195) * ISNUMBER(PTS!AC:AC)))</f>
        <v>110.22727272727273</v>
      </c>
      <c r="Z195" s="531" cm="1">
        <f t="array" ref="Z195">AVERAGE(_xlfn._xlws.FILTER(PTS!AD:AD, (PTS!$C:$C=A195) * ISNUMBER(PTS!AD:AD)))</f>
        <v>107.04545454545455</v>
      </c>
      <c r="AB195" s="531">
        <f t="shared" ref="AB195:AB244" si="35">Y195+Z195+AA195</f>
        <v>217.27272727272728</v>
      </c>
      <c r="AC195" s="10" cm="1">
        <f t="array" ref="AC195">AVERAGE(_xlfn._xlws.FILTER(PTS!AG:AG, (PTS!$C:$C=A195) * ISNUMBER(PTS!AG:AG)))</f>
        <v>28.814300000000003</v>
      </c>
      <c r="AD195" s="531" cm="1">
        <f t="array" ref="AD195">AVERAGE(_xlfn._xlws.FILTER(PTS!AH:AH, (PTS!$C:$C=A195) * ISNUMBER(PTS!AH:AH)))</f>
        <v>6.973140495867769</v>
      </c>
      <c r="AE195" s="531" cm="1">
        <f t="array" ref="AE195">AVERAGE(_xlfn._xlws.FILTER(PTS!AI:AI, (PTS!$C:$C=A195) * ISNUMBER(PTS!AI:AI)))</f>
        <v>12.587317427197677</v>
      </c>
      <c r="AF195" s="531" cm="1">
        <f t="array" ref="AF195">AVERAGE(_xlfn._xlws.FILTER(PTS!AJ:AJ, (PTS!$C:$C=A195) * ISNUMBER(PTS!AJ:AJ)))</f>
        <v>6.7351999999999999</v>
      </c>
      <c r="AH195" s="531">
        <f t="shared" ref="AH195:AH244" si="36">AC195+AD195+AE195+AF195+AG195</f>
        <v>55.109957923065444</v>
      </c>
      <c r="AI195" s="10" cm="1">
        <f t="array" ref="AI195">AVERAGE(_xlfn._xlws.FILTER(PTS!AM:AM, (PTS!$C:$C=A195) * ISNUMBER(PTS!AM:AM)))</f>
        <v>79.999999999999986</v>
      </c>
      <c r="AJ195" s="10" cm="1">
        <f t="array" ref="AJ195">AVERAGE(_xlfn._xlws.FILTER(PTS!AN:AN, (PTS!$C:$C=A195) * ISNUMBER(PTS!AN:AN)))</f>
        <v>26.17808219178082</v>
      </c>
      <c r="AK195" s="10" cm="1">
        <f t="array" ref="AK195">AVERAGE(_xlfn._xlws.FILTER(PTS!AO:AO, (PTS!$C:$C=A195) * ISNUMBER(PTS!AO:AO)))</f>
        <v>0</v>
      </c>
      <c r="AN195" s="10">
        <f t="shared" ref="AN195:AN244" si="37">AI195+AJ195+AK195+AL195+AM195</f>
        <v>106.1780821917808</v>
      </c>
      <c r="AR195" s="531">
        <f t="shared" ref="AR195:AR244" si="38">N195+S195+X195+AB195+AH195+AN195</f>
        <v>892.95868405424017</v>
      </c>
      <c r="AS195" s="531">
        <f t="shared" ref="AS195:AS244" si="39">M195+S195+X195+AB195+AH195+AN195</f>
        <v>1057.9586840542402</v>
      </c>
    </row>
    <row r="196" spans="1:45">
      <c r="A196" s="32" t="s">
        <v>688</v>
      </c>
      <c r="B196" s="319" t="s">
        <v>71</v>
      </c>
      <c r="C196" s="319" t="str">
        <f t="shared" si="30"/>
        <v>SeagravesTX</v>
      </c>
      <c r="D196" s="10">
        <f>VLOOKUP(A:A,PTS!C:R,6,FALSE)</f>
        <v>2</v>
      </c>
      <c r="E196" s="531" cm="1">
        <f t="array" ref="E196">AVERAGE(_xlfn._xlws.FILTER(PTS!I:I, (PTS!$C:$C=A196) * ISNUMBER(PTS!I:I)))</f>
        <v>95</v>
      </c>
      <c r="F196" s="10" cm="1">
        <f t="array" ref="F196">AVERAGE(_xlfn._xlws.FILTER(PTS!J:J, (PTS!$C:$C=A196) * ISNUMBER(PTS!J:J)))</f>
        <v>109</v>
      </c>
      <c r="G196" s="531" cm="1">
        <f t="array" ref="G196">AVERAGE(_xlfn._xlws.FILTER(PTS!K:K, (PTS!$C:$C=A196) * ISNUMBER(PTS!K:K)))</f>
        <v>195</v>
      </c>
      <c r="H196" s="531" cm="1">
        <f t="array" ref="H196">AVERAGE(_xlfn._xlws.FILTER(PTS!L:L, (PTS!$C:$C=A196) * ISNUMBER(PTS!L:L)))</f>
        <v>0</v>
      </c>
      <c r="I196" s="531" cm="1">
        <f t="array" ref="I196">AVERAGE(_xlfn._xlws.FILTER(PTS!M:M, (PTS!$C:$C=A196) * ISNUMBER(PTS!M:M)))</f>
        <v>20</v>
      </c>
      <c r="J196" s="531" cm="1">
        <f t="array" ref="J196">AVERAGE(_xlfn._xlws.FILTER(PTS!N:N, (PTS!$C:$C=A196) * ISNUMBER(PTS!N:N)))</f>
        <v>48</v>
      </c>
      <c r="K196" s="531" cm="1">
        <f t="array" ref="K196">AVERAGE(_xlfn._xlws.FILTER(PTS!O:O, (PTS!$C:$C=A196) * ISNUMBER(PTS!O:O)))</f>
        <v>37.916666666666671</v>
      </c>
      <c r="L196" s="10" cm="1">
        <f t="array" ref="L196">AVERAGE(_xlfn._xlws.FILTER(PTS!P:P, (PTS!$C:$C=A196) * ISNUMBER(PTS!P:P)))</f>
        <v>0</v>
      </c>
      <c r="M196" s="531">
        <f t="shared" si="31"/>
        <v>504.91666666666669</v>
      </c>
      <c r="N196" s="531">
        <f t="shared" si="32"/>
        <v>280.91666666666669</v>
      </c>
      <c r="O196" s="531" cm="1">
        <f t="array" ref="O196">AVERAGE(_xlfn._xlws.FILTER(PTS!S:S, (PTS!$C:$C=A196) * ISNUMBER(PTS!S:S)))</f>
        <v>0</v>
      </c>
      <c r="P196" s="531" cm="1">
        <f t="array" ref="P196">AVERAGE(_xlfn._xlws.FILTER(PTS!T:T, (PTS!$C:$C=A196) * ISNUMBER(PTS!T:T)))</f>
        <v>0</v>
      </c>
      <c r="Q196" s="531" cm="1">
        <f t="array" ref="Q196">AVERAGE(_xlfn._xlws.FILTER(PTS!U:U, (PTS!$C:$C=A196) * ISNUMBER(PTS!U:U)))</f>
        <v>221.875</v>
      </c>
      <c r="S196" s="531">
        <f t="shared" si="33"/>
        <v>221.875</v>
      </c>
      <c r="T196" s="531" cm="1">
        <f t="array" ref="T196">AVERAGE(_xlfn._xlws.FILTER(PTS!X:X, (PTS!$C:$C=A196) * ISNUMBER(PTS!X:X)))</f>
        <v>54</v>
      </c>
      <c r="U196" s="531" cm="1">
        <f t="array" ref="U196">AVERAGE(_xlfn._xlws.FILTER(PTS!Y:Y, (PTS!$C:$C=A196) * ISNUMBER(PTS!Y:Y)))</f>
        <v>50.4</v>
      </c>
      <c r="V196" s="531" cm="1">
        <f t="array" ref="V196">AVERAGE(_xlfn._xlws.FILTER(PTS!Z:Z, (PTS!$C:$C=A196) * ISNUMBER(PTS!Z:Z)))</f>
        <v>26.25</v>
      </c>
      <c r="X196" s="531">
        <f t="shared" si="34"/>
        <v>130.65</v>
      </c>
      <c r="Y196" s="531" cm="1">
        <f t="array" ref="Y196">AVERAGE(_xlfn._xlws.FILTER(PTS!AC:AC, (PTS!$C:$C=A196) * ISNUMBER(PTS!AC:AC)))</f>
        <v>147.72727272727272</v>
      </c>
      <c r="Z196" s="531" cm="1">
        <f t="array" ref="Z196">AVERAGE(_xlfn._xlws.FILTER(PTS!AD:AD, (PTS!$C:$C=A196) * ISNUMBER(PTS!AD:AD)))</f>
        <v>233.06818181818181</v>
      </c>
      <c r="AB196" s="531">
        <f t="shared" si="35"/>
        <v>380.7954545454545</v>
      </c>
      <c r="AC196" s="10" cm="1">
        <f t="array" ref="AC196">AVERAGE(_xlfn._xlws.FILTER(PTS!AG:AG, (PTS!$C:$C=A196) * ISNUMBER(PTS!AG:AG)))</f>
        <v>28.814300000000003</v>
      </c>
      <c r="AD196" s="531" cm="1">
        <f t="array" ref="AD196">AVERAGE(_xlfn._xlws.FILTER(PTS!AH:AH, (PTS!$C:$C=A196) * ISNUMBER(PTS!AH:AH)))</f>
        <v>6.973140495867769</v>
      </c>
      <c r="AE196" s="531" cm="1">
        <f t="array" ref="AE196">AVERAGE(_xlfn._xlws.FILTER(PTS!AI:AI, (PTS!$C:$C=A196) * ISNUMBER(PTS!AI:AI)))</f>
        <v>12.587317427197677</v>
      </c>
      <c r="AF196" s="531" cm="1">
        <f t="array" ref="AF196">AVERAGE(_xlfn._xlws.FILTER(PTS!AJ:AJ, (PTS!$C:$C=A196) * ISNUMBER(PTS!AJ:AJ)))</f>
        <v>6.7351999999999999</v>
      </c>
      <c r="AH196" s="531">
        <f t="shared" si="36"/>
        <v>55.109957923065444</v>
      </c>
      <c r="AI196" s="10" cm="1">
        <f t="array" ref="AI196">AVERAGE(_xlfn._xlws.FILTER(PTS!AM:AM, (PTS!$C:$C=A196) * ISNUMBER(PTS!AM:AM)))</f>
        <v>79.999999999999986</v>
      </c>
      <c r="AJ196" s="10" cm="1">
        <f t="array" ref="AJ196">AVERAGE(_xlfn._xlws.FILTER(PTS!AN:AN, (PTS!$C:$C=A196) * ISNUMBER(PTS!AN:AN)))</f>
        <v>26.17808219178082</v>
      </c>
      <c r="AK196" s="10" cm="1">
        <f t="array" ref="AK196">AVERAGE(_xlfn._xlws.FILTER(PTS!AO:AO, (PTS!$C:$C=A196) * ISNUMBER(PTS!AO:AO)))</f>
        <v>0</v>
      </c>
      <c r="AN196" s="10">
        <f t="shared" si="37"/>
        <v>106.1780821917808</v>
      </c>
      <c r="AR196" s="531">
        <f t="shared" si="38"/>
        <v>1175.5251613269675</v>
      </c>
      <c r="AS196" s="531">
        <f t="shared" si="39"/>
        <v>1399.5251613269672</v>
      </c>
    </row>
    <row r="197" spans="1:45">
      <c r="A197" s="32" t="s">
        <v>691</v>
      </c>
      <c r="B197" s="319" t="s">
        <v>71</v>
      </c>
      <c r="C197" s="319" t="str">
        <f t="shared" si="30"/>
        <v>SebastianTX</v>
      </c>
      <c r="D197" s="10">
        <f>VLOOKUP(A:A,PTS!C:R,6,FALSE)</f>
        <v>3</v>
      </c>
      <c r="E197" s="531" cm="1">
        <f t="array" ref="E197">AVERAGE(_xlfn._xlws.FILTER(PTS!I:I, (PTS!$C:$C=A197) * ISNUMBER(PTS!I:I)))</f>
        <v>70</v>
      </c>
      <c r="F197" s="10" cm="1">
        <f t="array" ref="F197">AVERAGE(_xlfn._xlws.FILTER(PTS!J:J, (PTS!$C:$C=A197) * ISNUMBER(PTS!J:J)))</f>
        <v>160</v>
      </c>
      <c r="G197" s="531" cm="1">
        <f t="array" ref="G197">AVERAGE(_xlfn._xlws.FILTER(PTS!K:K, (PTS!$C:$C=A197) * ISNUMBER(PTS!K:K)))</f>
        <v>190</v>
      </c>
      <c r="H197" s="531" cm="1">
        <f t="array" ref="H197">AVERAGE(_xlfn._xlws.FILTER(PTS!L:L, (PTS!$C:$C=A197) * ISNUMBER(PTS!L:L)))</f>
        <v>0</v>
      </c>
      <c r="I197" s="531" cm="1">
        <f t="array" ref="I197">AVERAGE(_xlfn._xlws.FILTER(PTS!M:M, (PTS!$C:$C=A197) * ISNUMBER(PTS!M:M)))</f>
        <v>0</v>
      </c>
      <c r="J197" s="531" cm="1">
        <f t="array" ref="J197">AVERAGE(_xlfn._xlws.FILTER(PTS!N:N, (PTS!$C:$C=A197) * ISNUMBER(PTS!N:N)))</f>
        <v>80</v>
      </c>
      <c r="K197" s="531" cm="1">
        <f t="array" ref="K197">AVERAGE(_xlfn._xlws.FILTER(PTS!O:O, (PTS!$C:$C=A197) * ISNUMBER(PTS!O:O)))</f>
        <v>37.916666666666671</v>
      </c>
      <c r="L197" s="10" cm="1">
        <f t="array" ref="L197">AVERAGE(_xlfn._xlws.FILTER(PTS!P:P, (PTS!$C:$C=A197) * ISNUMBER(PTS!P:P)))</f>
        <v>0</v>
      </c>
      <c r="M197" s="531">
        <f t="shared" si="31"/>
        <v>537.91666666666663</v>
      </c>
      <c r="N197" s="531">
        <f t="shared" si="32"/>
        <v>467.91666666666669</v>
      </c>
      <c r="O197" s="531" cm="1">
        <f t="array" ref="O197">AVERAGE(_xlfn._xlws.FILTER(PTS!S:S, (PTS!$C:$C=A197) * ISNUMBER(PTS!S:S)))</f>
        <v>0</v>
      </c>
      <c r="P197" s="531" cm="1">
        <f t="array" ref="P197">AVERAGE(_xlfn._xlws.FILTER(PTS!T:T, (PTS!$C:$C=A197) * ISNUMBER(PTS!T:T)))</f>
        <v>0</v>
      </c>
      <c r="Q197" s="531" cm="1">
        <f t="array" ref="Q197">AVERAGE(_xlfn._xlws.FILTER(PTS!U:U, (PTS!$C:$C=A197) * ISNUMBER(PTS!U:U)))</f>
        <v>267.0454545454545</v>
      </c>
      <c r="S197" s="531">
        <f t="shared" si="33"/>
        <v>267.0454545454545</v>
      </c>
      <c r="T197" s="531" cm="1">
        <f t="array" ref="T197">AVERAGE(_xlfn._xlws.FILTER(PTS!X:X, (PTS!$C:$C=A197) * ISNUMBER(PTS!X:X)))</f>
        <v>54</v>
      </c>
      <c r="U197" s="531" cm="1">
        <f t="array" ref="U197">AVERAGE(_xlfn._xlws.FILTER(PTS!Y:Y, (PTS!$C:$C=A197) * ISNUMBER(PTS!Y:Y)))</f>
        <v>50.4</v>
      </c>
      <c r="V197" s="531" cm="1">
        <f t="array" ref="V197">AVERAGE(_xlfn._xlws.FILTER(PTS!Z:Z, (PTS!$C:$C=A197) * ISNUMBER(PTS!Z:Z)))</f>
        <v>26.25</v>
      </c>
      <c r="X197" s="531">
        <f t="shared" si="34"/>
        <v>130.65</v>
      </c>
      <c r="Y197" s="531" cm="1">
        <f t="array" ref="Y197">AVERAGE(_xlfn._xlws.FILTER(PTS!AC:AC, (PTS!$C:$C=A197) * ISNUMBER(PTS!AC:AC)))</f>
        <v>132.95454545454544</v>
      </c>
      <c r="Z197" s="531" cm="1">
        <f t="array" ref="Z197">AVERAGE(_xlfn._xlws.FILTER(PTS!AD:AD, (PTS!$C:$C=A197) * ISNUMBER(PTS!AD:AD)))</f>
        <v>197.95454545454547</v>
      </c>
      <c r="AB197" s="531">
        <f t="shared" si="35"/>
        <v>330.90909090909088</v>
      </c>
      <c r="AC197" s="10" cm="1">
        <f t="array" ref="AC197">AVERAGE(_xlfn._xlws.FILTER(PTS!AG:AG, (PTS!$C:$C=A197) * ISNUMBER(PTS!AG:AG)))</f>
        <v>28.814300000000003</v>
      </c>
      <c r="AD197" s="531" cm="1">
        <f t="array" ref="AD197">AVERAGE(_xlfn._xlws.FILTER(PTS!AH:AH, (PTS!$C:$C=A197) * ISNUMBER(PTS!AH:AH)))</f>
        <v>6.973140495867769</v>
      </c>
      <c r="AE197" s="531" cm="1">
        <f t="array" ref="AE197">AVERAGE(_xlfn._xlws.FILTER(PTS!AI:AI, (PTS!$C:$C=A197) * ISNUMBER(PTS!AI:AI)))</f>
        <v>12.587317427197677</v>
      </c>
      <c r="AF197" s="531" cm="1">
        <f t="array" ref="AF197">AVERAGE(_xlfn._xlws.FILTER(PTS!AJ:AJ, (PTS!$C:$C=A197) * ISNUMBER(PTS!AJ:AJ)))</f>
        <v>6.7351999999999999</v>
      </c>
      <c r="AH197" s="531">
        <f t="shared" si="36"/>
        <v>55.109957923065444</v>
      </c>
      <c r="AI197" s="10" cm="1">
        <f t="array" ref="AI197">AVERAGE(_xlfn._xlws.FILTER(PTS!AM:AM, (PTS!$C:$C=A197) * ISNUMBER(PTS!AM:AM)))</f>
        <v>79.999999999999986</v>
      </c>
      <c r="AJ197" s="10" cm="1">
        <f t="array" ref="AJ197">AVERAGE(_xlfn._xlws.FILTER(PTS!AN:AN, (PTS!$C:$C=A197) * ISNUMBER(PTS!AN:AN)))</f>
        <v>26.17808219178082</v>
      </c>
      <c r="AK197" s="10" cm="1">
        <f t="array" ref="AK197">AVERAGE(_xlfn._xlws.FILTER(PTS!AO:AO, (PTS!$C:$C=A197) * ISNUMBER(PTS!AO:AO)))</f>
        <v>0</v>
      </c>
      <c r="AN197" s="10">
        <f t="shared" si="37"/>
        <v>106.1780821917808</v>
      </c>
      <c r="AR197" s="531">
        <f t="shared" si="38"/>
        <v>1357.8092522360582</v>
      </c>
      <c r="AS197" s="531">
        <f t="shared" si="39"/>
        <v>1427.8092522360582</v>
      </c>
    </row>
    <row r="198" spans="1:45">
      <c r="A198" s="32" t="s">
        <v>693</v>
      </c>
      <c r="B198" s="319" t="s">
        <v>65</v>
      </c>
      <c r="C198" s="319" t="str">
        <f t="shared" si="30"/>
        <v>SELMAAL</v>
      </c>
      <c r="D198" s="10">
        <f>VLOOKUP(A:A,PTS!C:R,6,FALSE)</f>
        <v>1</v>
      </c>
      <c r="E198" s="531" cm="1">
        <f t="array" ref="E198">AVERAGE(_xlfn._xlws.FILTER(PTS!I:I, (PTS!$C:$C=A198) * ISNUMBER(PTS!I:I)))</f>
        <v>80</v>
      </c>
      <c r="F198" s="10" cm="1">
        <f t="array" ref="F198">AVERAGE(_xlfn._xlws.FILTER(PTS!J:J, (PTS!$C:$C=A198) * ISNUMBER(PTS!J:J)))</f>
        <v>125</v>
      </c>
      <c r="G198" s="531" cm="1">
        <f t="array" ref="G198">AVERAGE(_xlfn._xlws.FILTER(PTS!K:K, (PTS!$C:$C=A198) * ISNUMBER(PTS!K:K)))</f>
        <v>0</v>
      </c>
      <c r="H198" s="531" cm="1">
        <f t="array" ref="H198">AVERAGE(_xlfn._xlws.FILTER(PTS!L:L, (PTS!$C:$C=A198) * ISNUMBER(PTS!L:L)))</f>
        <v>0</v>
      </c>
      <c r="I198" s="531" cm="1">
        <f t="array" ref="I198">AVERAGE(_xlfn._xlws.FILTER(PTS!M:M, (PTS!$C:$C=A198) * ISNUMBER(PTS!M:M)))</f>
        <v>20</v>
      </c>
      <c r="J198" s="531" cm="1">
        <f t="array" ref="J198">AVERAGE(_xlfn._xlws.FILTER(PTS!N:N, (PTS!$C:$C=A198) * ISNUMBER(PTS!N:N)))</f>
        <v>60</v>
      </c>
      <c r="K198" s="531" cm="1">
        <f t="array" ref="K198">AVERAGE(_xlfn._xlws.FILTER(PTS!O:O, (PTS!$C:$C=A198) * ISNUMBER(PTS!O:O)))</f>
        <v>37.916666666666671</v>
      </c>
      <c r="L198" s="10" cm="1">
        <f t="array" ref="L198">AVERAGE(_xlfn._xlws.FILTER(PTS!P:P, (PTS!$C:$C=A198) * ISNUMBER(PTS!P:P)))</f>
        <v>0</v>
      </c>
      <c r="M198" s="531">
        <f t="shared" si="31"/>
        <v>322.91666666666669</v>
      </c>
      <c r="N198" s="531">
        <f t="shared" si="32"/>
        <v>97.916666666666671</v>
      </c>
      <c r="O198" s="531" cm="1">
        <f t="array" ref="O198">AVERAGE(_xlfn._xlws.FILTER(PTS!S:S, (PTS!$C:$C=A198) * ISNUMBER(PTS!S:S)))</f>
        <v>0</v>
      </c>
      <c r="P198" s="531" cm="1">
        <f t="array" ref="P198">AVERAGE(_xlfn._xlws.FILTER(PTS!T:T, (PTS!$C:$C=A198) * ISNUMBER(PTS!T:T)))</f>
        <v>0</v>
      </c>
      <c r="Q198" s="531" cm="1">
        <f t="array" ref="Q198">AVERAGE(_xlfn._xlws.FILTER(PTS!U:U, (PTS!$C:$C=A198) * ISNUMBER(PTS!U:U)))</f>
        <v>320.9517045454545</v>
      </c>
      <c r="S198" s="531">
        <f t="shared" si="33"/>
        <v>320.9517045454545</v>
      </c>
      <c r="T198" s="531" cm="1">
        <f t="array" ref="T198">AVERAGE(_xlfn._xlws.FILTER(PTS!X:X, (PTS!$C:$C=A198) * ISNUMBER(PTS!X:X)))</f>
        <v>52</v>
      </c>
      <c r="U198" s="531" cm="1">
        <f t="array" ref="U198">AVERAGE(_xlfn._xlws.FILTER(PTS!Y:Y, (PTS!$C:$C=A198) * ISNUMBER(PTS!Y:Y)))</f>
        <v>50.4</v>
      </c>
      <c r="V198" s="531" cm="1">
        <f t="array" ref="V198">AVERAGE(_xlfn._xlws.FILTER(PTS!Z:Z, (PTS!$C:$C=A198) * ISNUMBER(PTS!Z:Z)))</f>
        <v>26.25</v>
      </c>
      <c r="X198" s="531">
        <f t="shared" si="34"/>
        <v>128.65</v>
      </c>
      <c r="Y198" s="531" cm="1">
        <f t="array" ref="Y198">AVERAGE(_xlfn._xlws.FILTER(PTS!AC:AC, (PTS!$C:$C=A198) * ISNUMBER(PTS!AC:AC)))</f>
        <v>110.22727272727273</v>
      </c>
      <c r="Z198" s="531" cm="1">
        <f t="array" ref="Z198">AVERAGE(_xlfn._xlws.FILTER(PTS!AD:AD, (PTS!$C:$C=A198) * ISNUMBER(PTS!AD:AD)))</f>
        <v>107.04545454545455</v>
      </c>
      <c r="AB198" s="531">
        <f t="shared" si="35"/>
        <v>217.27272727272728</v>
      </c>
      <c r="AC198" s="10" cm="1">
        <f t="array" ref="AC198">AVERAGE(_xlfn._xlws.FILTER(PTS!AG:AG, (PTS!$C:$C=A198) * ISNUMBER(PTS!AG:AG)))</f>
        <v>28.814300000000003</v>
      </c>
      <c r="AD198" s="531" cm="1">
        <f t="array" ref="AD198">AVERAGE(_xlfn._xlws.FILTER(PTS!AH:AH, (PTS!$C:$C=A198) * ISNUMBER(PTS!AH:AH)))</f>
        <v>6.973140495867769</v>
      </c>
      <c r="AE198" s="531" cm="1">
        <f t="array" ref="AE198">AVERAGE(_xlfn._xlws.FILTER(PTS!AI:AI, (PTS!$C:$C=A198) * ISNUMBER(PTS!AI:AI)))</f>
        <v>12.587317427197677</v>
      </c>
      <c r="AF198" s="531" cm="1">
        <f t="array" ref="AF198">AVERAGE(_xlfn._xlws.FILTER(PTS!AJ:AJ, (PTS!$C:$C=A198) * ISNUMBER(PTS!AJ:AJ)))</f>
        <v>6.7351999999999999</v>
      </c>
      <c r="AH198" s="531">
        <f t="shared" si="36"/>
        <v>55.109957923065444</v>
      </c>
      <c r="AI198" s="10" cm="1">
        <f t="array" ref="AI198">AVERAGE(_xlfn._xlws.FILTER(PTS!AM:AM, (PTS!$C:$C=A198) * ISNUMBER(PTS!AM:AM)))</f>
        <v>79.999999999999986</v>
      </c>
      <c r="AJ198" s="10" cm="1">
        <f t="array" ref="AJ198">AVERAGE(_xlfn._xlws.FILTER(PTS!AN:AN, (PTS!$C:$C=A198) * ISNUMBER(PTS!AN:AN)))</f>
        <v>26.17808219178082</v>
      </c>
      <c r="AK198" s="10" cm="1">
        <f t="array" ref="AK198">AVERAGE(_xlfn._xlws.FILTER(PTS!AO:AO, (PTS!$C:$C=A198) * ISNUMBER(PTS!AO:AO)))</f>
        <v>0</v>
      </c>
      <c r="AN198" s="10">
        <f t="shared" si="37"/>
        <v>106.1780821917808</v>
      </c>
      <c r="AR198" s="531">
        <f t="shared" si="38"/>
        <v>926.07913859969472</v>
      </c>
      <c r="AS198" s="531">
        <f t="shared" si="39"/>
        <v>1151.0791385996947</v>
      </c>
    </row>
    <row r="199" spans="1:45">
      <c r="A199" s="32" t="s">
        <v>696</v>
      </c>
      <c r="B199" s="319" t="s">
        <v>71</v>
      </c>
      <c r="C199" s="319" t="str">
        <f t="shared" si="30"/>
        <v>SeminoleTX</v>
      </c>
      <c r="D199" s="10">
        <f>VLOOKUP(A:A,PTS!C:R,6,FALSE)</f>
        <v>2</v>
      </c>
      <c r="E199" s="531" cm="1">
        <f t="array" ref="E199">AVERAGE(_xlfn._xlws.FILTER(PTS!I:I, (PTS!$C:$C=A199) * ISNUMBER(PTS!I:I)))</f>
        <v>95</v>
      </c>
      <c r="F199" s="10" cm="1">
        <f t="array" ref="F199">AVERAGE(_xlfn._xlws.FILTER(PTS!J:J, (PTS!$C:$C=A199) * ISNUMBER(PTS!J:J)))</f>
        <v>115</v>
      </c>
      <c r="G199" s="531" cm="1">
        <f t="array" ref="G199">AVERAGE(_xlfn._xlws.FILTER(PTS!K:K, (PTS!$C:$C=A199) * ISNUMBER(PTS!K:K)))</f>
        <v>195</v>
      </c>
      <c r="H199" s="531" cm="1">
        <f t="array" ref="H199">AVERAGE(_xlfn._xlws.FILTER(PTS!L:L, (PTS!$C:$C=A199) * ISNUMBER(PTS!L:L)))</f>
        <v>0</v>
      </c>
      <c r="I199" s="531" cm="1">
        <f t="array" ref="I199">AVERAGE(_xlfn._xlws.FILTER(PTS!M:M, (PTS!$C:$C=A199) * ISNUMBER(PTS!M:M)))</f>
        <v>0</v>
      </c>
      <c r="J199" s="531" cm="1">
        <f t="array" ref="J199">AVERAGE(_xlfn._xlws.FILTER(PTS!N:N, (PTS!$C:$C=A199) * ISNUMBER(PTS!N:N)))</f>
        <v>51.000000000000007</v>
      </c>
      <c r="K199" s="531" cm="1">
        <f t="array" ref="K199">AVERAGE(_xlfn._xlws.FILTER(PTS!O:O, (PTS!$C:$C=A199) * ISNUMBER(PTS!O:O)))</f>
        <v>37.916666666666671</v>
      </c>
      <c r="L199" s="10" cm="1">
        <f t="array" ref="L199">AVERAGE(_xlfn._xlws.FILTER(PTS!P:P, (PTS!$C:$C=A199) * ISNUMBER(PTS!P:P)))</f>
        <v>0</v>
      </c>
      <c r="M199" s="531">
        <f t="shared" si="31"/>
        <v>493.91666666666669</v>
      </c>
      <c r="N199" s="531">
        <f t="shared" si="32"/>
        <v>283.91666666666669</v>
      </c>
      <c r="O199" s="531" cm="1">
        <f t="array" ref="O199">AVERAGE(_xlfn._xlws.FILTER(PTS!S:S, (PTS!$C:$C=A199) * ISNUMBER(PTS!S:S)))</f>
        <v>0</v>
      </c>
      <c r="P199" s="531" cm="1">
        <f t="array" ref="P199">AVERAGE(_xlfn._xlws.FILTER(PTS!T:T, (PTS!$C:$C=A199) * ISNUMBER(PTS!T:T)))</f>
        <v>0</v>
      </c>
      <c r="Q199" s="531" cm="1">
        <f t="array" ref="Q199">AVERAGE(_xlfn._xlws.FILTER(PTS!U:U, (PTS!$C:$C=A199) * ISNUMBER(PTS!U:U)))</f>
        <v>234.65909090909093</v>
      </c>
      <c r="S199" s="531">
        <f t="shared" si="33"/>
        <v>234.65909090909093</v>
      </c>
      <c r="T199" s="531" cm="1">
        <f t="array" ref="T199">AVERAGE(_xlfn._xlws.FILTER(PTS!X:X, (PTS!$C:$C=A199) * ISNUMBER(PTS!X:X)))</f>
        <v>54</v>
      </c>
      <c r="U199" s="531" cm="1">
        <f t="array" ref="U199">AVERAGE(_xlfn._xlws.FILTER(PTS!Y:Y, (PTS!$C:$C=A199) * ISNUMBER(PTS!Y:Y)))</f>
        <v>50.4</v>
      </c>
      <c r="V199" s="531" cm="1">
        <f t="array" ref="V199">AVERAGE(_xlfn._xlws.FILTER(PTS!Z:Z, (PTS!$C:$C=A199) * ISNUMBER(PTS!Z:Z)))</f>
        <v>26.25</v>
      </c>
      <c r="X199" s="531">
        <f t="shared" si="34"/>
        <v>130.65</v>
      </c>
      <c r="Y199" s="531" cm="1">
        <f t="array" ref="Y199">AVERAGE(_xlfn._xlws.FILTER(PTS!AC:AC, (PTS!$C:$C=A199) * ISNUMBER(PTS!AC:AC)))</f>
        <v>147.72727272727272</v>
      </c>
      <c r="Z199" s="531" cm="1">
        <f t="array" ref="Z199">AVERAGE(_xlfn._xlws.FILTER(PTS!AD:AD, (PTS!$C:$C=A199) * ISNUMBER(PTS!AD:AD)))</f>
        <v>233.06818181818181</v>
      </c>
      <c r="AB199" s="531">
        <f t="shared" si="35"/>
        <v>380.7954545454545</v>
      </c>
      <c r="AC199" s="10" cm="1">
        <f t="array" ref="AC199">AVERAGE(_xlfn._xlws.FILTER(PTS!AG:AG, (PTS!$C:$C=A199) * ISNUMBER(PTS!AG:AG)))</f>
        <v>28.814300000000003</v>
      </c>
      <c r="AD199" s="531" cm="1">
        <f t="array" ref="AD199">AVERAGE(_xlfn._xlws.FILTER(PTS!AH:AH, (PTS!$C:$C=A199) * ISNUMBER(PTS!AH:AH)))</f>
        <v>6.973140495867769</v>
      </c>
      <c r="AE199" s="531" cm="1">
        <f t="array" ref="AE199">AVERAGE(_xlfn._xlws.FILTER(PTS!AI:AI, (PTS!$C:$C=A199) * ISNUMBER(PTS!AI:AI)))</f>
        <v>12.587317427197677</v>
      </c>
      <c r="AF199" s="531" cm="1">
        <f t="array" ref="AF199">AVERAGE(_xlfn._xlws.FILTER(PTS!AJ:AJ, (PTS!$C:$C=A199) * ISNUMBER(PTS!AJ:AJ)))</f>
        <v>6.7351999999999999</v>
      </c>
      <c r="AH199" s="531">
        <f t="shared" si="36"/>
        <v>55.109957923065444</v>
      </c>
      <c r="AI199" s="10" cm="1">
        <f t="array" ref="AI199">AVERAGE(_xlfn._xlws.FILTER(PTS!AM:AM, (PTS!$C:$C=A199) * ISNUMBER(PTS!AM:AM)))</f>
        <v>79.999999999999986</v>
      </c>
      <c r="AJ199" s="10" cm="1">
        <f t="array" ref="AJ199">AVERAGE(_xlfn._xlws.FILTER(PTS!AN:AN, (PTS!$C:$C=A199) * ISNUMBER(PTS!AN:AN)))</f>
        <v>26.17808219178082</v>
      </c>
      <c r="AK199" s="10" cm="1">
        <f t="array" ref="AK199">AVERAGE(_xlfn._xlws.FILTER(PTS!AO:AO, (PTS!$C:$C=A199) * ISNUMBER(PTS!AO:AO)))</f>
        <v>0</v>
      </c>
      <c r="AN199" s="10">
        <f t="shared" si="37"/>
        <v>106.1780821917808</v>
      </c>
      <c r="AR199" s="531">
        <f t="shared" si="38"/>
        <v>1191.3092522360582</v>
      </c>
      <c r="AS199" s="531">
        <f t="shared" si="39"/>
        <v>1401.3092522360582</v>
      </c>
    </row>
    <row r="200" spans="1:45">
      <c r="A200" s="32" t="s">
        <v>698</v>
      </c>
      <c r="B200" s="319" t="s">
        <v>136</v>
      </c>
      <c r="C200" s="319" t="str">
        <f t="shared" si="30"/>
        <v>ShelbyNC</v>
      </c>
      <c r="D200" s="10">
        <f>VLOOKUP(A:A,PTS!C:R,6,FALSE)</f>
        <v>1</v>
      </c>
      <c r="E200" s="531" cm="1">
        <f t="array" ref="E200">AVERAGE(_xlfn._xlws.FILTER(PTS!I:I, (PTS!$C:$C=A200) * ISNUMBER(PTS!I:I)))</f>
        <v>47</v>
      </c>
      <c r="F200" s="10" cm="1">
        <f t="array" ref="F200">AVERAGE(_xlfn._xlws.FILTER(PTS!J:J, (PTS!$C:$C=A200) * ISNUMBER(PTS!J:J)))</f>
        <v>60</v>
      </c>
      <c r="G200" s="531" cm="1">
        <f t="array" ref="G200">AVERAGE(_xlfn._xlws.FILTER(PTS!K:K, (PTS!$C:$C=A200) * ISNUMBER(PTS!K:K)))</f>
        <v>0</v>
      </c>
      <c r="H200" s="531" cm="1">
        <f t="array" ref="H200">AVERAGE(_xlfn._xlws.FILTER(PTS!L:L, (PTS!$C:$C=A200) * ISNUMBER(PTS!L:L)))</f>
        <v>0</v>
      </c>
      <c r="I200" s="531" cm="1">
        <f t="array" ref="I200">AVERAGE(_xlfn._xlws.FILTER(PTS!M:M, (PTS!$C:$C=A200) * ISNUMBER(PTS!M:M)))</f>
        <v>10</v>
      </c>
      <c r="J200" s="531" cm="1">
        <f t="array" ref="J200">AVERAGE(_xlfn._xlws.FILTER(PTS!N:N, (PTS!$C:$C=A200) * ISNUMBER(PTS!N:N)))</f>
        <v>40</v>
      </c>
      <c r="K200" s="531" cm="1">
        <f t="array" ref="K200">AVERAGE(_xlfn._xlws.FILTER(PTS!O:O, (PTS!$C:$C=A200) * ISNUMBER(PTS!O:O)))</f>
        <v>37.916666666666671</v>
      </c>
      <c r="L200" s="10" cm="1">
        <f t="array" ref="L200">AVERAGE(_xlfn._xlws.FILTER(PTS!P:P, (PTS!$C:$C=A200) * ISNUMBER(PTS!P:P)))</f>
        <v>0</v>
      </c>
      <c r="M200" s="531">
        <f t="shared" si="31"/>
        <v>194.91666666666669</v>
      </c>
      <c r="N200" s="531">
        <f t="shared" si="32"/>
        <v>77.916666666666671</v>
      </c>
      <c r="O200" s="531" cm="1">
        <f t="array" ref="O200">AVERAGE(_xlfn._xlws.FILTER(PTS!S:S, (PTS!$C:$C=A200) * ISNUMBER(PTS!S:S)))</f>
        <v>0</v>
      </c>
      <c r="P200" s="531" cm="1">
        <f t="array" ref="P200">AVERAGE(_xlfn._xlws.FILTER(PTS!T:T, (PTS!$C:$C=A200) * ISNUMBER(PTS!T:T)))</f>
        <v>0</v>
      </c>
      <c r="Q200" s="531" cm="1">
        <f t="array" ref="Q200">AVERAGE(_xlfn._xlws.FILTER(PTS!U:U, (PTS!$C:$C=A200) * ISNUMBER(PTS!U:U)))</f>
        <v>221.28863636363636</v>
      </c>
      <c r="S200" s="531">
        <f t="shared" si="33"/>
        <v>221.28863636363636</v>
      </c>
      <c r="T200" s="531" cm="1">
        <f t="array" ref="T200">AVERAGE(_xlfn._xlws.FILTER(PTS!X:X, (PTS!$C:$C=A200) * ISNUMBER(PTS!X:X)))</f>
        <v>52</v>
      </c>
      <c r="U200" s="531" cm="1">
        <f t="array" ref="U200">AVERAGE(_xlfn._xlws.FILTER(PTS!Y:Y, (PTS!$C:$C=A200) * ISNUMBER(PTS!Y:Y)))</f>
        <v>50.4</v>
      </c>
      <c r="V200" s="531" cm="1">
        <f t="array" ref="V200">AVERAGE(_xlfn._xlws.FILTER(PTS!Z:Z, (PTS!$C:$C=A200) * ISNUMBER(PTS!Z:Z)))</f>
        <v>26.25</v>
      </c>
      <c r="X200" s="531">
        <f t="shared" si="34"/>
        <v>128.65</v>
      </c>
      <c r="Y200" s="531" cm="1">
        <f t="array" ref="Y200">AVERAGE(_xlfn._xlws.FILTER(PTS!AC:AC, (PTS!$C:$C=A200) * ISNUMBER(PTS!AC:AC)))</f>
        <v>110.22727272727273</v>
      </c>
      <c r="Z200" s="531" cm="1">
        <f t="array" ref="Z200">AVERAGE(_xlfn._xlws.FILTER(PTS!AD:AD, (PTS!$C:$C=A200) * ISNUMBER(PTS!AD:AD)))</f>
        <v>107.04545454545455</v>
      </c>
      <c r="AB200" s="531">
        <f t="shared" si="35"/>
        <v>217.27272727272728</v>
      </c>
      <c r="AC200" s="10" cm="1">
        <f t="array" ref="AC200">AVERAGE(_xlfn._xlws.FILTER(PTS!AG:AG, (PTS!$C:$C=A200) * ISNUMBER(PTS!AG:AG)))</f>
        <v>28.814300000000003</v>
      </c>
      <c r="AD200" s="531" cm="1">
        <f t="array" ref="AD200">AVERAGE(_xlfn._xlws.FILTER(PTS!AH:AH, (PTS!$C:$C=A200) * ISNUMBER(PTS!AH:AH)))</f>
        <v>6.973140495867769</v>
      </c>
      <c r="AE200" s="531" cm="1">
        <f t="array" ref="AE200">AVERAGE(_xlfn._xlws.FILTER(PTS!AI:AI, (PTS!$C:$C=A200) * ISNUMBER(PTS!AI:AI)))</f>
        <v>12.587317427197677</v>
      </c>
      <c r="AF200" s="531" cm="1">
        <f t="array" ref="AF200">AVERAGE(_xlfn._xlws.FILTER(PTS!AJ:AJ, (PTS!$C:$C=A200) * ISNUMBER(PTS!AJ:AJ)))</f>
        <v>6.7351999999999999</v>
      </c>
      <c r="AH200" s="531">
        <f t="shared" si="36"/>
        <v>55.109957923065444</v>
      </c>
      <c r="AI200" s="10" cm="1">
        <f t="array" ref="AI200">AVERAGE(_xlfn._xlws.FILTER(PTS!AM:AM, (PTS!$C:$C=A200) * ISNUMBER(PTS!AM:AM)))</f>
        <v>79.999999999999986</v>
      </c>
      <c r="AJ200" s="10" cm="1">
        <f t="array" ref="AJ200">AVERAGE(_xlfn._xlws.FILTER(PTS!AN:AN, (PTS!$C:$C=A200) * ISNUMBER(PTS!AN:AN)))</f>
        <v>26.17808219178082</v>
      </c>
      <c r="AK200" s="10" cm="1">
        <f t="array" ref="AK200">AVERAGE(_xlfn._xlws.FILTER(PTS!AO:AO, (PTS!$C:$C=A200) * ISNUMBER(PTS!AO:AO)))</f>
        <v>0</v>
      </c>
      <c r="AN200" s="531">
        <f t="shared" si="37"/>
        <v>106.1780821917808</v>
      </c>
      <c r="AR200" s="531">
        <f t="shared" si="38"/>
        <v>806.41607041787654</v>
      </c>
      <c r="AS200" s="531">
        <f t="shared" si="39"/>
        <v>923.41607041787654</v>
      </c>
    </row>
    <row r="201" spans="1:45">
      <c r="A201" s="32" t="s">
        <v>701</v>
      </c>
      <c r="B201" s="319" t="s">
        <v>76</v>
      </c>
      <c r="C201" s="319" t="str">
        <f t="shared" si="30"/>
        <v>ShellmanGA</v>
      </c>
      <c r="D201" s="10">
        <f>VLOOKUP(A:A,PTS!C:R,6,FALSE)</f>
        <v>4</v>
      </c>
      <c r="E201" s="531" cm="1">
        <f t="array" ref="E201">AVERAGE(_xlfn._xlws.FILTER(PTS!I:I, (PTS!$C:$C=A201) * ISNUMBER(PTS!I:I)))</f>
        <v>100</v>
      </c>
      <c r="F201" s="10" cm="1">
        <f t="array" ref="F201">AVERAGE(_xlfn._xlws.FILTER(PTS!J:J, (PTS!$C:$C=A201) * ISNUMBER(PTS!J:J)))</f>
        <v>100</v>
      </c>
      <c r="G201" s="531" cm="1">
        <f t="array" ref="G201">AVERAGE(_xlfn._xlws.FILTER(PTS!K:K, (PTS!$C:$C=A201) * ISNUMBER(PTS!K:K)))</f>
        <v>0</v>
      </c>
      <c r="H201" s="531" cm="1">
        <f t="array" ref="H201">AVERAGE(_xlfn._xlws.FILTER(PTS!L:L, (PTS!$C:$C=A201) * ISNUMBER(PTS!L:L)))</f>
        <v>0</v>
      </c>
      <c r="I201" s="531" cm="1">
        <f t="array" ref="I201">AVERAGE(_xlfn._xlws.FILTER(PTS!M:M, (PTS!$C:$C=A201) * ISNUMBER(PTS!M:M)))</f>
        <v>0</v>
      </c>
      <c r="J201" s="531" cm="1">
        <f t="array" ref="J201">AVERAGE(_xlfn._xlws.FILTER(PTS!N:N, (PTS!$C:$C=A201) * ISNUMBER(PTS!N:N)))</f>
        <v>50</v>
      </c>
      <c r="K201" s="531" cm="1">
        <f t="array" ref="K201">AVERAGE(_xlfn._xlws.FILTER(PTS!O:O, (PTS!$C:$C=A201) * ISNUMBER(PTS!O:O)))</f>
        <v>37.916666666666671</v>
      </c>
      <c r="L201" s="10" cm="1">
        <f t="array" ref="L201">AVERAGE(_xlfn._xlws.FILTER(PTS!P:P, (PTS!$C:$C=A201) * ISNUMBER(PTS!P:P)))</f>
        <v>0</v>
      </c>
      <c r="M201" s="531">
        <f t="shared" si="31"/>
        <v>287.91666666666669</v>
      </c>
      <c r="N201" s="531">
        <f t="shared" si="32"/>
        <v>37.916666666666671</v>
      </c>
      <c r="O201" s="531" cm="1">
        <f t="array" ref="O201">AVERAGE(_xlfn._xlws.FILTER(PTS!S:S, (PTS!$C:$C=A201) * ISNUMBER(PTS!S:S)))</f>
        <v>0</v>
      </c>
      <c r="P201" s="531" cm="1">
        <f t="array" ref="P201">AVERAGE(_xlfn._xlws.FILTER(PTS!T:T, (PTS!$C:$C=A201) * ISNUMBER(PTS!T:T)))</f>
        <v>0</v>
      </c>
      <c r="Q201" s="531" cm="1">
        <f t="array" ref="Q201">AVERAGE(_xlfn._xlws.FILTER(PTS!U:U, (PTS!$C:$C=A201) * ISNUMBER(PTS!U:U)))</f>
        <v>198.50397727272724</v>
      </c>
      <c r="S201" s="531">
        <f t="shared" si="33"/>
        <v>198.50397727272724</v>
      </c>
      <c r="T201" s="531" cm="1">
        <f t="array" ref="T201">AVERAGE(_xlfn._xlws.FILTER(PTS!X:X, (PTS!$C:$C=A201) * ISNUMBER(PTS!X:X)))</f>
        <v>52</v>
      </c>
      <c r="U201" s="531" cm="1">
        <f t="array" ref="U201">AVERAGE(_xlfn._xlws.FILTER(PTS!Y:Y, (PTS!$C:$C=A201) * ISNUMBER(PTS!Y:Y)))</f>
        <v>50.4</v>
      </c>
      <c r="V201" s="531" cm="1">
        <f t="array" ref="V201">AVERAGE(_xlfn._xlws.FILTER(PTS!Z:Z, (PTS!$C:$C=A201) * ISNUMBER(PTS!Z:Z)))</f>
        <v>26.25</v>
      </c>
      <c r="X201" s="531">
        <f t="shared" si="34"/>
        <v>128.65</v>
      </c>
      <c r="Y201" s="531" cm="1">
        <f t="array" ref="Y201">AVERAGE(_xlfn._xlws.FILTER(PTS!AC:AC, (PTS!$C:$C=A201) * ISNUMBER(PTS!AC:AC)))</f>
        <v>110.22727272727273</v>
      </c>
      <c r="Z201" s="531" cm="1">
        <f t="array" ref="Z201">AVERAGE(_xlfn._xlws.FILTER(PTS!AD:AD, (PTS!$C:$C=A201) * ISNUMBER(PTS!AD:AD)))</f>
        <v>107.04545454545455</v>
      </c>
      <c r="AB201" s="531">
        <f t="shared" si="35"/>
        <v>217.27272727272728</v>
      </c>
      <c r="AC201" s="10" cm="1">
        <f t="array" ref="AC201">AVERAGE(_xlfn._xlws.FILTER(PTS!AG:AG, (PTS!$C:$C=A201) * ISNUMBER(PTS!AG:AG)))</f>
        <v>28.814300000000003</v>
      </c>
      <c r="AD201" s="531" cm="1">
        <f t="array" ref="AD201">AVERAGE(_xlfn._xlws.FILTER(PTS!AH:AH, (PTS!$C:$C=A201) * ISNUMBER(PTS!AH:AH)))</f>
        <v>6.973140495867769</v>
      </c>
      <c r="AE201" s="531" cm="1">
        <f t="array" ref="AE201">AVERAGE(_xlfn._xlws.FILTER(PTS!AI:AI, (PTS!$C:$C=A201) * ISNUMBER(PTS!AI:AI)))</f>
        <v>12.587317427197677</v>
      </c>
      <c r="AF201" s="531" cm="1">
        <f t="array" ref="AF201">AVERAGE(_xlfn._xlws.FILTER(PTS!AJ:AJ, (PTS!$C:$C=A201) * ISNUMBER(PTS!AJ:AJ)))</f>
        <v>6.7351999999999999</v>
      </c>
      <c r="AH201" s="531">
        <f t="shared" si="36"/>
        <v>55.109957923065444</v>
      </c>
      <c r="AI201" s="10" cm="1">
        <f t="array" ref="AI201">AVERAGE(_xlfn._xlws.FILTER(PTS!AM:AM, (PTS!$C:$C=A201) * ISNUMBER(PTS!AM:AM)))</f>
        <v>79.999999999999986</v>
      </c>
      <c r="AJ201" s="10" cm="1">
        <f t="array" ref="AJ201">AVERAGE(_xlfn._xlws.FILTER(PTS!AN:AN, (PTS!$C:$C=A201) * ISNUMBER(PTS!AN:AN)))</f>
        <v>26.17808219178082</v>
      </c>
      <c r="AK201" s="10" cm="1">
        <f t="array" ref="AK201">AVERAGE(_xlfn._xlws.FILTER(PTS!AO:AO, (PTS!$C:$C=A201) * ISNUMBER(PTS!AO:AO)))</f>
        <v>0</v>
      </c>
      <c r="AN201" s="531">
        <f t="shared" si="37"/>
        <v>106.1780821917808</v>
      </c>
      <c r="AR201" s="531">
        <f t="shared" si="38"/>
        <v>743.6314113269674</v>
      </c>
      <c r="AS201" s="531">
        <f t="shared" si="39"/>
        <v>993.6314113269674</v>
      </c>
    </row>
    <row r="202" spans="1:45">
      <c r="A202" s="32" t="s">
        <v>703</v>
      </c>
      <c r="B202" s="319" t="s">
        <v>71</v>
      </c>
      <c r="C202" s="319" t="str">
        <f t="shared" si="30"/>
        <v>SnyderTX</v>
      </c>
      <c r="D202" s="10">
        <f>VLOOKUP(A:A,PTS!C:R,6,FALSE)</f>
        <v>2</v>
      </c>
      <c r="E202" s="531" cm="1">
        <f t="array" ref="E202">AVERAGE(_xlfn._xlws.FILTER(PTS!I:I, (PTS!$C:$C=A202) * ISNUMBER(PTS!I:I)))</f>
        <v>102</v>
      </c>
      <c r="F202" s="10" cm="1">
        <f t="array" ref="F202">AVERAGE(_xlfn._xlws.FILTER(PTS!J:J, (PTS!$C:$C=A202) * ISNUMBER(PTS!J:J)))</f>
        <v>125</v>
      </c>
      <c r="G202" s="531" cm="1">
        <f t="array" ref="G202">AVERAGE(_xlfn._xlws.FILTER(PTS!K:K, (PTS!$C:$C=A202) * ISNUMBER(PTS!K:K)))</f>
        <v>240</v>
      </c>
      <c r="H202" s="531" cm="1">
        <f t="array" ref="H202">AVERAGE(_xlfn._xlws.FILTER(PTS!L:L, (PTS!$C:$C=A202) * ISNUMBER(PTS!L:L)))</f>
        <v>0</v>
      </c>
      <c r="I202" s="531" cm="1">
        <f t="array" ref="I202">AVERAGE(_xlfn._xlws.FILTER(PTS!M:M, (PTS!$C:$C=A202) * ISNUMBER(PTS!M:M)))</f>
        <v>0</v>
      </c>
      <c r="J202" s="531" cm="1">
        <f t="array" ref="J202">AVERAGE(_xlfn._xlws.FILTER(PTS!N:N, (PTS!$C:$C=A202) * ISNUMBER(PTS!N:N)))</f>
        <v>57</v>
      </c>
      <c r="K202" s="531" cm="1">
        <f t="array" ref="K202">AVERAGE(_xlfn._xlws.FILTER(PTS!O:O, (PTS!$C:$C=A202) * ISNUMBER(PTS!O:O)))</f>
        <v>37.916666666666671</v>
      </c>
      <c r="L202" s="10" cm="1">
        <f t="array" ref="L202">AVERAGE(_xlfn._xlws.FILTER(PTS!P:P, (PTS!$C:$C=A202) * ISNUMBER(PTS!P:P)))</f>
        <v>0</v>
      </c>
      <c r="M202" s="531">
        <f t="shared" si="31"/>
        <v>561.91666666666663</v>
      </c>
      <c r="N202" s="531">
        <f t="shared" si="32"/>
        <v>334.91666666666669</v>
      </c>
      <c r="O202" s="531" cm="1">
        <f t="array" ref="O202">AVERAGE(_xlfn._xlws.FILTER(PTS!S:S, (PTS!$C:$C=A202) * ISNUMBER(PTS!S:S)))</f>
        <v>0</v>
      </c>
      <c r="P202" s="531" cm="1">
        <f t="array" ref="P202">AVERAGE(_xlfn._xlws.FILTER(PTS!T:T, (PTS!$C:$C=A202) * ISNUMBER(PTS!T:T)))</f>
        <v>0</v>
      </c>
      <c r="Q202" s="531" cm="1">
        <f t="array" ref="Q202">AVERAGE(_xlfn._xlws.FILTER(PTS!U:U, (PTS!$C:$C=A202) * ISNUMBER(PTS!U:U)))</f>
        <v>243.52272727272731</v>
      </c>
      <c r="S202" s="531">
        <f t="shared" si="33"/>
        <v>243.52272727272731</v>
      </c>
      <c r="T202" s="531" cm="1">
        <f t="array" ref="T202">AVERAGE(_xlfn._xlws.FILTER(PTS!X:X, (PTS!$C:$C=A202) * ISNUMBER(PTS!X:X)))</f>
        <v>54</v>
      </c>
      <c r="U202" s="531" cm="1">
        <f t="array" ref="U202">AVERAGE(_xlfn._xlws.FILTER(PTS!Y:Y, (PTS!$C:$C=A202) * ISNUMBER(PTS!Y:Y)))</f>
        <v>50.4</v>
      </c>
      <c r="V202" s="531" cm="1">
        <f t="array" ref="V202">AVERAGE(_xlfn._xlws.FILTER(PTS!Z:Z, (PTS!$C:$C=A202) * ISNUMBER(PTS!Z:Z)))</f>
        <v>26.25</v>
      </c>
      <c r="X202" s="531">
        <f t="shared" si="34"/>
        <v>130.65</v>
      </c>
      <c r="Y202" s="531" cm="1">
        <f t="array" ref="Y202">AVERAGE(_xlfn._xlws.FILTER(PTS!AC:AC, (PTS!$C:$C=A202) * ISNUMBER(PTS!AC:AC)))</f>
        <v>147.72727272727272</v>
      </c>
      <c r="Z202" s="531" cm="1">
        <f t="array" ref="Z202">AVERAGE(_xlfn._xlws.FILTER(PTS!AD:AD, (PTS!$C:$C=A202) * ISNUMBER(PTS!AD:AD)))</f>
        <v>233.06818181818181</v>
      </c>
      <c r="AB202" s="531">
        <f t="shared" si="35"/>
        <v>380.7954545454545</v>
      </c>
      <c r="AC202" s="10" cm="1">
        <f t="array" ref="AC202">AVERAGE(_xlfn._xlws.FILTER(PTS!AG:AG, (PTS!$C:$C=A202) * ISNUMBER(PTS!AG:AG)))</f>
        <v>28.814300000000003</v>
      </c>
      <c r="AD202" s="531" cm="1">
        <f t="array" ref="AD202">AVERAGE(_xlfn._xlws.FILTER(PTS!AH:AH, (PTS!$C:$C=A202) * ISNUMBER(PTS!AH:AH)))</f>
        <v>6.973140495867769</v>
      </c>
      <c r="AE202" s="531" cm="1">
        <f t="array" ref="AE202">AVERAGE(_xlfn._xlws.FILTER(PTS!AI:AI, (PTS!$C:$C=A202) * ISNUMBER(PTS!AI:AI)))</f>
        <v>12.587317427197677</v>
      </c>
      <c r="AF202" s="531" cm="1">
        <f t="array" ref="AF202">AVERAGE(_xlfn._xlws.FILTER(PTS!AJ:AJ, (PTS!$C:$C=A202) * ISNUMBER(PTS!AJ:AJ)))</f>
        <v>6.7351999999999999</v>
      </c>
      <c r="AH202" s="531">
        <f t="shared" si="36"/>
        <v>55.109957923065444</v>
      </c>
      <c r="AI202" s="10" cm="1">
        <f t="array" ref="AI202">AVERAGE(_xlfn._xlws.FILTER(PTS!AM:AM, (PTS!$C:$C=A202) * ISNUMBER(PTS!AM:AM)))</f>
        <v>79.999999999999986</v>
      </c>
      <c r="AJ202" s="10" cm="1">
        <f t="array" ref="AJ202">AVERAGE(_xlfn._xlws.FILTER(PTS!AN:AN, (PTS!$C:$C=A202) * ISNUMBER(PTS!AN:AN)))</f>
        <v>26.17808219178082</v>
      </c>
      <c r="AK202" s="10" cm="1">
        <f t="array" ref="AK202">AVERAGE(_xlfn._xlws.FILTER(PTS!AO:AO, (PTS!$C:$C=A202) * ISNUMBER(PTS!AO:AO)))</f>
        <v>0</v>
      </c>
      <c r="AN202" s="531">
        <f t="shared" si="37"/>
        <v>106.1780821917808</v>
      </c>
      <c r="AR202" s="531">
        <f t="shared" si="38"/>
        <v>1251.1728885996947</v>
      </c>
      <c r="AS202" s="531">
        <f t="shared" si="39"/>
        <v>1478.1728885996947</v>
      </c>
    </row>
    <row r="203" spans="1:45">
      <c r="A203" s="32" t="s">
        <v>706</v>
      </c>
      <c r="B203" s="319" t="s">
        <v>168</v>
      </c>
      <c r="C203" s="319" t="str">
        <f t="shared" si="30"/>
        <v>SomervilleTN</v>
      </c>
      <c r="D203" s="10">
        <f>VLOOKUP(A:A,PTS!C:R,6,FALSE)</f>
        <v>1</v>
      </c>
      <c r="E203" s="531" cm="1">
        <f t="array" ref="E203">AVERAGE(_xlfn._xlws.FILTER(PTS!I:I, (PTS!$C:$C=A203) * ISNUMBER(PTS!I:I)))</f>
        <v>28</v>
      </c>
      <c r="F203" s="10" cm="1">
        <f t="array" ref="F203">AVERAGE(_xlfn._xlws.FILTER(PTS!J:J, (PTS!$C:$C=A203) * ISNUMBER(PTS!J:J)))</f>
        <v>242</v>
      </c>
      <c r="G203" s="531" cm="1">
        <f t="array" ref="G203">AVERAGE(_xlfn._xlws.FILTER(PTS!K:K, (PTS!$C:$C=A203) * ISNUMBER(PTS!K:K)))</f>
        <v>0</v>
      </c>
      <c r="H203" s="531" cm="1">
        <f t="array" ref="H203">AVERAGE(_xlfn._xlws.FILTER(PTS!L:L, (PTS!$C:$C=A203) * ISNUMBER(PTS!L:L)))</f>
        <v>61</v>
      </c>
      <c r="I203" s="531" cm="1">
        <f t="array" ref="I203">AVERAGE(_xlfn._xlws.FILTER(PTS!M:M, (PTS!$C:$C=A203) * ISNUMBER(PTS!M:M)))</f>
        <v>10</v>
      </c>
      <c r="J203" s="531" cm="1">
        <f t="array" ref="J203">AVERAGE(_xlfn._xlws.FILTER(PTS!N:N, (PTS!$C:$C=A203) * ISNUMBER(PTS!N:N)))</f>
        <v>72</v>
      </c>
      <c r="K203" s="531" cm="1">
        <f t="array" ref="K203">AVERAGE(_xlfn._xlws.FILTER(PTS!O:O, (PTS!$C:$C=A203) * ISNUMBER(PTS!O:O)))</f>
        <v>37.916666666666671</v>
      </c>
      <c r="L203" s="10" cm="1">
        <f t="array" ref="L203">AVERAGE(_xlfn._xlws.FILTER(PTS!P:P, (PTS!$C:$C=A203) * ISNUMBER(PTS!P:P)))</f>
        <v>0</v>
      </c>
      <c r="M203" s="531">
        <f t="shared" si="31"/>
        <v>450.91666666666669</v>
      </c>
      <c r="N203" s="531">
        <f t="shared" si="32"/>
        <v>109.91666666666667</v>
      </c>
      <c r="O203" s="531" cm="1">
        <f t="array" ref="O203">AVERAGE(_xlfn._xlws.FILTER(PTS!S:S, (PTS!$C:$C=A203) * ISNUMBER(PTS!S:S)))</f>
        <v>0</v>
      </c>
      <c r="P203" s="531" cm="1">
        <f t="array" ref="P203">AVERAGE(_xlfn._xlws.FILTER(PTS!T:T, (PTS!$C:$C=A203) * ISNUMBER(PTS!T:T)))</f>
        <v>0</v>
      </c>
      <c r="Q203" s="531" cm="1">
        <f t="array" ref="Q203">AVERAGE(_xlfn._xlws.FILTER(PTS!U:U, (PTS!$C:$C=A203) * ISNUMBER(PTS!U:U)))</f>
        <v>190.34090909090909</v>
      </c>
      <c r="S203" s="531">
        <f t="shared" si="33"/>
        <v>190.34090909090909</v>
      </c>
      <c r="T203" s="531" cm="1">
        <f t="array" ref="T203">AVERAGE(_xlfn._xlws.FILTER(PTS!X:X, (PTS!$C:$C=A203) * ISNUMBER(PTS!X:X)))</f>
        <v>50</v>
      </c>
      <c r="U203" s="531" cm="1">
        <f t="array" ref="U203">AVERAGE(_xlfn._xlws.FILTER(PTS!Y:Y, (PTS!$C:$C=A203) * ISNUMBER(PTS!Y:Y)))</f>
        <v>33.6</v>
      </c>
      <c r="V203" s="531" cm="1">
        <f t="array" ref="V203">AVERAGE(_xlfn._xlws.FILTER(PTS!Z:Z, (PTS!$C:$C=A203) * ISNUMBER(PTS!Z:Z)))</f>
        <v>26.25</v>
      </c>
      <c r="X203" s="531">
        <f t="shared" si="34"/>
        <v>109.85</v>
      </c>
      <c r="Y203" s="531" cm="1">
        <f t="array" ref="Y203">AVERAGE(_xlfn._xlws.FILTER(PTS!AC:AC, (PTS!$C:$C=A203) * ISNUMBER(PTS!AC:AC)))</f>
        <v>146.02272727272725</v>
      </c>
      <c r="Z203" s="531" cm="1">
        <f t="array" ref="Z203">AVERAGE(_xlfn._xlws.FILTER(PTS!AD:AD, (PTS!$C:$C=A203) * ISNUMBER(PTS!AD:AD)))</f>
        <v>182.72727272727275</v>
      </c>
      <c r="AB203" s="531">
        <f t="shared" si="35"/>
        <v>328.75</v>
      </c>
      <c r="AC203" s="10" cm="1">
        <f t="array" ref="AC203">AVERAGE(_xlfn._xlws.FILTER(PTS!AG:AG, (PTS!$C:$C=A203) * ISNUMBER(PTS!AG:AG)))</f>
        <v>28.814300000000003</v>
      </c>
      <c r="AD203" s="531" cm="1">
        <f t="array" ref="AD203">AVERAGE(_xlfn._xlws.FILTER(PTS!AH:AH, (PTS!$C:$C=A203) * ISNUMBER(PTS!AH:AH)))</f>
        <v>6.973140495867769</v>
      </c>
      <c r="AE203" s="531" cm="1">
        <f t="array" ref="AE203">AVERAGE(_xlfn._xlws.FILTER(PTS!AI:AI, (PTS!$C:$C=A203) * ISNUMBER(PTS!AI:AI)))</f>
        <v>12.587317427197677</v>
      </c>
      <c r="AF203" s="531" cm="1">
        <f t="array" ref="AF203">AVERAGE(_xlfn._xlws.FILTER(PTS!AJ:AJ, (PTS!$C:$C=A203) * ISNUMBER(PTS!AJ:AJ)))</f>
        <v>6.7351999999999999</v>
      </c>
      <c r="AH203" s="531">
        <f t="shared" si="36"/>
        <v>55.109957923065444</v>
      </c>
      <c r="AI203" s="10" cm="1">
        <f t="array" ref="AI203">AVERAGE(_xlfn._xlws.FILTER(PTS!AM:AM, (PTS!$C:$C=A203) * ISNUMBER(PTS!AM:AM)))</f>
        <v>79.999999999999986</v>
      </c>
      <c r="AJ203" s="10" cm="1">
        <f t="array" ref="AJ203">AVERAGE(_xlfn._xlws.FILTER(PTS!AN:AN, (PTS!$C:$C=A203) * ISNUMBER(PTS!AN:AN)))</f>
        <v>26.17808219178082</v>
      </c>
      <c r="AK203" s="10" cm="1">
        <f t="array" ref="AK203">AVERAGE(_xlfn._xlws.FILTER(PTS!AO:AO, (PTS!$C:$C=A203) * ISNUMBER(PTS!AO:AO)))</f>
        <v>0</v>
      </c>
      <c r="AN203" s="531">
        <f t="shared" si="37"/>
        <v>106.1780821917808</v>
      </c>
      <c r="AR203" s="531">
        <f t="shared" si="38"/>
        <v>900.14561587242201</v>
      </c>
      <c r="AS203" s="531">
        <f t="shared" si="39"/>
        <v>1241.145615872422</v>
      </c>
    </row>
    <row r="204" spans="1:45">
      <c r="A204" s="32" t="s">
        <v>708</v>
      </c>
      <c r="B204" s="319" t="s">
        <v>80</v>
      </c>
      <c r="C204" s="319" t="str">
        <f t="shared" si="30"/>
        <v>St. JosephLA</v>
      </c>
      <c r="D204" s="10">
        <f>VLOOKUP(A:A,PTS!C:R,6,FALSE)</f>
        <v>1</v>
      </c>
      <c r="E204" s="531" cm="1">
        <f t="array" ref="E204">AVERAGE(_xlfn._xlws.FILTER(PTS!I:I, (PTS!$C:$C=A204) * ISNUMBER(PTS!I:I)))</f>
        <v>70</v>
      </c>
      <c r="F204" s="10" cm="1">
        <f t="array" ref="F204">AVERAGE(_xlfn._xlws.FILTER(PTS!J:J, (PTS!$C:$C=A204) * ISNUMBER(PTS!J:J)))</f>
        <v>160</v>
      </c>
      <c r="G204" s="531" cm="1">
        <f t="array" ref="G204">AVERAGE(_xlfn._xlws.FILTER(PTS!K:K, (PTS!$C:$C=A204) * ISNUMBER(PTS!K:K)))</f>
        <v>0</v>
      </c>
      <c r="H204" s="531" cm="1">
        <f t="array" ref="H204">AVERAGE(_xlfn._xlws.FILTER(PTS!L:L, (PTS!$C:$C=A204) * ISNUMBER(PTS!L:L)))</f>
        <v>0</v>
      </c>
      <c r="I204" s="531" cm="1">
        <f t="array" ref="I204">AVERAGE(_xlfn._xlws.FILTER(PTS!M:M, (PTS!$C:$C=A204) * ISNUMBER(PTS!M:M)))</f>
        <v>0</v>
      </c>
      <c r="J204" s="531" cm="1">
        <f t="array" ref="J204">AVERAGE(_xlfn._xlws.FILTER(PTS!N:N, (PTS!$C:$C=A204) * ISNUMBER(PTS!N:N)))</f>
        <v>60</v>
      </c>
      <c r="K204" s="531" cm="1">
        <f t="array" ref="K204">AVERAGE(_xlfn._xlws.FILTER(PTS!O:O, (PTS!$C:$C=A204) * ISNUMBER(PTS!O:O)))</f>
        <v>37.916666666666671</v>
      </c>
      <c r="L204" s="10" cm="1">
        <f t="array" ref="L204">AVERAGE(_xlfn._xlws.FILTER(PTS!P:P, (PTS!$C:$C=A204) * ISNUMBER(PTS!P:P)))</f>
        <v>0</v>
      </c>
      <c r="M204" s="531">
        <f t="shared" si="31"/>
        <v>327.91666666666669</v>
      </c>
      <c r="N204" s="531">
        <f t="shared" si="32"/>
        <v>97.916666666666671</v>
      </c>
      <c r="O204" s="531" cm="1">
        <f t="array" ref="O204">AVERAGE(_xlfn._xlws.FILTER(PTS!S:S, (PTS!$C:$C=A204) * ISNUMBER(PTS!S:S)))</f>
        <v>0</v>
      </c>
      <c r="P204" s="531" cm="1">
        <f t="array" ref="P204">AVERAGE(_xlfn._xlws.FILTER(PTS!T:T, (PTS!$C:$C=A204) * ISNUMBER(PTS!T:T)))</f>
        <v>0</v>
      </c>
      <c r="Q204" s="531" cm="1">
        <f t="array" ref="Q204">AVERAGE(_xlfn._xlws.FILTER(PTS!U:U, (PTS!$C:$C=A204) * ISNUMBER(PTS!U:U)))</f>
        <v>318.18181818181819</v>
      </c>
      <c r="S204" s="531">
        <f t="shared" si="33"/>
        <v>318.18181818181819</v>
      </c>
      <c r="T204" s="531" cm="1">
        <f t="array" ref="T204">AVERAGE(_xlfn._xlws.FILTER(PTS!X:X, (PTS!$C:$C=A204) * ISNUMBER(PTS!X:X)))</f>
        <v>54</v>
      </c>
      <c r="U204" s="531" cm="1">
        <f t="array" ref="U204">AVERAGE(_xlfn._xlws.FILTER(PTS!Y:Y, (PTS!$C:$C=A204) * ISNUMBER(PTS!Y:Y)))</f>
        <v>50.4</v>
      </c>
      <c r="V204" s="531" cm="1">
        <f t="array" ref="V204">AVERAGE(_xlfn._xlws.FILTER(PTS!Z:Z, (PTS!$C:$C=A204) * ISNUMBER(PTS!Z:Z)))</f>
        <v>26.25</v>
      </c>
      <c r="X204" s="531">
        <f t="shared" si="34"/>
        <v>130.65</v>
      </c>
      <c r="Y204" s="531" cm="1">
        <f t="array" ref="Y204">AVERAGE(_xlfn._xlws.FILTER(PTS!AC:AC, (PTS!$C:$C=A204) * ISNUMBER(PTS!AC:AC)))</f>
        <v>132.95454545454544</v>
      </c>
      <c r="Z204" s="531" cm="1">
        <f t="array" ref="Z204">AVERAGE(_xlfn._xlws.FILTER(PTS!AD:AD, (PTS!$C:$C=A204) * ISNUMBER(PTS!AD:AD)))</f>
        <v>197.95454545454547</v>
      </c>
      <c r="AB204" s="531">
        <f t="shared" si="35"/>
        <v>330.90909090909088</v>
      </c>
      <c r="AC204" s="10" cm="1">
        <f t="array" ref="AC204">AVERAGE(_xlfn._xlws.FILTER(PTS!AG:AG, (PTS!$C:$C=A204) * ISNUMBER(PTS!AG:AG)))</f>
        <v>28.814300000000003</v>
      </c>
      <c r="AD204" s="531" cm="1">
        <f t="array" ref="AD204">AVERAGE(_xlfn._xlws.FILTER(PTS!AH:AH, (PTS!$C:$C=A204) * ISNUMBER(PTS!AH:AH)))</f>
        <v>6.973140495867769</v>
      </c>
      <c r="AE204" s="531" cm="1">
        <f t="array" ref="AE204">AVERAGE(_xlfn._xlws.FILTER(PTS!AI:AI, (PTS!$C:$C=A204) * ISNUMBER(PTS!AI:AI)))</f>
        <v>12.587317427197677</v>
      </c>
      <c r="AF204" s="531" cm="1">
        <f t="array" ref="AF204">AVERAGE(_xlfn._xlws.FILTER(PTS!AJ:AJ, (PTS!$C:$C=A204) * ISNUMBER(PTS!AJ:AJ)))</f>
        <v>6.7351999999999999</v>
      </c>
      <c r="AH204" s="531">
        <f t="shared" si="36"/>
        <v>55.109957923065444</v>
      </c>
      <c r="AI204" s="10" cm="1">
        <f t="array" ref="AI204">AVERAGE(_xlfn._xlws.FILTER(PTS!AM:AM, (PTS!$C:$C=A204) * ISNUMBER(PTS!AM:AM)))</f>
        <v>79.999999999999986</v>
      </c>
      <c r="AJ204" s="10" cm="1">
        <f t="array" ref="AJ204">AVERAGE(_xlfn._xlws.FILTER(PTS!AN:AN, (PTS!$C:$C=A204) * ISNUMBER(PTS!AN:AN)))</f>
        <v>26.17808219178082</v>
      </c>
      <c r="AK204" s="10" cm="1">
        <f t="array" ref="AK204">AVERAGE(_xlfn._xlws.FILTER(PTS!AO:AO, (PTS!$C:$C=A204) * ISNUMBER(PTS!AO:AO)))</f>
        <v>0</v>
      </c>
      <c r="AN204" s="531">
        <f t="shared" si="37"/>
        <v>106.1780821917808</v>
      </c>
      <c r="AR204" s="531">
        <f t="shared" si="38"/>
        <v>1038.945615872422</v>
      </c>
      <c r="AS204" s="531">
        <f t="shared" si="39"/>
        <v>1268.9456158724217</v>
      </c>
    </row>
    <row r="205" spans="1:45">
      <c r="A205" s="32" t="s">
        <v>711</v>
      </c>
      <c r="B205" s="319" t="s">
        <v>132</v>
      </c>
      <c r="C205" s="319" t="str">
        <f t="shared" si="30"/>
        <v>St. MatthewsSC</v>
      </c>
      <c r="D205" s="10">
        <f>VLOOKUP(A:A,PTS!C:R,6,FALSE)</f>
        <v>1</v>
      </c>
      <c r="E205" s="531" cm="1">
        <f t="array" ref="E205">AVERAGE(_xlfn._xlws.FILTER(PTS!I:I, (PTS!$C:$C=A205) * ISNUMBER(PTS!I:I)))</f>
        <v>70</v>
      </c>
      <c r="F205" s="10" cm="1">
        <f t="array" ref="F205">AVERAGE(_xlfn._xlws.FILTER(PTS!J:J, (PTS!$C:$C=A205) * ISNUMBER(PTS!J:J)))</f>
        <v>90</v>
      </c>
      <c r="G205" s="531" cm="1">
        <f t="array" ref="G205">AVERAGE(_xlfn._xlws.FILTER(PTS!K:K, (PTS!$C:$C=A205) * ISNUMBER(PTS!K:K)))</f>
        <v>0</v>
      </c>
      <c r="H205" s="531" cm="1">
        <f t="array" ref="H205">AVERAGE(_xlfn._xlws.FILTER(PTS!L:L, (PTS!$C:$C=A205) * ISNUMBER(PTS!L:L)))</f>
        <v>0</v>
      </c>
      <c r="I205" s="531" cm="1">
        <f t="array" ref="I205">AVERAGE(_xlfn._xlws.FILTER(PTS!M:M, (PTS!$C:$C=A205) * ISNUMBER(PTS!M:M)))</f>
        <v>10</v>
      </c>
      <c r="J205" s="531" cm="1">
        <f t="array" ref="J205">AVERAGE(_xlfn._xlws.FILTER(PTS!N:N, (PTS!$C:$C=A205) * ISNUMBER(PTS!N:N)))</f>
        <v>49.2</v>
      </c>
      <c r="K205" s="531" cm="1">
        <f t="array" ref="K205">AVERAGE(_xlfn._xlws.FILTER(PTS!O:O, (PTS!$C:$C=A205) * ISNUMBER(PTS!O:O)))</f>
        <v>37.916666666666671</v>
      </c>
      <c r="L205" s="10" cm="1">
        <f t="array" ref="L205">AVERAGE(_xlfn._xlws.FILTER(PTS!P:P, (PTS!$C:$C=A205) * ISNUMBER(PTS!P:P)))</f>
        <v>0</v>
      </c>
      <c r="M205" s="531">
        <f t="shared" si="31"/>
        <v>257.11666666666667</v>
      </c>
      <c r="N205" s="531">
        <f t="shared" si="32"/>
        <v>87.116666666666674</v>
      </c>
      <c r="O205" s="531" cm="1">
        <f t="array" ref="O205">AVERAGE(_xlfn._xlws.FILTER(PTS!S:S, (PTS!$C:$C=A205) * ISNUMBER(PTS!S:S)))</f>
        <v>0</v>
      </c>
      <c r="P205" s="531" cm="1">
        <f t="array" ref="P205">AVERAGE(_xlfn._xlws.FILTER(PTS!T:T, (PTS!$C:$C=A205) * ISNUMBER(PTS!T:T)))</f>
        <v>0</v>
      </c>
      <c r="Q205" s="531" cm="1">
        <f t="array" ref="Q205">AVERAGE(_xlfn._xlws.FILTER(PTS!U:U, (PTS!$C:$C=A205) * ISNUMBER(PTS!U:U)))</f>
        <v>166.39204545454547</v>
      </c>
      <c r="S205" s="531">
        <f t="shared" si="33"/>
        <v>166.39204545454547</v>
      </c>
      <c r="T205" s="531" cm="1">
        <f t="array" ref="T205">AVERAGE(_xlfn._xlws.FILTER(PTS!X:X, (PTS!$C:$C=A205) * ISNUMBER(PTS!X:X)))</f>
        <v>52</v>
      </c>
      <c r="U205" s="531" cm="1">
        <f t="array" ref="U205">AVERAGE(_xlfn._xlws.FILTER(PTS!Y:Y, (PTS!$C:$C=A205) * ISNUMBER(PTS!Y:Y)))</f>
        <v>50.4</v>
      </c>
      <c r="V205" s="531" cm="1">
        <f t="array" ref="V205">AVERAGE(_xlfn._xlws.FILTER(PTS!Z:Z, (PTS!$C:$C=A205) * ISNUMBER(PTS!Z:Z)))</f>
        <v>26.25</v>
      </c>
      <c r="X205" s="531">
        <f t="shared" si="34"/>
        <v>128.65</v>
      </c>
      <c r="Y205" s="531" cm="1">
        <f t="array" ref="Y205">AVERAGE(_xlfn._xlws.FILTER(PTS!AC:AC, (PTS!$C:$C=A205) * ISNUMBER(PTS!AC:AC)))</f>
        <v>110.22727272727273</v>
      </c>
      <c r="Z205" s="531" cm="1">
        <f t="array" ref="Z205">AVERAGE(_xlfn._xlws.FILTER(PTS!AD:AD, (PTS!$C:$C=A205) * ISNUMBER(PTS!AD:AD)))</f>
        <v>107.04545454545455</v>
      </c>
      <c r="AB205" s="531">
        <f t="shared" si="35"/>
        <v>217.27272727272728</v>
      </c>
      <c r="AC205" s="10" cm="1">
        <f t="array" ref="AC205">AVERAGE(_xlfn._xlws.FILTER(PTS!AG:AG, (PTS!$C:$C=A205) * ISNUMBER(PTS!AG:AG)))</f>
        <v>28.814300000000003</v>
      </c>
      <c r="AD205" s="531" cm="1">
        <f t="array" ref="AD205">AVERAGE(_xlfn._xlws.FILTER(PTS!AH:AH, (PTS!$C:$C=A205) * ISNUMBER(PTS!AH:AH)))</f>
        <v>6.973140495867769</v>
      </c>
      <c r="AE205" s="531" cm="1">
        <f t="array" ref="AE205">AVERAGE(_xlfn._xlws.FILTER(PTS!AI:AI, (PTS!$C:$C=A205) * ISNUMBER(PTS!AI:AI)))</f>
        <v>12.587317427197677</v>
      </c>
      <c r="AF205" s="531" cm="1">
        <f t="array" ref="AF205">AVERAGE(_xlfn._xlws.FILTER(PTS!AJ:AJ, (PTS!$C:$C=A205) * ISNUMBER(PTS!AJ:AJ)))</f>
        <v>6.7351999999999999</v>
      </c>
      <c r="AH205" s="531">
        <f t="shared" si="36"/>
        <v>55.109957923065444</v>
      </c>
      <c r="AI205" s="10" cm="1">
        <f t="array" ref="AI205">AVERAGE(_xlfn._xlws.FILTER(PTS!AM:AM, (PTS!$C:$C=A205) * ISNUMBER(PTS!AM:AM)))</f>
        <v>79.999999999999986</v>
      </c>
      <c r="AJ205" s="10" cm="1">
        <f t="array" ref="AJ205">AVERAGE(_xlfn._xlws.FILTER(PTS!AN:AN, (PTS!$C:$C=A205) * ISNUMBER(PTS!AN:AN)))</f>
        <v>26.17808219178082</v>
      </c>
      <c r="AK205" s="10" cm="1">
        <f t="array" ref="AK205">AVERAGE(_xlfn._xlws.FILTER(PTS!AO:AO, (PTS!$C:$C=A205) * ISNUMBER(PTS!AO:AO)))</f>
        <v>0</v>
      </c>
      <c r="AN205" s="531">
        <f t="shared" si="37"/>
        <v>106.1780821917808</v>
      </c>
      <c r="AR205" s="531">
        <f t="shared" si="38"/>
        <v>760.71947950878564</v>
      </c>
      <c r="AS205" s="531">
        <f t="shared" si="39"/>
        <v>930.71947950878564</v>
      </c>
    </row>
    <row r="206" spans="1:45">
      <c r="A206" s="32" t="s">
        <v>713</v>
      </c>
      <c r="B206" s="319" t="s">
        <v>71</v>
      </c>
      <c r="C206" s="319" t="str">
        <f t="shared" si="30"/>
        <v>StamfordTX</v>
      </c>
      <c r="D206" s="10">
        <f>VLOOKUP(A:A,PTS!C:R,6,FALSE)</f>
        <v>2</v>
      </c>
      <c r="E206" s="531" cm="1">
        <f t="array" ref="E206">AVERAGE(_xlfn._xlws.FILTER(PTS!I:I, (PTS!$C:$C=A206) * ISNUMBER(PTS!I:I)))</f>
        <v>100</v>
      </c>
      <c r="F206" s="10" cm="1">
        <f t="array" ref="F206">AVERAGE(_xlfn._xlws.FILTER(PTS!J:J, (PTS!$C:$C=A206) * ISNUMBER(PTS!J:J)))</f>
        <v>125</v>
      </c>
      <c r="G206" s="531" cm="1">
        <f t="array" ref="G206">AVERAGE(_xlfn._xlws.FILTER(PTS!K:K, (PTS!$C:$C=A206) * ISNUMBER(PTS!K:K)))</f>
        <v>205</v>
      </c>
      <c r="H206" s="531" cm="1">
        <f t="array" ref="H206">AVERAGE(_xlfn._xlws.FILTER(PTS!L:L, (PTS!$C:$C=A206) * ISNUMBER(PTS!L:L)))</f>
        <v>0</v>
      </c>
      <c r="I206" s="531" cm="1">
        <f t="array" ref="I206">AVERAGE(_xlfn._xlws.FILTER(PTS!M:M, (PTS!$C:$C=A206) * ISNUMBER(PTS!M:M)))</f>
        <v>0</v>
      </c>
      <c r="J206" s="531" cm="1">
        <f t="array" ref="J206">AVERAGE(_xlfn._xlws.FILTER(PTS!N:N, (PTS!$C:$C=A206) * ISNUMBER(PTS!N:N)))</f>
        <v>50</v>
      </c>
      <c r="K206" s="531" cm="1">
        <f t="array" ref="K206">AVERAGE(_xlfn._xlws.FILTER(PTS!O:O, (PTS!$C:$C=A206) * ISNUMBER(PTS!O:O)))</f>
        <v>37.916666666666671</v>
      </c>
      <c r="L206" s="10" cm="1">
        <f t="array" ref="L206">AVERAGE(_xlfn._xlws.FILTER(PTS!P:P, (PTS!$C:$C=A206) * ISNUMBER(PTS!P:P)))</f>
        <v>0</v>
      </c>
      <c r="M206" s="531">
        <f t="shared" si="31"/>
        <v>517.91666666666663</v>
      </c>
      <c r="N206" s="531">
        <f t="shared" si="32"/>
        <v>292.91666666666669</v>
      </c>
      <c r="O206" s="531" cm="1">
        <f t="array" ref="O206">AVERAGE(_xlfn._xlws.FILTER(PTS!S:S, (PTS!$C:$C=A206) * ISNUMBER(PTS!S:S)))</f>
        <v>0</v>
      </c>
      <c r="P206" s="531" cm="1">
        <f t="array" ref="P206">AVERAGE(_xlfn._xlws.FILTER(PTS!T:T, (PTS!$C:$C=A206) * ISNUMBER(PTS!T:T)))</f>
        <v>0</v>
      </c>
      <c r="Q206" s="531" cm="1">
        <f t="array" ref="Q206">AVERAGE(_xlfn._xlws.FILTER(PTS!U:U, (PTS!$C:$C=A206) * ISNUMBER(PTS!U:U)))</f>
        <v>220.68181818181819</v>
      </c>
      <c r="S206" s="531">
        <f t="shared" si="33"/>
        <v>220.68181818181819</v>
      </c>
      <c r="T206" s="531" cm="1">
        <f t="array" ref="T206">AVERAGE(_xlfn._xlws.FILTER(PTS!X:X, (PTS!$C:$C=A206) * ISNUMBER(PTS!X:X)))</f>
        <v>54</v>
      </c>
      <c r="U206" s="531" cm="1">
        <f t="array" ref="U206">AVERAGE(_xlfn._xlws.FILTER(PTS!Y:Y, (PTS!$C:$C=A206) * ISNUMBER(PTS!Y:Y)))</f>
        <v>50.4</v>
      </c>
      <c r="V206" s="531" cm="1">
        <f t="array" ref="V206">AVERAGE(_xlfn._xlws.FILTER(PTS!Z:Z, (PTS!$C:$C=A206) * ISNUMBER(PTS!Z:Z)))</f>
        <v>26.25</v>
      </c>
      <c r="X206" s="531">
        <f t="shared" si="34"/>
        <v>130.65</v>
      </c>
      <c r="Y206" s="531" cm="1">
        <f t="array" ref="Y206">AVERAGE(_xlfn._xlws.FILTER(PTS!AC:AC, (PTS!$C:$C=A206) * ISNUMBER(PTS!AC:AC)))</f>
        <v>147.72727272727272</v>
      </c>
      <c r="Z206" s="531" cm="1">
        <f t="array" ref="Z206">AVERAGE(_xlfn._xlws.FILTER(PTS!AD:AD, (PTS!$C:$C=A206) * ISNUMBER(PTS!AD:AD)))</f>
        <v>233.06818181818181</v>
      </c>
      <c r="AB206" s="531">
        <f t="shared" si="35"/>
        <v>380.7954545454545</v>
      </c>
      <c r="AC206" s="10" cm="1">
        <f t="array" ref="AC206">AVERAGE(_xlfn._xlws.FILTER(PTS!AG:AG, (PTS!$C:$C=A206) * ISNUMBER(PTS!AG:AG)))</f>
        <v>28.814300000000003</v>
      </c>
      <c r="AD206" s="531" cm="1">
        <f t="array" ref="AD206">AVERAGE(_xlfn._xlws.FILTER(PTS!AH:AH, (PTS!$C:$C=A206) * ISNUMBER(PTS!AH:AH)))</f>
        <v>6.973140495867769</v>
      </c>
      <c r="AE206" s="531" cm="1">
        <f t="array" ref="AE206">AVERAGE(_xlfn._xlws.FILTER(PTS!AI:AI, (PTS!$C:$C=A206) * ISNUMBER(PTS!AI:AI)))</f>
        <v>12.587317427197677</v>
      </c>
      <c r="AF206" s="531" cm="1">
        <f t="array" ref="AF206">AVERAGE(_xlfn._xlws.FILTER(PTS!AJ:AJ, (PTS!$C:$C=A206) * ISNUMBER(PTS!AJ:AJ)))</f>
        <v>6.7351999999999999</v>
      </c>
      <c r="AH206" s="531">
        <f t="shared" si="36"/>
        <v>55.109957923065444</v>
      </c>
      <c r="AI206" s="10" cm="1">
        <f t="array" ref="AI206">AVERAGE(_xlfn._xlws.FILTER(PTS!AM:AM, (PTS!$C:$C=A206) * ISNUMBER(PTS!AM:AM)))</f>
        <v>79.999999999999986</v>
      </c>
      <c r="AJ206" s="10" cm="1">
        <f t="array" ref="AJ206">AVERAGE(_xlfn._xlws.FILTER(PTS!AN:AN, (PTS!$C:$C=A206) * ISNUMBER(PTS!AN:AN)))</f>
        <v>26.17808219178082</v>
      </c>
      <c r="AK206" s="10" cm="1">
        <f t="array" ref="AK206">AVERAGE(_xlfn._xlws.FILTER(PTS!AO:AO, (PTS!$C:$C=A206) * ISNUMBER(PTS!AO:AO)))</f>
        <v>0</v>
      </c>
      <c r="AN206" s="531">
        <f t="shared" si="37"/>
        <v>106.1780821917808</v>
      </c>
      <c r="AR206" s="531">
        <f t="shared" si="38"/>
        <v>1186.3319795087855</v>
      </c>
      <c r="AS206" s="531">
        <f t="shared" si="39"/>
        <v>1411.3319795087853</v>
      </c>
    </row>
    <row r="207" spans="1:45">
      <c r="A207" s="32" t="s">
        <v>715</v>
      </c>
      <c r="B207" s="319" t="s">
        <v>71</v>
      </c>
      <c r="C207" s="319" t="str">
        <f t="shared" si="30"/>
        <v>StantonTX</v>
      </c>
      <c r="D207" s="10">
        <f>VLOOKUP(A:A,PTS!C:R,6,FALSE)</f>
        <v>2</v>
      </c>
      <c r="E207" s="531" cm="1">
        <f t="array" ref="E207">AVERAGE(_xlfn._xlws.FILTER(PTS!I:I, (PTS!$C:$C=A207) * ISNUMBER(PTS!I:I)))</f>
        <v>87</v>
      </c>
      <c r="F207" s="10" cm="1">
        <f t="array" ref="F207">AVERAGE(_xlfn._xlws.FILTER(PTS!J:J, (PTS!$C:$C=A207) * ISNUMBER(PTS!J:J)))</f>
        <v>115</v>
      </c>
      <c r="G207" s="531" cm="1">
        <f t="array" ref="G207">AVERAGE(_xlfn._xlws.FILTER(PTS!K:K, (PTS!$C:$C=A207) * ISNUMBER(PTS!K:K)))</f>
        <v>225</v>
      </c>
      <c r="H207" s="531" cm="1">
        <f t="array" ref="H207">AVERAGE(_xlfn._xlws.FILTER(PTS!L:L, (PTS!$C:$C=A207) * ISNUMBER(PTS!L:L)))</f>
        <v>0</v>
      </c>
      <c r="I207" s="531" cm="1">
        <f t="array" ref="I207">AVERAGE(_xlfn._xlws.FILTER(PTS!M:M, (PTS!$C:$C=A207) * ISNUMBER(PTS!M:M)))</f>
        <v>0</v>
      </c>
      <c r="J207" s="531" cm="1">
        <f t="array" ref="J207">AVERAGE(_xlfn._xlws.FILTER(PTS!N:N, (PTS!$C:$C=A207) * ISNUMBER(PTS!N:N)))</f>
        <v>45</v>
      </c>
      <c r="K207" s="531" cm="1">
        <f t="array" ref="K207">AVERAGE(_xlfn._xlws.FILTER(PTS!O:O, (PTS!$C:$C=A207) * ISNUMBER(PTS!O:O)))</f>
        <v>37.916666666666671</v>
      </c>
      <c r="L207" s="10" cm="1">
        <f t="array" ref="L207">AVERAGE(_xlfn._xlws.FILTER(PTS!P:P, (PTS!$C:$C=A207) * ISNUMBER(PTS!P:P)))</f>
        <v>0</v>
      </c>
      <c r="M207" s="531">
        <f t="shared" si="31"/>
        <v>509.91666666666669</v>
      </c>
      <c r="N207" s="531">
        <f t="shared" si="32"/>
        <v>307.91666666666669</v>
      </c>
      <c r="O207" s="531" cm="1">
        <f t="array" ref="O207">AVERAGE(_xlfn._xlws.FILTER(PTS!S:S, (PTS!$C:$C=A207) * ISNUMBER(PTS!S:S)))</f>
        <v>0</v>
      </c>
      <c r="P207" s="531" cm="1">
        <f t="array" ref="P207">AVERAGE(_xlfn._xlws.FILTER(PTS!T:T, (PTS!$C:$C=A207) * ISNUMBER(PTS!T:T)))</f>
        <v>0</v>
      </c>
      <c r="Q207" s="531" cm="1">
        <f t="array" ref="Q207">AVERAGE(_xlfn._xlws.FILTER(PTS!U:U, (PTS!$C:$C=A207) * ISNUMBER(PTS!U:U)))</f>
        <v>218.46590909090907</v>
      </c>
      <c r="S207" s="531">
        <f t="shared" si="33"/>
        <v>218.46590909090907</v>
      </c>
      <c r="T207" s="531" cm="1">
        <f t="array" ref="T207">AVERAGE(_xlfn._xlws.FILTER(PTS!X:X, (PTS!$C:$C=A207) * ISNUMBER(PTS!X:X)))</f>
        <v>54</v>
      </c>
      <c r="U207" s="531" cm="1">
        <f t="array" ref="U207">AVERAGE(_xlfn._xlws.FILTER(PTS!Y:Y, (PTS!$C:$C=A207) * ISNUMBER(PTS!Y:Y)))</f>
        <v>50.4</v>
      </c>
      <c r="V207" s="531" cm="1">
        <f t="array" ref="V207">AVERAGE(_xlfn._xlws.FILTER(PTS!Z:Z, (PTS!$C:$C=A207) * ISNUMBER(PTS!Z:Z)))</f>
        <v>26.25</v>
      </c>
      <c r="X207" s="531">
        <f t="shared" si="34"/>
        <v>130.65</v>
      </c>
      <c r="Y207" s="531" cm="1">
        <f t="array" ref="Y207">AVERAGE(_xlfn._xlws.FILTER(PTS!AC:AC, (PTS!$C:$C=A207) * ISNUMBER(PTS!AC:AC)))</f>
        <v>147.72727272727272</v>
      </c>
      <c r="Z207" s="531" cm="1">
        <f t="array" ref="Z207">AVERAGE(_xlfn._xlws.FILTER(PTS!AD:AD, (PTS!$C:$C=A207) * ISNUMBER(PTS!AD:AD)))</f>
        <v>233.06818181818181</v>
      </c>
      <c r="AB207" s="531">
        <f t="shared" si="35"/>
        <v>380.7954545454545</v>
      </c>
      <c r="AC207" s="10" cm="1">
        <f t="array" ref="AC207">AVERAGE(_xlfn._xlws.FILTER(PTS!AG:AG, (PTS!$C:$C=A207) * ISNUMBER(PTS!AG:AG)))</f>
        <v>28.814300000000003</v>
      </c>
      <c r="AD207" s="531" cm="1">
        <f t="array" ref="AD207">AVERAGE(_xlfn._xlws.FILTER(PTS!AH:AH, (PTS!$C:$C=A207) * ISNUMBER(PTS!AH:AH)))</f>
        <v>6.973140495867769</v>
      </c>
      <c r="AE207" s="531" cm="1">
        <f t="array" ref="AE207">AVERAGE(_xlfn._xlws.FILTER(PTS!AI:AI, (PTS!$C:$C=A207) * ISNUMBER(PTS!AI:AI)))</f>
        <v>12.587317427197677</v>
      </c>
      <c r="AF207" s="531" cm="1">
        <f t="array" ref="AF207">AVERAGE(_xlfn._xlws.FILTER(PTS!AJ:AJ, (PTS!$C:$C=A207) * ISNUMBER(PTS!AJ:AJ)))</f>
        <v>6.7351999999999999</v>
      </c>
      <c r="AH207" s="531">
        <f t="shared" si="36"/>
        <v>55.109957923065444</v>
      </c>
      <c r="AI207" s="10" cm="1">
        <f t="array" ref="AI207">AVERAGE(_xlfn._xlws.FILTER(PTS!AM:AM, (PTS!$C:$C=A207) * ISNUMBER(PTS!AM:AM)))</f>
        <v>79.999999999999986</v>
      </c>
      <c r="AJ207" s="10" cm="1">
        <f t="array" ref="AJ207">AVERAGE(_xlfn._xlws.FILTER(PTS!AN:AN, (PTS!$C:$C=A207) * ISNUMBER(PTS!AN:AN)))</f>
        <v>26.17808219178082</v>
      </c>
      <c r="AK207" s="10" cm="1">
        <f t="array" ref="AK207">AVERAGE(_xlfn._xlws.FILTER(PTS!AO:AO, (PTS!$C:$C=A207) * ISNUMBER(PTS!AO:AO)))</f>
        <v>0</v>
      </c>
      <c r="AN207" s="531">
        <f t="shared" si="37"/>
        <v>106.1780821917808</v>
      </c>
      <c r="AR207" s="531">
        <f t="shared" si="38"/>
        <v>1199.1160704178762</v>
      </c>
      <c r="AS207" s="531">
        <f t="shared" si="39"/>
        <v>1401.1160704178762</v>
      </c>
    </row>
    <row r="208" spans="1:45">
      <c r="A208" s="32" t="s">
        <v>717</v>
      </c>
      <c r="B208" s="319" t="s">
        <v>76</v>
      </c>
      <c r="C208" s="319" t="str">
        <f t="shared" si="30"/>
        <v>StatesboroGA</v>
      </c>
      <c r="D208" s="10">
        <f>VLOOKUP(A:A,PTS!C:R,6,FALSE)</f>
        <v>4</v>
      </c>
      <c r="E208" s="531" cm="1">
        <f t="array" ref="E208">AVERAGE(_xlfn._xlws.FILTER(PTS!I:I, (PTS!$C:$C=A208) * ISNUMBER(PTS!I:I)))</f>
        <v>65</v>
      </c>
      <c r="F208" s="10" cm="1">
        <f t="array" ref="F208">AVERAGE(_xlfn._xlws.FILTER(PTS!J:J, (PTS!$C:$C=A208) * ISNUMBER(PTS!J:J)))</f>
        <v>95</v>
      </c>
      <c r="G208" s="531" cm="1">
        <f t="array" ref="G208">AVERAGE(_xlfn._xlws.FILTER(PTS!K:K, (PTS!$C:$C=A208) * ISNUMBER(PTS!K:K)))</f>
        <v>75</v>
      </c>
      <c r="H208" s="531" cm="1">
        <f t="array" ref="H208">AVERAGE(_xlfn._xlws.FILTER(PTS!L:L, (PTS!$C:$C=A208) * ISNUMBER(PTS!L:L)))</f>
        <v>0</v>
      </c>
      <c r="I208" s="531" cm="1">
        <f t="array" ref="I208">AVERAGE(_xlfn._xlws.FILTER(PTS!M:M, (PTS!$C:$C=A208) * ISNUMBER(PTS!M:M)))</f>
        <v>15</v>
      </c>
      <c r="J208" s="531" cm="1">
        <f t="array" ref="J208">AVERAGE(_xlfn._xlws.FILTER(PTS!N:N, (PTS!$C:$C=A208) * ISNUMBER(PTS!N:N)))</f>
        <v>55</v>
      </c>
      <c r="K208" s="531" cm="1">
        <f t="array" ref="K208">AVERAGE(_xlfn._xlws.FILTER(PTS!O:O, (PTS!$C:$C=A208) * ISNUMBER(PTS!O:O)))</f>
        <v>37.916666666666671</v>
      </c>
      <c r="L208" s="10" cm="1">
        <f t="array" ref="L208">AVERAGE(_xlfn._xlws.FILTER(PTS!P:P, (PTS!$C:$C=A208) * ISNUMBER(PTS!P:P)))</f>
        <v>0</v>
      </c>
      <c r="M208" s="531">
        <f t="shared" si="31"/>
        <v>342.91666666666669</v>
      </c>
      <c r="N208" s="531">
        <f t="shared" si="32"/>
        <v>37.916666666666671</v>
      </c>
      <c r="O208" s="531" cm="1">
        <f t="array" ref="O208">AVERAGE(_xlfn._xlws.FILTER(PTS!S:S, (PTS!$C:$C=A208) * ISNUMBER(PTS!S:S)))</f>
        <v>0</v>
      </c>
      <c r="P208" s="531" cm="1">
        <f t="array" ref="P208">AVERAGE(_xlfn._xlws.FILTER(PTS!T:T, (PTS!$C:$C=A208) * ISNUMBER(PTS!T:T)))</f>
        <v>0</v>
      </c>
      <c r="Q208" s="531" cm="1">
        <f t="array" ref="Q208">AVERAGE(_xlfn._xlws.FILTER(PTS!U:U, (PTS!$C:$C=A208) * ISNUMBER(PTS!U:U)))</f>
        <v>149.36136363636365</v>
      </c>
      <c r="S208" s="531">
        <f t="shared" si="33"/>
        <v>149.36136363636365</v>
      </c>
      <c r="T208" s="531" cm="1">
        <f t="array" ref="T208">AVERAGE(_xlfn._xlws.FILTER(PTS!X:X, (PTS!$C:$C=A208) * ISNUMBER(PTS!X:X)))</f>
        <v>52</v>
      </c>
      <c r="U208" s="531" cm="1">
        <f t="array" ref="U208">AVERAGE(_xlfn._xlws.FILTER(PTS!Y:Y, (PTS!$C:$C=A208) * ISNUMBER(PTS!Y:Y)))</f>
        <v>50.4</v>
      </c>
      <c r="V208" s="531" cm="1">
        <f t="array" ref="V208">AVERAGE(_xlfn._xlws.FILTER(PTS!Z:Z, (PTS!$C:$C=A208) * ISNUMBER(PTS!Z:Z)))</f>
        <v>26.25</v>
      </c>
      <c r="X208" s="531">
        <f t="shared" si="34"/>
        <v>128.65</v>
      </c>
      <c r="Y208" s="531" cm="1">
        <f t="array" ref="Y208">AVERAGE(_xlfn._xlws.FILTER(PTS!AC:AC, (PTS!$C:$C=A208) * ISNUMBER(PTS!AC:AC)))</f>
        <v>110.22727272727273</v>
      </c>
      <c r="Z208" s="531" cm="1">
        <f t="array" ref="Z208">AVERAGE(_xlfn._xlws.FILTER(PTS!AD:AD, (PTS!$C:$C=A208) * ISNUMBER(PTS!AD:AD)))</f>
        <v>107.04545454545455</v>
      </c>
      <c r="AB208" s="531">
        <f t="shared" si="35"/>
        <v>217.27272727272728</v>
      </c>
      <c r="AC208" s="10" cm="1">
        <f t="array" ref="AC208">AVERAGE(_xlfn._xlws.FILTER(PTS!AG:AG, (PTS!$C:$C=A208) * ISNUMBER(PTS!AG:AG)))</f>
        <v>28.814300000000003</v>
      </c>
      <c r="AD208" s="531" cm="1">
        <f t="array" ref="AD208">AVERAGE(_xlfn._xlws.FILTER(PTS!AH:AH, (PTS!$C:$C=A208) * ISNUMBER(PTS!AH:AH)))</f>
        <v>6.973140495867769</v>
      </c>
      <c r="AE208" s="531" cm="1">
        <f t="array" ref="AE208">AVERAGE(_xlfn._xlws.FILTER(PTS!AI:AI, (PTS!$C:$C=A208) * ISNUMBER(PTS!AI:AI)))</f>
        <v>12.587317427197677</v>
      </c>
      <c r="AF208" s="531" cm="1">
        <f t="array" ref="AF208">AVERAGE(_xlfn._xlws.FILTER(PTS!AJ:AJ, (PTS!$C:$C=A208) * ISNUMBER(PTS!AJ:AJ)))</f>
        <v>6.7351999999999999</v>
      </c>
      <c r="AH208" s="531">
        <f t="shared" si="36"/>
        <v>55.109957923065444</v>
      </c>
      <c r="AI208" s="10" cm="1">
        <f t="array" ref="AI208">AVERAGE(_xlfn._xlws.FILTER(PTS!AM:AM, (PTS!$C:$C=A208) * ISNUMBER(PTS!AM:AM)))</f>
        <v>79.999999999999986</v>
      </c>
      <c r="AJ208" s="10" cm="1">
        <f t="array" ref="AJ208">AVERAGE(_xlfn._xlws.FILTER(PTS!AN:AN, (PTS!$C:$C=A208) * ISNUMBER(PTS!AN:AN)))</f>
        <v>26.17808219178082</v>
      </c>
      <c r="AK208" s="10" cm="1">
        <f t="array" ref="AK208">AVERAGE(_xlfn._xlws.FILTER(PTS!AO:AO, (PTS!$C:$C=A208) * ISNUMBER(PTS!AO:AO)))</f>
        <v>0</v>
      </c>
      <c r="AN208" s="531">
        <f t="shared" si="37"/>
        <v>106.1780821917808</v>
      </c>
      <c r="AR208" s="531">
        <f t="shared" si="38"/>
        <v>694.48879769060386</v>
      </c>
      <c r="AS208" s="531">
        <f t="shared" si="39"/>
        <v>999.48879769060386</v>
      </c>
    </row>
    <row r="209" spans="1:45">
      <c r="A209" s="32" t="s">
        <v>720</v>
      </c>
      <c r="B209" s="319" t="s">
        <v>71</v>
      </c>
      <c r="C209" s="319" t="str">
        <f t="shared" si="30"/>
        <v>SudanTX</v>
      </c>
      <c r="D209" s="10">
        <f>VLOOKUP(A:A,PTS!C:R,6,FALSE)</f>
        <v>2</v>
      </c>
      <c r="E209" s="531" cm="1">
        <f t="array" ref="E209">AVERAGE(_xlfn._xlws.FILTER(PTS!I:I, (PTS!$C:$C=A209) * ISNUMBER(PTS!I:I)))</f>
        <v>87</v>
      </c>
      <c r="F209" s="10" cm="1">
        <f t="array" ref="F209">AVERAGE(_xlfn._xlws.FILTER(PTS!J:J, (PTS!$C:$C=A209) * ISNUMBER(PTS!J:J)))</f>
        <v>115</v>
      </c>
      <c r="G209" s="531" cm="1">
        <f t="array" ref="G209">AVERAGE(_xlfn._xlws.FILTER(PTS!K:K, (PTS!$C:$C=A209) * ISNUMBER(PTS!K:K)))</f>
        <v>225</v>
      </c>
      <c r="H209" s="531" cm="1">
        <f t="array" ref="H209">AVERAGE(_xlfn._xlws.FILTER(PTS!L:L, (PTS!$C:$C=A209) * ISNUMBER(PTS!L:L)))</f>
        <v>0</v>
      </c>
      <c r="I209" s="531" cm="1">
        <f t="array" ref="I209">AVERAGE(_xlfn._xlws.FILTER(PTS!M:M, (PTS!$C:$C=A209) * ISNUMBER(PTS!M:M)))</f>
        <v>0</v>
      </c>
      <c r="J209" s="531" cm="1">
        <f t="array" ref="J209">AVERAGE(_xlfn._xlws.FILTER(PTS!N:N, (PTS!$C:$C=A209) * ISNUMBER(PTS!N:N)))</f>
        <v>45</v>
      </c>
      <c r="K209" s="531" cm="1">
        <f t="array" ref="K209">AVERAGE(_xlfn._xlws.FILTER(PTS!O:O, (PTS!$C:$C=A209) * ISNUMBER(PTS!O:O)))</f>
        <v>37.916666666666671</v>
      </c>
      <c r="L209" s="10" cm="1">
        <f t="array" ref="L209">AVERAGE(_xlfn._xlws.FILTER(PTS!P:P, (PTS!$C:$C=A209) * ISNUMBER(PTS!P:P)))</f>
        <v>0</v>
      </c>
      <c r="M209" s="531">
        <f t="shared" si="31"/>
        <v>509.91666666666669</v>
      </c>
      <c r="N209" s="531">
        <f t="shared" si="32"/>
        <v>307.91666666666669</v>
      </c>
      <c r="O209" s="531" cm="1">
        <f t="array" ref="O209">AVERAGE(_xlfn._xlws.FILTER(PTS!S:S, (PTS!$C:$C=A209) * ISNUMBER(PTS!S:S)))</f>
        <v>0</v>
      </c>
      <c r="P209" s="531" cm="1">
        <f t="array" ref="P209">AVERAGE(_xlfn._xlws.FILTER(PTS!T:T, (PTS!$C:$C=A209) * ISNUMBER(PTS!T:T)))</f>
        <v>0</v>
      </c>
      <c r="Q209" s="531" cm="1">
        <f t="array" ref="Q209">AVERAGE(_xlfn._xlws.FILTER(PTS!U:U, (PTS!$C:$C=A209) * ISNUMBER(PTS!U:U)))</f>
        <v>243.18181818181819</v>
      </c>
      <c r="S209" s="531">
        <f t="shared" si="33"/>
        <v>243.18181818181819</v>
      </c>
      <c r="T209" s="531" cm="1">
        <f t="array" ref="T209">AVERAGE(_xlfn._xlws.FILTER(PTS!X:X, (PTS!$C:$C=A209) * ISNUMBER(PTS!X:X)))</f>
        <v>54</v>
      </c>
      <c r="U209" s="531" cm="1">
        <f t="array" ref="U209">AVERAGE(_xlfn._xlws.FILTER(PTS!Y:Y, (PTS!$C:$C=A209) * ISNUMBER(PTS!Y:Y)))</f>
        <v>50.4</v>
      </c>
      <c r="V209" s="531" cm="1">
        <f t="array" ref="V209">AVERAGE(_xlfn._xlws.FILTER(PTS!Z:Z, (PTS!$C:$C=A209) * ISNUMBER(PTS!Z:Z)))</f>
        <v>26.25</v>
      </c>
      <c r="X209" s="531">
        <f t="shared" si="34"/>
        <v>130.65</v>
      </c>
      <c r="Y209" s="531" cm="1">
        <f t="array" ref="Y209">AVERAGE(_xlfn._xlws.FILTER(PTS!AC:AC, (PTS!$C:$C=A209) * ISNUMBER(PTS!AC:AC)))</f>
        <v>147.72727272727272</v>
      </c>
      <c r="Z209" s="531" cm="1">
        <f t="array" ref="Z209">AVERAGE(_xlfn._xlws.FILTER(PTS!AD:AD, (PTS!$C:$C=A209) * ISNUMBER(PTS!AD:AD)))</f>
        <v>233.06818181818181</v>
      </c>
      <c r="AB209" s="531">
        <f t="shared" si="35"/>
        <v>380.7954545454545</v>
      </c>
      <c r="AC209" s="10" cm="1">
        <f t="array" ref="AC209">AVERAGE(_xlfn._xlws.FILTER(PTS!AG:AG, (PTS!$C:$C=A209) * ISNUMBER(PTS!AG:AG)))</f>
        <v>28.814300000000003</v>
      </c>
      <c r="AD209" s="531" cm="1">
        <f t="array" ref="AD209">AVERAGE(_xlfn._xlws.FILTER(PTS!AH:AH, (PTS!$C:$C=A209) * ISNUMBER(PTS!AH:AH)))</f>
        <v>6.973140495867769</v>
      </c>
      <c r="AE209" s="531" cm="1">
        <f t="array" ref="AE209">AVERAGE(_xlfn._xlws.FILTER(PTS!AI:AI, (PTS!$C:$C=A209) * ISNUMBER(PTS!AI:AI)))</f>
        <v>12.587317427197677</v>
      </c>
      <c r="AF209" s="531" cm="1">
        <f t="array" ref="AF209">AVERAGE(_xlfn._xlws.FILTER(PTS!AJ:AJ, (PTS!$C:$C=A209) * ISNUMBER(PTS!AJ:AJ)))</f>
        <v>6.7351999999999999</v>
      </c>
      <c r="AH209" s="531">
        <f t="shared" si="36"/>
        <v>55.109957923065444</v>
      </c>
      <c r="AI209" s="10" cm="1">
        <f t="array" ref="AI209">AVERAGE(_xlfn._xlws.FILTER(PTS!AM:AM, (PTS!$C:$C=A209) * ISNUMBER(PTS!AM:AM)))</f>
        <v>79.999999999999986</v>
      </c>
      <c r="AJ209" s="10" cm="1">
        <f t="array" ref="AJ209">AVERAGE(_xlfn._xlws.FILTER(PTS!AN:AN, (PTS!$C:$C=A209) * ISNUMBER(PTS!AN:AN)))</f>
        <v>26.17808219178082</v>
      </c>
      <c r="AK209" s="10" cm="1">
        <f t="array" ref="AK209">AVERAGE(_xlfn._xlws.FILTER(PTS!AO:AO, (PTS!$C:$C=A209) * ISNUMBER(PTS!AO:AO)))</f>
        <v>0</v>
      </c>
      <c r="AN209" s="531">
        <f t="shared" si="37"/>
        <v>106.1780821917808</v>
      </c>
      <c r="AR209" s="531">
        <f t="shared" si="38"/>
        <v>1223.8319795087855</v>
      </c>
      <c r="AS209" s="531">
        <f t="shared" si="39"/>
        <v>1425.8319795087855</v>
      </c>
    </row>
    <row r="210" spans="1:45">
      <c r="A210" s="32" t="s">
        <v>723</v>
      </c>
      <c r="B210" s="319" t="s">
        <v>324</v>
      </c>
      <c r="C210" s="319" t="str">
        <f t="shared" si="30"/>
        <v>SuffolkVA</v>
      </c>
      <c r="D210" s="10">
        <f>VLOOKUP(A:A,PTS!C:R,6,FALSE)</f>
        <v>1</v>
      </c>
      <c r="E210" s="531" cm="1">
        <f t="array" ref="E210">AVERAGE(_xlfn._xlws.FILTER(PTS!I:I, (PTS!$C:$C=A210) * ISNUMBER(PTS!I:I)))</f>
        <v>80</v>
      </c>
      <c r="F210" s="10" cm="1">
        <f t="array" ref="F210">AVERAGE(_xlfn._xlws.FILTER(PTS!J:J, (PTS!$C:$C=A210) * ISNUMBER(PTS!J:J)))</f>
        <v>80</v>
      </c>
      <c r="G210" s="531" cm="1">
        <f t="array" ref="G210">AVERAGE(_xlfn._xlws.FILTER(PTS!K:K, (PTS!$C:$C=A210) * ISNUMBER(PTS!K:K)))</f>
        <v>0</v>
      </c>
      <c r="H210" s="531" cm="1">
        <f t="array" ref="H210">AVERAGE(_xlfn._xlws.FILTER(PTS!L:L, (PTS!$C:$C=A210) * ISNUMBER(PTS!L:L)))</f>
        <v>0</v>
      </c>
      <c r="I210" s="531" cm="1">
        <f t="array" ref="I210">AVERAGE(_xlfn._xlws.FILTER(PTS!M:M, (PTS!$C:$C=A210) * ISNUMBER(PTS!M:M)))</f>
        <v>20</v>
      </c>
      <c r="J210" s="531" cm="1">
        <f t="array" ref="J210">AVERAGE(_xlfn._xlws.FILTER(PTS!N:N, (PTS!$C:$C=A210) * ISNUMBER(PTS!N:N)))</f>
        <v>45</v>
      </c>
      <c r="K210" s="531" cm="1">
        <f t="array" ref="K210">AVERAGE(_xlfn._xlws.FILTER(PTS!O:O, (PTS!$C:$C=A210) * ISNUMBER(PTS!O:O)))</f>
        <v>37.916666666666671</v>
      </c>
      <c r="L210" s="10" cm="1">
        <f t="array" ref="L210">AVERAGE(_xlfn._xlws.FILTER(PTS!P:P, (PTS!$C:$C=A210) * ISNUMBER(PTS!P:P)))</f>
        <v>0</v>
      </c>
      <c r="M210" s="531">
        <f t="shared" si="31"/>
        <v>262.91666666666669</v>
      </c>
      <c r="N210" s="531">
        <f t="shared" si="32"/>
        <v>82.916666666666671</v>
      </c>
      <c r="O210" s="531" cm="1">
        <f t="array" ref="O210">AVERAGE(_xlfn._xlws.FILTER(PTS!S:S, (PTS!$C:$C=A210) * ISNUMBER(PTS!S:S)))</f>
        <v>0</v>
      </c>
      <c r="P210" s="531" cm="1">
        <f t="array" ref="P210">AVERAGE(_xlfn._xlws.FILTER(PTS!T:T, (PTS!$C:$C=A210) * ISNUMBER(PTS!T:T)))</f>
        <v>0</v>
      </c>
      <c r="Q210" s="531" cm="1">
        <f t="array" ref="Q210">AVERAGE(_xlfn._xlws.FILTER(PTS!U:U, (PTS!$C:$C=A210) * ISNUMBER(PTS!U:U)))</f>
        <v>314.2409090909091</v>
      </c>
      <c r="S210" s="531">
        <f t="shared" si="33"/>
        <v>314.2409090909091</v>
      </c>
      <c r="T210" s="531" cm="1">
        <f t="array" ref="T210">AVERAGE(_xlfn._xlws.FILTER(PTS!X:X, (PTS!$C:$C=A210) * ISNUMBER(PTS!X:X)))</f>
        <v>52</v>
      </c>
      <c r="U210" s="531" cm="1">
        <f t="array" ref="U210">AVERAGE(_xlfn._xlws.FILTER(PTS!Y:Y, (PTS!$C:$C=A210) * ISNUMBER(PTS!Y:Y)))</f>
        <v>50.4</v>
      </c>
      <c r="V210" s="531" cm="1">
        <f t="array" ref="V210">AVERAGE(_xlfn._xlws.FILTER(PTS!Z:Z, (PTS!$C:$C=A210) * ISNUMBER(PTS!Z:Z)))</f>
        <v>26.25</v>
      </c>
      <c r="X210" s="531">
        <f t="shared" si="34"/>
        <v>128.65</v>
      </c>
      <c r="Y210" s="531" cm="1">
        <f t="array" ref="Y210">AVERAGE(_xlfn._xlws.FILTER(PTS!AC:AC, (PTS!$C:$C=A210) * ISNUMBER(PTS!AC:AC)))</f>
        <v>110.22727272727273</v>
      </c>
      <c r="Z210" s="531" cm="1">
        <f t="array" ref="Z210">AVERAGE(_xlfn._xlws.FILTER(PTS!AD:AD, (PTS!$C:$C=A210) * ISNUMBER(PTS!AD:AD)))</f>
        <v>107.04545454545455</v>
      </c>
      <c r="AB210" s="531">
        <f t="shared" si="35"/>
        <v>217.27272727272728</v>
      </c>
      <c r="AC210" s="10" cm="1">
        <f t="array" ref="AC210">AVERAGE(_xlfn._xlws.FILTER(PTS!AG:AG, (PTS!$C:$C=A210) * ISNUMBER(PTS!AG:AG)))</f>
        <v>28.814300000000003</v>
      </c>
      <c r="AD210" s="531" cm="1">
        <f t="array" ref="AD210">AVERAGE(_xlfn._xlws.FILTER(PTS!AH:AH, (PTS!$C:$C=A210) * ISNUMBER(PTS!AH:AH)))</f>
        <v>6.973140495867769</v>
      </c>
      <c r="AE210" s="531" cm="1">
        <f t="array" ref="AE210">AVERAGE(_xlfn._xlws.FILTER(PTS!AI:AI, (PTS!$C:$C=A210) * ISNUMBER(PTS!AI:AI)))</f>
        <v>12.587317427197677</v>
      </c>
      <c r="AF210" s="531" cm="1">
        <f t="array" ref="AF210">AVERAGE(_xlfn._xlws.FILTER(PTS!AJ:AJ, (PTS!$C:$C=A210) * ISNUMBER(PTS!AJ:AJ)))</f>
        <v>6.7351999999999999</v>
      </c>
      <c r="AH210" s="531">
        <f t="shared" si="36"/>
        <v>55.109957923065444</v>
      </c>
      <c r="AI210" s="10" cm="1">
        <f t="array" ref="AI210">AVERAGE(_xlfn._xlws.FILTER(PTS!AM:AM, (PTS!$C:$C=A210) * ISNUMBER(PTS!AM:AM)))</f>
        <v>79.999999999999986</v>
      </c>
      <c r="AJ210" s="10" cm="1">
        <f t="array" ref="AJ210">AVERAGE(_xlfn._xlws.FILTER(PTS!AN:AN, (PTS!$C:$C=A210) * ISNUMBER(PTS!AN:AN)))</f>
        <v>26.17808219178082</v>
      </c>
      <c r="AK210" s="10" cm="1">
        <f t="array" ref="AK210">AVERAGE(_xlfn._xlws.FILTER(PTS!AO:AO, (PTS!$C:$C=A210) * ISNUMBER(PTS!AO:AO)))</f>
        <v>0</v>
      </c>
      <c r="AN210" s="531">
        <f t="shared" si="37"/>
        <v>106.1780821917808</v>
      </c>
      <c r="AR210" s="531">
        <f t="shared" si="38"/>
        <v>904.36834314514931</v>
      </c>
      <c r="AS210" s="531">
        <f t="shared" si="39"/>
        <v>1084.3683431451493</v>
      </c>
    </row>
    <row r="211" spans="1:45">
      <c r="A211" s="32" t="s">
        <v>725</v>
      </c>
      <c r="B211" s="319" t="s">
        <v>76</v>
      </c>
      <c r="C211" s="319" t="str">
        <f t="shared" si="30"/>
        <v>SurrencyGA</v>
      </c>
      <c r="D211" s="10">
        <f>VLOOKUP(A:A,PTS!C:R,6,FALSE)</f>
        <v>4</v>
      </c>
      <c r="E211" s="531" cm="1">
        <f t="array" ref="E211">AVERAGE(_xlfn._xlws.FILTER(PTS!I:I, (PTS!$C:$C=A211) * ISNUMBER(PTS!I:I)))</f>
        <v>60</v>
      </c>
      <c r="F211" s="10" cm="1">
        <f t="array" ref="F211">AVERAGE(_xlfn._xlws.FILTER(PTS!J:J, (PTS!$C:$C=A211) * ISNUMBER(PTS!J:J)))</f>
        <v>100</v>
      </c>
      <c r="G211" s="531" cm="1">
        <f t="array" ref="G211">AVERAGE(_xlfn._xlws.FILTER(PTS!K:K, (PTS!$C:$C=A211) * ISNUMBER(PTS!K:K)))</f>
        <v>150</v>
      </c>
      <c r="H211" s="531" cm="1">
        <f t="array" ref="H211">AVERAGE(_xlfn._xlws.FILTER(PTS!L:L, (PTS!$C:$C=A211) * ISNUMBER(PTS!L:L)))</f>
        <v>0</v>
      </c>
      <c r="I211" s="531" cm="1">
        <f t="array" ref="I211">AVERAGE(_xlfn._xlws.FILTER(PTS!M:M, (PTS!$C:$C=A211) * ISNUMBER(PTS!M:M)))</f>
        <v>20</v>
      </c>
      <c r="J211" s="531" cm="1">
        <f t="array" ref="J211">AVERAGE(_xlfn._xlws.FILTER(PTS!N:N, (PTS!$C:$C=A211) * ISNUMBER(PTS!N:N)))</f>
        <v>60</v>
      </c>
      <c r="K211" s="531" cm="1">
        <f t="array" ref="K211">AVERAGE(_xlfn._xlws.FILTER(PTS!O:O, (PTS!$C:$C=A211) * ISNUMBER(PTS!O:O)))</f>
        <v>37.916666666666671</v>
      </c>
      <c r="L211" s="10" cm="1">
        <f t="array" ref="L211">AVERAGE(_xlfn._xlws.FILTER(PTS!P:P, (PTS!$C:$C=A211) * ISNUMBER(PTS!P:P)))</f>
        <v>0</v>
      </c>
      <c r="M211" s="531">
        <f t="shared" si="31"/>
        <v>427.91666666666669</v>
      </c>
      <c r="N211" s="531">
        <f t="shared" si="32"/>
        <v>37.916666666666671</v>
      </c>
      <c r="O211" s="531" cm="1">
        <f t="array" ref="O211">AVERAGE(_xlfn._xlws.FILTER(PTS!S:S, (PTS!$C:$C=A211) * ISNUMBER(PTS!S:S)))</f>
        <v>0</v>
      </c>
      <c r="P211" s="531" cm="1">
        <f t="array" ref="P211">AVERAGE(_xlfn._xlws.FILTER(PTS!T:T, (PTS!$C:$C=A211) * ISNUMBER(PTS!T:T)))</f>
        <v>0</v>
      </c>
      <c r="Q211" s="531" cm="1">
        <f t="array" ref="Q211">AVERAGE(_xlfn._xlws.FILTER(PTS!U:U, (PTS!$C:$C=A211) * ISNUMBER(PTS!U:U)))</f>
        <v>162.42954545454549</v>
      </c>
      <c r="S211" s="531">
        <f t="shared" si="33"/>
        <v>162.42954545454549</v>
      </c>
      <c r="T211" s="531" cm="1">
        <f t="array" ref="T211">AVERAGE(_xlfn._xlws.FILTER(PTS!X:X, (PTS!$C:$C=A211) * ISNUMBER(PTS!X:X)))</f>
        <v>52</v>
      </c>
      <c r="U211" s="531" cm="1">
        <f t="array" ref="U211">AVERAGE(_xlfn._xlws.FILTER(PTS!Y:Y, (PTS!$C:$C=A211) * ISNUMBER(PTS!Y:Y)))</f>
        <v>50.4</v>
      </c>
      <c r="V211" s="531" cm="1">
        <f t="array" ref="V211">AVERAGE(_xlfn._xlws.FILTER(PTS!Z:Z, (PTS!$C:$C=A211) * ISNUMBER(PTS!Z:Z)))</f>
        <v>26.25</v>
      </c>
      <c r="X211" s="531">
        <f t="shared" si="34"/>
        <v>128.65</v>
      </c>
      <c r="Y211" s="531" cm="1">
        <f t="array" ref="Y211">AVERAGE(_xlfn._xlws.FILTER(PTS!AC:AC, (PTS!$C:$C=A211) * ISNUMBER(PTS!AC:AC)))</f>
        <v>110.22727272727273</v>
      </c>
      <c r="Z211" s="531" cm="1">
        <f t="array" ref="Z211">AVERAGE(_xlfn._xlws.FILTER(PTS!AD:AD, (PTS!$C:$C=A211) * ISNUMBER(PTS!AD:AD)))</f>
        <v>107.04545454545455</v>
      </c>
      <c r="AB211" s="531">
        <f t="shared" si="35"/>
        <v>217.27272727272728</v>
      </c>
      <c r="AC211" s="10" cm="1">
        <f t="array" ref="AC211">AVERAGE(_xlfn._xlws.FILTER(PTS!AG:AG, (PTS!$C:$C=A211) * ISNUMBER(PTS!AG:AG)))</f>
        <v>28.814300000000003</v>
      </c>
      <c r="AD211" s="531" cm="1">
        <f t="array" ref="AD211">AVERAGE(_xlfn._xlws.FILTER(PTS!AH:AH, (PTS!$C:$C=A211) * ISNUMBER(PTS!AH:AH)))</f>
        <v>6.973140495867769</v>
      </c>
      <c r="AE211" s="531" cm="1">
        <f t="array" ref="AE211">AVERAGE(_xlfn._xlws.FILTER(PTS!AI:AI, (PTS!$C:$C=A211) * ISNUMBER(PTS!AI:AI)))</f>
        <v>12.587317427197677</v>
      </c>
      <c r="AF211" s="531" cm="1">
        <f t="array" ref="AF211">AVERAGE(_xlfn._xlws.FILTER(PTS!AJ:AJ, (PTS!$C:$C=A211) * ISNUMBER(PTS!AJ:AJ)))</f>
        <v>6.7351999999999999</v>
      </c>
      <c r="AH211" s="531">
        <f t="shared" si="36"/>
        <v>55.109957923065444</v>
      </c>
      <c r="AI211" s="10" cm="1">
        <f t="array" ref="AI211">AVERAGE(_xlfn._xlws.FILTER(PTS!AM:AM, (PTS!$C:$C=A211) * ISNUMBER(PTS!AM:AM)))</f>
        <v>79.999999999999986</v>
      </c>
      <c r="AJ211" s="10" cm="1">
        <f t="array" ref="AJ211">AVERAGE(_xlfn._xlws.FILTER(PTS!AN:AN, (PTS!$C:$C=A211) * ISNUMBER(PTS!AN:AN)))</f>
        <v>26.17808219178082</v>
      </c>
      <c r="AK211" s="10" cm="1">
        <f t="array" ref="AK211">AVERAGE(_xlfn._xlws.FILTER(PTS!AO:AO, (PTS!$C:$C=A211) * ISNUMBER(PTS!AO:AO)))</f>
        <v>0</v>
      </c>
      <c r="AN211" s="531">
        <f t="shared" si="37"/>
        <v>106.1780821917808</v>
      </c>
      <c r="AR211" s="531">
        <f t="shared" si="38"/>
        <v>707.55697950878562</v>
      </c>
      <c r="AS211" s="531">
        <f t="shared" si="39"/>
        <v>1097.5569795087856</v>
      </c>
    </row>
    <row r="212" spans="1:45">
      <c r="A212" s="32" t="s">
        <v>727</v>
      </c>
      <c r="B212" s="319" t="s">
        <v>65</v>
      </c>
      <c r="C212" s="319" t="str">
        <f t="shared" si="30"/>
        <v>Sweet WaterAL</v>
      </c>
      <c r="D212" s="10">
        <f>VLOOKUP(A:A,PTS!C:R,6,FALSE)</f>
        <v>1</v>
      </c>
      <c r="E212" s="531" cm="1">
        <f t="array" ref="E212">AVERAGE(_xlfn._xlws.FILTER(PTS!I:I, (PTS!$C:$C=A212) * ISNUMBER(PTS!I:I)))</f>
        <v>80</v>
      </c>
      <c r="F212" s="10" cm="1">
        <f t="array" ref="F212">AVERAGE(_xlfn._xlws.FILTER(PTS!J:J, (PTS!$C:$C=A212) * ISNUMBER(PTS!J:J)))</f>
        <v>120</v>
      </c>
      <c r="G212" s="531" cm="1">
        <f t="array" ref="G212">AVERAGE(_xlfn._xlws.FILTER(PTS!K:K, (PTS!$C:$C=A212) * ISNUMBER(PTS!K:K)))</f>
        <v>140</v>
      </c>
      <c r="H212" s="531" cm="1">
        <f t="array" ref="H212">AVERAGE(_xlfn._xlws.FILTER(PTS!L:L, (PTS!$C:$C=A212) * ISNUMBER(PTS!L:L)))</f>
        <v>0</v>
      </c>
      <c r="I212" s="531" cm="1">
        <f t="array" ref="I212">AVERAGE(_xlfn._xlws.FILTER(PTS!M:M, (PTS!$C:$C=A212) * ISNUMBER(PTS!M:M)))</f>
        <v>20</v>
      </c>
      <c r="J212" s="531" cm="1">
        <f t="array" ref="J212">AVERAGE(_xlfn._xlws.FILTER(PTS!N:N, (PTS!$C:$C=A212) * ISNUMBER(PTS!N:N)))</f>
        <v>55</v>
      </c>
      <c r="K212" s="531" cm="1">
        <f t="array" ref="K212">AVERAGE(_xlfn._xlws.FILTER(PTS!O:O, (PTS!$C:$C=A212) * ISNUMBER(PTS!O:O)))</f>
        <v>37.916666666666671</v>
      </c>
      <c r="L212" s="10" cm="1">
        <f t="array" ref="L212">AVERAGE(_xlfn._xlws.FILTER(PTS!P:P, (PTS!$C:$C=A212) * ISNUMBER(PTS!P:P)))</f>
        <v>0</v>
      </c>
      <c r="M212" s="531">
        <f t="shared" si="31"/>
        <v>452.91666666666669</v>
      </c>
      <c r="N212" s="531">
        <f t="shared" si="32"/>
        <v>92.916666666666671</v>
      </c>
      <c r="O212" s="531" cm="1">
        <f t="array" ref="O212">AVERAGE(_xlfn._xlws.FILTER(PTS!S:S, (PTS!$C:$C=A212) * ISNUMBER(PTS!S:S)))</f>
        <v>0</v>
      </c>
      <c r="P212" s="531" cm="1">
        <f t="array" ref="P212">AVERAGE(_xlfn._xlws.FILTER(PTS!T:T, (PTS!$C:$C=A212) * ISNUMBER(PTS!T:T)))</f>
        <v>0</v>
      </c>
      <c r="Q212" s="531" cm="1">
        <f t="array" ref="Q212">AVERAGE(_xlfn._xlws.FILTER(PTS!U:U, (PTS!$C:$C=A212) * ISNUMBER(PTS!U:U)))</f>
        <v>320.9517045454545</v>
      </c>
      <c r="S212" s="531">
        <f t="shared" si="33"/>
        <v>320.9517045454545</v>
      </c>
      <c r="T212" s="531" cm="1">
        <f t="array" ref="T212">AVERAGE(_xlfn._xlws.FILTER(PTS!X:X, (PTS!$C:$C=A212) * ISNUMBER(PTS!X:X)))</f>
        <v>52</v>
      </c>
      <c r="U212" s="531" cm="1">
        <f t="array" ref="U212">AVERAGE(_xlfn._xlws.FILTER(PTS!Y:Y, (PTS!$C:$C=A212) * ISNUMBER(PTS!Y:Y)))</f>
        <v>50.4</v>
      </c>
      <c r="V212" s="531" cm="1">
        <f t="array" ref="V212">AVERAGE(_xlfn._xlws.FILTER(PTS!Z:Z, (PTS!$C:$C=A212) * ISNUMBER(PTS!Z:Z)))</f>
        <v>26.25</v>
      </c>
      <c r="X212" s="531">
        <f t="shared" si="34"/>
        <v>128.65</v>
      </c>
      <c r="Y212" s="531" cm="1">
        <f t="array" ref="Y212">AVERAGE(_xlfn._xlws.FILTER(PTS!AC:AC, (PTS!$C:$C=A212) * ISNUMBER(PTS!AC:AC)))</f>
        <v>110.22727272727273</v>
      </c>
      <c r="Z212" s="531" cm="1">
        <f t="array" ref="Z212">AVERAGE(_xlfn._xlws.FILTER(PTS!AD:AD, (PTS!$C:$C=A212) * ISNUMBER(PTS!AD:AD)))</f>
        <v>107.04545454545455</v>
      </c>
      <c r="AB212" s="531">
        <f t="shared" si="35"/>
        <v>217.27272727272728</v>
      </c>
      <c r="AC212" s="10" cm="1">
        <f t="array" ref="AC212">AVERAGE(_xlfn._xlws.FILTER(PTS!AG:AG, (PTS!$C:$C=A212) * ISNUMBER(PTS!AG:AG)))</f>
        <v>28.814300000000003</v>
      </c>
      <c r="AD212" s="531" cm="1">
        <f t="array" ref="AD212">AVERAGE(_xlfn._xlws.FILTER(PTS!AH:AH, (PTS!$C:$C=A212) * ISNUMBER(PTS!AH:AH)))</f>
        <v>6.973140495867769</v>
      </c>
      <c r="AE212" s="531" cm="1">
        <f t="array" ref="AE212">AVERAGE(_xlfn._xlws.FILTER(PTS!AI:AI, (PTS!$C:$C=A212) * ISNUMBER(PTS!AI:AI)))</f>
        <v>12.587317427197677</v>
      </c>
      <c r="AF212" s="531" cm="1">
        <f t="array" ref="AF212">AVERAGE(_xlfn._xlws.FILTER(PTS!AJ:AJ, (PTS!$C:$C=A212) * ISNUMBER(PTS!AJ:AJ)))</f>
        <v>6.7351999999999999</v>
      </c>
      <c r="AH212" s="531">
        <f t="shared" si="36"/>
        <v>55.109957923065444</v>
      </c>
      <c r="AI212" s="10" cm="1">
        <f t="array" ref="AI212">AVERAGE(_xlfn._xlws.FILTER(PTS!AM:AM, (PTS!$C:$C=A212) * ISNUMBER(PTS!AM:AM)))</f>
        <v>79.999999999999986</v>
      </c>
      <c r="AJ212" s="10" cm="1">
        <f t="array" ref="AJ212">AVERAGE(_xlfn._xlws.FILTER(PTS!AN:AN, (PTS!$C:$C=A212) * ISNUMBER(PTS!AN:AN)))</f>
        <v>26.17808219178082</v>
      </c>
      <c r="AK212" s="10" cm="1">
        <f t="array" ref="AK212">AVERAGE(_xlfn._xlws.FILTER(PTS!AO:AO, (PTS!$C:$C=A212) * ISNUMBER(PTS!AO:AO)))</f>
        <v>0</v>
      </c>
      <c r="AN212" s="531">
        <f t="shared" si="37"/>
        <v>106.1780821917808</v>
      </c>
      <c r="AR212" s="531">
        <f t="shared" si="38"/>
        <v>921.07913859969472</v>
      </c>
      <c r="AS212" s="531">
        <f t="shared" si="39"/>
        <v>1281.0791385996947</v>
      </c>
    </row>
    <row r="213" spans="1:45">
      <c r="A213" s="32" t="s">
        <v>730</v>
      </c>
      <c r="B213" s="319" t="s">
        <v>71</v>
      </c>
      <c r="C213" s="319" t="str">
        <f t="shared" si="30"/>
        <v>Sweetwa-GULFTX</v>
      </c>
      <c r="D213" s="10">
        <f>VLOOKUP(A:A,PTS!C:R,6,FALSE)</f>
        <v>3</v>
      </c>
      <c r="E213" s="531" cm="1">
        <f t="array" ref="E213">AVERAGE(_xlfn._xlws.FILTER(PTS!I:I, (PTS!$C:$C=A213) * ISNUMBER(PTS!I:I)))</f>
        <v>110</v>
      </c>
      <c r="F213" s="10" cm="1">
        <f t="array" ref="F213">AVERAGE(_xlfn._xlws.FILTER(PTS!J:J, (PTS!$C:$C=A213) * ISNUMBER(PTS!J:J)))</f>
        <v>350</v>
      </c>
      <c r="G213" s="531" cm="1">
        <f t="array" ref="G213">AVERAGE(_xlfn._xlws.FILTER(PTS!K:K, (PTS!$C:$C=A213) * ISNUMBER(PTS!K:K)))</f>
        <v>0</v>
      </c>
      <c r="H213" s="531" cm="1">
        <f t="array" ref="H213">AVERAGE(_xlfn._xlws.FILTER(PTS!L:L, (PTS!$C:$C=A213) * ISNUMBER(PTS!L:L)))</f>
        <v>0</v>
      </c>
      <c r="I213" s="531" cm="1">
        <f t="array" ref="I213">AVERAGE(_xlfn._xlws.FILTER(PTS!M:M, (PTS!$C:$C=A213) * ISNUMBER(PTS!M:M)))</f>
        <v>0</v>
      </c>
      <c r="J213" s="531" cm="1">
        <f t="array" ref="J213">AVERAGE(_xlfn._xlws.FILTER(PTS!N:N, (PTS!$C:$C=A213) * ISNUMBER(PTS!N:N)))</f>
        <v>80</v>
      </c>
      <c r="K213" s="531" cm="1">
        <f t="array" ref="K213">AVERAGE(_xlfn._xlws.FILTER(PTS!O:O, (PTS!$C:$C=A213) * ISNUMBER(PTS!O:O)))</f>
        <v>37.916666666666671</v>
      </c>
      <c r="L213" s="10" cm="1">
        <f t="array" ref="L213">AVERAGE(_xlfn._xlws.FILTER(PTS!P:P, (PTS!$C:$C=A213) * ISNUMBER(PTS!P:P)))</f>
        <v>0</v>
      </c>
      <c r="M213" s="531">
        <f t="shared" si="31"/>
        <v>577.91666666666663</v>
      </c>
      <c r="N213" s="531">
        <f t="shared" si="32"/>
        <v>467.91666666666669</v>
      </c>
      <c r="O213" s="531" cm="1">
        <f t="array" ref="O213">AVERAGE(_xlfn._xlws.FILTER(PTS!S:S, (PTS!$C:$C=A213) * ISNUMBER(PTS!S:S)))</f>
        <v>20</v>
      </c>
      <c r="P213" s="531" cm="1">
        <f t="array" ref="P213">AVERAGE(_xlfn._xlws.FILTER(PTS!T:T, (PTS!$C:$C=A213) * ISNUMBER(PTS!T:T)))</f>
        <v>0</v>
      </c>
      <c r="Q213" s="531" cm="1">
        <f t="array" ref="Q213">AVERAGE(_xlfn._xlws.FILTER(PTS!U:U, (PTS!$C:$C=A213) * ISNUMBER(PTS!U:U)))</f>
        <v>147.72727272727275</v>
      </c>
      <c r="S213" s="531">
        <f t="shared" si="33"/>
        <v>167.72727272727275</v>
      </c>
      <c r="T213" s="531" cm="1">
        <f t="array" ref="T213">AVERAGE(_xlfn._xlws.FILTER(PTS!X:X, (PTS!$C:$C=A213) * ISNUMBER(PTS!X:X)))</f>
        <v>54</v>
      </c>
      <c r="U213" s="531" cm="1">
        <f t="array" ref="U213">AVERAGE(_xlfn._xlws.FILTER(PTS!Y:Y, (PTS!$C:$C=A213) * ISNUMBER(PTS!Y:Y)))</f>
        <v>50.4</v>
      </c>
      <c r="V213" s="531" cm="1">
        <f t="array" ref="V213">AVERAGE(_xlfn._xlws.FILTER(PTS!Z:Z, (PTS!$C:$C=A213) * ISNUMBER(PTS!Z:Z)))</f>
        <v>26.25</v>
      </c>
      <c r="X213" s="531">
        <f t="shared" si="34"/>
        <v>130.65</v>
      </c>
      <c r="Y213" s="531" cm="1">
        <f t="array" ref="Y213">AVERAGE(_xlfn._xlws.FILTER(PTS!AC:AC, (PTS!$C:$C=A213) * ISNUMBER(PTS!AC:AC)))</f>
        <v>162.5</v>
      </c>
      <c r="Z213" s="531" cm="1">
        <f t="array" ref="Z213">AVERAGE(_xlfn._xlws.FILTER(PTS!AD:AD, (PTS!$C:$C=A213) * ISNUMBER(PTS!AD:AD)))</f>
        <v>268.18181818181819</v>
      </c>
      <c r="AB213" s="531">
        <f t="shared" si="35"/>
        <v>430.68181818181819</v>
      </c>
      <c r="AC213" s="10" cm="1">
        <f t="array" ref="AC213">AVERAGE(_xlfn._xlws.FILTER(PTS!AG:AG, (PTS!$C:$C=A213) * ISNUMBER(PTS!AG:AG)))</f>
        <v>28.814300000000003</v>
      </c>
      <c r="AD213" s="531" cm="1">
        <f t="array" ref="AD213">AVERAGE(_xlfn._xlws.FILTER(PTS!AH:AH, (PTS!$C:$C=A213) * ISNUMBER(PTS!AH:AH)))</f>
        <v>6.973140495867769</v>
      </c>
      <c r="AE213" s="531" cm="1">
        <f t="array" ref="AE213">AVERAGE(_xlfn._xlws.FILTER(PTS!AI:AI, (PTS!$C:$C=A213) * ISNUMBER(PTS!AI:AI)))</f>
        <v>12.587317427197677</v>
      </c>
      <c r="AF213" s="531" cm="1">
        <f t="array" ref="AF213">AVERAGE(_xlfn._xlws.FILTER(PTS!AJ:AJ, (PTS!$C:$C=A213) * ISNUMBER(PTS!AJ:AJ)))</f>
        <v>6.7351999999999999</v>
      </c>
      <c r="AH213" s="531">
        <f t="shared" si="36"/>
        <v>55.109957923065444</v>
      </c>
      <c r="AI213" s="10" cm="1">
        <f t="array" ref="AI213">AVERAGE(_xlfn._xlws.FILTER(PTS!AM:AM, (PTS!$C:$C=A213) * ISNUMBER(PTS!AM:AM)))</f>
        <v>79.999999999999986</v>
      </c>
      <c r="AJ213" s="10" cm="1">
        <f t="array" ref="AJ213">AVERAGE(_xlfn._xlws.FILTER(PTS!AN:AN, (PTS!$C:$C=A213) * ISNUMBER(PTS!AN:AN)))</f>
        <v>26.17808219178082</v>
      </c>
      <c r="AK213" s="10" cm="1">
        <f t="array" ref="AK213">AVERAGE(_xlfn._xlws.FILTER(PTS!AO:AO, (PTS!$C:$C=A213) * ISNUMBER(PTS!AO:AO)))</f>
        <v>0</v>
      </c>
      <c r="AN213" s="531">
        <f t="shared" si="37"/>
        <v>106.1780821917808</v>
      </c>
      <c r="AR213" s="531">
        <f t="shared" si="38"/>
        <v>1358.2637976906037</v>
      </c>
      <c r="AS213" s="531">
        <f t="shared" si="39"/>
        <v>1468.2637976906037</v>
      </c>
    </row>
    <row r="214" spans="1:45">
      <c r="A214" s="32" t="s">
        <v>732</v>
      </c>
      <c r="B214" s="319" t="s">
        <v>71</v>
      </c>
      <c r="C214" s="319" t="str">
        <f t="shared" si="30"/>
        <v>SweetwaterTX</v>
      </c>
      <c r="D214" s="10">
        <f>VLOOKUP(A:A,PTS!C:R,6,FALSE)</f>
        <v>2</v>
      </c>
      <c r="E214" s="531" cm="1">
        <f t="array" ref="E214">AVERAGE(_xlfn._xlws.FILTER(PTS!I:I, (PTS!$C:$C=A214) * ISNUMBER(PTS!I:I)))</f>
        <v>103</v>
      </c>
      <c r="F214" s="10" cm="1">
        <f t="array" ref="F214">AVERAGE(_xlfn._xlws.FILTER(PTS!J:J, (PTS!$C:$C=A214) * ISNUMBER(PTS!J:J)))</f>
        <v>125</v>
      </c>
      <c r="G214" s="531" cm="1">
        <f t="array" ref="G214">AVERAGE(_xlfn._xlws.FILTER(PTS!K:K, (PTS!$C:$C=A214) * ISNUMBER(PTS!K:K)))</f>
        <v>240</v>
      </c>
      <c r="H214" s="531" cm="1">
        <f t="array" ref="H214">AVERAGE(_xlfn._xlws.FILTER(PTS!L:L, (PTS!$C:$C=A214) * ISNUMBER(PTS!L:L)))</f>
        <v>0</v>
      </c>
      <c r="I214" s="531" cm="1">
        <f t="array" ref="I214">AVERAGE(_xlfn._xlws.FILTER(PTS!M:M, (PTS!$C:$C=A214) * ISNUMBER(PTS!M:M)))</f>
        <v>0</v>
      </c>
      <c r="J214" s="531" cm="1">
        <f t="array" ref="J214">AVERAGE(_xlfn._xlws.FILTER(PTS!N:N, (PTS!$C:$C=A214) * ISNUMBER(PTS!N:N)))</f>
        <v>39</v>
      </c>
      <c r="K214" s="531" cm="1">
        <f t="array" ref="K214">AVERAGE(_xlfn._xlws.FILTER(PTS!O:O, (PTS!$C:$C=A214) * ISNUMBER(PTS!O:O)))</f>
        <v>37.916666666666671</v>
      </c>
      <c r="L214" s="10" cm="1">
        <f t="array" ref="L214">AVERAGE(_xlfn._xlws.FILTER(PTS!P:P, (PTS!$C:$C=A214) * ISNUMBER(PTS!P:P)))</f>
        <v>0</v>
      </c>
      <c r="M214" s="531">
        <f t="shared" si="31"/>
        <v>544.91666666666663</v>
      </c>
      <c r="N214" s="531">
        <f t="shared" si="32"/>
        <v>316.91666666666669</v>
      </c>
      <c r="O214" s="531" cm="1">
        <f t="array" ref="O214">AVERAGE(_xlfn._xlws.FILTER(PTS!S:S, (PTS!$C:$C=A214) * ISNUMBER(PTS!S:S)))</f>
        <v>20</v>
      </c>
      <c r="P214" s="531" cm="1">
        <f t="array" ref="P214">AVERAGE(_xlfn._xlws.FILTER(PTS!T:T, (PTS!$C:$C=A214) * ISNUMBER(PTS!T:T)))</f>
        <v>5</v>
      </c>
      <c r="Q214" s="531" cm="1">
        <f t="array" ref="Q214">AVERAGE(_xlfn._xlws.FILTER(PTS!U:U, (PTS!$C:$C=A214) * ISNUMBER(PTS!U:U)))</f>
        <v>203.125</v>
      </c>
      <c r="S214" s="531">
        <f t="shared" si="33"/>
        <v>228.125</v>
      </c>
      <c r="T214" s="531" cm="1">
        <f t="array" ref="T214">AVERAGE(_xlfn._xlws.FILTER(PTS!X:X, (PTS!$C:$C=A214) * ISNUMBER(PTS!X:X)))</f>
        <v>54</v>
      </c>
      <c r="U214" s="531" cm="1">
        <f t="array" ref="U214">AVERAGE(_xlfn._xlws.FILTER(PTS!Y:Y, (PTS!$C:$C=A214) * ISNUMBER(PTS!Y:Y)))</f>
        <v>50.4</v>
      </c>
      <c r="V214" s="531" cm="1">
        <f t="array" ref="V214">AVERAGE(_xlfn._xlws.FILTER(PTS!Z:Z, (PTS!$C:$C=A214) * ISNUMBER(PTS!Z:Z)))</f>
        <v>26.25</v>
      </c>
      <c r="X214" s="531">
        <f t="shared" si="34"/>
        <v>130.65</v>
      </c>
      <c r="Y214" s="531" cm="1">
        <f t="array" ref="Y214">AVERAGE(_xlfn._xlws.FILTER(PTS!AC:AC, (PTS!$C:$C=A214) * ISNUMBER(PTS!AC:AC)))</f>
        <v>147.72727272727272</v>
      </c>
      <c r="Z214" s="531" cm="1">
        <f t="array" ref="Z214">AVERAGE(_xlfn._xlws.FILTER(PTS!AD:AD, (PTS!$C:$C=A214) * ISNUMBER(PTS!AD:AD)))</f>
        <v>233.06818181818181</v>
      </c>
      <c r="AB214" s="531">
        <f t="shared" si="35"/>
        <v>380.7954545454545</v>
      </c>
      <c r="AC214" s="10" cm="1">
        <f t="array" ref="AC214">AVERAGE(_xlfn._xlws.FILTER(PTS!AG:AG, (PTS!$C:$C=A214) * ISNUMBER(PTS!AG:AG)))</f>
        <v>28.814300000000003</v>
      </c>
      <c r="AD214" s="531" cm="1">
        <f t="array" ref="AD214">AVERAGE(_xlfn._xlws.FILTER(PTS!AH:AH, (PTS!$C:$C=A214) * ISNUMBER(PTS!AH:AH)))</f>
        <v>6.973140495867769</v>
      </c>
      <c r="AE214" s="531" cm="1">
        <f t="array" ref="AE214">AVERAGE(_xlfn._xlws.FILTER(PTS!AI:AI, (PTS!$C:$C=A214) * ISNUMBER(PTS!AI:AI)))</f>
        <v>12.587317427197677</v>
      </c>
      <c r="AF214" s="531" cm="1">
        <f t="array" ref="AF214">AVERAGE(_xlfn._xlws.FILTER(PTS!AJ:AJ, (PTS!$C:$C=A214) * ISNUMBER(PTS!AJ:AJ)))</f>
        <v>6.7351999999999999</v>
      </c>
      <c r="AH214" s="531">
        <f t="shared" si="36"/>
        <v>55.109957923065444</v>
      </c>
      <c r="AI214" s="10" cm="1">
        <f t="array" ref="AI214">AVERAGE(_xlfn._xlws.FILTER(PTS!AM:AM, (PTS!$C:$C=A214) * ISNUMBER(PTS!AM:AM)))</f>
        <v>79.999999999999986</v>
      </c>
      <c r="AJ214" s="10" cm="1">
        <f t="array" ref="AJ214">AVERAGE(_xlfn._xlws.FILTER(PTS!AN:AN, (PTS!$C:$C=A214) * ISNUMBER(PTS!AN:AN)))</f>
        <v>26.17808219178082</v>
      </c>
      <c r="AK214" s="10" cm="1">
        <f t="array" ref="AK214">AVERAGE(_xlfn._xlws.FILTER(PTS!AO:AO, (PTS!$C:$C=A214) * ISNUMBER(PTS!AO:AO)))</f>
        <v>0</v>
      </c>
      <c r="AN214" s="531">
        <f t="shared" si="37"/>
        <v>106.1780821917808</v>
      </c>
      <c r="AR214" s="531">
        <f t="shared" si="38"/>
        <v>1217.7751613269672</v>
      </c>
      <c r="AS214" s="531">
        <f t="shared" si="39"/>
        <v>1445.7751613269672</v>
      </c>
    </row>
    <row r="215" spans="1:45">
      <c r="A215" s="32" t="s">
        <v>734</v>
      </c>
      <c r="B215" s="319" t="s">
        <v>76</v>
      </c>
      <c r="C215" s="319" t="str">
        <f t="shared" si="30"/>
        <v>SycamoreGA</v>
      </c>
      <c r="D215" s="10">
        <f>VLOOKUP(A:A,PTS!C:R,6,FALSE)</f>
        <v>4</v>
      </c>
      <c r="E215" s="531" cm="1">
        <f t="array" ref="E215">AVERAGE(_xlfn._xlws.FILTER(PTS!I:I, (PTS!$C:$C=A215) * ISNUMBER(PTS!I:I)))</f>
        <v>75</v>
      </c>
      <c r="F215" s="10" cm="1">
        <f t="array" ref="F215">AVERAGE(_xlfn._xlws.FILTER(PTS!J:J, (PTS!$C:$C=A215) * ISNUMBER(PTS!J:J)))</f>
        <v>120</v>
      </c>
      <c r="G215" s="531" cm="1">
        <f t="array" ref="G215">AVERAGE(_xlfn._xlws.FILTER(PTS!K:K, (PTS!$C:$C=A215) * ISNUMBER(PTS!K:K)))</f>
        <v>0</v>
      </c>
      <c r="H215" s="531" cm="1">
        <f t="array" ref="H215">AVERAGE(_xlfn._xlws.FILTER(PTS!L:L, (PTS!$C:$C=A215) * ISNUMBER(PTS!L:L)))</f>
        <v>0</v>
      </c>
      <c r="I215" s="531" cm="1">
        <f t="array" ref="I215">AVERAGE(_xlfn._xlws.FILTER(PTS!M:M, (PTS!$C:$C=A215) * ISNUMBER(PTS!M:M)))</f>
        <v>20</v>
      </c>
      <c r="J215" s="531" cm="1">
        <f t="array" ref="J215">AVERAGE(_xlfn._xlws.FILTER(PTS!N:N, (PTS!$C:$C=A215) * ISNUMBER(PTS!N:N)))</f>
        <v>75</v>
      </c>
      <c r="K215" s="531" cm="1">
        <f t="array" ref="K215">AVERAGE(_xlfn._xlws.FILTER(PTS!O:O, (PTS!$C:$C=A215) * ISNUMBER(PTS!O:O)))</f>
        <v>37.916666666666671</v>
      </c>
      <c r="L215" s="10" cm="1">
        <f t="array" ref="L215">AVERAGE(_xlfn._xlws.FILTER(PTS!P:P, (PTS!$C:$C=A215) * ISNUMBER(PTS!P:P)))</f>
        <v>0</v>
      </c>
      <c r="M215" s="531">
        <f t="shared" si="31"/>
        <v>327.91666666666669</v>
      </c>
      <c r="N215" s="531">
        <f t="shared" si="32"/>
        <v>37.916666666666671</v>
      </c>
      <c r="O215" s="531" cm="1">
        <f t="array" ref="O215">AVERAGE(_xlfn._xlws.FILTER(PTS!S:S, (PTS!$C:$C=A215) * ISNUMBER(PTS!S:S)))</f>
        <v>0</v>
      </c>
      <c r="P215" s="531" cm="1">
        <f t="array" ref="P215">AVERAGE(_xlfn._xlws.FILTER(PTS!T:T, (PTS!$C:$C=A215) * ISNUMBER(PTS!T:T)))</f>
        <v>0</v>
      </c>
      <c r="Q215" s="531" cm="1">
        <f t="array" ref="Q215">AVERAGE(_xlfn._xlws.FILTER(PTS!U:U, (PTS!$C:$C=A215) * ISNUMBER(PTS!U:U)))</f>
        <v>216.29999999999998</v>
      </c>
      <c r="S215" s="531">
        <f t="shared" si="33"/>
        <v>216.29999999999998</v>
      </c>
      <c r="T215" s="531" cm="1">
        <f t="array" ref="T215">AVERAGE(_xlfn._xlws.FILTER(PTS!X:X, (PTS!$C:$C=A215) * ISNUMBER(PTS!X:X)))</f>
        <v>52</v>
      </c>
      <c r="U215" s="531" cm="1">
        <f t="array" ref="U215">AVERAGE(_xlfn._xlws.FILTER(PTS!Y:Y, (PTS!$C:$C=A215) * ISNUMBER(PTS!Y:Y)))</f>
        <v>50.4</v>
      </c>
      <c r="V215" s="531" cm="1">
        <f t="array" ref="V215">AVERAGE(_xlfn._xlws.FILTER(PTS!Z:Z, (PTS!$C:$C=A215) * ISNUMBER(PTS!Z:Z)))</f>
        <v>26.25</v>
      </c>
      <c r="X215" s="531">
        <f t="shared" si="34"/>
        <v>128.65</v>
      </c>
      <c r="Y215" s="531" cm="1">
        <f t="array" ref="Y215">AVERAGE(_xlfn._xlws.FILTER(PTS!AC:AC, (PTS!$C:$C=A215) * ISNUMBER(PTS!AC:AC)))</f>
        <v>110.22727272727273</v>
      </c>
      <c r="Z215" s="531" cm="1">
        <f t="array" ref="Z215">AVERAGE(_xlfn._xlws.FILTER(PTS!AD:AD, (PTS!$C:$C=A215) * ISNUMBER(PTS!AD:AD)))</f>
        <v>107.04545454545455</v>
      </c>
      <c r="AB215" s="531">
        <f t="shared" si="35"/>
        <v>217.27272727272728</v>
      </c>
      <c r="AC215" s="10" cm="1">
        <f t="array" ref="AC215">AVERAGE(_xlfn._xlws.FILTER(PTS!AG:AG, (PTS!$C:$C=A215) * ISNUMBER(PTS!AG:AG)))</f>
        <v>28.814300000000003</v>
      </c>
      <c r="AD215" s="531" cm="1">
        <f t="array" ref="AD215">AVERAGE(_xlfn._xlws.FILTER(PTS!AH:AH, (PTS!$C:$C=A215) * ISNUMBER(PTS!AH:AH)))</f>
        <v>6.973140495867769</v>
      </c>
      <c r="AE215" s="531" cm="1">
        <f t="array" ref="AE215">AVERAGE(_xlfn._xlws.FILTER(PTS!AI:AI, (PTS!$C:$C=A215) * ISNUMBER(PTS!AI:AI)))</f>
        <v>12.587317427197677</v>
      </c>
      <c r="AF215" s="531" cm="1">
        <f t="array" ref="AF215">AVERAGE(_xlfn._xlws.FILTER(PTS!AJ:AJ, (PTS!$C:$C=A215) * ISNUMBER(PTS!AJ:AJ)))</f>
        <v>6.7351999999999999</v>
      </c>
      <c r="AH215" s="531">
        <f t="shared" si="36"/>
        <v>55.109957923065444</v>
      </c>
      <c r="AI215" s="10" cm="1">
        <f t="array" ref="AI215">AVERAGE(_xlfn._xlws.FILTER(PTS!AM:AM, (PTS!$C:$C=A215) * ISNUMBER(PTS!AM:AM)))</f>
        <v>79.999999999999986</v>
      </c>
      <c r="AJ215" s="10" cm="1">
        <f t="array" ref="AJ215">AVERAGE(_xlfn._xlws.FILTER(PTS!AN:AN, (PTS!$C:$C=A215) * ISNUMBER(PTS!AN:AN)))</f>
        <v>26.17808219178082</v>
      </c>
      <c r="AK215" s="10" cm="1">
        <f t="array" ref="AK215">AVERAGE(_xlfn._xlws.FILTER(PTS!AO:AO, (PTS!$C:$C=A215) * ISNUMBER(PTS!AO:AO)))</f>
        <v>0</v>
      </c>
      <c r="AN215" s="531">
        <f t="shared" si="37"/>
        <v>106.1780821917808</v>
      </c>
      <c r="AR215" s="531">
        <f t="shared" si="38"/>
        <v>761.42743405424017</v>
      </c>
      <c r="AS215" s="531">
        <f t="shared" si="39"/>
        <v>1051.4274340542402</v>
      </c>
    </row>
    <row r="216" spans="1:45">
      <c r="A216" s="32" t="s">
        <v>737</v>
      </c>
      <c r="B216" s="319" t="s">
        <v>76</v>
      </c>
      <c r="C216" s="319" t="str">
        <f t="shared" si="30"/>
        <v>SylvaniaGA</v>
      </c>
      <c r="D216" s="10">
        <f>VLOOKUP(A:A,PTS!C:R,6,FALSE)</f>
        <v>4</v>
      </c>
      <c r="E216" s="531" cm="1">
        <f t="array" ref="E216">AVERAGE(_xlfn._xlws.FILTER(PTS!I:I, (PTS!$C:$C=A216) * ISNUMBER(PTS!I:I)))</f>
        <v>50</v>
      </c>
      <c r="F216" s="10" cm="1">
        <f t="array" ref="F216">AVERAGE(_xlfn._xlws.FILTER(PTS!J:J, (PTS!$C:$C=A216) * ISNUMBER(PTS!J:J)))</f>
        <v>90</v>
      </c>
      <c r="G216" s="531" cm="1">
        <f t="array" ref="G216">AVERAGE(_xlfn._xlws.FILTER(PTS!K:K, (PTS!$C:$C=A216) * ISNUMBER(PTS!K:K)))</f>
        <v>0</v>
      </c>
      <c r="H216" s="531" cm="1">
        <f t="array" ref="H216">AVERAGE(_xlfn._xlws.FILTER(PTS!L:L, (PTS!$C:$C=A216) * ISNUMBER(PTS!L:L)))</f>
        <v>0</v>
      </c>
      <c r="I216" s="531" cm="1">
        <f t="array" ref="I216">AVERAGE(_xlfn._xlws.FILTER(PTS!M:M, (PTS!$C:$C=A216) * ISNUMBER(PTS!M:M)))</f>
        <v>20</v>
      </c>
      <c r="J216" s="531" cm="1">
        <f t="array" ref="J216">AVERAGE(_xlfn._xlws.FILTER(PTS!N:N, (PTS!$C:$C=A216) * ISNUMBER(PTS!N:N)))</f>
        <v>50</v>
      </c>
      <c r="K216" s="531" cm="1">
        <f t="array" ref="K216">AVERAGE(_xlfn._xlws.FILTER(PTS!O:O, (PTS!$C:$C=A216) * ISNUMBER(PTS!O:O)))</f>
        <v>37.916666666666671</v>
      </c>
      <c r="L216" s="10" cm="1">
        <f t="array" ref="L216">AVERAGE(_xlfn._xlws.FILTER(PTS!P:P, (PTS!$C:$C=A216) * ISNUMBER(PTS!P:P)))</f>
        <v>0</v>
      </c>
      <c r="M216" s="531">
        <f t="shared" si="31"/>
        <v>247.91666666666669</v>
      </c>
      <c r="N216" s="531">
        <f t="shared" si="32"/>
        <v>37.916666666666671</v>
      </c>
      <c r="O216" s="531" cm="1">
        <f t="array" ref="O216">AVERAGE(_xlfn._xlws.FILTER(PTS!S:S, (PTS!$C:$C=A216) * ISNUMBER(PTS!S:S)))</f>
        <v>0</v>
      </c>
      <c r="P216" s="531" cm="1">
        <f t="array" ref="P216">AVERAGE(_xlfn._xlws.FILTER(PTS!T:T, (PTS!$C:$C=A216) * ISNUMBER(PTS!T:T)))</f>
        <v>0</v>
      </c>
      <c r="Q216" s="531" cm="1">
        <f t="array" ref="Q216">AVERAGE(_xlfn._xlws.FILTER(PTS!U:U, (PTS!$C:$C=A216) * ISNUMBER(PTS!U:U)))</f>
        <v>154.47500000000002</v>
      </c>
      <c r="S216" s="531">
        <f t="shared" si="33"/>
        <v>154.47500000000002</v>
      </c>
      <c r="T216" s="531" cm="1">
        <f t="array" ref="T216">AVERAGE(_xlfn._xlws.FILTER(PTS!X:X, (PTS!$C:$C=A216) * ISNUMBER(PTS!X:X)))</f>
        <v>52</v>
      </c>
      <c r="U216" s="531" cm="1">
        <f t="array" ref="U216">AVERAGE(_xlfn._xlws.FILTER(PTS!Y:Y, (PTS!$C:$C=A216) * ISNUMBER(PTS!Y:Y)))</f>
        <v>50.4</v>
      </c>
      <c r="V216" s="531" cm="1">
        <f t="array" ref="V216">AVERAGE(_xlfn._xlws.FILTER(PTS!Z:Z, (PTS!$C:$C=A216) * ISNUMBER(PTS!Z:Z)))</f>
        <v>26.25</v>
      </c>
      <c r="X216" s="531">
        <f t="shared" si="34"/>
        <v>128.65</v>
      </c>
      <c r="Y216" s="531" cm="1">
        <f t="array" ref="Y216">AVERAGE(_xlfn._xlws.FILTER(PTS!AC:AC, (PTS!$C:$C=A216) * ISNUMBER(PTS!AC:AC)))</f>
        <v>110.22727272727273</v>
      </c>
      <c r="Z216" s="531" cm="1">
        <f t="array" ref="Z216">AVERAGE(_xlfn._xlws.FILTER(PTS!AD:AD, (PTS!$C:$C=A216) * ISNUMBER(PTS!AD:AD)))</f>
        <v>107.04545454545455</v>
      </c>
      <c r="AB216" s="531">
        <f t="shared" si="35"/>
        <v>217.27272727272728</v>
      </c>
      <c r="AC216" s="10" cm="1">
        <f t="array" ref="AC216">AVERAGE(_xlfn._xlws.FILTER(PTS!AG:AG, (PTS!$C:$C=A216) * ISNUMBER(PTS!AG:AG)))</f>
        <v>28.814300000000003</v>
      </c>
      <c r="AD216" s="531" cm="1">
        <f t="array" ref="AD216">AVERAGE(_xlfn._xlws.FILTER(PTS!AH:AH, (PTS!$C:$C=A216) * ISNUMBER(PTS!AH:AH)))</f>
        <v>6.973140495867769</v>
      </c>
      <c r="AE216" s="531" cm="1">
        <f t="array" ref="AE216">AVERAGE(_xlfn._xlws.FILTER(PTS!AI:AI, (PTS!$C:$C=A216) * ISNUMBER(PTS!AI:AI)))</f>
        <v>12.587317427197677</v>
      </c>
      <c r="AF216" s="531" cm="1">
        <f t="array" ref="AF216">AVERAGE(_xlfn._xlws.FILTER(PTS!AJ:AJ, (PTS!$C:$C=A216) * ISNUMBER(PTS!AJ:AJ)))</f>
        <v>6.7351999999999999</v>
      </c>
      <c r="AH216" s="531">
        <f t="shared" si="36"/>
        <v>55.109957923065444</v>
      </c>
      <c r="AI216" s="10" cm="1">
        <f t="array" ref="AI216">AVERAGE(_xlfn._xlws.FILTER(PTS!AM:AM, (PTS!$C:$C=A216) * ISNUMBER(PTS!AM:AM)))</f>
        <v>79.999999999999986</v>
      </c>
      <c r="AJ216" s="10" cm="1">
        <f t="array" ref="AJ216">AVERAGE(_xlfn._xlws.FILTER(PTS!AN:AN, (PTS!$C:$C=A216) * ISNUMBER(PTS!AN:AN)))</f>
        <v>26.17808219178082</v>
      </c>
      <c r="AK216" s="10" cm="1">
        <f t="array" ref="AK216">AVERAGE(_xlfn._xlws.FILTER(PTS!AO:AO, (PTS!$C:$C=A216) * ISNUMBER(PTS!AO:AO)))</f>
        <v>0</v>
      </c>
      <c r="AN216" s="531">
        <f t="shared" si="37"/>
        <v>106.1780821917808</v>
      </c>
      <c r="AR216" s="531">
        <f t="shared" si="38"/>
        <v>699.60243405424023</v>
      </c>
      <c r="AS216" s="531">
        <f t="shared" si="39"/>
        <v>909.60243405424023</v>
      </c>
    </row>
    <row r="217" spans="1:45">
      <c r="A217" s="32" t="s">
        <v>740</v>
      </c>
      <c r="B217" s="319" t="s">
        <v>76</v>
      </c>
      <c r="C217" s="319" t="str">
        <f t="shared" si="30"/>
        <v>SylvesterGA</v>
      </c>
      <c r="D217" s="10">
        <f>VLOOKUP(A:A,PTS!C:R,6,FALSE)</f>
        <v>4</v>
      </c>
      <c r="E217" s="531" cm="1">
        <f t="array" ref="E217">AVERAGE(_xlfn._xlws.FILTER(PTS!I:I, (PTS!$C:$C=A217) * ISNUMBER(PTS!I:I)))</f>
        <v>80</v>
      </c>
      <c r="F217" s="10" cm="1">
        <f t="array" ref="F217">AVERAGE(_xlfn._xlws.FILTER(PTS!J:J, (PTS!$C:$C=A217) * ISNUMBER(PTS!J:J)))</f>
        <v>120</v>
      </c>
      <c r="G217" s="531" cm="1">
        <f t="array" ref="G217">AVERAGE(_xlfn._xlws.FILTER(PTS!K:K, (PTS!$C:$C=A217) * ISNUMBER(PTS!K:K)))</f>
        <v>0</v>
      </c>
      <c r="H217" s="531" cm="1">
        <f t="array" ref="H217">AVERAGE(_xlfn._xlws.FILTER(PTS!L:L, (PTS!$C:$C=A217) * ISNUMBER(PTS!L:L)))</f>
        <v>0</v>
      </c>
      <c r="I217" s="531" cm="1">
        <f t="array" ref="I217">AVERAGE(_xlfn._xlws.FILTER(PTS!M:M, (PTS!$C:$C=A217) * ISNUMBER(PTS!M:M)))</f>
        <v>30</v>
      </c>
      <c r="J217" s="531" cm="1">
        <f t="array" ref="J217">AVERAGE(_xlfn._xlws.FILTER(PTS!N:N, (PTS!$C:$C=A217) * ISNUMBER(PTS!N:N)))</f>
        <v>60</v>
      </c>
      <c r="K217" s="531" cm="1">
        <f t="array" ref="K217">AVERAGE(_xlfn._xlws.FILTER(PTS!O:O, (PTS!$C:$C=A217) * ISNUMBER(PTS!O:O)))</f>
        <v>37.916666666666671</v>
      </c>
      <c r="L217" s="10" cm="1">
        <f t="array" ref="L217">AVERAGE(_xlfn._xlws.FILTER(PTS!P:P, (PTS!$C:$C=A217) * ISNUMBER(PTS!P:P)))</f>
        <v>0</v>
      </c>
      <c r="M217" s="531">
        <f t="shared" si="31"/>
        <v>327.91666666666669</v>
      </c>
      <c r="N217" s="531">
        <f t="shared" si="32"/>
        <v>37.916666666666671</v>
      </c>
      <c r="O217" s="531" cm="1">
        <f t="array" ref="O217">AVERAGE(_xlfn._xlws.FILTER(PTS!S:S, (PTS!$C:$C=A217) * ISNUMBER(PTS!S:S)))</f>
        <v>0</v>
      </c>
      <c r="P217" s="531" cm="1">
        <f t="array" ref="P217">AVERAGE(_xlfn._xlws.FILTER(PTS!T:T, (PTS!$C:$C=A217) * ISNUMBER(PTS!T:T)))</f>
        <v>0</v>
      </c>
      <c r="Q217" s="531" cm="1">
        <f t="array" ref="Q217">AVERAGE(_xlfn._xlws.FILTER(PTS!U:U, (PTS!$C:$C=A217) * ISNUMBER(PTS!U:U)))</f>
        <v>217.43636363636367</v>
      </c>
      <c r="S217" s="531">
        <f t="shared" si="33"/>
        <v>217.43636363636367</v>
      </c>
      <c r="T217" s="531" cm="1">
        <f t="array" ref="T217">AVERAGE(_xlfn._xlws.FILTER(PTS!X:X, (PTS!$C:$C=A217) * ISNUMBER(PTS!X:X)))</f>
        <v>52</v>
      </c>
      <c r="U217" s="531" cm="1">
        <f t="array" ref="U217">AVERAGE(_xlfn._xlws.FILTER(PTS!Y:Y, (PTS!$C:$C=A217) * ISNUMBER(PTS!Y:Y)))</f>
        <v>50.4</v>
      </c>
      <c r="V217" s="531" cm="1">
        <f t="array" ref="V217">AVERAGE(_xlfn._xlws.FILTER(PTS!Z:Z, (PTS!$C:$C=A217) * ISNUMBER(PTS!Z:Z)))</f>
        <v>26.25</v>
      </c>
      <c r="X217" s="531">
        <f t="shared" si="34"/>
        <v>128.65</v>
      </c>
      <c r="Y217" s="531" cm="1">
        <f t="array" ref="Y217">AVERAGE(_xlfn._xlws.FILTER(PTS!AC:AC, (PTS!$C:$C=A217) * ISNUMBER(PTS!AC:AC)))</f>
        <v>110.22727272727273</v>
      </c>
      <c r="Z217" s="531" cm="1">
        <f t="array" ref="Z217">AVERAGE(_xlfn._xlws.FILTER(PTS!AD:AD, (PTS!$C:$C=A217) * ISNUMBER(PTS!AD:AD)))</f>
        <v>107.04545454545455</v>
      </c>
      <c r="AB217" s="531">
        <f t="shared" si="35"/>
        <v>217.27272727272728</v>
      </c>
      <c r="AC217" s="10" cm="1">
        <f t="array" ref="AC217">AVERAGE(_xlfn._xlws.FILTER(PTS!AG:AG, (PTS!$C:$C=A217) * ISNUMBER(PTS!AG:AG)))</f>
        <v>28.814300000000003</v>
      </c>
      <c r="AD217" s="531" cm="1">
        <f t="array" ref="AD217">AVERAGE(_xlfn._xlws.FILTER(PTS!AH:AH, (PTS!$C:$C=A217) * ISNUMBER(PTS!AH:AH)))</f>
        <v>6.973140495867769</v>
      </c>
      <c r="AE217" s="531" cm="1">
        <f t="array" ref="AE217">AVERAGE(_xlfn._xlws.FILTER(PTS!AI:AI, (PTS!$C:$C=A217) * ISNUMBER(PTS!AI:AI)))</f>
        <v>12.587317427197677</v>
      </c>
      <c r="AF217" s="531" cm="1">
        <f t="array" ref="AF217">AVERAGE(_xlfn._xlws.FILTER(PTS!AJ:AJ, (PTS!$C:$C=A217) * ISNUMBER(PTS!AJ:AJ)))</f>
        <v>6.7351999999999999</v>
      </c>
      <c r="AH217" s="531">
        <f t="shared" si="36"/>
        <v>55.109957923065444</v>
      </c>
      <c r="AI217" s="10" cm="1">
        <f t="array" ref="AI217">AVERAGE(_xlfn._xlws.FILTER(PTS!AM:AM, (PTS!$C:$C=A217) * ISNUMBER(PTS!AM:AM)))</f>
        <v>79.999999999999986</v>
      </c>
      <c r="AJ217" s="10" cm="1">
        <f t="array" ref="AJ217">AVERAGE(_xlfn._xlws.FILTER(PTS!AN:AN, (PTS!$C:$C=A217) * ISNUMBER(PTS!AN:AN)))</f>
        <v>26.17808219178082</v>
      </c>
      <c r="AK217" s="10" cm="1">
        <f t="array" ref="AK217">AVERAGE(_xlfn._xlws.FILTER(PTS!AO:AO, (PTS!$C:$C=A217) * ISNUMBER(PTS!AO:AO)))</f>
        <v>0</v>
      </c>
      <c r="AN217" s="531">
        <f t="shared" si="37"/>
        <v>106.1780821917808</v>
      </c>
      <c r="AR217" s="531">
        <f t="shared" si="38"/>
        <v>762.56379769060379</v>
      </c>
      <c r="AS217" s="531">
        <f t="shared" si="39"/>
        <v>1052.5637976906037</v>
      </c>
    </row>
    <row r="218" spans="1:45">
      <c r="A218" s="32" t="s">
        <v>743</v>
      </c>
      <c r="B218" s="319" t="s">
        <v>71</v>
      </c>
      <c r="C218" s="319" t="str">
        <f t="shared" si="30"/>
        <v>TahokaTX</v>
      </c>
      <c r="D218" s="10">
        <f>VLOOKUP(A:A,PTS!C:R,6,FALSE)</f>
        <v>2</v>
      </c>
      <c r="E218" s="531" cm="1">
        <f t="array" ref="E218">AVERAGE(_xlfn._xlws.FILTER(PTS!I:I, (PTS!$C:$C=A218) * ISNUMBER(PTS!I:I)))</f>
        <v>95</v>
      </c>
      <c r="F218" s="10" cm="1">
        <f t="array" ref="F218">AVERAGE(_xlfn._xlws.FILTER(PTS!J:J, (PTS!$C:$C=A218) * ISNUMBER(PTS!J:J)))</f>
        <v>109</v>
      </c>
      <c r="G218" s="531" cm="1">
        <f t="array" ref="G218">AVERAGE(_xlfn._xlws.FILTER(PTS!K:K, (PTS!$C:$C=A218) * ISNUMBER(PTS!K:K)))</f>
        <v>195</v>
      </c>
      <c r="H218" s="531" cm="1">
        <f t="array" ref="H218">AVERAGE(_xlfn._xlws.FILTER(PTS!L:L, (PTS!$C:$C=A218) * ISNUMBER(PTS!L:L)))</f>
        <v>0</v>
      </c>
      <c r="I218" s="531" cm="1">
        <f t="array" ref="I218">AVERAGE(_xlfn._xlws.FILTER(PTS!M:M, (PTS!$C:$C=A218) * ISNUMBER(PTS!M:M)))</f>
        <v>20</v>
      </c>
      <c r="J218" s="531" cm="1">
        <f t="array" ref="J218">AVERAGE(_xlfn._xlws.FILTER(PTS!N:N, (PTS!$C:$C=A218) * ISNUMBER(PTS!N:N)))</f>
        <v>48</v>
      </c>
      <c r="K218" s="531" cm="1">
        <f t="array" ref="K218">AVERAGE(_xlfn._xlws.FILTER(PTS!O:O, (PTS!$C:$C=A218) * ISNUMBER(PTS!O:O)))</f>
        <v>37.916666666666671</v>
      </c>
      <c r="L218" s="10" cm="1">
        <f t="array" ref="L218">AVERAGE(_xlfn._xlws.FILTER(PTS!P:P, (PTS!$C:$C=A218) * ISNUMBER(PTS!P:P)))</f>
        <v>0</v>
      </c>
      <c r="M218" s="531">
        <f t="shared" si="31"/>
        <v>504.91666666666669</v>
      </c>
      <c r="N218" s="531">
        <f t="shared" si="32"/>
        <v>280.91666666666669</v>
      </c>
      <c r="O218" s="531" cm="1">
        <f t="array" ref="O218">AVERAGE(_xlfn._xlws.FILTER(PTS!S:S, (PTS!$C:$C=A218) * ISNUMBER(PTS!S:S)))</f>
        <v>0</v>
      </c>
      <c r="P218" s="531" cm="1">
        <f t="array" ref="P218">AVERAGE(_xlfn._xlws.FILTER(PTS!T:T, (PTS!$C:$C=A218) * ISNUMBER(PTS!T:T)))</f>
        <v>0</v>
      </c>
      <c r="Q218" s="531" cm="1">
        <f t="array" ref="Q218">AVERAGE(_xlfn._xlws.FILTER(PTS!U:U, (PTS!$C:$C=A218) * ISNUMBER(PTS!U:U)))</f>
        <v>267.72727272727275</v>
      </c>
      <c r="S218" s="531">
        <f t="shared" si="33"/>
        <v>267.72727272727275</v>
      </c>
      <c r="T218" s="531" cm="1">
        <f t="array" ref="T218">AVERAGE(_xlfn._xlws.FILTER(PTS!X:X, (PTS!$C:$C=A218) * ISNUMBER(PTS!X:X)))</f>
        <v>54</v>
      </c>
      <c r="U218" s="531" cm="1">
        <f t="array" ref="U218">AVERAGE(_xlfn._xlws.FILTER(PTS!Y:Y, (PTS!$C:$C=A218) * ISNUMBER(PTS!Y:Y)))</f>
        <v>50.4</v>
      </c>
      <c r="V218" s="531" cm="1">
        <f t="array" ref="V218">AVERAGE(_xlfn._xlws.FILTER(PTS!Z:Z, (PTS!$C:$C=A218) * ISNUMBER(PTS!Z:Z)))</f>
        <v>26.25</v>
      </c>
      <c r="X218" s="531">
        <f t="shared" si="34"/>
        <v>130.65</v>
      </c>
      <c r="Y218" s="531" cm="1">
        <f t="array" ref="Y218">AVERAGE(_xlfn._xlws.FILTER(PTS!AC:AC, (PTS!$C:$C=A218) * ISNUMBER(PTS!AC:AC)))</f>
        <v>147.72727272727272</v>
      </c>
      <c r="Z218" s="531" cm="1">
        <f t="array" ref="Z218">AVERAGE(_xlfn._xlws.FILTER(PTS!AD:AD, (PTS!$C:$C=A218) * ISNUMBER(PTS!AD:AD)))</f>
        <v>233.06818181818181</v>
      </c>
      <c r="AB218" s="531">
        <f t="shared" si="35"/>
        <v>380.7954545454545</v>
      </c>
      <c r="AC218" s="10" cm="1">
        <f t="array" ref="AC218">AVERAGE(_xlfn._xlws.FILTER(PTS!AG:AG, (PTS!$C:$C=A218) * ISNUMBER(PTS!AG:AG)))</f>
        <v>28.814300000000003</v>
      </c>
      <c r="AD218" s="531" cm="1">
        <f t="array" ref="AD218">AVERAGE(_xlfn._xlws.FILTER(PTS!AH:AH, (PTS!$C:$C=A218) * ISNUMBER(PTS!AH:AH)))</f>
        <v>6.973140495867769</v>
      </c>
      <c r="AE218" s="531" cm="1">
        <f t="array" ref="AE218">AVERAGE(_xlfn._xlws.FILTER(PTS!AI:AI, (PTS!$C:$C=A218) * ISNUMBER(PTS!AI:AI)))</f>
        <v>12.587317427197677</v>
      </c>
      <c r="AF218" s="531" cm="1">
        <f t="array" ref="AF218">AVERAGE(_xlfn._xlws.FILTER(PTS!AJ:AJ, (PTS!$C:$C=A218) * ISNUMBER(PTS!AJ:AJ)))</f>
        <v>6.7351999999999999</v>
      </c>
      <c r="AH218" s="531">
        <f t="shared" si="36"/>
        <v>55.109957923065444</v>
      </c>
      <c r="AI218" s="10" cm="1">
        <f t="array" ref="AI218">AVERAGE(_xlfn._xlws.FILTER(PTS!AM:AM, (PTS!$C:$C=A218) * ISNUMBER(PTS!AM:AM)))</f>
        <v>79.999999999999986</v>
      </c>
      <c r="AJ218" s="10" cm="1">
        <f t="array" ref="AJ218">AVERAGE(_xlfn._xlws.FILTER(PTS!AN:AN, (PTS!$C:$C=A218) * ISNUMBER(PTS!AN:AN)))</f>
        <v>26.17808219178082</v>
      </c>
      <c r="AK218" s="10" cm="1">
        <f t="array" ref="AK218">AVERAGE(_xlfn._xlws.FILTER(PTS!AO:AO, (PTS!$C:$C=A218) * ISNUMBER(PTS!AO:AO)))</f>
        <v>0</v>
      </c>
      <c r="AN218" s="531">
        <f t="shared" si="37"/>
        <v>106.1780821917808</v>
      </c>
      <c r="AR218" s="531">
        <f t="shared" si="38"/>
        <v>1221.3774340542402</v>
      </c>
      <c r="AS218" s="531">
        <f t="shared" si="39"/>
        <v>1445.3774340542402</v>
      </c>
    </row>
    <row r="219" spans="1:45">
      <c r="A219" s="32" t="s">
        <v>745</v>
      </c>
      <c r="B219" s="319" t="s">
        <v>65</v>
      </c>
      <c r="C219" s="319" t="str">
        <f t="shared" si="30"/>
        <v>TallasseeAL</v>
      </c>
      <c r="D219" s="10">
        <f>VLOOKUP(A:A,PTS!C:R,6,FALSE)</f>
        <v>1</v>
      </c>
      <c r="E219" s="531" cm="1">
        <f t="array" ref="E219">AVERAGE(_xlfn._xlws.FILTER(PTS!I:I, (PTS!$C:$C=A219) * ISNUMBER(PTS!I:I)))</f>
        <v>64</v>
      </c>
      <c r="F219" s="10" cm="1">
        <f t="array" ref="F219">AVERAGE(_xlfn._xlws.FILTER(PTS!J:J, (PTS!$C:$C=A219) * ISNUMBER(PTS!J:J)))</f>
        <v>160</v>
      </c>
      <c r="G219" s="531" cm="1">
        <f t="array" ref="G219">AVERAGE(_xlfn._xlws.FILTER(PTS!K:K, (PTS!$C:$C=A219) * ISNUMBER(PTS!K:K)))</f>
        <v>0</v>
      </c>
      <c r="H219" s="531" cm="1">
        <f t="array" ref="H219">AVERAGE(_xlfn._xlws.FILTER(PTS!L:L, (PTS!$C:$C=A219) * ISNUMBER(PTS!L:L)))</f>
        <v>0</v>
      </c>
      <c r="I219" s="531" cm="1">
        <f t="array" ref="I219">AVERAGE(_xlfn._xlws.FILTER(PTS!M:M, (PTS!$C:$C=A219) * ISNUMBER(PTS!M:M)))</f>
        <v>10</v>
      </c>
      <c r="J219" s="531" cm="1">
        <f t="array" ref="J219">AVERAGE(_xlfn._xlws.FILTER(PTS!N:N, (PTS!$C:$C=A219) * ISNUMBER(PTS!N:N)))</f>
        <v>35</v>
      </c>
      <c r="K219" s="531" cm="1">
        <f t="array" ref="K219">AVERAGE(_xlfn._xlws.FILTER(PTS!O:O, (PTS!$C:$C=A219) * ISNUMBER(PTS!O:O)))</f>
        <v>37.916666666666671</v>
      </c>
      <c r="L219" s="10" cm="1">
        <f t="array" ref="L219">AVERAGE(_xlfn._xlws.FILTER(PTS!P:P, (PTS!$C:$C=A219) * ISNUMBER(PTS!P:P)))</f>
        <v>0</v>
      </c>
      <c r="M219" s="531">
        <f t="shared" si="31"/>
        <v>306.91666666666669</v>
      </c>
      <c r="N219" s="531">
        <f t="shared" si="32"/>
        <v>72.916666666666671</v>
      </c>
      <c r="O219" s="531" cm="1">
        <f t="array" ref="O219">AVERAGE(_xlfn._xlws.FILTER(PTS!S:S, (PTS!$C:$C=A219) * ISNUMBER(PTS!S:S)))</f>
        <v>0</v>
      </c>
      <c r="P219" s="531" cm="1">
        <f t="array" ref="P219">AVERAGE(_xlfn._xlws.FILTER(PTS!T:T, (PTS!$C:$C=A219) * ISNUMBER(PTS!T:T)))</f>
        <v>0</v>
      </c>
      <c r="Q219" s="531" cm="1">
        <f t="array" ref="Q219">AVERAGE(_xlfn._xlws.FILTER(PTS!U:U, (PTS!$C:$C=A219) * ISNUMBER(PTS!U:U)))</f>
        <v>299.00568181818181</v>
      </c>
      <c r="S219" s="531">
        <f t="shared" si="33"/>
        <v>299.00568181818181</v>
      </c>
      <c r="T219" s="531" cm="1">
        <f t="array" ref="T219">AVERAGE(_xlfn._xlws.FILTER(PTS!X:X, (PTS!$C:$C=A219) * ISNUMBER(PTS!X:X)))</f>
        <v>52</v>
      </c>
      <c r="U219" s="531" cm="1">
        <f t="array" ref="U219">AVERAGE(_xlfn._xlws.FILTER(PTS!Y:Y, (PTS!$C:$C=A219) * ISNUMBER(PTS!Y:Y)))</f>
        <v>50.4</v>
      </c>
      <c r="V219" s="531" cm="1">
        <f t="array" ref="V219">AVERAGE(_xlfn._xlws.FILTER(PTS!Z:Z, (PTS!$C:$C=A219) * ISNUMBER(PTS!Z:Z)))</f>
        <v>26.25</v>
      </c>
      <c r="X219" s="531">
        <f t="shared" si="34"/>
        <v>128.65</v>
      </c>
      <c r="Y219" s="531" cm="1">
        <f t="array" ref="Y219">AVERAGE(_xlfn._xlws.FILTER(PTS!AC:AC, (PTS!$C:$C=A219) * ISNUMBER(PTS!AC:AC)))</f>
        <v>110.22727272727273</v>
      </c>
      <c r="Z219" s="531" cm="1">
        <f t="array" ref="Z219">AVERAGE(_xlfn._xlws.FILTER(PTS!AD:AD, (PTS!$C:$C=A219) * ISNUMBER(PTS!AD:AD)))</f>
        <v>107.04545454545455</v>
      </c>
      <c r="AB219" s="531">
        <f t="shared" si="35"/>
        <v>217.27272727272728</v>
      </c>
      <c r="AC219" s="10" cm="1">
        <f t="array" ref="AC219">AVERAGE(_xlfn._xlws.FILTER(PTS!AG:AG, (PTS!$C:$C=A219) * ISNUMBER(PTS!AG:AG)))</f>
        <v>28.814300000000003</v>
      </c>
      <c r="AD219" s="531" cm="1">
        <f t="array" ref="AD219">AVERAGE(_xlfn._xlws.FILTER(PTS!AH:AH, (PTS!$C:$C=A219) * ISNUMBER(PTS!AH:AH)))</f>
        <v>6.973140495867769</v>
      </c>
      <c r="AE219" s="531" cm="1">
        <f t="array" ref="AE219">AVERAGE(_xlfn._xlws.FILTER(PTS!AI:AI, (PTS!$C:$C=A219) * ISNUMBER(PTS!AI:AI)))</f>
        <v>12.587317427197677</v>
      </c>
      <c r="AF219" s="531" cm="1">
        <f t="array" ref="AF219">AVERAGE(_xlfn._xlws.FILTER(PTS!AJ:AJ, (PTS!$C:$C=A219) * ISNUMBER(PTS!AJ:AJ)))</f>
        <v>6.7351999999999999</v>
      </c>
      <c r="AH219" s="531">
        <f t="shared" si="36"/>
        <v>55.109957923065444</v>
      </c>
      <c r="AI219" s="10" cm="1">
        <f t="array" ref="AI219">AVERAGE(_xlfn._xlws.FILTER(PTS!AM:AM, (PTS!$C:$C=A219) * ISNUMBER(PTS!AM:AM)))</f>
        <v>79.999999999999986</v>
      </c>
      <c r="AJ219" s="10" cm="1">
        <f t="array" ref="AJ219">AVERAGE(_xlfn._xlws.FILTER(PTS!AN:AN, (PTS!$C:$C=A219) * ISNUMBER(PTS!AN:AN)))</f>
        <v>26.17808219178082</v>
      </c>
      <c r="AK219" s="10" cm="1">
        <f t="array" ref="AK219">AVERAGE(_xlfn._xlws.FILTER(PTS!AO:AO, (PTS!$C:$C=A219) * ISNUMBER(PTS!AO:AO)))</f>
        <v>0</v>
      </c>
      <c r="AN219" s="531">
        <f t="shared" si="37"/>
        <v>106.1780821917808</v>
      </c>
      <c r="AR219" s="531">
        <f t="shared" si="38"/>
        <v>879.13311587242197</v>
      </c>
      <c r="AS219" s="531">
        <f t="shared" si="39"/>
        <v>1113.133115872422</v>
      </c>
    </row>
    <row r="220" spans="1:45">
      <c r="A220" s="32" t="s">
        <v>747</v>
      </c>
      <c r="B220" s="319" t="s">
        <v>80</v>
      </c>
      <c r="C220" s="319" t="str">
        <f t="shared" si="30"/>
        <v>TallulahLA</v>
      </c>
      <c r="D220" s="10">
        <f>VLOOKUP(A:A,PTS!C:R,6,FALSE)</f>
        <v>1</v>
      </c>
      <c r="E220" s="531" cm="1">
        <f t="array" ref="E220">AVERAGE(_xlfn._xlws.FILTER(PTS!I:I, (PTS!$C:$C=A220) * ISNUMBER(PTS!I:I)))</f>
        <v>48</v>
      </c>
      <c r="F220" s="10" cm="1">
        <f t="array" ref="F220">AVERAGE(_xlfn._xlws.FILTER(PTS!J:J, (PTS!$C:$C=A220) * ISNUMBER(PTS!J:J)))</f>
        <v>80</v>
      </c>
      <c r="G220" s="531" cm="1">
        <f t="array" ref="G220">AVERAGE(_xlfn._xlws.FILTER(PTS!K:K, (PTS!$C:$C=A220) * ISNUMBER(PTS!K:K)))</f>
        <v>140</v>
      </c>
      <c r="H220" s="531" cm="1">
        <f t="array" ref="H220">AVERAGE(_xlfn._xlws.FILTER(PTS!L:L, (PTS!$C:$C=A220) * ISNUMBER(PTS!L:L)))</f>
        <v>61</v>
      </c>
      <c r="I220" s="531" cm="1">
        <f t="array" ref="I220">AVERAGE(_xlfn._xlws.FILTER(PTS!M:M, (PTS!$C:$C=A220) * ISNUMBER(PTS!M:M)))</f>
        <v>0</v>
      </c>
      <c r="J220" s="531" cm="1">
        <f t="array" ref="J220">AVERAGE(_xlfn._xlws.FILTER(PTS!N:N, (PTS!$C:$C=A220) * ISNUMBER(PTS!N:N)))</f>
        <v>60</v>
      </c>
      <c r="K220" s="531" cm="1">
        <f t="array" ref="K220">AVERAGE(_xlfn._xlws.FILTER(PTS!O:O, (PTS!$C:$C=A220) * ISNUMBER(PTS!O:O)))</f>
        <v>37.916666666666671</v>
      </c>
      <c r="L220" s="10" cm="1">
        <f t="array" ref="L220">AVERAGE(_xlfn._xlws.FILTER(PTS!P:P, (PTS!$C:$C=A220) * ISNUMBER(PTS!P:P)))</f>
        <v>0</v>
      </c>
      <c r="M220" s="531">
        <f t="shared" si="31"/>
        <v>426.91666666666669</v>
      </c>
      <c r="N220" s="531">
        <f t="shared" si="32"/>
        <v>97.916666666666671</v>
      </c>
      <c r="O220" s="531" cm="1">
        <f t="array" ref="O220">AVERAGE(_xlfn._xlws.FILTER(PTS!S:S, (PTS!$C:$C=A220) * ISNUMBER(PTS!S:S)))</f>
        <v>0</v>
      </c>
      <c r="P220" s="531" cm="1">
        <f t="array" ref="P220">AVERAGE(_xlfn._xlws.FILTER(PTS!T:T, (PTS!$C:$C=A220) * ISNUMBER(PTS!T:T)))</f>
        <v>0</v>
      </c>
      <c r="Q220" s="531" cm="1">
        <f t="array" ref="Q220">AVERAGE(_xlfn._xlws.FILTER(PTS!U:U, (PTS!$C:$C=A220) * ISNUMBER(PTS!U:U)))</f>
        <v>398.97727272727275</v>
      </c>
      <c r="S220" s="531">
        <f t="shared" si="33"/>
        <v>398.97727272727275</v>
      </c>
      <c r="T220" s="531" cm="1">
        <f t="array" ref="T220">AVERAGE(_xlfn._xlws.FILTER(PTS!X:X, (PTS!$C:$C=A220) * ISNUMBER(PTS!X:X)))</f>
        <v>54</v>
      </c>
      <c r="U220" s="531" cm="1">
        <f t="array" ref="U220">AVERAGE(_xlfn._xlws.FILTER(PTS!Y:Y, (PTS!$C:$C=A220) * ISNUMBER(PTS!Y:Y)))</f>
        <v>50.4</v>
      </c>
      <c r="V220" s="531" cm="1">
        <f t="array" ref="V220">AVERAGE(_xlfn._xlws.FILTER(PTS!Z:Z, (PTS!$C:$C=A220) * ISNUMBER(PTS!Z:Z)))</f>
        <v>26.25</v>
      </c>
      <c r="X220" s="531">
        <f t="shared" si="34"/>
        <v>130.65</v>
      </c>
      <c r="Y220" s="531" cm="1">
        <f t="array" ref="Y220">AVERAGE(_xlfn._xlws.FILTER(PTS!AC:AC, (PTS!$C:$C=A220) * ISNUMBER(PTS!AC:AC)))</f>
        <v>132.95454545454544</v>
      </c>
      <c r="Z220" s="531" cm="1">
        <f t="array" ref="Z220">AVERAGE(_xlfn._xlws.FILTER(PTS!AD:AD, (PTS!$C:$C=A220) * ISNUMBER(PTS!AD:AD)))</f>
        <v>197.95454545454547</v>
      </c>
      <c r="AB220" s="531">
        <f t="shared" si="35"/>
        <v>330.90909090909088</v>
      </c>
      <c r="AC220" s="10" cm="1">
        <f t="array" ref="AC220">AVERAGE(_xlfn._xlws.FILTER(PTS!AG:AG, (PTS!$C:$C=A220) * ISNUMBER(PTS!AG:AG)))</f>
        <v>28.814300000000003</v>
      </c>
      <c r="AD220" s="531" cm="1">
        <f t="array" ref="AD220">AVERAGE(_xlfn._xlws.FILTER(PTS!AH:AH, (PTS!$C:$C=A220) * ISNUMBER(PTS!AH:AH)))</f>
        <v>6.973140495867769</v>
      </c>
      <c r="AE220" s="531" cm="1">
        <f t="array" ref="AE220">AVERAGE(_xlfn._xlws.FILTER(PTS!AI:AI, (PTS!$C:$C=A220) * ISNUMBER(PTS!AI:AI)))</f>
        <v>12.587317427197677</v>
      </c>
      <c r="AF220" s="531" cm="1">
        <f t="array" ref="AF220">AVERAGE(_xlfn._xlws.FILTER(PTS!AJ:AJ, (PTS!$C:$C=A220) * ISNUMBER(PTS!AJ:AJ)))</f>
        <v>6.7351999999999999</v>
      </c>
      <c r="AH220" s="531">
        <f t="shared" si="36"/>
        <v>55.109957923065444</v>
      </c>
      <c r="AI220" s="10" cm="1">
        <f t="array" ref="AI220">AVERAGE(_xlfn._xlws.FILTER(PTS!AM:AM, (PTS!$C:$C=A220) * ISNUMBER(PTS!AM:AM)))</f>
        <v>79.999999999999986</v>
      </c>
      <c r="AJ220" s="10" cm="1">
        <f t="array" ref="AJ220">AVERAGE(_xlfn._xlws.FILTER(PTS!AN:AN, (PTS!$C:$C=A220) * ISNUMBER(PTS!AN:AN)))</f>
        <v>26.17808219178082</v>
      </c>
      <c r="AK220" s="10" cm="1">
        <f t="array" ref="AK220">AVERAGE(_xlfn._xlws.FILTER(PTS!AO:AO, (PTS!$C:$C=A220) * ISNUMBER(PTS!AO:AO)))</f>
        <v>0</v>
      </c>
      <c r="AN220" s="531">
        <f t="shared" si="37"/>
        <v>106.1780821917808</v>
      </c>
      <c r="AR220" s="531">
        <f t="shared" si="38"/>
        <v>1119.7410704178765</v>
      </c>
      <c r="AS220" s="531">
        <f t="shared" si="39"/>
        <v>1448.7410704178765</v>
      </c>
    </row>
    <row r="221" spans="1:45">
      <c r="A221" s="32" t="s">
        <v>749</v>
      </c>
      <c r="B221" s="319" t="s">
        <v>136</v>
      </c>
      <c r="C221" s="319" t="str">
        <f t="shared" si="30"/>
        <v>TarboroNC</v>
      </c>
      <c r="D221" s="10">
        <f>VLOOKUP(A:A,PTS!C:R,6,FALSE)</f>
        <v>1</v>
      </c>
      <c r="E221" s="531" cm="1">
        <f t="array" ref="E221">AVERAGE(_xlfn._xlws.FILTER(PTS!I:I, (PTS!$C:$C=A221) * ISNUMBER(PTS!I:I)))</f>
        <v>81</v>
      </c>
      <c r="F221" s="10" cm="1">
        <f t="array" ref="F221">AVERAGE(_xlfn._xlws.FILTER(PTS!J:J, (PTS!$C:$C=A221) * ISNUMBER(PTS!J:J)))</f>
        <v>81</v>
      </c>
      <c r="G221" s="531" cm="1">
        <f t="array" ref="G221">AVERAGE(_xlfn._xlws.FILTER(PTS!K:K, (PTS!$C:$C=A221) * ISNUMBER(PTS!K:K)))</f>
        <v>0</v>
      </c>
      <c r="H221" s="531" cm="1">
        <f t="array" ref="H221">AVERAGE(_xlfn._xlws.FILTER(PTS!L:L, (PTS!$C:$C=A221) * ISNUMBER(PTS!L:L)))</f>
        <v>0</v>
      </c>
      <c r="I221" s="531" cm="1">
        <f t="array" ref="I221">AVERAGE(_xlfn._xlws.FILTER(PTS!M:M, (PTS!$C:$C=A221) * ISNUMBER(PTS!M:M)))</f>
        <v>20</v>
      </c>
      <c r="J221" s="531" cm="1">
        <f t="array" ref="J221">AVERAGE(_xlfn._xlws.FILTER(PTS!N:N, (PTS!$C:$C=A221) * ISNUMBER(PTS!N:N)))</f>
        <v>45</v>
      </c>
      <c r="K221" s="531" cm="1">
        <f t="array" ref="K221">AVERAGE(_xlfn._xlws.FILTER(PTS!O:O, (PTS!$C:$C=A221) * ISNUMBER(PTS!O:O)))</f>
        <v>37.916666666666671</v>
      </c>
      <c r="L221" s="10" cm="1">
        <f t="array" ref="L221">AVERAGE(_xlfn._xlws.FILTER(PTS!P:P, (PTS!$C:$C=A221) * ISNUMBER(PTS!P:P)))</f>
        <v>0</v>
      </c>
      <c r="M221" s="531">
        <f t="shared" si="31"/>
        <v>264.91666666666669</v>
      </c>
      <c r="N221" s="531">
        <f t="shared" si="32"/>
        <v>82.916666666666671</v>
      </c>
      <c r="O221" s="531" cm="1">
        <f t="array" ref="O221">AVERAGE(_xlfn._xlws.FILTER(PTS!S:S, (PTS!$C:$C=A221) * ISNUMBER(PTS!S:S)))</f>
        <v>0</v>
      </c>
      <c r="P221" s="531" cm="1">
        <f t="array" ref="P221">AVERAGE(_xlfn._xlws.FILTER(PTS!T:T, (PTS!$C:$C=A221) * ISNUMBER(PTS!T:T)))</f>
        <v>0</v>
      </c>
      <c r="Q221" s="531" cm="1">
        <f t="array" ref="Q221">AVERAGE(_xlfn._xlws.FILTER(PTS!U:U, (PTS!$C:$C=A221) * ISNUMBER(PTS!U:U)))</f>
        <v>265.58465909090904</v>
      </c>
      <c r="S221" s="531">
        <f t="shared" si="33"/>
        <v>265.58465909090904</v>
      </c>
      <c r="T221" s="531" cm="1">
        <f t="array" ref="T221">AVERAGE(_xlfn._xlws.FILTER(PTS!X:X, (PTS!$C:$C=A221) * ISNUMBER(PTS!X:X)))</f>
        <v>52</v>
      </c>
      <c r="U221" s="531" cm="1">
        <f t="array" ref="U221">AVERAGE(_xlfn._xlws.FILTER(PTS!Y:Y, (PTS!$C:$C=A221) * ISNUMBER(PTS!Y:Y)))</f>
        <v>50.4</v>
      </c>
      <c r="V221" s="531" cm="1">
        <f t="array" ref="V221">AVERAGE(_xlfn._xlws.FILTER(PTS!Z:Z, (PTS!$C:$C=A221) * ISNUMBER(PTS!Z:Z)))</f>
        <v>26.25</v>
      </c>
      <c r="X221" s="531">
        <f t="shared" si="34"/>
        <v>128.65</v>
      </c>
      <c r="Y221" s="531" cm="1">
        <f t="array" ref="Y221">AVERAGE(_xlfn._xlws.FILTER(PTS!AC:AC, (PTS!$C:$C=A221) * ISNUMBER(PTS!AC:AC)))</f>
        <v>110.22727272727273</v>
      </c>
      <c r="Z221" s="531" cm="1">
        <f t="array" ref="Z221">AVERAGE(_xlfn._xlws.FILTER(PTS!AD:AD, (PTS!$C:$C=A221) * ISNUMBER(PTS!AD:AD)))</f>
        <v>107.04545454545455</v>
      </c>
      <c r="AB221" s="531">
        <f t="shared" si="35"/>
        <v>217.27272727272728</v>
      </c>
      <c r="AC221" s="10" cm="1">
        <f t="array" ref="AC221">AVERAGE(_xlfn._xlws.FILTER(PTS!AG:AG, (PTS!$C:$C=A221) * ISNUMBER(PTS!AG:AG)))</f>
        <v>28.814300000000003</v>
      </c>
      <c r="AD221" s="531" cm="1">
        <f t="array" ref="AD221">AVERAGE(_xlfn._xlws.FILTER(PTS!AH:AH, (PTS!$C:$C=A221) * ISNUMBER(PTS!AH:AH)))</f>
        <v>6.973140495867769</v>
      </c>
      <c r="AE221" s="531" cm="1">
        <f t="array" ref="AE221">AVERAGE(_xlfn._xlws.FILTER(PTS!AI:AI, (PTS!$C:$C=A221) * ISNUMBER(PTS!AI:AI)))</f>
        <v>12.587317427197677</v>
      </c>
      <c r="AF221" s="531" cm="1">
        <f t="array" ref="AF221">AVERAGE(_xlfn._xlws.FILTER(PTS!AJ:AJ, (PTS!$C:$C=A221) * ISNUMBER(PTS!AJ:AJ)))</f>
        <v>6.7351999999999999</v>
      </c>
      <c r="AH221" s="531">
        <f t="shared" si="36"/>
        <v>55.109957923065444</v>
      </c>
      <c r="AI221" s="10" cm="1">
        <f t="array" ref="AI221">AVERAGE(_xlfn._xlws.FILTER(PTS!AM:AM, (PTS!$C:$C=A221) * ISNUMBER(PTS!AM:AM)))</f>
        <v>79.999999999999986</v>
      </c>
      <c r="AJ221" s="10" cm="1">
        <f t="array" ref="AJ221">AVERAGE(_xlfn._xlws.FILTER(PTS!AN:AN, (PTS!$C:$C=A221) * ISNUMBER(PTS!AN:AN)))</f>
        <v>26.17808219178082</v>
      </c>
      <c r="AK221" s="10" cm="1">
        <f t="array" ref="AK221">AVERAGE(_xlfn._xlws.FILTER(PTS!AO:AO, (PTS!$C:$C=A221) * ISNUMBER(PTS!AO:AO)))</f>
        <v>0</v>
      </c>
      <c r="AN221" s="531">
        <f t="shared" si="37"/>
        <v>106.1780821917808</v>
      </c>
      <c r="AR221" s="531">
        <f t="shared" si="38"/>
        <v>855.7120931451492</v>
      </c>
      <c r="AS221" s="531">
        <f t="shared" si="39"/>
        <v>1037.7120931451491</v>
      </c>
    </row>
    <row r="222" spans="1:45">
      <c r="A222" s="32" t="s">
        <v>752</v>
      </c>
      <c r="B222" s="319" t="s">
        <v>71</v>
      </c>
      <c r="C222" s="319" t="str">
        <f t="shared" si="30"/>
        <v>TaylorTX</v>
      </c>
      <c r="D222" s="10">
        <f>VLOOKUP(A:A,PTS!C:R,6,FALSE)</f>
        <v>3</v>
      </c>
      <c r="E222" s="531" cm="1">
        <f t="array" ref="E222">AVERAGE(_xlfn._xlws.FILTER(PTS!I:I, (PTS!$C:$C=A222) * ISNUMBER(PTS!I:I)))</f>
        <v>96.666666666666671</v>
      </c>
      <c r="F222" s="10" cm="1">
        <f t="array" ref="F222">AVERAGE(_xlfn._xlws.FILTER(PTS!J:J, (PTS!$C:$C=A222) * ISNUMBER(PTS!J:J)))</f>
        <v>206.66666666666666</v>
      </c>
      <c r="G222" s="531" cm="1">
        <f t="array" ref="G222">AVERAGE(_xlfn._xlws.FILTER(PTS!K:K, (PTS!$C:$C=A222) * ISNUMBER(PTS!K:K)))</f>
        <v>160</v>
      </c>
      <c r="H222" s="531" cm="1">
        <f t="array" ref="H222">AVERAGE(_xlfn._xlws.FILTER(PTS!L:L, (PTS!$C:$C=A222) * ISNUMBER(PTS!L:L)))</f>
        <v>0</v>
      </c>
      <c r="I222" s="531" cm="1">
        <f t="array" ref="I222">AVERAGE(_xlfn._xlws.FILTER(PTS!M:M, (PTS!$C:$C=A222) * ISNUMBER(PTS!M:M)))</f>
        <v>0</v>
      </c>
      <c r="J222" s="531" cm="1">
        <f t="array" ref="J222">AVERAGE(_xlfn._xlws.FILTER(PTS!N:N, (PTS!$C:$C=A222) * ISNUMBER(PTS!N:N)))</f>
        <v>73.333333333333329</v>
      </c>
      <c r="K222" s="531" cm="1">
        <f t="array" ref="K222">AVERAGE(_xlfn._xlws.FILTER(PTS!O:O, (PTS!$C:$C=A222) * ISNUMBER(PTS!O:O)))</f>
        <v>37.916666666666671</v>
      </c>
      <c r="L222" s="10" cm="1">
        <f t="array" ref="L222">AVERAGE(_xlfn._xlws.FILTER(PTS!P:P, (PTS!$C:$C=A222) * ISNUMBER(PTS!P:P)))</f>
        <v>0</v>
      </c>
      <c r="M222" s="531">
        <f t="shared" si="31"/>
        <v>574.58333333333326</v>
      </c>
      <c r="N222" s="531">
        <f t="shared" si="32"/>
        <v>477.91666666666663</v>
      </c>
      <c r="O222" s="531" cm="1">
        <f t="array" ref="O222">AVERAGE(_xlfn._xlws.FILTER(PTS!S:S, (PTS!$C:$C=A222) * ISNUMBER(PTS!S:S)))</f>
        <v>6.666666666666667</v>
      </c>
      <c r="P222" s="531" cm="1">
        <f t="array" ref="P222">AVERAGE(_xlfn._xlws.FILTER(PTS!T:T, (PTS!$C:$C=A222) * ISNUMBER(PTS!T:T)))</f>
        <v>0</v>
      </c>
      <c r="Q222" s="531" cm="1">
        <f t="array" ref="Q222">AVERAGE(_xlfn._xlws.FILTER(PTS!U:U, (PTS!$C:$C=A222) * ISNUMBER(PTS!U:U)))</f>
        <v>190.34090909090909</v>
      </c>
      <c r="S222" s="531">
        <f t="shared" si="33"/>
        <v>197.00757575757575</v>
      </c>
      <c r="T222" s="531" cm="1">
        <f t="array" ref="T222">AVERAGE(_xlfn._xlws.FILTER(PTS!X:X, (PTS!$C:$C=A222) * ISNUMBER(PTS!X:X)))</f>
        <v>54</v>
      </c>
      <c r="U222" s="531" cm="1">
        <f t="array" ref="U222">AVERAGE(_xlfn._xlws.FILTER(PTS!Y:Y, (PTS!$C:$C=A222) * ISNUMBER(PTS!Y:Y)))</f>
        <v>50.4</v>
      </c>
      <c r="V222" s="531" cm="1">
        <f t="array" ref="V222">AVERAGE(_xlfn._xlws.FILTER(PTS!Z:Z, (PTS!$C:$C=A222) * ISNUMBER(PTS!Z:Z)))</f>
        <v>26.25</v>
      </c>
      <c r="X222" s="531">
        <f t="shared" si="34"/>
        <v>130.65</v>
      </c>
      <c r="Y222" s="531" cm="1">
        <f t="array" ref="Y222">AVERAGE(_xlfn._xlws.FILTER(PTS!AC:AC, (PTS!$C:$C=A222) * ISNUMBER(PTS!AC:AC)))</f>
        <v>132.95454545454544</v>
      </c>
      <c r="Z222" s="531" cm="1">
        <f t="array" ref="Z222">AVERAGE(_xlfn._xlws.FILTER(PTS!AD:AD, (PTS!$C:$C=A222) * ISNUMBER(PTS!AD:AD)))</f>
        <v>197.95454545454547</v>
      </c>
      <c r="AB222" s="531">
        <f t="shared" si="35"/>
        <v>330.90909090909088</v>
      </c>
      <c r="AC222" s="10" cm="1">
        <f t="array" ref="AC222">AVERAGE(_xlfn._xlws.FILTER(PTS!AG:AG, (PTS!$C:$C=A222) * ISNUMBER(PTS!AG:AG)))</f>
        <v>28.814300000000003</v>
      </c>
      <c r="AD222" s="531" cm="1">
        <f t="array" ref="AD222">AVERAGE(_xlfn._xlws.FILTER(PTS!AH:AH, (PTS!$C:$C=A222) * ISNUMBER(PTS!AH:AH)))</f>
        <v>6.9731404958677699</v>
      </c>
      <c r="AE222" s="531" cm="1">
        <f t="array" ref="AE222">AVERAGE(_xlfn._xlws.FILTER(PTS!AI:AI, (PTS!$C:$C=A222) * ISNUMBER(PTS!AI:AI)))</f>
        <v>12.587317427197677</v>
      </c>
      <c r="AF222" s="531" cm="1">
        <f t="array" ref="AF222">AVERAGE(_xlfn._xlws.FILTER(PTS!AJ:AJ, (PTS!$C:$C=A222) * ISNUMBER(PTS!AJ:AJ)))</f>
        <v>6.7351999999999999</v>
      </c>
      <c r="AH222" s="531">
        <f t="shared" si="36"/>
        <v>55.109957923065444</v>
      </c>
      <c r="AI222" s="10" cm="1">
        <f t="array" ref="AI222">AVERAGE(_xlfn._xlws.FILTER(PTS!AM:AM, (PTS!$C:$C=A222) * ISNUMBER(PTS!AM:AM)))</f>
        <v>79.999999999999986</v>
      </c>
      <c r="AJ222" s="10" cm="1">
        <f t="array" ref="AJ222">AVERAGE(_xlfn._xlws.FILTER(PTS!AN:AN, (PTS!$C:$C=A222) * ISNUMBER(PTS!AN:AN)))</f>
        <v>26.17808219178082</v>
      </c>
      <c r="AK222" s="10" cm="1">
        <f t="array" ref="AK222">AVERAGE(_xlfn._xlws.FILTER(PTS!AO:AO, (PTS!$C:$C=A222) * ISNUMBER(PTS!AO:AO)))</f>
        <v>0</v>
      </c>
      <c r="AN222" s="531">
        <f t="shared" si="37"/>
        <v>106.1780821917808</v>
      </c>
      <c r="AR222" s="531">
        <f t="shared" si="38"/>
        <v>1297.7713734481792</v>
      </c>
      <c r="AS222" s="531">
        <f t="shared" si="39"/>
        <v>1394.438040114846</v>
      </c>
    </row>
    <row r="223" spans="1:45">
      <c r="A223" s="32" t="s">
        <v>757</v>
      </c>
      <c r="B223" s="319" t="s">
        <v>76</v>
      </c>
      <c r="C223" s="319" t="str">
        <f t="shared" si="30"/>
        <v>TaylorsvilleGA</v>
      </c>
      <c r="D223" s="10">
        <f>VLOOKUP(A:A,PTS!C:R,6,FALSE)</f>
        <v>4</v>
      </c>
      <c r="E223" s="531" cm="1">
        <f t="array" ref="E223">AVERAGE(_xlfn._xlws.FILTER(PTS!I:I, (PTS!$C:$C=A223) * ISNUMBER(PTS!I:I)))</f>
        <v>65</v>
      </c>
      <c r="F223" s="10" cm="1">
        <f t="array" ref="F223">AVERAGE(_xlfn._xlws.FILTER(PTS!J:J, (PTS!$C:$C=A223) * ISNUMBER(PTS!J:J)))</f>
        <v>100</v>
      </c>
      <c r="G223" s="531" cm="1">
        <f t="array" ref="G223">AVERAGE(_xlfn._xlws.FILTER(PTS!K:K, (PTS!$C:$C=A223) * ISNUMBER(PTS!K:K)))</f>
        <v>0</v>
      </c>
      <c r="H223" s="531" cm="1">
        <f t="array" ref="H223">AVERAGE(_xlfn._xlws.FILTER(PTS!L:L, (PTS!$C:$C=A223) * ISNUMBER(PTS!L:L)))</f>
        <v>0</v>
      </c>
      <c r="I223" s="531" cm="1">
        <f t="array" ref="I223">AVERAGE(_xlfn._xlws.FILTER(PTS!M:M, (PTS!$C:$C=A223) * ISNUMBER(PTS!M:M)))</f>
        <v>20</v>
      </c>
      <c r="J223" s="531" cm="1">
        <f t="array" ref="J223">AVERAGE(_xlfn._xlws.FILTER(PTS!N:N, (PTS!$C:$C=A223) * ISNUMBER(PTS!N:N)))</f>
        <v>54</v>
      </c>
      <c r="K223" s="531" cm="1">
        <f t="array" ref="K223">AVERAGE(_xlfn._xlws.FILTER(PTS!O:O, (PTS!$C:$C=A223) * ISNUMBER(PTS!O:O)))</f>
        <v>37.916666666666671</v>
      </c>
      <c r="L223" s="10" cm="1">
        <f t="array" ref="L223">AVERAGE(_xlfn._xlws.FILTER(PTS!P:P, (PTS!$C:$C=A223) * ISNUMBER(PTS!P:P)))</f>
        <v>0</v>
      </c>
      <c r="M223" s="531">
        <f t="shared" si="31"/>
        <v>276.91666666666669</v>
      </c>
      <c r="N223" s="531">
        <f t="shared" si="32"/>
        <v>37.916666666666671</v>
      </c>
      <c r="O223" s="531" cm="1">
        <f t="array" ref="O223">AVERAGE(_xlfn._xlws.FILTER(PTS!S:S, (PTS!$C:$C=A223) * ISNUMBER(PTS!S:S)))</f>
        <v>0</v>
      </c>
      <c r="P223" s="531" cm="1">
        <f t="array" ref="P223">AVERAGE(_xlfn._xlws.FILTER(PTS!T:T, (PTS!$C:$C=A223) * ISNUMBER(PTS!T:T)))</f>
        <v>0</v>
      </c>
      <c r="Q223" s="531" cm="1">
        <f t="array" ref="Q223">AVERAGE(_xlfn._xlws.FILTER(PTS!U:U, (PTS!$C:$C=A223) * ISNUMBER(PTS!U:U)))</f>
        <v>297.19431818181818</v>
      </c>
      <c r="S223" s="531">
        <f t="shared" si="33"/>
        <v>297.19431818181818</v>
      </c>
      <c r="T223" s="531" cm="1">
        <f t="array" ref="T223">AVERAGE(_xlfn._xlws.FILTER(PTS!X:X, (PTS!$C:$C=A223) * ISNUMBER(PTS!X:X)))</f>
        <v>52</v>
      </c>
      <c r="U223" s="531" cm="1">
        <f t="array" ref="U223">AVERAGE(_xlfn._xlws.FILTER(PTS!Y:Y, (PTS!$C:$C=A223) * ISNUMBER(PTS!Y:Y)))</f>
        <v>50.4</v>
      </c>
      <c r="V223" s="531" cm="1">
        <f t="array" ref="V223">AVERAGE(_xlfn._xlws.FILTER(PTS!Z:Z, (PTS!$C:$C=A223) * ISNUMBER(PTS!Z:Z)))</f>
        <v>26.25</v>
      </c>
      <c r="X223" s="531">
        <f t="shared" si="34"/>
        <v>128.65</v>
      </c>
      <c r="Y223" s="531" cm="1">
        <f t="array" ref="Y223">AVERAGE(_xlfn._xlws.FILTER(PTS!AC:AC, (PTS!$C:$C=A223) * ISNUMBER(PTS!AC:AC)))</f>
        <v>110.22727272727273</v>
      </c>
      <c r="Z223" s="531" cm="1">
        <f t="array" ref="Z223">AVERAGE(_xlfn._xlws.FILTER(PTS!AD:AD, (PTS!$C:$C=A223) * ISNUMBER(PTS!AD:AD)))</f>
        <v>107.04545454545455</v>
      </c>
      <c r="AB223" s="531">
        <f t="shared" si="35"/>
        <v>217.27272727272728</v>
      </c>
      <c r="AC223" s="10" cm="1">
        <f t="array" ref="AC223">AVERAGE(_xlfn._xlws.FILTER(PTS!AG:AG, (PTS!$C:$C=A223) * ISNUMBER(PTS!AG:AG)))</f>
        <v>28.814300000000003</v>
      </c>
      <c r="AD223" s="531" cm="1">
        <f t="array" ref="AD223">AVERAGE(_xlfn._xlws.FILTER(PTS!AH:AH, (PTS!$C:$C=A223) * ISNUMBER(PTS!AH:AH)))</f>
        <v>6.973140495867769</v>
      </c>
      <c r="AE223" s="531" cm="1">
        <f t="array" ref="AE223">AVERAGE(_xlfn._xlws.FILTER(PTS!AI:AI, (PTS!$C:$C=A223) * ISNUMBER(PTS!AI:AI)))</f>
        <v>12.587317427197677</v>
      </c>
      <c r="AF223" s="531" cm="1">
        <f t="array" ref="AF223">AVERAGE(_xlfn._xlws.FILTER(PTS!AJ:AJ, (PTS!$C:$C=A223) * ISNUMBER(PTS!AJ:AJ)))</f>
        <v>6.7351999999999999</v>
      </c>
      <c r="AH223" s="531">
        <f t="shared" si="36"/>
        <v>55.109957923065444</v>
      </c>
      <c r="AI223" s="10" cm="1">
        <f t="array" ref="AI223">AVERAGE(_xlfn._xlws.FILTER(PTS!AM:AM, (PTS!$C:$C=A223) * ISNUMBER(PTS!AM:AM)))</f>
        <v>79.999999999999986</v>
      </c>
      <c r="AJ223" s="10" cm="1">
        <f t="array" ref="AJ223">AVERAGE(_xlfn._xlws.FILTER(PTS!AN:AN, (PTS!$C:$C=A223) * ISNUMBER(PTS!AN:AN)))</f>
        <v>26.17808219178082</v>
      </c>
      <c r="AK223" s="10" cm="1">
        <f t="array" ref="AK223">AVERAGE(_xlfn._xlws.FILTER(PTS!AO:AO, (PTS!$C:$C=A223) * ISNUMBER(PTS!AO:AO)))</f>
        <v>0</v>
      </c>
      <c r="AN223" s="531">
        <f t="shared" si="37"/>
        <v>106.1780821917808</v>
      </c>
      <c r="AR223" s="531">
        <f t="shared" si="38"/>
        <v>842.32175223605839</v>
      </c>
      <c r="AS223" s="531">
        <f t="shared" si="39"/>
        <v>1081.3217522360583</v>
      </c>
    </row>
    <row r="224" spans="1:45">
      <c r="A224" s="32" t="s">
        <v>760</v>
      </c>
      <c r="B224" s="319" t="s">
        <v>76</v>
      </c>
      <c r="C224" s="319" t="str">
        <f t="shared" si="30"/>
        <v>TiftonGA</v>
      </c>
      <c r="D224" s="10">
        <f>VLOOKUP(A:A,PTS!C:R,6,FALSE)</f>
        <v>4</v>
      </c>
      <c r="E224" s="531" cm="1">
        <f t="array" ref="E224">AVERAGE(_xlfn._xlws.FILTER(PTS!I:I, (PTS!$C:$C=A224) * ISNUMBER(PTS!I:I)))</f>
        <v>70</v>
      </c>
      <c r="F224" s="10" cm="1">
        <f t="array" ref="F224">AVERAGE(_xlfn._xlws.FILTER(PTS!J:J, (PTS!$C:$C=A224) * ISNUMBER(PTS!J:J)))</f>
        <v>110</v>
      </c>
      <c r="G224" s="531" cm="1">
        <f t="array" ref="G224">AVERAGE(_xlfn._xlws.FILTER(PTS!K:K, (PTS!$C:$C=A224) * ISNUMBER(PTS!K:K)))</f>
        <v>0</v>
      </c>
      <c r="H224" s="531" cm="1">
        <f t="array" ref="H224">AVERAGE(_xlfn._xlws.FILTER(PTS!L:L, (PTS!$C:$C=A224) * ISNUMBER(PTS!L:L)))</f>
        <v>0</v>
      </c>
      <c r="I224" s="531" cm="1">
        <f t="array" ref="I224">AVERAGE(_xlfn._xlws.FILTER(PTS!M:M, (PTS!$C:$C=A224) * ISNUMBER(PTS!M:M)))</f>
        <v>20</v>
      </c>
      <c r="J224" s="531" cm="1">
        <f t="array" ref="J224">AVERAGE(_xlfn._xlws.FILTER(PTS!N:N, (PTS!$C:$C=A224) * ISNUMBER(PTS!N:N)))</f>
        <v>70</v>
      </c>
      <c r="K224" s="531" cm="1">
        <f t="array" ref="K224">AVERAGE(_xlfn._xlws.FILTER(PTS!O:O, (PTS!$C:$C=A224) * ISNUMBER(PTS!O:O)))</f>
        <v>37.916666666666671</v>
      </c>
      <c r="L224" s="10" cm="1">
        <f t="array" ref="L224">AVERAGE(_xlfn._xlws.FILTER(PTS!P:P, (PTS!$C:$C=A224) * ISNUMBER(PTS!P:P)))</f>
        <v>0</v>
      </c>
      <c r="M224" s="531">
        <f t="shared" si="31"/>
        <v>307.91666666666669</v>
      </c>
      <c r="N224" s="531">
        <f t="shared" si="32"/>
        <v>37.916666666666671</v>
      </c>
      <c r="O224" s="531" cm="1">
        <f t="array" ref="O224">AVERAGE(_xlfn._xlws.FILTER(PTS!S:S, (PTS!$C:$C=A224) * ISNUMBER(PTS!S:S)))</f>
        <v>0</v>
      </c>
      <c r="P224" s="531" cm="1">
        <f t="array" ref="P224">AVERAGE(_xlfn._xlws.FILTER(PTS!T:T, (PTS!$C:$C=A224) * ISNUMBER(PTS!T:T)))</f>
        <v>0</v>
      </c>
      <c r="Q224" s="531" cm="1">
        <f t="array" ref="Q224">AVERAGE(_xlfn._xlws.FILTER(PTS!U:U, (PTS!$C:$C=A224) * ISNUMBER(PTS!U:U)))</f>
        <v>207.20909090909092</v>
      </c>
      <c r="S224" s="531">
        <f t="shared" si="33"/>
        <v>207.20909090909092</v>
      </c>
      <c r="T224" s="531" cm="1">
        <f t="array" ref="T224">AVERAGE(_xlfn._xlws.FILTER(PTS!X:X, (PTS!$C:$C=A224) * ISNUMBER(PTS!X:X)))</f>
        <v>52</v>
      </c>
      <c r="U224" s="531" cm="1">
        <f t="array" ref="U224">AVERAGE(_xlfn._xlws.FILTER(PTS!Y:Y, (PTS!$C:$C=A224) * ISNUMBER(PTS!Y:Y)))</f>
        <v>50.4</v>
      </c>
      <c r="V224" s="531" cm="1">
        <f t="array" ref="V224">AVERAGE(_xlfn._xlws.FILTER(PTS!Z:Z, (PTS!$C:$C=A224) * ISNUMBER(PTS!Z:Z)))</f>
        <v>26.25</v>
      </c>
      <c r="X224" s="531">
        <f t="shared" si="34"/>
        <v>128.65</v>
      </c>
      <c r="Y224" s="531" cm="1">
        <f t="array" ref="Y224">AVERAGE(_xlfn._xlws.FILTER(PTS!AC:AC, (PTS!$C:$C=A224) * ISNUMBER(PTS!AC:AC)))</f>
        <v>110.22727272727273</v>
      </c>
      <c r="Z224" s="531" cm="1">
        <f t="array" ref="Z224">AVERAGE(_xlfn._xlws.FILTER(PTS!AD:AD, (PTS!$C:$C=A224) * ISNUMBER(PTS!AD:AD)))</f>
        <v>107.04545454545455</v>
      </c>
      <c r="AB224" s="531">
        <f t="shared" si="35"/>
        <v>217.27272727272728</v>
      </c>
      <c r="AC224" s="10" cm="1">
        <f t="array" ref="AC224">AVERAGE(_xlfn._xlws.FILTER(PTS!AG:AG, (PTS!$C:$C=A224) * ISNUMBER(PTS!AG:AG)))</f>
        <v>28.814300000000003</v>
      </c>
      <c r="AD224" s="531" cm="1">
        <f t="array" ref="AD224">AVERAGE(_xlfn._xlws.FILTER(PTS!AH:AH, (PTS!$C:$C=A224) * ISNUMBER(PTS!AH:AH)))</f>
        <v>6.973140495867769</v>
      </c>
      <c r="AE224" s="531" cm="1">
        <f t="array" ref="AE224">AVERAGE(_xlfn._xlws.FILTER(PTS!AI:AI, (PTS!$C:$C=A224) * ISNUMBER(PTS!AI:AI)))</f>
        <v>12.587317427197677</v>
      </c>
      <c r="AF224" s="531" cm="1">
        <f t="array" ref="AF224">AVERAGE(_xlfn._xlws.FILTER(PTS!AJ:AJ, (PTS!$C:$C=A224) * ISNUMBER(PTS!AJ:AJ)))</f>
        <v>6.7351999999999999</v>
      </c>
      <c r="AH224" s="531">
        <f t="shared" si="36"/>
        <v>55.109957923065444</v>
      </c>
      <c r="AI224" s="10" cm="1">
        <f t="array" ref="AI224">AVERAGE(_xlfn._xlws.FILTER(PTS!AM:AM, (PTS!$C:$C=A224) * ISNUMBER(PTS!AM:AM)))</f>
        <v>79.999999999999986</v>
      </c>
      <c r="AJ224" s="10" cm="1">
        <f t="array" ref="AJ224">AVERAGE(_xlfn._xlws.FILTER(PTS!AN:AN, (PTS!$C:$C=A224) * ISNUMBER(PTS!AN:AN)))</f>
        <v>26.17808219178082</v>
      </c>
      <c r="AK224" s="10" cm="1">
        <f t="array" ref="AK224">AVERAGE(_xlfn._xlws.FILTER(PTS!AO:AO, (PTS!$C:$C=A224) * ISNUMBER(PTS!AO:AO)))</f>
        <v>0</v>
      </c>
      <c r="AN224" s="531">
        <f t="shared" si="37"/>
        <v>106.1780821917808</v>
      </c>
      <c r="AR224" s="531">
        <f t="shared" si="38"/>
        <v>752.33652496333104</v>
      </c>
      <c r="AS224" s="531">
        <f t="shared" si="39"/>
        <v>1022.336524963331</v>
      </c>
    </row>
    <row r="225" spans="1:45">
      <c r="A225" s="32" t="s">
        <v>762</v>
      </c>
      <c r="B225" s="319" t="s">
        <v>71</v>
      </c>
      <c r="C225" s="319" t="str">
        <f t="shared" si="30"/>
        <v>TornilloTX</v>
      </c>
      <c r="D225" s="10">
        <f>VLOOKUP(A:A,PTS!C:R,6,FALSE)</f>
        <v>3</v>
      </c>
      <c r="E225" s="531" cm="1">
        <f t="array" ref="E225">AVERAGE(_xlfn._xlws.FILTER(PTS!I:I, (PTS!$C:$C=A225) * ISNUMBER(PTS!I:I)))</f>
        <v>65</v>
      </c>
      <c r="F225" s="10" cm="1">
        <f t="array" ref="F225">AVERAGE(_xlfn._xlws.FILTER(PTS!J:J, (PTS!$C:$C=A225) * ISNUMBER(PTS!J:J)))</f>
        <v>125</v>
      </c>
      <c r="G225" s="531" cm="1">
        <f t="array" ref="G225">AVERAGE(_xlfn._xlws.FILTER(PTS!K:K, (PTS!$C:$C=A225) * ISNUMBER(PTS!K:K)))</f>
        <v>145</v>
      </c>
      <c r="H225" s="531" cm="1">
        <f t="array" ref="H225">AVERAGE(_xlfn._xlws.FILTER(PTS!L:L, (PTS!$C:$C=A225) * ISNUMBER(PTS!L:L)))</f>
        <v>0</v>
      </c>
      <c r="I225" s="531" cm="1">
        <f t="array" ref="I225">AVERAGE(_xlfn._xlws.FILTER(PTS!M:M, (PTS!$C:$C=A225) * ISNUMBER(PTS!M:M)))</f>
        <v>0</v>
      </c>
      <c r="J225" s="531" cm="1">
        <f t="array" ref="J225">AVERAGE(_xlfn._xlws.FILTER(PTS!N:N, (PTS!$C:$C=A225) * ISNUMBER(PTS!N:N)))</f>
        <v>72</v>
      </c>
      <c r="K225" s="531" cm="1">
        <f t="array" ref="K225">AVERAGE(_xlfn._xlws.FILTER(PTS!O:O, (PTS!$C:$C=A225) * ISNUMBER(PTS!O:O)))</f>
        <v>37.916666666666671</v>
      </c>
      <c r="L225" s="10" cm="1">
        <f t="array" ref="L225">AVERAGE(_xlfn._xlws.FILTER(PTS!P:P, (PTS!$C:$C=A225) * ISNUMBER(PTS!P:P)))</f>
        <v>0</v>
      </c>
      <c r="M225" s="531">
        <f t="shared" si="31"/>
        <v>444.91666666666669</v>
      </c>
      <c r="N225" s="531">
        <f t="shared" si="32"/>
        <v>379.91666666666669</v>
      </c>
      <c r="O225" s="531" cm="1">
        <f t="array" ref="O225">AVERAGE(_xlfn._xlws.FILTER(PTS!S:S, (PTS!$C:$C=A225) * ISNUMBER(PTS!S:S)))</f>
        <v>0</v>
      </c>
      <c r="P225" s="531" cm="1">
        <f t="array" ref="P225">AVERAGE(_xlfn._xlws.FILTER(PTS!T:T, (PTS!$C:$C=A225) * ISNUMBER(PTS!T:T)))</f>
        <v>0</v>
      </c>
      <c r="Q225" s="531" cm="1">
        <f t="array" ref="Q225">AVERAGE(_xlfn._xlws.FILTER(PTS!U:U, (PTS!$C:$C=A225) * ISNUMBER(PTS!U:U)))</f>
        <v>340.1704545454545</v>
      </c>
      <c r="S225" s="531">
        <f t="shared" si="33"/>
        <v>340.1704545454545</v>
      </c>
      <c r="T225" s="531" cm="1">
        <f t="array" ref="T225">AVERAGE(_xlfn._xlws.FILTER(PTS!X:X, (PTS!$C:$C=A225) * ISNUMBER(PTS!X:X)))</f>
        <v>54</v>
      </c>
      <c r="U225" s="531" cm="1">
        <f t="array" ref="U225">AVERAGE(_xlfn._xlws.FILTER(PTS!Y:Y, (PTS!$C:$C=A225) * ISNUMBER(PTS!Y:Y)))</f>
        <v>50.4</v>
      </c>
      <c r="V225" s="531" cm="1">
        <f t="array" ref="V225">AVERAGE(_xlfn._xlws.FILTER(PTS!Z:Z, (PTS!$C:$C=A225) * ISNUMBER(PTS!Z:Z)))</f>
        <v>26.25</v>
      </c>
      <c r="X225" s="531">
        <f t="shared" si="34"/>
        <v>130.65</v>
      </c>
      <c r="Y225" s="531" cm="1">
        <f t="array" ref="Y225">AVERAGE(_xlfn._xlws.FILTER(PTS!AC:AC, (PTS!$C:$C=A225) * ISNUMBER(PTS!AC:AC)))</f>
        <v>147.72727272727272</v>
      </c>
      <c r="Z225" s="531" cm="1">
        <f t="array" ref="Z225">AVERAGE(_xlfn._xlws.FILTER(PTS!AD:AD, (PTS!$C:$C=A225) * ISNUMBER(PTS!AD:AD)))</f>
        <v>233.06818181818181</v>
      </c>
      <c r="AB225" s="531">
        <f t="shared" si="35"/>
        <v>380.7954545454545</v>
      </c>
      <c r="AC225" s="10" cm="1">
        <f t="array" ref="AC225">AVERAGE(_xlfn._xlws.FILTER(PTS!AG:AG, (PTS!$C:$C=A225) * ISNUMBER(PTS!AG:AG)))</f>
        <v>28.814300000000003</v>
      </c>
      <c r="AD225" s="531" cm="1">
        <f t="array" ref="AD225">AVERAGE(_xlfn._xlws.FILTER(PTS!AH:AH, (PTS!$C:$C=A225) * ISNUMBER(PTS!AH:AH)))</f>
        <v>6.973140495867769</v>
      </c>
      <c r="AE225" s="531" cm="1">
        <f t="array" ref="AE225">AVERAGE(_xlfn._xlws.FILTER(PTS!AI:AI, (PTS!$C:$C=A225) * ISNUMBER(PTS!AI:AI)))</f>
        <v>12.587317427197677</v>
      </c>
      <c r="AF225" s="531" cm="1">
        <f t="array" ref="AF225">AVERAGE(_xlfn._xlws.FILTER(PTS!AJ:AJ, (PTS!$C:$C=A225) * ISNUMBER(PTS!AJ:AJ)))</f>
        <v>6.7351999999999999</v>
      </c>
      <c r="AH225" s="531">
        <f t="shared" si="36"/>
        <v>55.109957923065444</v>
      </c>
      <c r="AI225" s="10" cm="1">
        <f t="array" ref="AI225">AVERAGE(_xlfn._xlws.FILTER(PTS!AM:AM, (PTS!$C:$C=A225) * ISNUMBER(PTS!AM:AM)))</f>
        <v>79.999999999999986</v>
      </c>
      <c r="AJ225" s="10" cm="1">
        <f t="array" ref="AJ225">AVERAGE(_xlfn._xlws.FILTER(PTS!AN:AN, (PTS!$C:$C=A225) * ISNUMBER(PTS!AN:AN)))</f>
        <v>26.17808219178082</v>
      </c>
      <c r="AK225" s="10" cm="1">
        <f t="array" ref="AK225">AVERAGE(_xlfn._xlws.FILTER(PTS!AO:AO, (PTS!$C:$C=A225) * ISNUMBER(PTS!AO:AO)))</f>
        <v>0</v>
      </c>
      <c r="AN225" s="531">
        <f t="shared" si="37"/>
        <v>106.1780821917808</v>
      </c>
      <c r="AR225" s="531">
        <f t="shared" si="38"/>
        <v>1392.8206158724217</v>
      </c>
      <c r="AS225" s="531">
        <f t="shared" si="39"/>
        <v>1457.8206158724217</v>
      </c>
    </row>
    <row r="226" spans="1:45">
      <c r="A226" s="32" t="s">
        <v>764</v>
      </c>
      <c r="B226" s="319" t="s">
        <v>136</v>
      </c>
      <c r="C226" s="319" t="str">
        <f t="shared" si="30"/>
        <v>TrentonNC</v>
      </c>
      <c r="D226" s="10">
        <f>VLOOKUP(A:A,PTS!C:R,6,FALSE)</f>
        <v>1</v>
      </c>
      <c r="E226" s="531" cm="1">
        <f t="array" ref="E226">AVERAGE(_xlfn._xlws.FILTER(PTS!I:I, (PTS!$C:$C=A226) * ISNUMBER(PTS!I:I)))</f>
        <v>80</v>
      </c>
      <c r="F226" s="10" cm="1">
        <f t="array" ref="F226">AVERAGE(_xlfn._xlws.FILTER(PTS!J:J, (PTS!$C:$C=A226) * ISNUMBER(PTS!J:J)))</f>
        <v>80</v>
      </c>
      <c r="G226" s="531" cm="1">
        <f t="array" ref="G226">AVERAGE(_xlfn._xlws.FILTER(PTS!K:K, (PTS!$C:$C=A226) * ISNUMBER(PTS!K:K)))</f>
        <v>0</v>
      </c>
      <c r="H226" s="531" cm="1">
        <f t="array" ref="H226">AVERAGE(_xlfn._xlws.FILTER(PTS!L:L, (PTS!$C:$C=A226) * ISNUMBER(PTS!L:L)))</f>
        <v>0</v>
      </c>
      <c r="I226" s="531" cm="1">
        <f t="array" ref="I226">AVERAGE(_xlfn._xlws.FILTER(PTS!M:M, (PTS!$C:$C=A226) * ISNUMBER(PTS!M:M)))</f>
        <v>0</v>
      </c>
      <c r="J226" s="531" cm="1">
        <f t="array" ref="J226">AVERAGE(_xlfn._xlws.FILTER(PTS!N:N, (PTS!$C:$C=A226) * ISNUMBER(PTS!N:N)))</f>
        <v>40</v>
      </c>
      <c r="K226" s="531" cm="1">
        <f t="array" ref="K226">AVERAGE(_xlfn._xlws.FILTER(PTS!O:O, (PTS!$C:$C=A226) * ISNUMBER(PTS!O:O)))</f>
        <v>37.916666666666671</v>
      </c>
      <c r="L226" s="10" cm="1">
        <f t="array" ref="L226">AVERAGE(_xlfn._xlws.FILTER(PTS!P:P, (PTS!$C:$C=A226) * ISNUMBER(PTS!P:P)))</f>
        <v>0</v>
      </c>
      <c r="M226" s="531">
        <f t="shared" si="31"/>
        <v>237.91666666666669</v>
      </c>
      <c r="N226" s="531">
        <f t="shared" si="32"/>
        <v>77.916666666666671</v>
      </c>
      <c r="O226" s="531" cm="1">
        <f t="array" ref="O226">AVERAGE(_xlfn._xlws.FILTER(PTS!S:S, (PTS!$C:$C=A226) * ISNUMBER(PTS!S:S)))</f>
        <v>0</v>
      </c>
      <c r="P226" s="531" cm="1">
        <f t="array" ref="P226">AVERAGE(_xlfn._xlws.FILTER(PTS!T:T, (PTS!$C:$C=A226) * ISNUMBER(PTS!T:T)))</f>
        <v>0</v>
      </c>
      <c r="Q226" s="531" cm="1">
        <f t="array" ref="Q226">AVERAGE(_xlfn._xlws.FILTER(PTS!U:U, (PTS!$C:$C=A226) * ISNUMBER(PTS!U:U)))</f>
        <v>254.20852272727271</v>
      </c>
      <c r="S226" s="531">
        <f t="shared" si="33"/>
        <v>254.20852272727271</v>
      </c>
      <c r="T226" s="531" cm="1">
        <f t="array" ref="T226">AVERAGE(_xlfn._xlws.FILTER(PTS!X:X, (PTS!$C:$C=A226) * ISNUMBER(PTS!X:X)))</f>
        <v>52</v>
      </c>
      <c r="U226" s="531" cm="1">
        <f t="array" ref="U226">AVERAGE(_xlfn._xlws.FILTER(PTS!Y:Y, (PTS!$C:$C=A226) * ISNUMBER(PTS!Y:Y)))</f>
        <v>50.4</v>
      </c>
      <c r="V226" s="531" cm="1">
        <f t="array" ref="V226">AVERAGE(_xlfn._xlws.FILTER(PTS!Z:Z, (PTS!$C:$C=A226) * ISNUMBER(PTS!Z:Z)))</f>
        <v>26.25</v>
      </c>
      <c r="X226" s="531">
        <f t="shared" si="34"/>
        <v>128.65</v>
      </c>
      <c r="Y226" s="531" cm="1">
        <f t="array" ref="Y226">AVERAGE(_xlfn._xlws.FILTER(PTS!AC:AC, (PTS!$C:$C=A226) * ISNUMBER(PTS!AC:AC)))</f>
        <v>110.22727272727273</v>
      </c>
      <c r="Z226" s="531" cm="1">
        <f t="array" ref="Z226">AVERAGE(_xlfn._xlws.FILTER(PTS!AD:AD, (PTS!$C:$C=A226) * ISNUMBER(PTS!AD:AD)))</f>
        <v>107.04545454545455</v>
      </c>
      <c r="AB226" s="531">
        <f t="shared" si="35"/>
        <v>217.27272727272728</v>
      </c>
      <c r="AC226" s="10" cm="1">
        <f t="array" ref="AC226">AVERAGE(_xlfn._xlws.FILTER(PTS!AG:AG, (PTS!$C:$C=A226) * ISNUMBER(PTS!AG:AG)))</f>
        <v>28.814300000000003</v>
      </c>
      <c r="AD226" s="531" cm="1">
        <f t="array" ref="AD226">AVERAGE(_xlfn._xlws.FILTER(PTS!AH:AH, (PTS!$C:$C=A226) * ISNUMBER(PTS!AH:AH)))</f>
        <v>6.973140495867769</v>
      </c>
      <c r="AE226" s="531" cm="1">
        <f t="array" ref="AE226">AVERAGE(_xlfn._xlws.FILTER(PTS!AI:AI, (PTS!$C:$C=A226) * ISNUMBER(PTS!AI:AI)))</f>
        <v>12.587317427197677</v>
      </c>
      <c r="AF226" s="531" cm="1">
        <f t="array" ref="AF226">AVERAGE(_xlfn._xlws.FILTER(PTS!AJ:AJ, (PTS!$C:$C=A226) * ISNUMBER(PTS!AJ:AJ)))</f>
        <v>6.7351999999999999</v>
      </c>
      <c r="AH226" s="531">
        <f t="shared" si="36"/>
        <v>55.109957923065444</v>
      </c>
      <c r="AI226" s="10" cm="1">
        <f t="array" ref="AI226">AVERAGE(_xlfn._xlws.FILTER(PTS!AM:AM, (PTS!$C:$C=A226) * ISNUMBER(PTS!AM:AM)))</f>
        <v>79.999999999999986</v>
      </c>
      <c r="AJ226" s="10" cm="1">
        <f t="array" ref="AJ226">AVERAGE(_xlfn._xlws.FILTER(PTS!AN:AN, (PTS!$C:$C=A226) * ISNUMBER(PTS!AN:AN)))</f>
        <v>26.17808219178082</v>
      </c>
      <c r="AK226" s="10" cm="1">
        <f t="array" ref="AK226">AVERAGE(_xlfn._xlws.FILTER(PTS!AO:AO, (PTS!$C:$C=A226) * ISNUMBER(PTS!AO:AO)))</f>
        <v>0</v>
      </c>
      <c r="AN226" s="531">
        <f t="shared" si="37"/>
        <v>106.1780821917808</v>
      </c>
      <c r="AR226" s="531">
        <f t="shared" si="38"/>
        <v>839.33595678151289</v>
      </c>
      <c r="AS226" s="531">
        <f t="shared" si="39"/>
        <v>999.33595678151289</v>
      </c>
    </row>
    <row r="227" spans="1:45">
      <c r="A227" s="32" t="s">
        <v>766</v>
      </c>
      <c r="B227" s="319" t="s">
        <v>71</v>
      </c>
      <c r="C227" s="319" t="str">
        <f t="shared" si="30"/>
        <v>TuliaTX</v>
      </c>
      <c r="D227" s="10">
        <f>VLOOKUP(A:A,PTS!C:R,6,FALSE)</f>
        <v>2</v>
      </c>
      <c r="E227" s="531" cm="1">
        <f t="array" ref="E227">AVERAGE(_xlfn._xlws.FILTER(PTS!I:I, (PTS!$C:$C=A227) * ISNUMBER(PTS!I:I)))</f>
        <v>100</v>
      </c>
      <c r="F227" s="10" cm="1">
        <f t="array" ref="F227">AVERAGE(_xlfn._xlws.FILTER(PTS!J:J, (PTS!$C:$C=A227) * ISNUMBER(PTS!J:J)))</f>
        <v>125</v>
      </c>
      <c r="G227" s="531" cm="1">
        <f t="array" ref="G227">AVERAGE(_xlfn._xlws.FILTER(PTS!K:K, (PTS!$C:$C=A227) * ISNUMBER(PTS!K:K)))</f>
        <v>205</v>
      </c>
      <c r="H227" s="531" cm="1">
        <f t="array" ref="H227">AVERAGE(_xlfn._xlws.FILTER(PTS!L:L, (PTS!$C:$C=A227) * ISNUMBER(PTS!L:L)))</f>
        <v>0</v>
      </c>
      <c r="I227" s="531" cm="1">
        <f t="array" ref="I227">AVERAGE(_xlfn._xlws.FILTER(PTS!M:M, (PTS!$C:$C=A227) * ISNUMBER(PTS!M:M)))</f>
        <v>0</v>
      </c>
      <c r="J227" s="531" cm="1">
        <f t="array" ref="J227">AVERAGE(_xlfn._xlws.FILTER(PTS!N:N, (PTS!$C:$C=A227) * ISNUMBER(PTS!N:N)))</f>
        <v>48</v>
      </c>
      <c r="K227" s="531" cm="1">
        <f t="array" ref="K227">AVERAGE(_xlfn._xlws.FILTER(PTS!O:O, (PTS!$C:$C=A227) * ISNUMBER(PTS!O:O)))</f>
        <v>37.916666666666671</v>
      </c>
      <c r="L227" s="10" cm="1">
        <f t="array" ref="L227">AVERAGE(_xlfn._xlws.FILTER(PTS!P:P, (PTS!$C:$C=A227) * ISNUMBER(PTS!P:P)))</f>
        <v>0</v>
      </c>
      <c r="M227" s="531">
        <f t="shared" si="31"/>
        <v>515.91666666666663</v>
      </c>
      <c r="N227" s="531">
        <f t="shared" si="32"/>
        <v>290.91666666666669</v>
      </c>
      <c r="O227" s="531" cm="1">
        <f t="array" ref="O227">AVERAGE(_xlfn._xlws.FILTER(PTS!S:S, (PTS!$C:$C=A227) * ISNUMBER(PTS!S:S)))</f>
        <v>0</v>
      </c>
      <c r="P227" s="531" cm="1">
        <f t="array" ref="P227">AVERAGE(_xlfn._xlws.FILTER(PTS!T:T, (PTS!$C:$C=A227) * ISNUMBER(PTS!T:T)))</f>
        <v>0</v>
      </c>
      <c r="Q227" s="531" cm="1">
        <f t="array" ref="Q227">AVERAGE(_xlfn._xlws.FILTER(PTS!U:U, (PTS!$C:$C=A227) * ISNUMBER(PTS!U:U)))</f>
        <v>261.0795454545455</v>
      </c>
      <c r="S227" s="531">
        <f t="shared" si="33"/>
        <v>261.0795454545455</v>
      </c>
      <c r="T227" s="531" cm="1">
        <f t="array" ref="T227">AVERAGE(_xlfn._xlws.FILTER(PTS!X:X, (PTS!$C:$C=A227) * ISNUMBER(PTS!X:X)))</f>
        <v>54</v>
      </c>
      <c r="U227" s="531" cm="1">
        <f t="array" ref="U227">AVERAGE(_xlfn._xlws.FILTER(PTS!Y:Y, (PTS!$C:$C=A227) * ISNUMBER(PTS!Y:Y)))</f>
        <v>50.4</v>
      </c>
      <c r="V227" s="531" cm="1">
        <f t="array" ref="V227">AVERAGE(_xlfn._xlws.FILTER(PTS!Z:Z, (PTS!$C:$C=A227) * ISNUMBER(PTS!Z:Z)))</f>
        <v>26.25</v>
      </c>
      <c r="X227" s="531">
        <f t="shared" si="34"/>
        <v>130.65</v>
      </c>
      <c r="Y227" s="531" cm="1">
        <f t="array" ref="Y227">AVERAGE(_xlfn._xlws.FILTER(PTS!AC:AC, (PTS!$C:$C=A227) * ISNUMBER(PTS!AC:AC)))</f>
        <v>147.72727272727272</v>
      </c>
      <c r="Z227" s="531" cm="1">
        <f t="array" ref="Z227">AVERAGE(_xlfn._xlws.FILTER(PTS!AD:AD, (PTS!$C:$C=A227) * ISNUMBER(PTS!AD:AD)))</f>
        <v>233.06818181818181</v>
      </c>
      <c r="AB227" s="531">
        <f t="shared" si="35"/>
        <v>380.7954545454545</v>
      </c>
      <c r="AC227" s="10" cm="1">
        <f t="array" ref="AC227">AVERAGE(_xlfn._xlws.FILTER(PTS!AG:AG, (PTS!$C:$C=A227) * ISNUMBER(PTS!AG:AG)))</f>
        <v>28.814300000000003</v>
      </c>
      <c r="AD227" s="531" cm="1">
        <f t="array" ref="AD227">AVERAGE(_xlfn._xlws.FILTER(PTS!AH:AH, (PTS!$C:$C=A227) * ISNUMBER(PTS!AH:AH)))</f>
        <v>6.973140495867769</v>
      </c>
      <c r="AE227" s="531" cm="1">
        <f t="array" ref="AE227">AVERAGE(_xlfn._xlws.FILTER(PTS!AI:AI, (PTS!$C:$C=A227) * ISNUMBER(PTS!AI:AI)))</f>
        <v>12.587317427197677</v>
      </c>
      <c r="AF227" s="531" cm="1">
        <f t="array" ref="AF227">AVERAGE(_xlfn._xlws.FILTER(PTS!AJ:AJ, (PTS!$C:$C=A227) * ISNUMBER(PTS!AJ:AJ)))</f>
        <v>6.7351999999999999</v>
      </c>
      <c r="AH227" s="531">
        <f t="shared" si="36"/>
        <v>55.109957923065444</v>
      </c>
      <c r="AI227" s="10" cm="1">
        <f t="array" ref="AI227">AVERAGE(_xlfn._xlws.FILTER(PTS!AM:AM, (PTS!$C:$C=A227) * ISNUMBER(PTS!AM:AM)))</f>
        <v>79.999999999999986</v>
      </c>
      <c r="AJ227" s="10" cm="1">
        <f t="array" ref="AJ227">AVERAGE(_xlfn._xlws.FILTER(PTS!AN:AN, (PTS!$C:$C=A227) * ISNUMBER(PTS!AN:AN)))</f>
        <v>26.17808219178082</v>
      </c>
      <c r="AK227" s="10" cm="1">
        <f t="array" ref="AK227">AVERAGE(_xlfn._xlws.FILTER(PTS!AO:AO, (PTS!$C:$C=A227) * ISNUMBER(PTS!AO:AO)))</f>
        <v>0</v>
      </c>
      <c r="AN227" s="531">
        <f t="shared" si="37"/>
        <v>106.1780821917808</v>
      </c>
      <c r="AR227" s="531">
        <f t="shared" si="38"/>
        <v>1224.7297067815127</v>
      </c>
      <c r="AS227" s="531">
        <f t="shared" si="39"/>
        <v>1449.7297067815127</v>
      </c>
    </row>
    <row r="228" spans="1:45">
      <c r="A228" s="32" t="s">
        <v>770</v>
      </c>
      <c r="B228" s="319" t="s">
        <v>128</v>
      </c>
      <c r="C228" s="319" t="str">
        <f t="shared" si="30"/>
        <v>TunicaMS</v>
      </c>
      <c r="D228" s="10">
        <f>VLOOKUP(A:A,PTS!C:R,6,FALSE)</f>
        <v>1</v>
      </c>
      <c r="E228" s="531" cm="1">
        <f t="array" ref="E228">AVERAGE(_xlfn._xlws.FILTER(PTS!I:I, (PTS!$C:$C=A228) * ISNUMBER(PTS!I:I)))</f>
        <v>37</v>
      </c>
      <c r="F228" s="10" cm="1">
        <f t="array" ref="F228">AVERAGE(_xlfn._xlws.FILTER(PTS!J:J, (PTS!$C:$C=A228) * ISNUMBER(PTS!J:J)))</f>
        <v>80</v>
      </c>
      <c r="G228" s="531" cm="1">
        <f t="array" ref="G228">AVERAGE(_xlfn._xlws.FILTER(PTS!K:K, (PTS!$C:$C=A228) * ISNUMBER(PTS!K:K)))</f>
        <v>140</v>
      </c>
      <c r="H228" s="531" cm="1">
        <f t="array" ref="H228">AVERAGE(_xlfn._xlws.FILTER(PTS!L:L, (PTS!$C:$C=A228) * ISNUMBER(PTS!L:L)))</f>
        <v>61</v>
      </c>
      <c r="I228" s="531" cm="1">
        <f t="array" ref="I228">AVERAGE(_xlfn._xlws.FILTER(PTS!M:M, (PTS!$C:$C=A228) * ISNUMBER(PTS!M:M)))</f>
        <v>0</v>
      </c>
      <c r="J228" s="531" cm="1">
        <f t="array" ref="J228">AVERAGE(_xlfn._xlws.FILTER(PTS!N:N, (PTS!$C:$C=A228) * ISNUMBER(PTS!N:N)))</f>
        <v>60</v>
      </c>
      <c r="K228" s="531" cm="1">
        <f t="array" ref="K228">AVERAGE(_xlfn._xlws.FILTER(PTS!O:O, (PTS!$C:$C=A228) * ISNUMBER(PTS!O:O)))</f>
        <v>37.916666666666671</v>
      </c>
      <c r="L228" s="10" cm="1">
        <f t="array" ref="L228">AVERAGE(_xlfn._xlws.FILTER(PTS!P:P, (PTS!$C:$C=A228) * ISNUMBER(PTS!P:P)))</f>
        <v>0</v>
      </c>
      <c r="M228" s="531">
        <f t="shared" si="31"/>
        <v>415.91666666666669</v>
      </c>
      <c r="N228" s="531">
        <f t="shared" si="32"/>
        <v>97.916666666666671</v>
      </c>
      <c r="O228" s="531" cm="1">
        <f t="array" ref="O228">AVERAGE(_xlfn._xlws.FILTER(PTS!S:S, (PTS!$C:$C=A228) * ISNUMBER(PTS!S:S)))</f>
        <v>0</v>
      </c>
      <c r="P228" s="531" cm="1">
        <f t="array" ref="P228">AVERAGE(_xlfn._xlws.FILTER(PTS!T:T, (PTS!$C:$C=A228) * ISNUMBER(PTS!T:T)))</f>
        <v>0</v>
      </c>
      <c r="Q228" s="531" cm="1">
        <f t="array" ref="Q228">AVERAGE(_xlfn._xlws.FILTER(PTS!U:U, (PTS!$C:$C=A228) * ISNUMBER(PTS!U:U)))</f>
        <v>147.72727272727275</v>
      </c>
      <c r="S228" s="531">
        <f t="shared" si="33"/>
        <v>147.72727272727275</v>
      </c>
      <c r="T228" s="531" cm="1">
        <f t="array" ref="T228">AVERAGE(_xlfn._xlws.FILTER(PTS!X:X, (PTS!$C:$C=A228) * ISNUMBER(PTS!X:X)))</f>
        <v>50</v>
      </c>
      <c r="U228" s="531" cm="1">
        <f t="array" ref="U228">AVERAGE(_xlfn._xlws.FILTER(PTS!Y:Y, (PTS!$C:$C=A228) * ISNUMBER(PTS!Y:Y)))</f>
        <v>33.6</v>
      </c>
      <c r="V228" s="531" cm="1">
        <f t="array" ref="V228">AVERAGE(_xlfn._xlws.FILTER(PTS!Z:Z, (PTS!$C:$C=A228) * ISNUMBER(PTS!Z:Z)))</f>
        <v>26.25</v>
      </c>
      <c r="X228" s="531">
        <f t="shared" si="34"/>
        <v>109.85</v>
      </c>
      <c r="Y228" s="531" cm="1">
        <f t="array" ref="Y228">AVERAGE(_xlfn._xlws.FILTER(PTS!AC:AC, (PTS!$C:$C=A228) * ISNUMBER(PTS!AC:AC)))</f>
        <v>146.02272727272725</v>
      </c>
      <c r="Z228" s="531" cm="1">
        <f t="array" ref="Z228">AVERAGE(_xlfn._xlws.FILTER(PTS!AD:AD, (PTS!$C:$C=A228) * ISNUMBER(PTS!AD:AD)))</f>
        <v>182.72727272727275</v>
      </c>
      <c r="AB228" s="531">
        <f t="shared" si="35"/>
        <v>328.75</v>
      </c>
      <c r="AC228" s="10" cm="1">
        <f t="array" ref="AC228">AVERAGE(_xlfn._xlws.FILTER(PTS!AG:AG, (PTS!$C:$C=A228) * ISNUMBER(PTS!AG:AG)))</f>
        <v>28.814300000000003</v>
      </c>
      <c r="AD228" s="531" cm="1">
        <f t="array" ref="AD228">AVERAGE(_xlfn._xlws.FILTER(PTS!AH:AH, (PTS!$C:$C=A228) * ISNUMBER(PTS!AH:AH)))</f>
        <v>6.973140495867769</v>
      </c>
      <c r="AE228" s="531" cm="1">
        <f t="array" ref="AE228">AVERAGE(_xlfn._xlws.FILTER(PTS!AI:AI, (PTS!$C:$C=A228) * ISNUMBER(PTS!AI:AI)))</f>
        <v>12.587317427197677</v>
      </c>
      <c r="AF228" s="531" cm="1">
        <f t="array" ref="AF228">AVERAGE(_xlfn._xlws.FILTER(PTS!AJ:AJ, (PTS!$C:$C=A228) * ISNUMBER(PTS!AJ:AJ)))</f>
        <v>6.7351999999999999</v>
      </c>
      <c r="AH228" s="531">
        <f t="shared" si="36"/>
        <v>55.109957923065444</v>
      </c>
      <c r="AI228" s="10" cm="1">
        <f t="array" ref="AI228">AVERAGE(_xlfn._xlws.FILTER(PTS!AM:AM, (PTS!$C:$C=A228) * ISNUMBER(PTS!AM:AM)))</f>
        <v>79.999999999999986</v>
      </c>
      <c r="AJ228" s="10" cm="1">
        <f t="array" ref="AJ228">AVERAGE(_xlfn._xlws.FILTER(PTS!AN:AN, (PTS!$C:$C=A228) * ISNUMBER(PTS!AN:AN)))</f>
        <v>26.17808219178082</v>
      </c>
      <c r="AK228" s="10" cm="1">
        <f t="array" ref="AK228">AVERAGE(_xlfn._xlws.FILTER(PTS!AO:AO, (PTS!$C:$C=A228) * ISNUMBER(PTS!AO:AO)))</f>
        <v>0</v>
      </c>
      <c r="AN228" s="531">
        <f t="shared" si="37"/>
        <v>106.1780821917808</v>
      </c>
      <c r="AR228" s="531">
        <f t="shared" si="38"/>
        <v>845.53197950878564</v>
      </c>
      <c r="AS228" s="531">
        <f t="shared" si="39"/>
        <v>1163.5319795087858</v>
      </c>
    </row>
    <row r="229" spans="1:45">
      <c r="A229" s="32" t="s">
        <v>773</v>
      </c>
      <c r="B229" s="319" t="s">
        <v>136</v>
      </c>
      <c r="C229" s="319" t="str">
        <f t="shared" si="30"/>
        <v>TynerNC</v>
      </c>
      <c r="D229" s="10">
        <f>VLOOKUP(A:A,PTS!C:R,6,FALSE)</f>
        <v>1</v>
      </c>
      <c r="E229" s="531" cm="1">
        <f t="array" ref="E229">AVERAGE(_xlfn._xlws.FILTER(PTS!I:I, (PTS!$C:$C=A229) * ISNUMBER(PTS!I:I)))</f>
        <v>40</v>
      </c>
      <c r="F229" s="10" cm="1">
        <f t="array" ref="F229">AVERAGE(_xlfn._xlws.FILTER(PTS!J:J, (PTS!$C:$C=A229) * ISNUMBER(PTS!J:J)))</f>
        <v>80</v>
      </c>
      <c r="G229" s="531" cm="1">
        <f t="array" ref="G229">AVERAGE(_xlfn._xlws.FILTER(PTS!K:K, (PTS!$C:$C=A229) * ISNUMBER(PTS!K:K)))</f>
        <v>0</v>
      </c>
      <c r="H229" s="531" cm="1">
        <f t="array" ref="H229">AVERAGE(_xlfn._xlws.FILTER(PTS!L:L, (PTS!$C:$C=A229) * ISNUMBER(PTS!L:L)))</f>
        <v>0</v>
      </c>
      <c r="I229" s="531" cm="1">
        <f t="array" ref="I229">AVERAGE(_xlfn._xlws.FILTER(PTS!M:M, (PTS!$C:$C=A229) * ISNUMBER(PTS!M:M)))</f>
        <v>0</v>
      </c>
      <c r="J229" s="531" cm="1">
        <f t="array" ref="J229">AVERAGE(_xlfn._xlws.FILTER(PTS!N:N, (PTS!$C:$C=A229) * ISNUMBER(PTS!N:N)))</f>
        <v>34</v>
      </c>
      <c r="K229" s="531" cm="1">
        <f t="array" ref="K229">AVERAGE(_xlfn._xlws.FILTER(PTS!O:O, (PTS!$C:$C=A229) * ISNUMBER(PTS!O:O)))</f>
        <v>37.916666666666671</v>
      </c>
      <c r="L229" s="10" cm="1">
        <f t="array" ref="L229">AVERAGE(_xlfn._xlws.FILTER(PTS!P:P, (PTS!$C:$C=A229) * ISNUMBER(PTS!P:P)))</f>
        <v>0</v>
      </c>
      <c r="M229" s="531">
        <f t="shared" si="31"/>
        <v>191.91666666666669</v>
      </c>
      <c r="N229" s="531">
        <f t="shared" si="32"/>
        <v>71.916666666666671</v>
      </c>
      <c r="O229" s="531" cm="1">
        <f t="array" ref="O229">AVERAGE(_xlfn._xlws.FILTER(PTS!S:S, (PTS!$C:$C=A229) * ISNUMBER(PTS!S:S)))</f>
        <v>0</v>
      </c>
      <c r="P229" s="531" cm="1">
        <f t="array" ref="P229">AVERAGE(_xlfn._xlws.FILTER(PTS!T:T, (PTS!$C:$C=A229) * ISNUMBER(PTS!T:T)))</f>
        <v>0</v>
      </c>
      <c r="Q229" s="531" cm="1">
        <f t="array" ref="Q229">AVERAGE(_xlfn._xlws.FILTER(PTS!U:U, (PTS!$C:$C=A229) * ISNUMBER(PTS!U:U)))</f>
        <v>301.45681818181822</v>
      </c>
      <c r="S229" s="531">
        <f t="shared" si="33"/>
        <v>301.45681818181822</v>
      </c>
      <c r="T229" s="531" cm="1">
        <f t="array" ref="T229">AVERAGE(_xlfn._xlws.FILTER(PTS!X:X, (PTS!$C:$C=A229) * ISNUMBER(PTS!X:X)))</f>
        <v>52</v>
      </c>
      <c r="U229" s="531" cm="1">
        <f t="array" ref="U229">AVERAGE(_xlfn._xlws.FILTER(PTS!Y:Y, (PTS!$C:$C=A229) * ISNUMBER(PTS!Y:Y)))</f>
        <v>50.4</v>
      </c>
      <c r="V229" s="531" cm="1">
        <f t="array" ref="V229">AVERAGE(_xlfn._xlws.FILTER(PTS!Z:Z, (PTS!$C:$C=A229) * ISNUMBER(PTS!Z:Z)))</f>
        <v>26.25</v>
      </c>
      <c r="X229" s="531">
        <f t="shared" si="34"/>
        <v>128.65</v>
      </c>
      <c r="Y229" s="531" cm="1">
        <f t="array" ref="Y229">AVERAGE(_xlfn._xlws.FILTER(PTS!AC:AC, (PTS!$C:$C=A229) * ISNUMBER(PTS!AC:AC)))</f>
        <v>110.22727272727273</v>
      </c>
      <c r="Z229" s="531" cm="1">
        <f t="array" ref="Z229">AVERAGE(_xlfn._xlws.FILTER(PTS!AD:AD, (PTS!$C:$C=A229) * ISNUMBER(PTS!AD:AD)))</f>
        <v>107.04545454545455</v>
      </c>
      <c r="AB229" s="531">
        <f t="shared" si="35"/>
        <v>217.27272727272728</v>
      </c>
      <c r="AC229" s="10" cm="1">
        <f t="array" ref="AC229">AVERAGE(_xlfn._xlws.FILTER(PTS!AG:AG, (PTS!$C:$C=A229) * ISNUMBER(PTS!AG:AG)))</f>
        <v>28.814300000000003</v>
      </c>
      <c r="AD229" s="531" cm="1">
        <f t="array" ref="AD229">AVERAGE(_xlfn._xlws.FILTER(PTS!AH:AH, (PTS!$C:$C=A229) * ISNUMBER(PTS!AH:AH)))</f>
        <v>6.973140495867769</v>
      </c>
      <c r="AE229" s="531" cm="1">
        <f t="array" ref="AE229">AVERAGE(_xlfn._xlws.FILTER(PTS!AI:AI, (PTS!$C:$C=A229) * ISNUMBER(PTS!AI:AI)))</f>
        <v>12.587317427197677</v>
      </c>
      <c r="AF229" s="531" cm="1">
        <f t="array" ref="AF229">AVERAGE(_xlfn._xlws.FILTER(PTS!AJ:AJ, (PTS!$C:$C=A229) * ISNUMBER(PTS!AJ:AJ)))</f>
        <v>6.7351999999999999</v>
      </c>
      <c r="AH229" s="531">
        <f t="shared" si="36"/>
        <v>55.109957923065444</v>
      </c>
      <c r="AI229" s="10" cm="1">
        <f t="array" ref="AI229">AVERAGE(_xlfn._xlws.FILTER(PTS!AM:AM, (PTS!$C:$C=A229) * ISNUMBER(PTS!AM:AM)))</f>
        <v>79.999999999999986</v>
      </c>
      <c r="AJ229" s="10" cm="1">
        <f t="array" ref="AJ229">AVERAGE(_xlfn._xlws.FILTER(PTS!AN:AN, (PTS!$C:$C=A229) * ISNUMBER(PTS!AN:AN)))</f>
        <v>26.17808219178082</v>
      </c>
      <c r="AK229" s="10" cm="1">
        <f t="array" ref="AK229">AVERAGE(_xlfn._xlws.FILTER(PTS!AO:AO, (PTS!$C:$C=A229) * ISNUMBER(PTS!AO:AO)))</f>
        <v>0</v>
      </c>
      <c r="AN229" s="531">
        <f t="shared" si="37"/>
        <v>106.1780821917808</v>
      </c>
      <c r="AR229" s="531">
        <f t="shared" si="38"/>
        <v>880.58425223605843</v>
      </c>
      <c r="AS229" s="531">
        <f t="shared" si="39"/>
        <v>1000.5842522360584</v>
      </c>
    </row>
    <row r="230" spans="1:45">
      <c r="A230" s="32" t="s">
        <v>775</v>
      </c>
      <c r="B230" s="319" t="s">
        <v>76</v>
      </c>
      <c r="C230" s="319" t="str">
        <f t="shared" si="30"/>
        <v>UnadillaGA</v>
      </c>
      <c r="D230" s="10">
        <f>VLOOKUP(A:A,PTS!C:R,6,FALSE)</f>
        <v>4</v>
      </c>
      <c r="E230" s="531" cm="1">
        <f t="array" ref="E230">AVERAGE(_xlfn._xlws.FILTER(PTS!I:I, (PTS!$C:$C=A230) * ISNUMBER(PTS!I:I)))</f>
        <v>80</v>
      </c>
      <c r="F230" s="10" cm="1">
        <f t="array" ref="F230">AVERAGE(_xlfn._xlws.FILTER(PTS!J:J, (PTS!$C:$C=A230) * ISNUMBER(PTS!J:J)))</f>
        <v>120</v>
      </c>
      <c r="G230" s="531" cm="1">
        <f t="array" ref="G230">AVERAGE(_xlfn._xlws.FILTER(PTS!K:K, (PTS!$C:$C=A230) * ISNUMBER(PTS!K:K)))</f>
        <v>0</v>
      </c>
      <c r="H230" s="531" cm="1">
        <f t="array" ref="H230">AVERAGE(_xlfn._xlws.FILTER(PTS!L:L, (PTS!$C:$C=A230) * ISNUMBER(PTS!L:L)))</f>
        <v>0</v>
      </c>
      <c r="I230" s="531" cm="1">
        <f t="array" ref="I230">AVERAGE(_xlfn._xlws.FILTER(PTS!M:M, (PTS!$C:$C=A230) * ISNUMBER(PTS!M:M)))</f>
        <v>0</v>
      </c>
      <c r="J230" s="531" cm="1">
        <f t="array" ref="J230">AVERAGE(_xlfn._xlws.FILTER(PTS!N:N, (PTS!$C:$C=A230) * ISNUMBER(PTS!N:N)))</f>
        <v>60</v>
      </c>
      <c r="K230" s="531" cm="1">
        <f t="array" ref="K230">AVERAGE(_xlfn._xlws.FILTER(PTS!O:O, (PTS!$C:$C=A230) * ISNUMBER(PTS!O:O)))</f>
        <v>37.916666666666671</v>
      </c>
      <c r="L230" s="10" cm="1">
        <f t="array" ref="L230">AVERAGE(_xlfn._xlws.FILTER(PTS!P:P, (PTS!$C:$C=A230) * ISNUMBER(PTS!P:P)))</f>
        <v>0</v>
      </c>
      <c r="M230" s="531">
        <f t="shared" si="31"/>
        <v>297.91666666666669</v>
      </c>
      <c r="N230" s="531">
        <f t="shared" si="32"/>
        <v>37.916666666666671</v>
      </c>
      <c r="O230" s="531" cm="1">
        <f t="array" ref="O230">AVERAGE(_xlfn._xlws.FILTER(PTS!S:S, (PTS!$C:$C=A230) * ISNUMBER(PTS!S:S)))</f>
        <v>0</v>
      </c>
      <c r="P230" s="531" cm="1">
        <f t="array" ref="P230">AVERAGE(_xlfn._xlws.FILTER(PTS!T:T, (PTS!$C:$C=A230) * ISNUMBER(PTS!T:T)))</f>
        <v>0</v>
      </c>
      <c r="Q230" s="531" cm="1">
        <f t="array" ref="Q230">AVERAGE(_xlfn._xlws.FILTER(PTS!U:U, (PTS!$C:$C=A230) * ISNUMBER(PTS!U:U)))</f>
        <v>224.04090909090908</v>
      </c>
      <c r="S230" s="531">
        <f t="shared" si="33"/>
        <v>224.04090909090908</v>
      </c>
      <c r="T230" s="531" cm="1">
        <f t="array" ref="T230">AVERAGE(_xlfn._xlws.FILTER(PTS!X:X, (PTS!$C:$C=A230) * ISNUMBER(PTS!X:X)))</f>
        <v>52</v>
      </c>
      <c r="U230" s="531" cm="1">
        <f t="array" ref="U230">AVERAGE(_xlfn._xlws.FILTER(PTS!Y:Y, (PTS!$C:$C=A230) * ISNUMBER(PTS!Y:Y)))</f>
        <v>50.4</v>
      </c>
      <c r="V230" s="531" cm="1">
        <f t="array" ref="V230">AVERAGE(_xlfn._xlws.FILTER(PTS!Z:Z, (PTS!$C:$C=A230) * ISNUMBER(PTS!Z:Z)))</f>
        <v>26.25</v>
      </c>
      <c r="X230" s="531">
        <f t="shared" si="34"/>
        <v>128.65</v>
      </c>
      <c r="Y230" s="531" cm="1">
        <f t="array" ref="Y230">AVERAGE(_xlfn._xlws.FILTER(PTS!AC:AC, (PTS!$C:$C=A230) * ISNUMBER(PTS!AC:AC)))</f>
        <v>110.22727272727273</v>
      </c>
      <c r="Z230" s="531" cm="1">
        <f t="array" ref="Z230">AVERAGE(_xlfn._xlws.FILTER(PTS!AD:AD, (PTS!$C:$C=A230) * ISNUMBER(PTS!AD:AD)))</f>
        <v>107.04545454545455</v>
      </c>
      <c r="AB230" s="531">
        <f t="shared" si="35"/>
        <v>217.27272727272728</v>
      </c>
      <c r="AC230" s="10" cm="1">
        <f t="array" ref="AC230">AVERAGE(_xlfn._xlws.FILTER(PTS!AG:AG, (PTS!$C:$C=A230) * ISNUMBER(PTS!AG:AG)))</f>
        <v>28.814300000000003</v>
      </c>
      <c r="AD230" s="531" cm="1">
        <f t="array" ref="AD230">AVERAGE(_xlfn._xlws.FILTER(PTS!AH:AH, (PTS!$C:$C=A230) * ISNUMBER(PTS!AH:AH)))</f>
        <v>6.973140495867769</v>
      </c>
      <c r="AE230" s="531" cm="1">
        <f t="array" ref="AE230">AVERAGE(_xlfn._xlws.FILTER(PTS!AI:AI, (PTS!$C:$C=A230) * ISNUMBER(PTS!AI:AI)))</f>
        <v>12.587317427197677</v>
      </c>
      <c r="AF230" s="531" cm="1">
        <f t="array" ref="AF230">AVERAGE(_xlfn._xlws.FILTER(PTS!AJ:AJ, (PTS!$C:$C=A230) * ISNUMBER(PTS!AJ:AJ)))</f>
        <v>6.7351999999999999</v>
      </c>
      <c r="AH230" s="531">
        <f t="shared" si="36"/>
        <v>55.109957923065444</v>
      </c>
      <c r="AI230" s="10" cm="1">
        <f t="array" ref="AI230">AVERAGE(_xlfn._xlws.FILTER(PTS!AM:AM, (PTS!$C:$C=A230) * ISNUMBER(PTS!AM:AM)))</f>
        <v>79.999999999999986</v>
      </c>
      <c r="AJ230" s="10" cm="1">
        <f t="array" ref="AJ230">AVERAGE(_xlfn._xlws.FILTER(PTS!AN:AN, (PTS!$C:$C=A230) * ISNUMBER(PTS!AN:AN)))</f>
        <v>26.17808219178082</v>
      </c>
      <c r="AK230" s="10" cm="1">
        <f t="array" ref="AK230">AVERAGE(_xlfn._xlws.FILTER(PTS!AO:AO, (PTS!$C:$C=A230) * ISNUMBER(PTS!AO:AO)))</f>
        <v>0</v>
      </c>
      <c r="AN230" s="531">
        <f t="shared" si="37"/>
        <v>106.1780821917808</v>
      </c>
      <c r="AR230" s="531">
        <f t="shared" si="38"/>
        <v>769.16834314514927</v>
      </c>
      <c r="AS230" s="531">
        <f t="shared" si="39"/>
        <v>1029.1683431451493</v>
      </c>
    </row>
    <row r="231" spans="1:45">
      <c r="A231" s="32" t="s">
        <v>778</v>
      </c>
      <c r="B231" s="319" t="s">
        <v>65</v>
      </c>
      <c r="C231" s="319" t="str">
        <f t="shared" si="30"/>
        <v>UriahAL</v>
      </c>
      <c r="D231" s="10">
        <f>VLOOKUP(A:A,PTS!C:R,6,FALSE)</f>
        <v>1</v>
      </c>
      <c r="E231" s="531" cm="1">
        <f t="array" ref="E231">AVERAGE(_xlfn._xlws.FILTER(PTS!I:I, (PTS!$C:$C=A231) * ISNUMBER(PTS!I:I)))</f>
        <v>65</v>
      </c>
      <c r="F231" s="10" cm="1">
        <f t="array" ref="F231">AVERAGE(_xlfn._xlws.FILTER(PTS!J:J, (PTS!$C:$C=A231) * ISNUMBER(PTS!J:J)))</f>
        <v>110</v>
      </c>
      <c r="G231" s="531" cm="1">
        <f t="array" ref="G231">AVERAGE(_xlfn._xlws.FILTER(PTS!K:K, (PTS!$C:$C=A231) * ISNUMBER(PTS!K:K)))</f>
        <v>70</v>
      </c>
      <c r="H231" s="531" cm="1">
        <f t="array" ref="H231">AVERAGE(_xlfn._xlws.FILTER(PTS!L:L, (PTS!$C:$C=A231) * ISNUMBER(PTS!L:L)))</f>
        <v>60</v>
      </c>
      <c r="I231" s="531" cm="1">
        <f t="array" ref="I231">AVERAGE(_xlfn._xlws.FILTER(PTS!M:M, (PTS!$C:$C=A231) * ISNUMBER(PTS!M:M)))</f>
        <v>20</v>
      </c>
      <c r="J231" s="531" cm="1">
        <f t="array" ref="J231">AVERAGE(_xlfn._xlws.FILTER(PTS!N:N, (PTS!$C:$C=A231) * ISNUMBER(PTS!N:N)))</f>
        <v>55</v>
      </c>
      <c r="K231" s="531" cm="1">
        <f t="array" ref="K231">AVERAGE(_xlfn._xlws.FILTER(PTS!O:O, (PTS!$C:$C=A231) * ISNUMBER(PTS!O:O)))</f>
        <v>37.916666666666671</v>
      </c>
      <c r="L231" s="10" cm="1">
        <f t="array" ref="L231">AVERAGE(_xlfn._xlws.FILTER(PTS!P:P, (PTS!$C:$C=A231) * ISNUMBER(PTS!P:P)))</f>
        <v>0</v>
      </c>
      <c r="M231" s="531">
        <f t="shared" si="31"/>
        <v>417.91666666666669</v>
      </c>
      <c r="N231" s="531">
        <f t="shared" si="32"/>
        <v>92.916666666666671</v>
      </c>
      <c r="O231" s="531" cm="1">
        <f t="array" ref="O231">AVERAGE(_xlfn._xlws.FILTER(PTS!S:S, (PTS!$C:$C=A231) * ISNUMBER(PTS!S:S)))</f>
        <v>0</v>
      </c>
      <c r="P231" s="531" cm="1">
        <f t="array" ref="P231">AVERAGE(_xlfn._xlws.FILTER(PTS!T:T, (PTS!$C:$C=A231) * ISNUMBER(PTS!T:T)))</f>
        <v>0</v>
      </c>
      <c r="Q231" s="531" cm="1">
        <f t="array" ref="Q231">AVERAGE(_xlfn._xlws.FILTER(PTS!U:U, (PTS!$C:$C=A231) * ISNUMBER(PTS!U:U)))</f>
        <v>335.28011363636369</v>
      </c>
      <c r="S231" s="531">
        <f t="shared" si="33"/>
        <v>335.28011363636369</v>
      </c>
      <c r="T231" s="531" cm="1">
        <f t="array" ref="T231">AVERAGE(_xlfn._xlws.FILTER(PTS!X:X, (PTS!$C:$C=A231) * ISNUMBER(PTS!X:X)))</f>
        <v>52</v>
      </c>
      <c r="U231" s="531" cm="1">
        <f t="array" ref="U231">AVERAGE(_xlfn._xlws.FILTER(PTS!Y:Y, (PTS!$C:$C=A231) * ISNUMBER(PTS!Y:Y)))</f>
        <v>50.4</v>
      </c>
      <c r="V231" s="531" cm="1">
        <f t="array" ref="V231">AVERAGE(_xlfn._xlws.FILTER(PTS!Z:Z, (PTS!$C:$C=A231) * ISNUMBER(PTS!Z:Z)))</f>
        <v>26.25</v>
      </c>
      <c r="X231" s="531">
        <f t="shared" si="34"/>
        <v>128.65</v>
      </c>
      <c r="Y231" s="531" cm="1">
        <f t="array" ref="Y231">AVERAGE(_xlfn._xlws.FILTER(PTS!AC:AC, (PTS!$C:$C=A231) * ISNUMBER(PTS!AC:AC)))</f>
        <v>110.22727272727273</v>
      </c>
      <c r="Z231" s="531" cm="1">
        <f t="array" ref="Z231">AVERAGE(_xlfn._xlws.FILTER(PTS!AD:AD, (PTS!$C:$C=A231) * ISNUMBER(PTS!AD:AD)))</f>
        <v>107.04545454545455</v>
      </c>
      <c r="AB231" s="531">
        <f t="shared" si="35"/>
        <v>217.27272727272728</v>
      </c>
      <c r="AC231" s="10" cm="1">
        <f t="array" ref="AC231">AVERAGE(_xlfn._xlws.FILTER(PTS!AG:AG, (PTS!$C:$C=A231) * ISNUMBER(PTS!AG:AG)))</f>
        <v>28.814300000000003</v>
      </c>
      <c r="AD231" s="531" cm="1">
        <f t="array" ref="AD231">AVERAGE(_xlfn._xlws.FILTER(PTS!AH:AH, (PTS!$C:$C=A231) * ISNUMBER(PTS!AH:AH)))</f>
        <v>6.973140495867769</v>
      </c>
      <c r="AE231" s="531" cm="1">
        <f t="array" ref="AE231">AVERAGE(_xlfn._xlws.FILTER(PTS!AI:AI, (PTS!$C:$C=A231) * ISNUMBER(PTS!AI:AI)))</f>
        <v>12.587317427197677</v>
      </c>
      <c r="AF231" s="531" cm="1">
        <f t="array" ref="AF231">AVERAGE(_xlfn._xlws.FILTER(PTS!AJ:AJ, (PTS!$C:$C=A231) * ISNUMBER(PTS!AJ:AJ)))</f>
        <v>6.7351999999999999</v>
      </c>
      <c r="AH231" s="531">
        <f t="shared" si="36"/>
        <v>55.109957923065444</v>
      </c>
      <c r="AI231" s="10" cm="1">
        <f t="array" ref="AI231">AVERAGE(_xlfn._xlws.FILTER(PTS!AM:AM, (PTS!$C:$C=A231) * ISNUMBER(PTS!AM:AM)))</f>
        <v>79.999999999999986</v>
      </c>
      <c r="AJ231" s="10" cm="1">
        <f t="array" ref="AJ231">AVERAGE(_xlfn._xlws.FILTER(PTS!AN:AN, (PTS!$C:$C=A231) * ISNUMBER(PTS!AN:AN)))</f>
        <v>26.17808219178082</v>
      </c>
      <c r="AK231" s="10" cm="1">
        <f t="array" ref="AK231">AVERAGE(_xlfn._xlws.FILTER(PTS!AO:AO, (PTS!$C:$C=A231) * ISNUMBER(PTS!AO:AO)))</f>
        <v>0</v>
      </c>
      <c r="AN231" s="531">
        <f t="shared" si="37"/>
        <v>106.1780821917808</v>
      </c>
      <c r="AR231" s="531">
        <f t="shared" si="38"/>
        <v>935.40754769060391</v>
      </c>
      <c r="AS231" s="531">
        <f t="shared" si="39"/>
        <v>1260.4075476906039</v>
      </c>
    </row>
    <row r="232" spans="1:45">
      <c r="A232" s="32" t="s">
        <v>781</v>
      </c>
      <c r="B232" s="319" t="s">
        <v>253</v>
      </c>
      <c r="C232" s="319" t="str">
        <f t="shared" si="30"/>
        <v>VadoNM</v>
      </c>
      <c r="D232" s="10">
        <f>VLOOKUP(A:A,PTS!C:R,6,FALSE)</f>
        <v>2</v>
      </c>
      <c r="E232" s="531" cm="1">
        <f t="array" ref="E232">AVERAGE(_xlfn._xlws.FILTER(PTS!I:I, (PTS!$C:$C=A232) * ISNUMBER(PTS!I:I)))</f>
        <v>60</v>
      </c>
      <c r="F232" s="10" cm="1">
        <f t="array" ref="F232">AVERAGE(_xlfn._xlws.FILTER(PTS!J:J, (PTS!$C:$C=A232) * ISNUMBER(PTS!J:J)))</f>
        <v>120</v>
      </c>
      <c r="G232" s="531" cm="1">
        <f t="array" ref="G232">AVERAGE(_xlfn._xlws.FILTER(PTS!K:K, (PTS!$C:$C=A232) * ISNUMBER(PTS!K:K)))</f>
        <v>165</v>
      </c>
      <c r="H232" s="531" cm="1">
        <f t="array" ref="H232">AVERAGE(_xlfn._xlws.FILTER(PTS!L:L, (PTS!$C:$C=A232) * ISNUMBER(PTS!L:L)))</f>
        <v>0</v>
      </c>
      <c r="I232" s="531" cm="1">
        <f t="array" ref="I232">AVERAGE(_xlfn._xlws.FILTER(PTS!M:M, (PTS!$C:$C=A232) * ISNUMBER(PTS!M:M)))</f>
        <v>0</v>
      </c>
      <c r="J232" s="531" cm="1">
        <f t="array" ref="J232">AVERAGE(_xlfn._xlws.FILTER(PTS!N:N, (PTS!$C:$C=A232) * ISNUMBER(PTS!N:N)))</f>
        <v>78</v>
      </c>
      <c r="K232" s="531" cm="1">
        <f t="array" ref="K232">AVERAGE(_xlfn._xlws.FILTER(PTS!O:O, (PTS!$C:$C=A232) * ISNUMBER(PTS!O:O)))</f>
        <v>37.916666666666671</v>
      </c>
      <c r="L232" s="10" t="e" cm="1" vm="1">
        <f t="array" ref="L232">AVERAGE(_xlfn._xlws.FILTER(PTS!P:P, (PTS!$C:$C=A232) * ISNUMBER(PTS!P:P)))</f>
        <v>#VALUE!</v>
      </c>
      <c r="M232" s="531" t="e" vm="2">
        <f t="shared" si="31"/>
        <v>#VALUE!</v>
      </c>
      <c r="N232" s="531">
        <f t="shared" si="32"/>
        <v>280.91666666666669</v>
      </c>
      <c r="O232" s="531" cm="1">
        <f t="array" ref="O232">AVERAGE(_xlfn._xlws.FILTER(PTS!S:S, (PTS!$C:$C=A232) * ISNUMBER(PTS!S:S)))</f>
        <v>0</v>
      </c>
      <c r="P232" s="531" cm="1">
        <f t="array" ref="P232">AVERAGE(_xlfn._xlws.FILTER(PTS!T:T, (PTS!$C:$C=A232) * ISNUMBER(PTS!T:T)))</f>
        <v>0</v>
      </c>
      <c r="Q232" s="531" t="e" cm="1" vm="1">
        <f t="array" ref="Q232">AVERAGE(_xlfn._xlws.FILTER(PTS!U:U, (PTS!$C:$C=A232) * ISNUMBER(PTS!U:U)))</f>
        <v>#VALUE!</v>
      </c>
      <c r="S232" s="531" t="e" vm="2">
        <f t="shared" si="33"/>
        <v>#VALUE!</v>
      </c>
      <c r="T232" s="531" t="e" cm="1" vm="1">
        <f t="array" ref="T232">AVERAGE(_xlfn._xlws.FILTER(PTS!X:X, (PTS!$C:$C=A232) * ISNUMBER(PTS!X:X)))</f>
        <v>#VALUE!</v>
      </c>
      <c r="U232" s="531" t="e" cm="1" vm="1">
        <f t="array" ref="U232">AVERAGE(_xlfn._xlws.FILTER(PTS!Y:Y, (PTS!$C:$C=A232) * ISNUMBER(PTS!Y:Y)))</f>
        <v>#VALUE!</v>
      </c>
      <c r="V232" s="531" cm="1">
        <f t="array" ref="V232">AVERAGE(_xlfn._xlws.FILTER(PTS!Z:Z, (PTS!$C:$C=A232) * ISNUMBER(PTS!Z:Z)))</f>
        <v>26.25</v>
      </c>
      <c r="X232" s="531" t="e" vm="2">
        <f t="shared" si="34"/>
        <v>#VALUE!</v>
      </c>
      <c r="Y232" s="531" t="e" cm="1" vm="1">
        <f t="array" ref="Y232">AVERAGE(_xlfn._xlws.FILTER(PTS!AC:AC, (PTS!$C:$C=A232) * ISNUMBER(PTS!AC:AC)))</f>
        <v>#VALUE!</v>
      </c>
      <c r="Z232" s="531" t="e" cm="1" vm="1">
        <f t="array" ref="Z232">AVERAGE(_xlfn._xlws.FILTER(PTS!AD:AD, (PTS!$C:$C=A232) * ISNUMBER(PTS!AD:AD)))</f>
        <v>#VALUE!</v>
      </c>
      <c r="AB232" s="531" t="e" vm="2">
        <f t="shared" si="35"/>
        <v>#VALUE!</v>
      </c>
      <c r="AC232" s="10" cm="1">
        <f t="array" ref="AC232">AVERAGE(_xlfn._xlws.FILTER(PTS!AG:AG, (PTS!$C:$C=A232) * ISNUMBER(PTS!AG:AG)))</f>
        <v>28.814300000000003</v>
      </c>
      <c r="AD232" s="531" cm="1">
        <f t="array" ref="AD232">AVERAGE(_xlfn._xlws.FILTER(PTS!AH:AH, (PTS!$C:$C=A232) * ISNUMBER(PTS!AH:AH)))</f>
        <v>6.973140495867769</v>
      </c>
      <c r="AE232" s="531" cm="1">
        <f t="array" ref="AE232">AVERAGE(_xlfn._xlws.FILTER(PTS!AI:AI, (PTS!$C:$C=A232) * ISNUMBER(PTS!AI:AI)))</f>
        <v>12.587317427197677</v>
      </c>
      <c r="AF232" s="531" cm="1">
        <f t="array" ref="AF232">AVERAGE(_xlfn._xlws.FILTER(PTS!AJ:AJ, (PTS!$C:$C=A232) * ISNUMBER(PTS!AJ:AJ)))</f>
        <v>6.7351999999999999</v>
      </c>
      <c r="AH232" s="531">
        <f t="shared" si="36"/>
        <v>55.109957923065444</v>
      </c>
      <c r="AI232" s="10" cm="1">
        <f t="array" ref="AI232">AVERAGE(_xlfn._xlws.FILTER(PTS!AM:AM, (PTS!$C:$C=A232) * ISNUMBER(PTS!AM:AM)))</f>
        <v>79.999999999999986</v>
      </c>
      <c r="AJ232" s="10" cm="1">
        <f t="array" ref="AJ232">AVERAGE(_xlfn._xlws.FILTER(PTS!AN:AN, (PTS!$C:$C=A232) * ISNUMBER(PTS!AN:AN)))</f>
        <v>26.17808219178082</v>
      </c>
      <c r="AK232" s="10" cm="1">
        <f t="array" ref="AK232">AVERAGE(_xlfn._xlws.FILTER(PTS!AO:AO, (PTS!$C:$C=A232) * ISNUMBER(PTS!AO:AO)))</f>
        <v>0</v>
      </c>
      <c r="AN232" s="531">
        <f t="shared" si="37"/>
        <v>106.1780821917808</v>
      </c>
      <c r="AR232" s="531" t="e" vm="2">
        <f t="shared" si="38"/>
        <v>#VALUE!</v>
      </c>
      <c r="AS232" s="531" t="e" vm="2">
        <f t="shared" si="39"/>
        <v>#VALUE!</v>
      </c>
    </row>
    <row r="233" spans="1:45">
      <c r="A233" s="32" t="s">
        <v>784</v>
      </c>
      <c r="B233" s="319" t="s">
        <v>71</v>
      </c>
      <c r="C233" s="319" t="str">
        <f t="shared" si="30"/>
        <v>VernonTX</v>
      </c>
      <c r="D233" s="10">
        <f>VLOOKUP(A:A,PTS!C:R,6,FALSE)</f>
        <v>2</v>
      </c>
      <c r="E233" s="531" cm="1">
        <f t="array" ref="E233">AVERAGE(_xlfn._xlws.FILTER(PTS!I:I, (PTS!$C:$C=A233) * ISNUMBER(PTS!I:I)))</f>
        <v>90</v>
      </c>
      <c r="F233" s="10" cm="1">
        <f t="array" ref="F233">AVERAGE(_xlfn._xlws.FILTER(PTS!J:J, (PTS!$C:$C=A233) * ISNUMBER(PTS!J:J)))</f>
        <v>120</v>
      </c>
      <c r="G233" s="531" cm="1">
        <f t="array" ref="G233">AVERAGE(_xlfn._xlws.FILTER(PTS!K:K, (PTS!$C:$C=A233) * ISNUMBER(PTS!K:K)))</f>
        <v>195</v>
      </c>
      <c r="H233" s="531" cm="1">
        <f t="array" ref="H233">AVERAGE(_xlfn._xlws.FILTER(PTS!L:L, (PTS!$C:$C=A233) * ISNUMBER(PTS!L:L)))</f>
        <v>0</v>
      </c>
      <c r="I233" s="531" cm="1">
        <f t="array" ref="I233">AVERAGE(_xlfn._xlws.FILTER(PTS!M:M, (PTS!$C:$C=A233) * ISNUMBER(PTS!M:M)))</f>
        <v>0</v>
      </c>
      <c r="J233" s="531" cm="1">
        <f t="array" ref="J233">AVERAGE(_xlfn._xlws.FILTER(PTS!N:N, (PTS!$C:$C=A233) * ISNUMBER(PTS!N:N)))</f>
        <v>42</v>
      </c>
      <c r="K233" s="531" cm="1">
        <f t="array" ref="K233">AVERAGE(_xlfn._xlws.FILTER(PTS!O:O, (PTS!$C:$C=A233) * ISNUMBER(PTS!O:O)))</f>
        <v>37.916666666666671</v>
      </c>
      <c r="L233" s="10" cm="1">
        <f t="array" ref="L233">AVERAGE(_xlfn._xlws.FILTER(PTS!P:P, (PTS!$C:$C=A233) * ISNUMBER(PTS!P:P)))</f>
        <v>0</v>
      </c>
      <c r="M233" s="531">
        <f t="shared" si="31"/>
        <v>484.91666666666669</v>
      </c>
      <c r="N233" s="531">
        <f t="shared" si="32"/>
        <v>274.91666666666669</v>
      </c>
      <c r="O233" s="531" cm="1">
        <f t="array" ref="O233">AVERAGE(_xlfn._xlws.FILTER(PTS!S:S, (PTS!$C:$C=A233) * ISNUMBER(PTS!S:S)))</f>
        <v>0</v>
      </c>
      <c r="P233" s="531" cm="1">
        <f t="array" ref="P233">AVERAGE(_xlfn._xlws.FILTER(PTS!T:T, (PTS!$C:$C=A233) * ISNUMBER(PTS!T:T)))</f>
        <v>0</v>
      </c>
      <c r="Q233" s="531" cm="1">
        <f t="array" ref="Q233">AVERAGE(_xlfn._xlws.FILTER(PTS!U:U, (PTS!$C:$C=A233) * ISNUMBER(PTS!U:U)))</f>
        <v>255.11363636363635</v>
      </c>
      <c r="S233" s="531">
        <f t="shared" si="33"/>
        <v>255.11363636363635</v>
      </c>
      <c r="T233" s="531" cm="1">
        <f t="array" ref="T233">AVERAGE(_xlfn._xlws.FILTER(PTS!X:X, (PTS!$C:$C=A233) * ISNUMBER(PTS!X:X)))</f>
        <v>54</v>
      </c>
      <c r="U233" s="531" cm="1">
        <f t="array" ref="U233">AVERAGE(_xlfn._xlws.FILTER(PTS!Y:Y, (PTS!$C:$C=A233) * ISNUMBER(PTS!Y:Y)))</f>
        <v>50.4</v>
      </c>
      <c r="V233" s="531" cm="1">
        <f t="array" ref="V233">AVERAGE(_xlfn._xlws.FILTER(PTS!Z:Z, (PTS!$C:$C=A233) * ISNUMBER(PTS!Z:Z)))</f>
        <v>26.25</v>
      </c>
      <c r="X233" s="531">
        <f t="shared" si="34"/>
        <v>130.65</v>
      </c>
      <c r="Y233" s="531" cm="1">
        <f t="array" ref="Y233">AVERAGE(_xlfn._xlws.FILTER(PTS!AC:AC, (PTS!$C:$C=A233) * ISNUMBER(PTS!AC:AC)))</f>
        <v>147.72727272727272</v>
      </c>
      <c r="Z233" s="531" cm="1">
        <f t="array" ref="Z233">AVERAGE(_xlfn._xlws.FILTER(PTS!AD:AD, (PTS!$C:$C=A233) * ISNUMBER(PTS!AD:AD)))</f>
        <v>233.06818181818181</v>
      </c>
      <c r="AB233" s="531">
        <f t="shared" si="35"/>
        <v>380.7954545454545</v>
      </c>
      <c r="AC233" s="10" cm="1">
        <f t="array" ref="AC233">AVERAGE(_xlfn._xlws.FILTER(PTS!AG:AG, (PTS!$C:$C=A233) * ISNUMBER(PTS!AG:AG)))</f>
        <v>28.814300000000003</v>
      </c>
      <c r="AD233" s="531" cm="1">
        <f t="array" ref="AD233">AVERAGE(_xlfn._xlws.FILTER(PTS!AH:AH, (PTS!$C:$C=A233) * ISNUMBER(PTS!AH:AH)))</f>
        <v>6.973140495867769</v>
      </c>
      <c r="AE233" s="531" cm="1">
        <f t="array" ref="AE233">AVERAGE(_xlfn._xlws.FILTER(PTS!AI:AI, (PTS!$C:$C=A233) * ISNUMBER(PTS!AI:AI)))</f>
        <v>12.587317427197677</v>
      </c>
      <c r="AF233" s="531" cm="1">
        <f t="array" ref="AF233">AVERAGE(_xlfn._xlws.FILTER(PTS!AJ:AJ, (PTS!$C:$C=A233) * ISNUMBER(PTS!AJ:AJ)))</f>
        <v>6.7351999999999999</v>
      </c>
      <c r="AH233" s="531">
        <f t="shared" si="36"/>
        <v>55.109957923065444</v>
      </c>
      <c r="AI233" s="10" cm="1">
        <f t="array" ref="AI233">AVERAGE(_xlfn._xlws.FILTER(PTS!AM:AM, (PTS!$C:$C=A233) * ISNUMBER(PTS!AM:AM)))</f>
        <v>79.999999999999986</v>
      </c>
      <c r="AJ233" s="10" cm="1">
        <f t="array" ref="AJ233">AVERAGE(_xlfn._xlws.FILTER(PTS!AN:AN, (PTS!$C:$C=A233) * ISNUMBER(PTS!AN:AN)))</f>
        <v>26.17808219178082</v>
      </c>
      <c r="AK233" s="10" cm="1">
        <f t="array" ref="AK233">AVERAGE(_xlfn._xlws.FILTER(PTS!AO:AO, (PTS!$C:$C=A233) * ISNUMBER(PTS!AO:AO)))</f>
        <v>0</v>
      </c>
      <c r="AN233" s="531">
        <f t="shared" si="37"/>
        <v>106.1780821917808</v>
      </c>
      <c r="AR233" s="531">
        <f t="shared" si="38"/>
        <v>1202.7637976906037</v>
      </c>
      <c r="AS233" s="531">
        <f t="shared" si="39"/>
        <v>1412.7637976906037</v>
      </c>
    </row>
    <row r="234" spans="1:45">
      <c r="A234" s="32" t="s">
        <v>787</v>
      </c>
      <c r="B234" s="319" t="s">
        <v>76</v>
      </c>
      <c r="C234" s="319" t="str">
        <f t="shared" si="30"/>
        <v>ViennaGA</v>
      </c>
      <c r="D234" s="10">
        <f>VLOOKUP(A:A,PTS!C:R,6,FALSE)</f>
        <v>4</v>
      </c>
      <c r="E234" s="531" cm="1">
        <f t="array" ref="E234">AVERAGE(_xlfn._xlws.FILTER(PTS!I:I, (PTS!$C:$C=A234) * ISNUMBER(PTS!I:I)))</f>
        <v>46.666666666666664</v>
      </c>
      <c r="F234" s="10" cm="1">
        <f t="array" ref="F234">AVERAGE(_xlfn._xlws.FILTER(PTS!J:J, (PTS!$C:$C=A234) * ISNUMBER(PTS!J:J)))</f>
        <v>66.666666666666671</v>
      </c>
      <c r="G234" s="531" cm="1">
        <f t="array" ref="G234">AVERAGE(_xlfn._xlws.FILTER(PTS!K:K, (PTS!$C:$C=A234) * ISNUMBER(PTS!K:K)))</f>
        <v>0</v>
      </c>
      <c r="H234" s="531" cm="1">
        <f t="array" ref="H234">AVERAGE(_xlfn._xlws.FILTER(PTS!L:L, (PTS!$C:$C=A234) * ISNUMBER(PTS!L:L)))</f>
        <v>0</v>
      </c>
      <c r="I234" s="531" cm="1">
        <f t="array" ref="I234">AVERAGE(_xlfn._xlws.FILTER(PTS!M:M, (PTS!$C:$C=A234) * ISNUMBER(PTS!M:M)))</f>
        <v>16.666666666666668</v>
      </c>
      <c r="J234" s="531" cm="1">
        <f t="array" ref="J234">AVERAGE(_xlfn._xlws.FILTER(PTS!N:N, (PTS!$C:$C=A234) * ISNUMBER(PTS!N:N)))</f>
        <v>61.666666666666664</v>
      </c>
      <c r="K234" s="531" cm="1">
        <f t="array" ref="K234">AVERAGE(_xlfn._xlws.FILTER(PTS!O:O, (PTS!$C:$C=A234) * ISNUMBER(PTS!O:O)))</f>
        <v>37.916666666666671</v>
      </c>
      <c r="L234" s="10" cm="1">
        <f t="array" ref="L234">AVERAGE(_xlfn._xlws.FILTER(PTS!P:P, (PTS!$C:$C=A234) * ISNUMBER(PTS!P:P)))</f>
        <v>0</v>
      </c>
      <c r="M234" s="531">
        <f t="shared" si="31"/>
        <v>229.58333333333331</v>
      </c>
      <c r="N234" s="531">
        <f t="shared" si="32"/>
        <v>37.916666666666671</v>
      </c>
      <c r="O234" s="531" cm="1">
        <f t="array" ref="O234">AVERAGE(_xlfn._xlws.FILTER(PTS!S:S, (PTS!$C:$C=A234) * ISNUMBER(PTS!S:S)))</f>
        <v>0</v>
      </c>
      <c r="P234" s="531" cm="1">
        <f t="array" ref="P234">AVERAGE(_xlfn._xlws.FILTER(PTS!T:T, (PTS!$C:$C=A234) * ISNUMBER(PTS!T:T)))</f>
        <v>0</v>
      </c>
      <c r="Q234" s="531" cm="1">
        <f t="array" ref="Q234">AVERAGE(_xlfn._xlws.FILTER(PTS!U:U, (PTS!$C:$C=A234) * ISNUMBER(PTS!U:U)))</f>
        <v>227.45000000000002</v>
      </c>
      <c r="S234" s="531">
        <f t="shared" si="33"/>
        <v>227.45000000000002</v>
      </c>
      <c r="T234" s="531" cm="1">
        <f t="array" ref="T234">AVERAGE(_xlfn._xlws.FILTER(PTS!X:X, (PTS!$C:$C=A234) * ISNUMBER(PTS!X:X)))</f>
        <v>52</v>
      </c>
      <c r="U234" s="531" cm="1">
        <f t="array" ref="U234">AVERAGE(_xlfn._xlws.FILTER(PTS!Y:Y, (PTS!$C:$C=A234) * ISNUMBER(PTS!Y:Y)))</f>
        <v>50.4</v>
      </c>
      <c r="V234" s="531" cm="1">
        <f t="array" ref="V234">AVERAGE(_xlfn._xlws.FILTER(PTS!Z:Z, (PTS!$C:$C=A234) * ISNUMBER(PTS!Z:Z)))</f>
        <v>26.25</v>
      </c>
      <c r="X234" s="531">
        <f t="shared" si="34"/>
        <v>128.65</v>
      </c>
      <c r="Y234" s="531" cm="1">
        <f t="array" ref="Y234">AVERAGE(_xlfn._xlws.FILTER(PTS!AC:AC, (PTS!$C:$C=A234) * ISNUMBER(PTS!AC:AC)))</f>
        <v>110.22727272727273</v>
      </c>
      <c r="Z234" s="531" cm="1">
        <f t="array" ref="Z234">AVERAGE(_xlfn._xlws.FILTER(PTS!AD:AD, (PTS!$C:$C=A234) * ISNUMBER(PTS!AD:AD)))</f>
        <v>107.04545454545455</v>
      </c>
      <c r="AB234" s="531">
        <f t="shared" si="35"/>
        <v>217.27272727272728</v>
      </c>
      <c r="AC234" s="10" cm="1">
        <f t="array" ref="AC234">AVERAGE(_xlfn._xlws.FILTER(PTS!AG:AG, (PTS!$C:$C=A234) * ISNUMBER(PTS!AG:AG)))</f>
        <v>28.814300000000003</v>
      </c>
      <c r="AD234" s="531" cm="1">
        <f t="array" ref="AD234">AVERAGE(_xlfn._xlws.FILTER(PTS!AH:AH, (PTS!$C:$C=A234) * ISNUMBER(PTS!AH:AH)))</f>
        <v>6.9731404958677699</v>
      </c>
      <c r="AE234" s="531" cm="1">
        <f t="array" ref="AE234">AVERAGE(_xlfn._xlws.FILTER(PTS!AI:AI, (PTS!$C:$C=A234) * ISNUMBER(PTS!AI:AI)))</f>
        <v>12.587317427197677</v>
      </c>
      <c r="AF234" s="531" cm="1">
        <f t="array" ref="AF234">AVERAGE(_xlfn._xlws.FILTER(PTS!AJ:AJ, (PTS!$C:$C=A234) * ISNUMBER(PTS!AJ:AJ)))</f>
        <v>6.7351999999999999</v>
      </c>
      <c r="AH234" s="531">
        <f t="shared" si="36"/>
        <v>55.109957923065444</v>
      </c>
      <c r="AI234" s="10" cm="1">
        <f t="array" ref="AI234">AVERAGE(_xlfn._xlws.FILTER(PTS!AM:AM, (PTS!$C:$C=A234) * ISNUMBER(PTS!AM:AM)))</f>
        <v>79.999999999999986</v>
      </c>
      <c r="AJ234" s="10" cm="1">
        <f t="array" ref="AJ234">AVERAGE(_xlfn._xlws.FILTER(PTS!AN:AN, (PTS!$C:$C=A234) * ISNUMBER(PTS!AN:AN)))</f>
        <v>26.17808219178082</v>
      </c>
      <c r="AK234" s="10" cm="1">
        <f t="array" ref="AK234">AVERAGE(_xlfn._xlws.FILTER(PTS!AO:AO, (PTS!$C:$C=A234) * ISNUMBER(PTS!AO:AO)))</f>
        <v>0</v>
      </c>
      <c r="AN234" s="531">
        <f t="shared" si="37"/>
        <v>106.1780821917808</v>
      </c>
      <c r="AR234" s="531">
        <f t="shared" si="38"/>
        <v>772.57743405424014</v>
      </c>
      <c r="AS234" s="531">
        <f t="shared" si="39"/>
        <v>964.24410072090677</v>
      </c>
    </row>
    <row r="235" spans="1:45">
      <c r="A235" s="32" t="s">
        <v>791</v>
      </c>
      <c r="B235" s="319" t="s">
        <v>76</v>
      </c>
      <c r="C235" s="319" t="str">
        <f t="shared" si="30"/>
        <v>WadleyGA</v>
      </c>
      <c r="D235" s="10">
        <f>VLOOKUP(A:A,PTS!C:R,6,FALSE)</f>
        <v>4</v>
      </c>
      <c r="E235" s="531" cm="1">
        <f t="array" ref="E235">AVERAGE(_xlfn._xlws.FILTER(PTS!I:I, (PTS!$C:$C=A235) * ISNUMBER(PTS!I:I)))</f>
        <v>50</v>
      </c>
      <c r="F235" s="10" cm="1">
        <f t="array" ref="F235">AVERAGE(_xlfn._xlws.FILTER(PTS!J:J, (PTS!$C:$C=A235) * ISNUMBER(PTS!J:J)))</f>
        <v>90</v>
      </c>
      <c r="G235" s="531" cm="1">
        <f t="array" ref="G235">AVERAGE(_xlfn._xlws.FILTER(PTS!K:K, (PTS!$C:$C=A235) * ISNUMBER(PTS!K:K)))</f>
        <v>0</v>
      </c>
      <c r="H235" s="531" cm="1">
        <f t="array" ref="H235">AVERAGE(_xlfn._xlws.FILTER(PTS!L:L, (PTS!$C:$C=A235) * ISNUMBER(PTS!L:L)))</f>
        <v>0</v>
      </c>
      <c r="I235" s="531" cm="1">
        <f t="array" ref="I235">AVERAGE(_xlfn._xlws.FILTER(PTS!M:M, (PTS!$C:$C=A235) * ISNUMBER(PTS!M:M)))</f>
        <v>20</v>
      </c>
      <c r="J235" s="531" cm="1">
        <f t="array" ref="J235">AVERAGE(_xlfn._xlws.FILTER(PTS!N:N, (PTS!$C:$C=A235) * ISNUMBER(PTS!N:N)))</f>
        <v>32</v>
      </c>
      <c r="K235" s="531" cm="1">
        <f t="array" ref="K235">AVERAGE(_xlfn._xlws.FILTER(PTS!O:O, (PTS!$C:$C=A235) * ISNUMBER(PTS!O:O)))</f>
        <v>37.916666666666671</v>
      </c>
      <c r="L235" s="10" cm="1">
        <f t="array" ref="L235">AVERAGE(_xlfn._xlws.FILTER(PTS!P:P, (PTS!$C:$C=A235) * ISNUMBER(PTS!P:P)))</f>
        <v>0</v>
      </c>
      <c r="M235" s="531">
        <f t="shared" si="31"/>
        <v>229.91666666666669</v>
      </c>
      <c r="N235" s="531">
        <f t="shared" si="32"/>
        <v>37.916666666666671</v>
      </c>
      <c r="O235" s="531" cm="1">
        <f t="array" ref="O235">AVERAGE(_xlfn._xlws.FILTER(PTS!S:S, (PTS!$C:$C=A235) * ISNUMBER(PTS!S:S)))</f>
        <v>0</v>
      </c>
      <c r="P235" s="531" cm="1">
        <f t="array" ref="P235">AVERAGE(_xlfn._xlws.FILTER(PTS!T:T, (PTS!$C:$C=A235) * ISNUMBER(PTS!T:T)))</f>
        <v>0</v>
      </c>
      <c r="Q235" s="531" cm="1">
        <f t="array" ref="Q235">AVERAGE(_xlfn._xlws.FILTER(PTS!U:U, (PTS!$C:$C=A235) * ISNUMBER(PTS!U:U)))</f>
        <v>183.87840909090912</v>
      </c>
      <c r="S235" s="531">
        <f t="shared" si="33"/>
        <v>183.87840909090912</v>
      </c>
      <c r="T235" s="531" cm="1">
        <f t="array" ref="T235">AVERAGE(_xlfn._xlws.FILTER(PTS!X:X, (PTS!$C:$C=A235) * ISNUMBER(PTS!X:X)))</f>
        <v>52</v>
      </c>
      <c r="U235" s="531" cm="1">
        <f t="array" ref="U235">AVERAGE(_xlfn._xlws.FILTER(PTS!Y:Y, (PTS!$C:$C=A235) * ISNUMBER(PTS!Y:Y)))</f>
        <v>50.4</v>
      </c>
      <c r="V235" s="531" cm="1">
        <f t="array" ref="V235">AVERAGE(_xlfn._xlws.FILTER(PTS!Z:Z, (PTS!$C:$C=A235) * ISNUMBER(PTS!Z:Z)))</f>
        <v>26.25</v>
      </c>
      <c r="X235" s="531">
        <f t="shared" si="34"/>
        <v>128.65</v>
      </c>
      <c r="Y235" s="531" cm="1">
        <f t="array" ref="Y235">AVERAGE(_xlfn._xlws.FILTER(PTS!AC:AC, (PTS!$C:$C=A235) * ISNUMBER(PTS!AC:AC)))</f>
        <v>110.22727272727273</v>
      </c>
      <c r="Z235" s="531" cm="1">
        <f t="array" ref="Z235">AVERAGE(_xlfn._xlws.FILTER(PTS!AD:AD, (PTS!$C:$C=A235) * ISNUMBER(PTS!AD:AD)))</f>
        <v>107.04545454545455</v>
      </c>
      <c r="AB235" s="531">
        <f t="shared" si="35"/>
        <v>217.27272727272728</v>
      </c>
      <c r="AC235" s="10" cm="1">
        <f t="array" ref="AC235">AVERAGE(_xlfn._xlws.FILTER(PTS!AG:AG, (PTS!$C:$C=A235) * ISNUMBER(PTS!AG:AG)))</f>
        <v>28.814300000000003</v>
      </c>
      <c r="AD235" s="531" cm="1">
        <f t="array" ref="AD235">AVERAGE(_xlfn._xlws.FILTER(PTS!AH:AH, (PTS!$C:$C=A235) * ISNUMBER(PTS!AH:AH)))</f>
        <v>6.973140495867769</v>
      </c>
      <c r="AE235" s="531" cm="1">
        <f t="array" ref="AE235">AVERAGE(_xlfn._xlws.FILTER(PTS!AI:AI, (PTS!$C:$C=A235) * ISNUMBER(PTS!AI:AI)))</f>
        <v>12.587317427197677</v>
      </c>
      <c r="AF235" s="531" cm="1">
        <f t="array" ref="AF235">AVERAGE(_xlfn._xlws.FILTER(PTS!AJ:AJ, (PTS!$C:$C=A235) * ISNUMBER(PTS!AJ:AJ)))</f>
        <v>6.7351999999999999</v>
      </c>
      <c r="AH235" s="531">
        <f t="shared" si="36"/>
        <v>55.109957923065444</v>
      </c>
      <c r="AI235" s="10" cm="1">
        <f t="array" ref="AI235">AVERAGE(_xlfn._xlws.FILTER(PTS!AM:AM, (PTS!$C:$C=A235) * ISNUMBER(PTS!AM:AM)))</f>
        <v>79.999999999999986</v>
      </c>
      <c r="AJ235" s="10" cm="1">
        <f t="array" ref="AJ235">AVERAGE(_xlfn._xlws.FILTER(PTS!AN:AN, (PTS!$C:$C=A235) * ISNUMBER(PTS!AN:AN)))</f>
        <v>26.17808219178082</v>
      </c>
      <c r="AK235" s="10" cm="1">
        <f t="array" ref="AK235">AVERAGE(_xlfn._xlws.FILTER(PTS!AO:AO, (PTS!$C:$C=A235) * ISNUMBER(PTS!AO:AO)))</f>
        <v>0</v>
      </c>
      <c r="AN235" s="531">
        <f t="shared" si="37"/>
        <v>106.1780821917808</v>
      </c>
      <c r="AR235" s="531">
        <f t="shared" si="38"/>
        <v>729.00584314514924</v>
      </c>
      <c r="AS235" s="531">
        <f t="shared" si="39"/>
        <v>921.00584314514924</v>
      </c>
    </row>
    <row r="236" spans="1:45">
      <c r="A236" s="32" t="s">
        <v>793</v>
      </c>
      <c r="B236" s="319" t="s">
        <v>461</v>
      </c>
      <c r="C236" s="319" t="str">
        <f t="shared" si="30"/>
        <v>Walnut HillFL</v>
      </c>
      <c r="D236" s="10">
        <f>VLOOKUP(A:A,PTS!C:R,6,FALSE)</f>
        <v>1</v>
      </c>
      <c r="E236" s="531" cm="1">
        <f t="array" ref="E236">AVERAGE(_xlfn._xlws.FILTER(PTS!I:I, (PTS!$C:$C=A236) * ISNUMBER(PTS!I:I)))</f>
        <v>55</v>
      </c>
      <c r="F236" s="10" cm="1">
        <f t="array" ref="F236">AVERAGE(_xlfn._xlws.FILTER(PTS!J:J, (PTS!$C:$C=A236) * ISNUMBER(PTS!J:J)))</f>
        <v>95</v>
      </c>
      <c r="G236" s="531" cm="1">
        <f t="array" ref="G236">AVERAGE(_xlfn._xlws.FILTER(PTS!K:K, (PTS!$C:$C=A236) * ISNUMBER(PTS!K:K)))</f>
        <v>140</v>
      </c>
      <c r="H236" s="531" cm="1">
        <f t="array" ref="H236">AVERAGE(_xlfn._xlws.FILTER(PTS!L:L, (PTS!$C:$C=A236) * ISNUMBER(PTS!L:L)))</f>
        <v>0</v>
      </c>
      <c r="I236" s="531" cm="1">
        <f t="array" ref="I236">AVERAGE(_xlfn._xlws.FILTER(PTS!M:M, (PTS!$C:$C=A236) * ISNUMBER(PTS!M:M)))</f>
        <v>20</v>
      </c>
      <c r="J236" s="531" cm="1">
        <f t="array" ref="J236">AVERAGE(_xlfn._xlws.FILTER(PTS!N:N, (PTS!$C:$C=A236) * ISNUMBER(PTS!N:N)))</f>
        <v>50</v>
      </c>
      <c r="K236" s="531" cm="1">
        <f t="array" ref="K236">AVERAGE(_xlfn._xlws.FILTER(PTS!O:O, (PTS!$C:$C=A236) * ISNUMBER(PTS!O:O)))</f>
        <v>37.916666666666671</v>
      </c>
      <c r="L236" s="10" cm="1">
        <f t="array" ref="L236">AVERAGE(_xlfn._xlws.FILTER(PTS!P:P, (PTS!$C:$C=A236) * ISNUMBER(PTS!P:P)))</f>
        <v>0</v>
      </c>
      <c r="M236" s="531">
        <f t="shared" si="31"/>
        <v>397.91666666666669</v>
      </c>
      <c r="N236" s="531">
        <f t="shared" si="32"/>
        <v>87.916666666666671</v>
      </c>
      <c r="O236" s="531" cm="1">
        <f t="array" ref="O236">AVERAGE(_xlfn._xlws.FILTER(PTS!S:S, (PTS!$C:$C=A236) * ISNUMBER(PTS!S:S)))</f>
        <v>0</v>
      </c>
      <c r="P236" s="531" cm="1">
        <f t="array" ref="P236">AVERAGE(_xlfn._xlws.FILTER(PTS!T:T, (PTS!$C:$C=A236) * ISNUMBER(PTS!T:T)))</f>
        <v>0</v>
      </c>
      <c r="Q236" s="531" cm="1">
        <f t="array" ref="Q236">AVERAGE(_xlfn._xlws.FILTER(PTS!U:U, (PTS!$C:$C=A236) * ISNUMBER(PTS!U:U)))</f>
        <v>331.01875000000001</v>
      </c>
      <c r="S236" s="531">
        <f t="shared" si="33"/>
        <v>331.01875000000001</v>
      </c>
      <c r="T236" s="531" cm="1">
        <f t="array" ref="T236">AVERAGE(_xlfn._xlws.FILTER(PTS!X:X, (PTS!$C:$C=A236) * ISNUMBER(PTS!X:X)))</f>
        <v>52</v>
      </c>
      <c r="U236" s="531" cm="1">
        <f t="array" ref="U236">AVERAGE(_xlfn._xlws.FILTER(PTS!Y:Y, (PTS!$C:$C=A236) * ISNUMBER(PTS!Y:Y)))</f>
        <v>50.4</v>
      </c>
      <c r="V236" s="531" cm="1">
        <f t="array" ref="V236">AVERAGE(_xlfn._xlws.FILTER(PTS!Z:Z, (PTS!$C:$C=A236) * ISNUMBER(PTS!Z:Z)))</f>
        <v>26.25</v>
      </c>
      <c r="X236" s="531">
        <f t="shared" si="34"/>
        <v>128.65</v>
      </c>
      <c r="Y236" s="531" cm="1">
        <f t="array" ref="Y236">AVERAGE(_xlfn._xlws.FILTER(PTS!AC:AC, (PTS!$C:$C=A236) * ISNUMBER(PTS!AC:AC)))</f>
        <v>110.22727272727273</v>
      </c>
      <c r="Z236" s="531" cm="1">
        <f t="array" ref="Z236">AVERAGE(_xlfn._xlws.FILTER(PTS!AD:AD, (PTS!$C:$C=A236) * ISNUMBER(PTS!AD:AD)))</f>
        <v>107.04545454545455</v>
      </c>
      <c r="AB236" s="531">
        <f t="shared" si="35"/>
        <v>217.27272727272728</v>
      </c>
      <c r="AC236" s="10" cm="1">
        <f t="array" ref="AC236">AVERAGE(_xlfn._xlws.FILTER(PTS!AG:AG, (PTS!$C:$C=A236) * ISNUMBER(PTS!AG:AG)))</f>
        <v>28.814300000000003</v>
      </c>
      <c r="AD236" s="531" cm="1">
        <f t="array" ref="AD236">AVERAGE(_xlfn._xlws.FILTER(PTS!AH:AH, (PTS!$C:$C=A236) * ISNUMBER(PTS!AH:AH)))</f>
        <v>6.973140495867769</v>
      </c>
      <c r="AE236" s="531" cm="1">
        <f t="array" ref="AE236">AVERAGE(_xlfn._xlws.FILTER(PTS!AI:AI, (PTS!$C:$C=A236) * ISNUMBER(PTS!AI:AI)))</f>
        <v>12.587317427197677</v>
      </c>
      <c r="AF236" s="531" cm="1">
        <f t="array" ref="AF236">AVERAGE(_xlfn._xlws.FILTER(PTS!AJ:AJ, (PTS!$C:$C=A236) * ISNUMBER(PTS!AJ:AJ)))</f>
        <v>6.7351999999999999</v>
      </c>
      <c r="AH236" s="531">
        <f t="shared" si="36"/>
        <v>55.109957923065444</v>
      </c>
      <c r="AI236" s="10" cm="1">
        <f t="array" ref="AI236">AVERAGE(_xlfn._xlws.FILTER(PTS!AM:AM, (PTS!$C:$C=A236) * ISNUMBER(PTS!AM:AM)))</f>
        <v>79.999999999999986</v>
      </c>
      <c r="AJ236" s="10" cm="1">
        <f t="array" ref="AJ236">AVERAGE(_xlfn._xlws.FILTER(PTS!AN:AN, (PTS!$C:$C=A236) * ISNUMBER(PTS!AN:AN)))</f>
        <v>26.17808219178082</v>
      </c>
      <c r="AK236" s="10" cm="1">
        <f t="array" ref="AK236">AVERAGE(_xlfn._xlws.FILTER(PTS!AO:AO, (PTS!$C:$C=A236) * ISNUMBER(PTS!AO:AO)))</f>
        <v>0</v>
      </c>
      <c r="AN236" s="531">
        <f t="shared" si="37"/>
        <v>106.1780821917808</v>
      </c>
      <c r="AR236" s="531">
        <f t="shared" si="38"/>
        <v>926.14618405424017</v>
      </c>
      <c r="AS236" s="531">
        <f t="shared" si="39"/>
        <v>1236.1461840542402</v>
      </c>
    </row>
    <row r="237" spans="1:45">
      <c r="A237" s="32" t="s">
        <v>795</v>
      </c>
      <c r="B237" s="319" t="s">
        <v>76</v>
      </c>
      <c r="C237" s="319" t="str">
        <f t="shared" si="30"/>
        <v>WaynesboroGA</v>
      </c>
      <c r="D237" s="10">
        <f>VLOOKUP(A:A,PTS!C:R,6,FALSE)</f>
        <v>4</v>
      </c>
      <c r="E237" s="531" cm="1">
        <f t="array" ref="E237">AVERAGE(_xlfn._xlws.FILTER(PTS!I:I, (PTS!$C:$C=A237) * ISNUMBER(PTS!I:I)))</f>
        <v>60</v>
      </c>
      <c r="F237" s="10" cm="1">
        <f t="array" ref="F237">AVERAGE(_xlfn._xlws.FILTER(PTS!J:J, (PTS!$C:$C=A237) * ISNUMBER(PTS!J:J)))</f>
        <v>100</v>
      </c>
      <c r="G237" s="531" cm="1">
        <f t="array" ref="G237">AVERAGE(_xlfn._xlws.FILTER(PTS!K:K, (PTS!$C:$C=A237) * ISNUMBER(PTS!K:K)))</f>
        <v>0</v>
      </c>
      <c r="H237" s="531" cm="1">
        <f t="array" ref="H237">AVERAGE(_xlfn._xlws.FILTER(PTS!L:L, (PTS!$C:$C=A237) * ISNUMBER(PTS!L:L)))</f>
        <v>0</v>
      </c>
      <c r="I237" s="531" cm="1">
        <f t="array" ref="I237">AVERAGE(_xlfn._xlws.FILTER(PTS!M:M, (PTS!$C:$C=A237) * ISNUMBER(PTS!M:M)))</f>
        <v>0</v>
      </c>
      <c r="J237" s="531" cm="1">
        <f t="array" ref="J237">AVERAGE(_xlfn._xlws.FILTER(PTS!N:N, (PTS!$C:$C=A237) * ISNUMBER(PTS!N:N)))</f>
        <v>40</v>
      </c>
      <c r="K237" s="531" cm="1">
        <f t="array" ref="K237">AVERAGE(_xlfn._xlws.FILTER(PTS!O:O, (PTS!$C:$C=A237) * ISNUMBER(PTS!O:O)))</f>
        <v>37.916666666666671</v>
      </c>
      <c r="L237" s="10" cm="1">
        <f t="array" ref="L237">AVERAGE(_xlfn._xlws.FILTER(PTS!P:P, (PTS!$C:$C=A237) * ISNUMBER(PTS!P:P)))</f>
        <v>0</v>
      </c>
      <c r="M237" s="531">
        <f t="shared" si="31"/>
        <v>237.91666666666669</v>
      </c>
      <c r="N237" s="531">
        <f t="shared" si="32"/>
        <v>37.916666666666671</v>
      </c>
      <c r="O237" s="531" cm="1">
        <f t="array" ref="O237">AVERAGE(_xlfn._xlws.FILTER(PTS!S:S, (PTS!$C:$C=A237) * ISNUMBER(PTS!S:S)))</f>
        <v>0</v>
      </c>
      <c r="P237" s="531" cm="1">
        <f t="array" ref="P237">AVERAGE(_xlfn._xlws.FILTER(PTS!T:T, (PTS!$C:$C=A237) * ISNUMBER(PTS!T:T)))</f>
        <v>0</v>
      </c>
      <c r="Q237" s="531" cm="1">
        <f t="array" ref="Q237">AVERAGE(_xlfn._xlws.FILTER(PTS!U:U, (PTS!$C:$C=A237) * ISNUMBER(PTS!U:U)))</f>
        <v>186.07954545454547</v>
      </c>
      <c r="S237" s="531">
        <f t="shared" si="33"/>
        <v>186.07954545454547</v>
      </c>
      <c r="T237" s="531" cm="1">
        <f t="array" ref="T237">AVERAGE(_xlfn._xlws.FILTER(PTS!X:X, (PTS!$C:$C=A237) * ISNUMBER(PTS!X:X)))</f>
        <v>52</v>
      </c>
      <c r="U237" s="531" cm="1">
        <f t="array" ref="U237">AVERAGE(_xlfn._xlws.FILTER(PTS!Y:Y, (PTS!$C:$C=A237) * ISNUMBER(PTS!Y:Y)))</f>
        <v>50.4</v>
      </c>
      <c r="V237" s="531" cm="1">
        <f t="array" ref="V237">AVERAGE(_xlfn._xlws.FILTER(PTS!Z:Z, (PTS!$C:$C=A237) * ISNUMBER(PTS!Z:Z)))</f>
        <v>26.25</v>
      </c>
      <c r="X237" s="531">
        <f t="shared" si="34"/>
        <v>128.65</v>
      </c>
      <c r="Y237" s="531" cm="1">
        <f t="array" ref="Y237">AVERAGE(_xlfn._xlws.FILTER(PTS!AC:AC, (PTS!$C:$C=A237) * ISNUMBER(PTS!AC:AC)))</f>
        <v>110.22727272727273</v>
      </c>
      <c r="Z237" s="531" cm="1">
        <f t="array" ref="Z237">AVERAGE(_xlfn._xlws.FILTER(PTS!AD:AD, (PTS!$C:$C=A237) * ISNUMBER(PTS!AD:AD)))</f>
        <v>107.04545454545455</v>
      </c>
      <c r="AB237" s="531">
        <f t="shared" si="35"/>
        <v>217.27272727272728</v>
      </c>
      <c r="AC237" s="10" cm="1">
        <f t="array" ref="AC237">AVERAGE(_xlfn._xlws.FILTER(PTS!AG:AG, (PTS!$C:$C=A237) * ISNUMBER(PTS!AG:AG)))</f>
        <v>28.814300000000003</v>
      </c>
      <c r="AD237" s="531" cm="1">
        <f t="array" ref="AD237">AVERAGE(_xlfn._xlws.FILTER(PTS!AH:AH, (PTS!$C:$C=A237) * ISNUMBER(PTS!AH:AH)))</f>
        <v>6.973140495867769</v>
      </c>
      <c r="AE237" s="531" cm="1">
        <f t="array" ref="AE237">AVERAGE(_xlfn._xlws.FILTER(PTS!AI:AI, (PTS!$C:$C=A237) * ISNUMBER(PTS!AI:AI)))</f>
        <v>12.587317427197677</v>
      </c>
      <c r="AF237" s="531" cm="1">
        <f t="array" ref="AF237">AVERAGE(_xlfn._xlws.FILTER(PTS!AJ:AJ, (PTS!$C:$C=A237) * ISNUMBER(PTS!AJ:AJ)))</f>
        <v>6.7351999999999999</v>
      </c>
      <c r="AH237" s="531">
        <f t="shared" si="36"/>
        <v>55.109957923065444</v>
      </c>
      <c r="AI237" s="10" cm="1">
        <f t="array" ref="AI237">AVERAGE(_xlfn._xlws.FILTER(PTS!AM:AM, (PTS!$C:$C=A237) * ISNUMBER(PTS!AM:AM)))</f>
        <v>79.999999999999986</v>
      </c>
      <c r="AJ237" s="10" cm="1">
        <f t="array" ref="AJ237">AVERAGE(_xlfn._xlws.FILTER(PTS!AN:AN, (PTS!$C:$C=A237) * ISNUMBER(PTS!AN:AN)))</f>
        <v>26.17808219178082</v>
      </c>
      <c r="AK237" s="10" cm="1">
        <f t="array" ref="AK237">AVERAGE(_xlfn._xlws.FILTER(PTS!AO:AO, (PTS!$C:$C=A237) * ISNUMBER(PTS!AO:AO)))</f>
        <v>0</v>
      </c>
      <c r="AN237" s="531">
        <f t="shared" si="37"/>
        <v>106.1780821917808</v>
      </c>
      <c r="AR237" s="531">
        <f t="shared" si="38"/>
        <v>731.20697950878559</v>
      </c>
      <c r="AS237" s="531">
        <f t="shared" si="39"/>
        <v>931.20697950878559</v>
      </c>
    </row>
    <row r="238" spans="1:45">
      <c r="A238" s="32" t="s">
        <v>797</v>
      </c>
      <c r="B238" s="319" t="s">
        <v>136</v>
      </c>
      <c r="C238" s="319" t="str">
        <f t="shared" si="30"/>
        <v>WeldonNC</v>
      </c>
      <c r="D238" s="10">
        <f>VLOOKUP(A:A,PTS!C:R,6,FALSE)</f>
        <v>1</v>
      </c>
      <c r="E238" s="531" cm="1">
        <f t="array" ref="E238">AVERAGE(_xlfn._xlws.FILTER(PTS!I:I, (PTS!$C:$C=A238) * ISNUMBER(PTS!I:I)))</f>
        <v>55</v>
      </c>
      <c r="F238" s="10" cm="1">
        <f t="array" ref="F238">AVERAGE(_xlfn._xlws.FILTER(PTS!J:J, (PTS!$C:$C=A238) * ISNUMBER(PTS!J:J)))</f>
        <v>100</v>
      </c>
      <c r="G238" s="531" cm="1">
        <f t="array" ref="G238">AVERAGE(_xlfn._xlws.FILTER(PTS!K:K, (PTS!$C:$C=A238) * ISNUMBER(PTS!K:K)))</f>
        <v>0</v>
      </c>
      <c r="H238" s="531" cm="1">
        <f t="array" ref="H238">AVERAGE(_xlfn._xlws.FILTER(PTS!L:L, (PTS!$C:$C=A238) * ISNUMBER(PTS!L:L)))</f>
        <v>0</v>
      </c>
      <c r="I238" s="531" cm="1">
        <f t="array" ref="I238">AVERAGE(_xlfn._xlws.FILTER(PTS!M:M, (PTS!$C:$C=A238) * ISNUMBER(PTS!M:M)))</f>
        <v>7</v>
      </c>
      <c r="J238" s="531" cm="1">
        <f t="array" ref="J238">AVERAGE(_xlfn._xlws.FILTER(PTS!N:N, (PTS!$C:$C=A238) * ISNUMBER(PTS!N:N)))</f>
        <v>53</v>
      </c>
      <c r="K238" s="531" cm="1">
        <f t="array" ref="K238">AVERAGE(_xlfn._xlws.FILTER(PTS!O:O, (PTS!$C:$C=A238) * ISNUMBER(PTS!O:O)))</f>
        <v>37.916666666666671</v>
      </c>
      <c r="L238" s="10" cm="1">
        <f t="array" ref="L238">AVERAGE(_xlfn._xlws.FILTER(PTS!P:P, (PTS!$C:$C=A238) * ISNUMBER(PTS!P:P)))</f>
        <v>0</v>
      </c>
      <c r="M238" s="531">
        <f t="shared" si="31"/>
        <v>252.91666666666669</v>
      </c>
      <c r="N238" s="531">
        <f t="shared" si="32"/>
        <v>90.916666666666671</v>
      </c>
      <c r="O238" s="531" cm="1">
        <f t="array" ref="O238">AVERAGE(_xlfn._xlws.FILTER(PTS!S:S, (PTS!$C:$C=A238) * ISNUMBER(PTS!S:S)))</f>
        <v>0</v>
      </c>
      <c r="P238" s="531" cm="1">
        <f t="array" ref="P238">AVERAGE(_xlfn._xlws.FILTER(PTS!T:T, (PTS!$C:$C=A238) * ISNUMBER(PTS!T:T)))</f>
        <v>0</v>
      </c>
      <c r="Q238" s="531" cm="1">
        <f t="array" ref="Q238">AVERAGE(_xlfn._xlws.FILTER(PTS!U:U, (PTS!$C:$C=A238) * ISNUMBER(PTS!U:U)))</f>
        <v>294.20738636363632</v>
      </c>
      <c r="S238" s="531">
        <f t="shared" si="33"/>
        <v>294.20738636363632</v>
      </c>
      <c r="T238" s="531" cm="1">
        <f t="array" ref="T238">AVERAGE(_xlfn._xlws.FILTER(PTS!X:X, (PTS!$C:$C=A238) * ISNUMBER(PTS!X:X)))</f>
        <v>52</v>
      </c>
      <c r="U238" s="531" cm="1">
        <f t="array" ref="U238">AVERAGE(_xlfn._xlws.FILTER(PTS!Y:Y, (PTS!$C:$C=A238) * ISNUMBER(PTS!Y:Y)))</f>
        <v>50.4</v>
      </c>
      <c r="V238" s="531" cm="1">
        <f t="array" ref="V238">AVERAGE(_xlfn._xlws.FILTER(PTS!Z:Z, (PTS!$C:$C=A238) * ISNUMBER(PTS!Z:Z)))</f>
        <v>26.25</v>
      </c>
      <c r="X238" s="531">
        <f t="shared" si="34"/>
        <v>128.65</v>
      </c>
      <c r="Y238" s="531" cm="1">
        <f t="array" ref="Y238">AVERAGE(_xlfn._xlws.FILTER(PTS!AC:AC, (PTS!$C:$C=A238) * ISNUMBER(PTS!AC:AC)))</f>
        <v>110.22727272727273</v>
      </c>
      <c r="Z238" s="531" cm="1">
        <f t="array" ref="Z238">AVERAGE(_xlfn._xlws.FILTER(PTS!AD:AD, (PTS!$C:$C=A238) * ISNUMBER(PTS!AD:AD)))</f>
        <v>107.04545454545455</v>
      </c>
      <c r="AB238" s="531">
        <f t="shared" si="35"/>
        <v>217.27272727272728</v>
      </c>
      <c r="AC238" s="10" cm="1">
        <f t="array" ref="AC238">AVERAGE(_xlfn._xlws.FILTER(PTS!AG:AG, (PTS!$C:$C=A238) * ISNUMBER(PTS!AG:AG)))</f>
        <v>28.814300000000003</v>
      </c>
      <c r="AD238" s="531" cm="1">
        <f t="array" ref="AD238">AVERAGE(_xlfn._xlws.FILTER(PTS!AH:AH, (PTS!$C:$C=A238) * ISNUMBER(PTS!AH:AH)))</f>
        <v>6.973140495867769</v>
      </c>
      <c r="AE238" s="531" cm="1">
        <f t="array" ref="AE238">AVERAGE(_xlfn._xlws.FILTER(PTS!AI:AI, (PTS!$C:$C=A238) * ISNUMBER(PTS!AI:AI)))</f>
        <v>12.587317427197677</v>
      </c>
      <c r="AF238" s="531" cm="1">
        <f t="array" ref="AF238">AVERAGE(_xlfn._xlws.FILTER(PTS!AJ:AJ, (PTS!$C:$C=A238) * ISNUMBER(PTS!AJ:AJ)))</f>
        <v>6.7351999999999999</v>
      </c>
      <c r="AH238" s="531">
        <f t="shared" si="36"/>
        <v>55.109957923065444</v>
      </c>
      <c r="AI238" s="10" cm="1">
        <f t="array" ref="AI238">AVERAGE(_xlfn._xlws.FILTER(PTS!AM:AM, (PTS!$C:$C=A238) * ISNUMBER(PTS!AM:AM)))</f>
        <v>79.999999999999986</v>
      </c>
      <c r="AJ238" s="10" cm="1">
        <f t="array" ref="AJ238">AVERAGE(_xlfn._xlws.FILTER(PTS!AN:AN, (PTS!$C:$C=A238) * ISNUMBER(PTS!AN:AN)))</f>
        <v>26.17808219178082</v>
      </c>
      <c r="AK238" s="10" cm="1">
        <f t="array" ref="AK238">AVERAGE(_xlfn._xlws.FILTER(PTS!AO:AO, (PTS!$C:$C=A238) * ISNUMBER(PTS!AO:AO)))</f>
        <v>0</v>
      </c>
      <c r="AN238" s="531">
        <f t="shared" si="37"/>
        <v>106.1780821917808</v>
      </c>
      <c r="AR238" s="531">
        <f t="shared" si="38"/>
        <v>892.33482041787647</v>
      </c>
      <c r="AS238" s="531">
        <f t="shared" si="39"/>
        <v>1054.3348204178765</v>
      </c>
    </row>
    <row r="239" spans="1:45">
      <c r="A239" s="32" t="s">
        <v>6</v>
      </c>
      <c r="B239" s="319" t="s">
        <v>71</v>
      </c>
      <c r="C239" s="319" t="str">
        <f t="shared" si="30"/>
        <v>WeslacoTX</v>
      </c>
      <c r="D239" s="10">
        <f>VLOOKUP(A:A,PTS!C:R,6,FALSE)</f>
        <v>3</v>
      </c>
      <c r="E239" s="531" cm="1">
        <f t="array" ref="E239">AVERAGE(_xlfn._xlws.FILTER(PTS!I:I, (PTS!$C:$C=A239) * ISNUMBER(PTS!I:I)))</f>
        <v>120</v>
      </c>
      <c r="F239" s="10" cm="1">
        <f t="array" ref="F239">AVERAGE(_xlfn._xlws.FILTER(PTS!J:J, (PTS!$C:$C=A239) * ISNUMBER(PTS!J:J)))</f>
        <v>165</v>
      </c>
      <c r="G239" s="531" cm="1">
        <f t="array" ref="G239">AVERAGE(_xlfn._xlws.FILTER(PTS!K:K, (PTS!$C:$C=A239) * ISNUMBER(PTS!K:K)))</f>
        <v>235</v>
      </c>
      <c r="H239" s="531" cm="1">
        <f t="array" ref="H239">AVERAGE(_xlfn._xlws.FILTER(PTS!L:L, (PTS!$C:$C=A239) * ISNUMBER(PTS!L:L)))</f>
        <v>0</v>
      </c>
      <c r="I239" s="531" cm="1">
        <f t="array" ref="I239">AVERAGE(_xlfn._xlws.FILTER(PTS!M:M, (PTS!$C:$C=A239) * ISNUMBER(PTS!M:M)))</f>
        <v>0</v>
      </c>
      <c r="J239" s="531" cm="1">
        <f t="array" ref="J239">AVERAGE(_xlfn._xlws.FILTER(PTS!N:N, (PTS!$C:$C=A239) * ISNUMBER(PTS!N:N)))</f>
        <v>68</v>
      </c>
      <c r="K239" s="531" cm="1">
        <f t="array" ref="K239">AVERAGE(_xlfn._xlws.FILTER(PTS!O:O, (PTS!$C:$C=A239) * ISNUMBER(PTS!O:O)))</f>
        <v>37.916666666666671</v>
      </c>
      <c r="L239" s="10" cm="1">
        <f t="array" ref="L239">AVERAGE(_xlfn._xlws.FILTER(PTS!P:P, (PTS!$C:$C=A239) * ISNUMBER(PTS!P:P)))</f>
        <v>0</v>
      </c>
      <c r="M239" s="531">
        <f t="shared" si="31"/>
        <v>625.91666666666663</v>
      </c>
      <c r="N239" s="531">
        <f t="shared" si="32"/>
        <v>505.91666666666669</v>
      </c>
      <c r="O239" s="531" cm="1">
        <f t="array" ref="O239">AVERAGE(_xlfn._xlws.FILTER(PTS!S:S, (PTS!$C:$C=A239) * ISNUMBER(PTS!S:S)))</f>
        <v>0</v>
      </c>
      <c r="P239" s="531" cm="1">
        <f t="array" ref="P239">AVERAGE(_xlfn._xlws.FILTER(PTS!T:T, (PTS!$C:$C=A239) * ISNUMBER(PTS!T:T)))</f>
        <v>0</v>
      </c>
      <c r="Q239" s="531" cm="1">
        <f t="array" ref="Q239">AVERAGE(_xlfn._xlws.FILTER(PTS!U:U, (PTS!$C:$C=A239) * ISNUMBER(PTS!U:U)))</f>
        <v>275.56818181818181</v>
      </c>
      <c r="S239" s="531">
        <f t="shared" si="33"/>
        <v>275.56818181818181</v>
      </c>
      <c r="T239" s="531" cm="1">
        <f t="array" ref="T239">AVERAGE(_xlfn._xlws.FILTER(PTS!X:X, (PTS!$C:$C=A239) * ISNUMBER(PTS!X:X)))</f>
        <v>54</v>
      </c>
      <c r="U239" s="531" cm="1">
        <f t="array" ref="U239">AVERAGE(_xlfn._xlws.FILTER(PTS!Y:Y, (PTS!$C:$C=A239) * ISNUMBER(PTS!Y:Y)))</f>
        <v>50.4</v>
      </c>
      <c r="V239" s="531" cm="1">
        <f t="array" ref="V239">AVERAGE(_xlfn._xlws.FILTER(PTS!Z:Z, (PTS!$C:$C=A239) * ISNUMBER(PTS!Z:Z)))</f>
        <v>26.25</v>
      </c>
      <c r="X239" s="531">
        <f t="shared" si="34"/>
        <v>130.65</v>
      </c>
      <c r="Y239" s="531" cm="1">
        <f t="array" ref="Y239">AVERAGE(_xlfn._xlws.FILTER(PTS!AC:AC, (PTS!$C:$C=A239) * ISNUMBER(PTS!AC:AC)))</f>
        <v>132.95454545454544</v>
      </c>
      <c r="Z239" s="531" cm="1">
        <f t="array" ref="Z239">AVERAGE(_xlfn._xlws.FILTER(PTS!AD:AD, (PTS!$C:$C=A239) * ISNUMBER(PTS!AD:AD)))</f>
        <v>197.95454545454547</v>
      </c>
      <c r="AB239" s="531">
        <f t="shared" si="35"/>
        <v>330.90909090909088</v>
      </c>
      <c r="AC239" s="10" cm="1">
        <f t="array" ref="AC239">AVERAGE(_xlfn._xlws.FILTER(PTS!AG:AG, (PTS!$C:$C=A239) * ISNUMBER(PTS!AG:AG)))</f>
        <v>28.814300000000003</v>
      </c>
      <c r="AD239" s="531" cm="1">
        <f t="array" ref="AD239">AVERAGE(_xlfn._xlws.FILTER(PTS!AH:AH, (PTS!$C:$C=A239) * ISNUMBER(PTS!AH:AH)))</f>
        <v>6.973140495867769</v>
      </c>
      <c r="AE239" s="531" cm="1">
        <f t="array" ref="AE239">AVERAGE(_xlfn._xlws.FILTER(PTS!AI:AI, (PTS!$C:$C=A239) * ISNUMBER(PTS!AI:AI)))</f>
        <v>12.587317427197677</v>
      </c>
      <c r="AF239" s="531" cm="1">
        <f t="array" ref="AF239">AVERAGE(_xlfn._xlws.FILTER(PTS!AJ:AJ, (PTS!$C:$C=A239) * ISNUMBER(PTS!AJ:AJ)))</f>
        <v>6.7351999999999999</v>
      </c>
      <c r="AH239" s="531">
        <f t="shared" si="36"/>
        <v>55.109957923065444</v>
      </c>
      <c r="AI239" s="10" cm="1">
        <f t="array" ref="AI239">AVERAGE(_xlfn._xlws.FILTER(PTS!AM:AM, (PTS!$C:$C=A239) * ISNUMBER(PTS!AM:AM)))</f>
        <v>79.999999999999986</v>
      </c>
      <c r="AJ239" s="10" cm="1">
        <f t="array" ref="AJ239">AVERAGE(_xlfn._xlws.FILTER(PTS!AN:AN, (PTS!$C:$C=A239) * ISNUMBER(PTS!AN:AN)))</f>
        <v>26.17808219178082</v>
      </c>
      <c r="AK239" s="10" cm="1">
        <f t="array" ref="AK239">AVERAGE(_xlfn._xlws.FILTER(PTS!AO:AO, (PTS!$C:$C=A239) * ISNUMBER(PTS!AO:AO)))</f>
        <v>0</v>
      </c>
      <c r="AN239" s="531">
        <f t="shared" si="37"/>
        <v>106.1780821917808</v>
      </c>
      <c r="AR239" s="531">
        <f t="shared" si="38"/>
        <v>1404.3319795087855</v>
      </c>
      <c r="AS239" s="531">
        <f t="shared" si="39"/>
        <v>1524.3319795087857</v>
      </c>
    </row>
    <row r="240" spans="1:45">
      <c r="A240" s="32" t="s">
        <v>801</v>
      </c>
      <c r="B240" s="319" t="s">
        <v>149</v>
      </c>
      <c r="C240" s="319" t="str">
        <f t="shared" si="30"/>
        <v>West MemphisAR</v>
      </c>
      <c r="D240" s="10">
        <f>VLOOKUP(A:A,PTS!C:R,6,FALSE)</f>
        <v>1</v>
      </c>
      <c r="E240" s="531" cm="1">
        <f t="array" ref="E240">AVERAGE(_xlfn._xlws.FILTER(PTS!I:I, (PTS!$C:$C=A240) * ISNUMBER(PTS!I:I)))</f>
        <v>48</v>
      </c>
      <c r="F240" s="10" cm="1">
        <f t="array" ref="F240">AVERAGE(_xlfn._xlws.FILTER(PTS!J:J, (PTS!$C:$C=A240) * ISNUMBER(PTS!J:J)))</f>
        <v>262.5</v>
      </c>
      <c r="G240" s="531" cm="1">
        <f t="array" ref="G240">AVERAGE(_xlfn._xlws.FILTER(PTS!K:K, (PTS!$C:$C=A240) * ISNUMBER(PTS!K:K)))</f>
        <v>35</v>
      </c>
      <c r="H240" s="531" cm="1">
        <f t="array" ref="H240">AVERAGE(_xlfn._xlws.FILTER(PTS!L:L, (PTS!$C:$C=A240) * ISNUMBER(PTS!L:L)))</f>
        <v>45.75</v>
      </c>
      <c r="I240" s="531" cm="1">
        <f t="array" ref="I240">AVERAGE(_xlfn._xlws.FILTER(PTS!M:M, (PTS!$C:$C=A240) * ISNUMBER(PTS!M:M)))</f>
        <v>7.5</v>
      </c>
      <c r="J240" s="531" cm="1">
        <f t="array" ref="J240">AVERAGE(_xlfn._xlws.FILTER(PTS!N:N, (PTS!$C:$C=A240) * ISNUMBER(PTS!N:N)))</f>
        <v>71.25</v>
      </c>
      <c r="K240" s="531" cm="1">
        <f t="array" ref="K240">AVERAGE(_xlfn._xlws.FILTER(PTS!O:O, (PTS!$C:$C=A240) * ISNUMBER(PTS!O:O)))</f>
        <v>37.916666666666671</v>
      </c>
      <c r="L240" s="10" cm="1">
        <f t="array" ref="L240">AVERAGE(_xlfn._xlws.FILTER(PTS!P:P, (PTS!$C:$C=A240) * ISNUMBER(PTS!P:P)))</f>
        <v>0</v>
      </c>
      <c r="M240" s="531">
        <f t="shared" si="31"/>
        <v>507.91666666666669</v>
      </c>
      <c r="N240" s="531">
        <f t="shared" si="32"/>
        <v>109.16666666666667</v>
      </c>
      <c r="O240" s="531" cm="1">
        <f t="array" ref="O240">AVERAGE(_xlfn._xlws.FILTER(PTS!S:S, (PTS!$C:$C=A240) * ISNUMBER(PTS!S:S)))</f>
        <v>0</v>
      </c>
      <c r="P240" s="531" cm="1">
        <f t="array" ref="P240">AVERAGE(_xlfn._xlws.FILTER(PTS!T:T, (PTS!$C:$C=A240) * ISNUMBER(PTS!T:T)))</f>
        <v>0</v>
      </c>
      <c r="Q240" s="531" cm="1">
        <f t="array" ref="Q240">AVERAGE(_xlfn._xlws.FILTER(PTS!U:U, (PTS!$C:$C=A240) * ISNUMBER(PTS!U:U)))</f>
        <v>139.20454545454544</v>
      </c>
      <c r="S240" s="531">
        <f t="shared" si="33"/>
        <v>139.20454545454544</v>
      </c>
      <c r="T240" s="531" cm="1">
        <f t="array" ref="T240">AVERAGE(_xlfn._xlws.FILTER(PTS!X:X, (PTS!$C:$C=A240) * ISNUMBER(PTS!X:X)))</f>
        <v>50</v>
      </c>
      <c r="U240" s="531" cm="1">
        <f t="array" ref="U240">AVERAGE(_xlfn._xlws.FILTER(PTS!Y:Y, (PTS!$C:$C=A240) * ISNUMBER(PTS!Y:Y)))</f>
        <v>33.6</v>
      </c>
      <c r="V240" s="531" cm="1">
        <f t="array" ref="V240">AVERAGE(_xlfn._xlws.FILTER(PTS!Z:Z, (PTS!$C:$C=A240) * ISNUMBER(PTS!Z:Z)))</f>
        <v>26.25</v>
      </c>
      <c r="X240" s="531">
        <f t="shared" si="34"/>
        <v>109.85</v>
      </c>
      <c r="Y240" s="531" cm="1">
        <f t="array" ref="Y240">AVERAGE(_xlfn._xlws.FILTER(PTS!AC:AC, (PTS!$C:$C=A240) * ISNUMBER(PTS!AC:AC)))</f>
        <v>146.02272727272725</v>
      </c>
      <c r="Z240" s="531" cm="1">
        <f t="array" ref="Z240">AVERAGE(_xlfn._xlws.FILTER(PTS!AD:AD, (PTS!$C:$C=A240) * ISNUMBER(PTS!AD:AD)))</f>
        <v>182.72727272727275</v>
      </c>
      <c r="AB240" s="531">
        <f t="shared" si="35"/>
        <v>328.75</v>
      </c>
      <c r="AC240" s="10" cm="1">
        <f t="array" ref="AC240">AVERAGE(_xlfn._xlws.FILTER(PTS!AG:AG, (PTS!$C:$C=A240) * ISNUMBER(PTS!AG:AG)))</f>
        <v>28.814300000000003</v>
      </c>
      <c r="AD240" s="531" cm="1">
        <f t="array" ref="AD240">AVERAGE(_xlfn._xlws.FILTER(PTS!AH:AH, (PTS!$C:$C=A240) * ISNUMBER(PTS!AH:AH)))</f>
        <v>6.973140495867769</v>
      </c>
      <c r="AE240" s="531" cm="1">
        <f t="array" ref="AE240">AVERAGE(_xlfn._xlws.FILTER(PTS!AI:AI, (PTS!$C:$C=A240) * ISNUMBER(PTS!AI:AI)))</f>
        <v>12.587317427197677</v>
      </c>
      <c r="AF240" s="531" cm="1">
        <f t="array" ref="AF240">AVERAGE(_xlfn._xlws.FILTER(PTS!AJ:AJ, (PTS!$C:$C=A240) * ISNUMBER(PTS!AJ:AJ)))</f>
        <v>6.7351999999999999</v>
      </c>
      <c r="AH240" s="531">
        <f t="shared" si="36"/>
        <v>55.109957923065444</v>
      </c>
      <c r="AI240" s="10" cm="1">
        <f t="array" ref="AI240">AVERAGE(_xlfn._xlws.FILTER(PTS!AM:AM, (PTS!$C:$C=A240) * ISNUMBER(PTS!AM:AM)))</f>
        <v>79.999999999999986</v>
      </c>
      <c r="AJ240" s="10" cm="1">
        <f t="array" ref="AJ240">AVERAGE(_xlfn._xlws.FILTER(PTS!AN:AN, (PTS!$C:$C=A240) * ISNUMBER(PTS!AN:AN)))</f>
        <v>26.17808219178082</v>
      </c>
      <c r="AK240" s="10" cm="1">
        <f t="array" ref="AK240">AVERAGE(_xlfn._xlws.FILTER(PTS!AO:AO, (PTS!$C:$C=A240) * ISNUMBER(PTS!AO:AO)))</f>
        <v>0</v>
      </c>
      <c r="AN240" s="531">
        <f t="shared" si="37"/>
        <v>106.1780821917808</v>
      </c>
      <c r="AR240" s="531">
        <f t="shared" si="38"/>
        <v>848.25925223605839</v>
      </c>
      <c r="AS240" s="531">
        <f t="shared" si="39"/>
        <v>1247.0092522360583</v>
      </c>
    </row>
    <row r="241" spans="1:45">
      <c r="A241" s="32" t="s">
        <v>809</v>
      </c>
      <c r="B241" s="319" t="s">
        <v>71</v>
      </c>
      <c r="C241" s="319" t="str">
        <f t="shared" si="30"/>
        <v>Willacy CountyTX</v>
      </c>
      <c r="D241" s="10">
        <f>VLOOKUP(A:A,PTS!C:R,6,FALSE)</f>
        <v>3</v>
      </c>
      <c r="E241" s="531" cm="1">
        <f t="array" ref="E241">AVERAGE(_xlfn._xlws.FILTER(PTS!I:I, (PTS!$C:$C=A241) * ISNUMBER(PTS!I:I)))</f>
        <v>120</v>
      </c>
      <c r="F241" s="10" cm="1">
        <f t="array" ref="F241">AVERAGE(_xlfn._xlws.FILTER(PTS!J:J, (PTS!$C:$C=A241) * ISNUMBER(PTS!J:J)))</f>
        <v>165</v>
      </c>
      <c r="G241" s="531" cm="1">
        <f t="array" ref="G241">AVERAGE(_xlfn._xlws.FILTER(PTS!K:K, (PTS!$C:$C=A241) * ISNUMBER(PTS!K:K)))</f>
        <v>235</v>
      </c>
      <c r="H241" s="531" cm="1">
        <f t="array" ref="H241">AVERAGE(_xlfn._xlws.FILTER(PTS!L:L, (PTS!$C:$C=A241) * ISNUMBER(PTS!L:L)))</f>
        <v>0</v>
      </c>
      <c r="I241" s="531" cm="1">
        <f t="array" ref="I241">AVERAGE(_xlfn._xlws.FILTER(PTS!M:M, (PTS!$C:$C=A241) * ISNUMBER(PTS!M:M)))</f>
        <v>0</v>
      </c>
      <c r="J241" s="531" cm="1">
        <f t="array" ref="J241">AVERAGE(_xlfn._xlws.FILTER(PTS!N:N, (PTS!$C:$C=A241) * ISNUMBER(PTS!N:N)))</f>
        <v>68</v>
      </c>
      <c r="K241" s="531" cm="1">
        <f t="array" ref="K241">AVERAGE(_xlfn._xlws.FILTER(PTS!O:O, (PTS!$C:$C=A241) * ISNUMBER(PTS!O:O)))</f>
        <v>37.916666666666671</v>
      </c>
      <c r="L241" s="10" cm="1">
        <f t="array" ref="L241">AVERAGE(_xlfn._xlws.FILTER(PTS!P:P, (PTS!$C:$C=A241) * ISNUMBER(PTS!P:P)))</f>
        <v>0</v>
      </c>
      <c r="M241" s="531">
        <f t="shared" si="31"/>
        <v>625.91666666666663</v>
      </c>
      <c r="N241" s="531">
        <f t="shared" si="32"/>
        <v>505.91666666666669</v>
      </c>
      <c r="O241" s="531" cm="1">
        <f t="array" ref="O241">AVERAGE(_xlfn._xlws.FILTER(PTS!S:S, (PTS!$C:$C=A241) * ISNUMBER(PTS!S:S)))</f>
        <v>0</v>
      </c>
      <c r="P241" s="531" cm="1">
        <f t="array" ref="P241">AVERAGE(_xlfn._xlws.FILTER(PTS!T:T, (PTS!$C:$C=A241) * ISNUMBER(PTS!T:T)))</f>
        <v>0</v>
      </c>
      <c r="Q241" s="531" cm="1">
        <f t="array" ref="Q241">AVERAGE(_xlfn._xlws.FILTER(PTS!U:U, (PTS!$C:$C=A241) * ISNUMBER(PTS!U:U)))</f>
        <v>275.56818181818181</v>
      </c>
      <c r="S241" s="531">
        <f t="shared" si="33"/>
        <v>275.56818181818181</v>
      </c>
      <c r="T241" s="531" cm="1">
        <f t="array" ref="T241">AVERAGE(_xlfn._xlws.FILTER(PTS!X:X, (PTS!$C:$C=A241) * ISNUMBER(PTS!X:X)))</f>
        <v>54</v>
      </c>
      <c r="U241" s="531" cm="1">
        <f t="array" ref="U241">AVERAGE(_xlfn._xlws.FILTER(PTS!Y:Y, (PTS!$C:$C=A241) * ISNUMBER(PTS!Y:Y)))</f>
        <v>50.4</v>
      </c>
      <c r="V241" s="531" cm="1">
        <f t="array" ref="V241">AVERAGE(_xlfn._xlws.FILTER(PTS!Z:Z, (PTS!$C:$C=A241) * ISNUMBER(PTS!Z:Z)))</f>
        <v>26.25</v>
      </c>
      <c r="X241" s="531">
        <f t="shared" si="34"/>
        <v>130.65</v>
      </c>
      <c r="Y241" s="531" cm="1">
        <f t="array" ref="Y241">AVERAGE(_xlfn._xlws.FILTER(PTS!AC:AC, (PTS!$C:$C=A241) * ISNUMBER(PTS!AC:AC)))</f>
        <v>132.95454545454544</v>
      </c>
      <c r="Z241" s="531" cm="1">
        <f t="array" ref="Z241">AVERAGE(_xlfn._xlws.FILTER(PTS!AD:AD, (PTS!$C:$C=A241) * ISNUMBER(PTS!AD:AD)))</f>
        <v>197.95454545454547</v>
      </c>
      <c r="AB241" s="531">
        <f t="shared" si="35"/>
        <v>330.90909090909088</v>
      </c>
      <c r="AC241" s="10" cm="1">
        <f t="array" ref="AC241">AVERAGE(_xlfn._xlws.FILTER(PTS!AG:AG, (PTS!$C:$C=A241) * ISNUMBER(PTS!AG:AG)))</f>
        <v>28.814300000000003</v>
      </c>
      <c r="AD241" s="531" cm="1">
        <f t="array" ref="AD241">AVERAGE(_xlfn._xlws.FILTER(PTS!AH:AH, (PTS!$C:$C=A241) * ISNUMBER(PTS!AH:AH)))</f>
        <v>6.973140495867769</v>
      </c>
      <c r="AE241" s="531" cm="1">
        <f t="array" ref="AE241">AVERAGE(_xlfn._xlws.FILTER(PTS!AI:AI, (PTS!$C:$C=A241) * ISNUMBER(PTS!AI:AI)))</f>
        <v>12.587317427197677</v>
      </c>
      <c r="AF241" s="531" cm="1">
        <f t="array" ref="AF241">AVERAGE(_xlfn._xlws.FILTER(PTS!AJ:AJ, (PTS!$C:$C=A241) * ISNUMBER(PTS!AJ:AJ)))</f>
        <v>6.7351999999999999</v>
      </c>
      <c r="AH241" s="531">
        <f t="shared" si="36"/>
        <v>55.109957923065444</v>
      </c>
      <c r="AI241" s="10" cm="1">
        <f t="array" ref="AI241">AVERAGE(_xlfn._xlws.FILTER(PTS!AM:AM, (PTS!$C:$C=A241) * ISNUMBER(PTS!AM:AM)))</f>
        <v>79.999999999999986</v>
      </c>
      <c r="AJ241" s="10" cm="1">
        <f t="array" ref="AJ241">AVERAGE(_xlfn._xlws.FILTER(PTS!AN:AN, (PTS!$C:$C=A241) * ISNUMBER(PTS!AN:AN)))</f>
        <v>26.17808219178082</v>
      </c>
      <c r="AK241" s="10" cm="1">
        <f t="array" ref="AK241">AVERAGE(_xlfn._xlws.FILTER(PTS!AO:AO, (PTS!$C:$C=A241) * ISNUMBER(PTS!AO:AO)))</f>
        <v>0</v>
      </c>
      <c r="AN241" s="531">
        <f t="shared" si="37"/>
        <v>106.1780821917808</v>
      </c>
      <c r="AR241" s="531">
        <f t="shared" si="38"/>
        <v>1404.3319795087855</v>
      </c>
      <c r="AS241" s="531">
        <f t="shared" si="39"/>
        <v>1524.3319795087857</v>
      </c>
    </row>
    <row r="242" spans="1:45">
      <c r="A242" s="32" t="s">
        <v>811</v>
      </c>
      <c r="B242" s="319" t="s">
        <v>136</v>
      </c>
      <c r="C242" s="319" t="str">
        <f t="shared" si="30"/>
        <v>WilsonNC</v>
      </c>
      <c r="D242" s="10">
        <f>VLOOKUP(A:A,PTS!C:R,6,FALSE)</f>
        <v>1</v>
      </c>
      <c r="E242" s="531" cm="1">
        <f t="array" ref="E242">AVERAGE(_xlfn._xlws.FILTER(PTS!I:I, (PTS!$C:$C=A242) * ISNUMBER(PTS!I:I)))</f>
        <v>80</v>
      </c>
      <c r="F242" s="10" cm="1">
        <f t="array" ref="F242">AVERAGE(_xlfn._xlws.FILTER(PTS!J:J, (PTS!$C:$C=A242) * ISNUMBER(PTS!J:J)))</f>
        <v>100</v>
      </c>
      <c r="G242" s="531" cm="1">
        <f t="array" ref="G242">AVERAGE(_xlfn._xlws.FILTER(PTS!K:K, (PTS!$C:$C=A242) * ISNUMBER(PTS!K:K)))</f>
        <v>0</v>
      </c>
      <c r="H242" s="531" cm="1">
        <f t="array" ref="H242">AVERAGE(_xlfn._xlws.FILTER(PTS!L:L, (PTS!$C:$C=A242) * ISNUMBER(PTS!L:L)))</f>
        <v>0</v>
      </c>
      <c r="I242" s="531" cm="1">
        <f t="array" ref="I242">AVERAGE(_xlfn._xlws.FILTER(PTS!M:M, (PTS!$C:$C=A242) * ISNUMBER(PTS!M:M)))</f>
        <v>20</v>
      </c>
      <c r="J242" s="531" cm="1">
        <f t="array" ref="J242">AVERAGE(_xlfn._xlws.FILTER(PTS!N:N, (PTS!$C:$C=A242) * ISNUMBER(PTS!N:N)))</f>
        <v>40</v>
      </c>
      <c r="K242" s="531" cm="1">
        <f t="array" ref="K242">AVERAGE(_xlfn._xlws.FILTER(PTS!O:O, (PTS!$C:$C=A242) * ISNUMBER(PTS!O:O)))</f>
        <v>37.916666666666671</v>
      </c>
      <c r="L242" s="10" cm="1">
        <f t="array" ref="L242">AVERAGE(_xlfn._xlws.FILTER(PTS!P:P, (PTS!$C:$C=A242) * ISNUMBER(PTS!P:P)))</f>
        <v>0</v>
      </c>
      <c r="M242" s="531">
        <f t="shared" si="31"/>
        <v>277.91666666666669</v>
      </c>
      <c r="N242" s="531">
        <f t="shared" si="32"/>
        <v>77.916666666666671</v>
      </c>
      <c r="O242" s="531" cm="1">
        <f t="array" ref="O242">AVERAGE(_xlfn._xlws.FILTER(PTS!S:S, (PTS!$C:$C=A242) * ISNUMBER(PTS!S:S)))</f>
        <v>0</v>
      </c>
      <c r="P242" s="531" cm="1">
        <f t="array" ref="P242">AVERAGE(_xlfn._xlws.FILTER(PTS!T:T, (PTS!$C:$C=A242) * ISNUMBER(PTS!T:T)))</f>
        <v>0</v>
      </c>
      <c r="Q242" s="531" cm="1">
        <f t="array" ref="Q242">AVERAGE(_xlfn._xlws.FILTER(PTS!U:U, (PTS!$C:$C=A242) * ISNUMBER(PTS!U:U)))</f>
        <v>241.39034090909092</v>
      </c>
      <c r="S242" s="531">
        <f t="shared" si="33"/>
        <v>241.39034090909092</v>
      </c>
      <c r="T242" s="531" cm="1">
        <f t="array" ref="T242">AVERAGE(_xlfn._xlws.FILTER(PTS!X:X, (PTS!$C:$C=A242) * ISNUMBER(PTS!X:X)))</f>
        <v>52</v>
      </c>
      <c r="U242" s="531" cm="1">
        <f t="array" ref="U242">AVERAGE(_xlfn._xlws.FILTER(PTS!Y:Y, (PTS!$C:$C=A242) * ISNUMBER(PTS!Y:Y)))</f>
        <v>50.4</v>
      </c>
      <c r="V242" s="531" cm="1">
        <f t="array" ref="V242">AVERAGE(_xlfn._xlws.FILTER(PTS!Z:Z, (PTS!$C:$C=A242) * ISNUMBER(PTS!Z:Z)))</f>
        <v>26.25</v>
      </c>
      <c r="X242" s="531">
        <f t="shared" si="34"/>
        <v>128.65</v>
      </c>
      <c r="Y242" s="531" cm="1">
        <f t="array" ref="Y242">AVERAGE(_xlfn._xlws.FILTER(PTS!AC:AC, (PTS!$C:$C=A242) * ISNUMBER(PTS!AC:AC)))</f>
        <v>110.22727272727273</v>
      </c>
      <c r="Z242" s="531" cm="1">
        <f t="array" ref="Z242">AVERAGE(_xlfn._xlws.FILTER(PTS!AD:AD, (PTS!$C:$C=A242) * ISNUMBER(PTS!AD:AD)))</f>
        <v>107.04545454545455</v>
      </c>
      <c r="AB242" s="531">
        <f t="shared" si="35"/>
        <v>217.27272727272728</v>
      </c>
      <c r="AC242" s="10" cm="1">
        <f t="array" ref="AC242">AVERAGE(_xlfn._xlws.FILTER(PTS!AG:AG, (PTS!$C:$C=A242) * ISNUMBER(PTS!AG:AG)))</f>
        <v>28.814300000000003</v>
      </c>
      <c r="AD242" s="531" cm="1">
        <f t="array" ref="AD242">AVERAGE(_xlfn._xlws.FILTER(PTS!AH:AH, (PTS!$C:$C=A242) * ISNUMBER(PTS!AH:AH)))</f>
        <v>6.973140495867769</v>
      </c>
      <c r="AE242" s="531" cm="1">
        <f t="array" ref="AE242">AVERAGE(_xlfn._xlws.FILTER(PTS!AI:AI, (PTS!$C:$C=A242) * ISNUMBER(PTS!AI:AI)))</f>
        <v>12.587317427197677</v>
      </c>
      <c r="AF242" s="531" cm="1">
        <f t="array" ref="AF242">AVERAGE(_xlfn._xlws.FILTER(PTS!AJ:AJ, (PTS!$C:$C=A242) * ISNUMBER(PTS!AJ:AJ)))</f>
        <v>6.7351999999999999</v>
      </c>
      <c r="AH242" s="531">
        <f t="shared" si="36"/>
        <v>55.109957923065444</v>
      </c>
      <c r="AI242" s="10" cm="1">
        <f t="array" ref="AI242">AVERAGE(_xlfn._xlws.FILTER(PTS!AM:AM, (PTS!$C:$C=A242) * ISNUMBER(PTS!AM:AM)))</f>
        <v>79.999999999999986</v>
      </c>
      <c r="AJ242" s="10" cm="1">
        <f t="array" ref="AJ242">AVERAGE(_xlfn._xlws.FILTER(PTS!AN:AN, (PTS!$C:$C=A242) * ISNUMBER(PTS!AN:AN)))</f>
        <v>26.17808219178082</v>
      </c>
      <c r="AK242" s="10" cm="1">
        <f t="array" ref="AK242">AVERAGE(_xlfn._xlws.FILTER(PTS!AO:AO, (PTS!$C:$C=A242) * ISNUMBER(PTS!AO:AO)))</f>
        <v>0</v>
      </c>
      <c r="AN242" s="531">
        <f t="shared" si="37"/>
        <v>106.1780821917808</v>
      </c>
      <c r="AR242" s="531">
        <f t="shared" si="38"/>
        <v>826.51777496333114</v>
      </c>
      <c r="AS242" s="531">
        <f t="shared" si="39"/>
        <v>1026.517774963331</v>
      </c>
    </row>
    <row r="243" spans="1:45">
      <c r="A243" s="32" t="s">
        <v>814</v>
      </c>
      <c r="B243" s="319" t="s">
        <v>324</v>
      </c>
      <c r="C243" s="319" t="str">
        <f t="shared" si="30"/>
        <v>WindsorVA</v>
      </c>
      <c r="D243" s="10">
        <f>VLOOKUP(A:A,PTS!C:R,6,FALSE)</f>
        <v>1</v>
      </c>
      <c r="E243" s="531" cm="1">
        <f t="array" ref="E243">AVERAGE(_xlfn._xlws.FILTER(PTS!I:I, (PTS!$C:$C=A243) * ISNUMBER(PTS!I:I)))</f>
        <v>75</v>
      </c>
      <c r="F243" s="10" cm="1">
        <f t="array" ref="F243">AVERAGE(_xlfn._xlws.FILTER(PTS!J:J, (PTS!$C:$C=A243) * ISNUMBER(PTS!J:J)))</f>
        <v>100</v>
      </c>
      <c r="G243" s="531" cm="1">
        <f t="array" ref="G243">AVERAGE(_xlfn._xlws.FILTER(PTS!K:K, (PTS!$C:$C=A243) * ISNUMBER(PTS!K:K)))</f>
        <v>0</v>
      </c>
      <c r="H243" s="531" cm="1">
        <f t="array" ref="H243">AVERAGE(_xlfn._xlws.FILTER(PTS!L:L, (PTS!$C:$C=A243) * ISNUMBER(PTS!L:L)))</f>
        <v>0</v>
      </c>
      <c r="I243" s="531" cm="1">
        <f t="array" ref="I243">AVERAGE(_xlfn._xlws.FILTER(PTS!M:M, (PTS!$C:$C=A243) * ISNUMBER(PTS!M:M)))</f>
        <v>15</v>
      </c>
      <c r="J243" s="531" cm="1">
        <f t="array" ref="J243">AVERAGE(_xlfn._xlws.FILTER(PTS!N:N, (PTS!$C:$C=A243) * ISNUMBER(PTS!N:N)))</f>
        <v>35.600000000000009</v>
      </c>
      <c r="K243" s="531" cm="1">
        <f t="array" ref="K243">AVERAGE(_xlfn._xlws.FILTER(PTS!O:O, (PTS!$C:$C=A243) * ISNUMBER(PTS!O:O)))</f>
        <v>37.916666666666671</v>
      </c>
      <c r="L243" s="10" cm="1">
        <f t="array" ref="L243">AVERAGE(_xlfn._xlws.FILTER(PTS!P:P, (PTS!$C:$C=A243) * ISNUMBER(PTS!P:P)))</f>
        <v>0</v>
      </c>
      <c r="M243" s="531">
        <f t="shared" si="31"/>
        <v>263.51666666666671</v>
      </c>
      <c r="N243" s="531">
        <f t="shared" si="32"/>
        <v>73.51666666666668</v>
      </c>
      <c r="O243" s="531" cm="1">
        <f t="array" ref="O243">AVERAGE(_xlfn._xlws.FILTER(PTS!S:S, (PTS!$C:$C=A243) * ISNUMBER(PTS!S:S)))</f>
        <v>0</v>
      </c>
      <c r="P243" s="531" cm="1">
        <f t="array" ref="P243">AVERAGE(_xlfn._xlws.FILTER(PTS!T:T, (PTS!$C:$C=A243) * ISNUMBER(PTS!T:T)))</f>
        <v>0</v>
      </c>
      <c r="Q243" s="531" cm="1">
        <f t="array" ref="Q243">AVERAGE(_xlfn._xlws.FILTER(PTS!U:U, (PTS!$C:$C=A243) * ISNUMBER(PTS!U:U)))</f>
        <v>314.2409090909091</v>
      </c>
      <c r="S243" s="531">
        <f t="shared" si="33"/>
        <v>314.2409090909091</v>
      </c>
      <c r="T243" s="531" cm="1">
        <f t="array" ref="T243">AVERAGE(_xlfn._xlws.FILTER(PTS!X:X, (PTS!$C:$C=A243) * ISNUMBER(PTS!X:X)))</f>
        <v>52</v>
      </c>
      <c r="U243" s="531" cm="1">
        <f t="array" ref="U243">AVERAGE(_xlfn._xlws.FILTER(PTS!Y:Y, (PTS!$C:$C=A243) * ISNUMBER(PTS!Y:Y)))</f>
        <v>50.4</v>
      </c>
      <c r="V243" s="531" cm="1">
        <f t="array" ref="V243">AVERAGE(_xlfn._xlws.FILTER(PTS!Z:Z, (PTS!$C:$C=A243) * ISNUMBER(PTS!Z:Z)))</f>
        <v>26.25</v>
      </c>
      <c r="X243" s="531">
        <f t="shared" si="34"/>
        <v>128.65</v>
      </c>
      <c r="Y243" s="531" cm="1">
        <f t="array" ref="Y243">AVERAGE(_xlfn._xlws.FILTER(PTS!AC:AC, (PTS!$C:$C=A243) * ISNUMBER(PTS!AC:AC)))</f>
        <v>110.22727272727273</v>
      </c>
      <c r="Z243" s="531" cm="1">
        <f t="array" ref="Z243">AVERAGE(_xlfn._xlws.FILTER(PTS!AD:AD, (PTS!$C:$C=A243) * ISNUMBER(PTS!AD:AD)))</f>
        <v>107.04545454545455</v>
      </c>
      <c r="AB243" s="531">
        <f t="shared" si="35"/>
        <v>217.27272727272728</v>
      </c>
      <c r="AC243" s="10" cm="1">
        <f t="array" ref="AC243">AVERAGE(_xlfn._xlws.FILTER(PTS!AG:AG, (PTS!$C:$C=A243) * ISNUMBER(PTS!AG:AG)))</f>
        <v>28.814300000000003</v>
      </c>
      <c r="AD243" s="531" cm="1">
        <f t="array" ref="AD243">AVERAGE(_xlfn._xlws.FILTER(PTS!AH:AH, (PTS!$C:$C=A243) * ISNUMBER(PTS!AH:AH)))</f>
        <v>6.973140495867769</v>
      </c>
      <c r="AE243" s="531" cm="1">
        <f t="array" ref="AE243">AVERAGE(_xlfn._xlws.FILTER(PTS!AI:AI, (PTS!$C:$C=A243) * ISNUMBER(PTS!AI:AI)))</f>
        <v>12.587317427197677</v>
      </c>
      <c r="AF243" s="531" cm="1">
        <f t="array" ref="AF243">AVERAGE(_xlfn._xlws.FILTER(PTS!AJ:AJ, (PTS!$C:$C=A243) * ISNUMBER(PTS!AJ:AJ)))</f>
        <v>6.7351999999999999</v>
      </c>
      <c r="AH243" s="531">
        <f t="shared" si="36"/>
        <v>55.109957923065444</v>
      </c>
      <c r="AI243" s="10" cm="1">
        <f t="array" ref="AI243">AVERAGE(_xlfn._xlws.FILTER(PTS!AM:AM, (PTS!$C:$C=A243) * ISNUMBER(PTS!AM:AM)))</f>
        <v>79.999999999999986</v>
      </c>
      <c r="AJ243" s="10" cm="1">
        <f t="array" ref="AJ243">AVERAGE(_xlfn._xlws.FILTER(PTS!AN:AN, (PTS!$C:$C=A243) * ISNUMBER(PTS!AN:AN)))</f>
        <v>26.17808219178082</v>
      </c>
      <c r="AK243" s="10" cm="1">
        <f t="array" ref="AK243">AVERAGE(_xlfn._xlws.FILTER(PTS!AO:AO, (PTS!$C:$C=A243) * ISNUMBER(PTS!AO:AO)))</f>
        <v>0</v>
      </c>
      <c r="AN243" s="531">
        <f t="shared" si="37"/>
        <v>106.1780821917808</v>
      </c>
      <c r="AR243" s="531">
        <f t="shared" si="38"/>
        <v>894.96834314514922</v>
      </c>
      <c r="AS243" s="531">
        <f t="shared" si="39"/>
        <v>1084.9683431451492</v>
      </c>
    </row>
    <row r="244" spans="1:45">
      <c r="A244" s="32" t="s">
        <v>817</v>
      </c>
      <c r="B244" s="319" t="s">
        <v>80</v>
      </c>
      <c r="C244" s="319" t="str">
        <f t="shared" si="30"/>
        <v>WinnsboroLA</v>
      </c>
      <c r="D244" s="10">
        <f>VLOOKUP(A:A,PTS!C:R,6,FALSE)</f>
        <v>1</v>
      </c>
      <c r="E244" s="531" cm="1">
        <f t="array" ref="E244">AVERAGE(_xlfn._xlws.FILTER(PTS!I:I, (PTS!$C:$C=A244) * ISNUMBER(PTS!I:I)))</f>
        <v>106</v>
      </c>
      <c r="F244" s="10" cm="1">
        <f t="array" ref="F244">AVERAGE(_xlfn._xlws.FILTER(PTS!J:J, (PTS!$C:$C=A244) * ISNUMBER(PTS!J:J)))</f>
        <v>180</v>
      </c>
      <c r="G244" s="531" cm="1">
        <f t="array" ref="G244">AVERAGE(_xlfn._xlws.FILTER(PTS!K:K, (PTS!$C:$C=A244) * ISNUMBER(PTS!K:K)))</f>
        <v>160</v>
      </c>
      <c r="H244" s="531" cm="1">
        <f t="array" ref="H244">AVERAGE(_xlfn._xlws.FILTER(PTS!L:L, (PTS!$C:$C=A244) * ISNUMBER(PTS!L:L)))</f>
        <v>0</v>
      </c>
      <c r="I244" s="531" cm="1">
        <f t="array" ref="I244">AVERAGE(_xlfn._xlws.FILTER(PTS!M:M, (PTS!$C:$C=A244) * ISNUMBER(PTS!M:M)))</f>
        <v>0</v>
      </c>
      <c r="J244" s="531" cm="1">
        <f t="array" ref="J244">AVERAGE(_xlfn._xlws.FILTER(PTS!N:N, (PTS!$C:$C=A244) * ISNUMBER(PTS!N:N)))</f>
        <v>70</v>
      </c>
      <c r="K244" s="531" cm="1">
        <f t="array" ref="K244">AVERAGE(_xlfn._xlws.FILTER(PTS!O:O, (PTS!$C:$C=A244) * ISNUMBER(PTS!O:O)))</f>
        <v>37.916666666666671</v>
      </c>
      <c r="L244" s="10" cm="1">
        <f t="array" ref="L244">AVERAGE(_xlfn._xlws.FILTER(PTS!P:P, (PTS!$C:$C=A244) * ISNUMBER(PTS!P:P)))</f>
        <v>0</v>
      </c>
      <c r="M244" s="531">
        <f t="shared" si="31"/>
        <v>553.91666666666663</v>
      </c>
      <c r="N244" s="531">
        <f t="shared" si="32"/>
        <v>107.91666666666667</v>
      </c>
      <c r="O244" s="531" cm="1">
        <f t="array" ref="O244">AVERAGE(_xlfn._xlws.FILTER(PTS!S:S, (PTS!$C:$C=A244) * ISNUMBER(PTS!S:S)))</f>
        <v>0</v>
      </c>
      <c r="P244" s="531" cm="1">
        <f t="array" ref="P244">AVERAGE(_xlfn._xlws.FILTER(PTS!T:T, (PTS!$C:$C=A244) * ISNUMBER(PTS!T:T)))</f>
        <v>0</v>
      </c>
      <c r="Q244" s="531" cm="1">
        <f t="array" ref="Q244">AVERAGE(_xlfn._xlws.FILTER(PTS!U:U, (PTS!$C:$C=A244) * ISNUMBER(PTS!U:U)))</f>
        <v>318.18181818181819</v>
      </c>
      <c r="S244" s="531">
        <f t="shared" si="33"/>
        <v>318.18181818181819</v>
      </c>
      <c r="T244" s="531" cm="1">
        <f t="array" ref="T244">AVERAGE(_xlfn._xlws.FILTER(PTS!X:X, (PTS!$C:$C=A244) * ISNUMBER(PTS!X:X)))</f>
        <v>54</v>
      </c>
      <c r="U244" s="531" cm="1">
        <f t="array" ref="U244">AVERAGE(_xlfn._xlws.FILTER(PTS!Y:Y, (PTS!$C:$C=A244) * ISNUMBER(PTS!Y:Y)))</f>
        <v>50.4</v>
      </c>
      <c r="V244" s="531" cm="1">
        <f t="array" ref="V244">AVERAGE(_xlfn._xlws.FILTER(PTS!Z:Z, (PTS!$C:$C=A244) * ISNUMBER(PTS!Z:Z)))</f>
        <v>26.25</v>
      </c>
      <c r="X244" s="531">
        <f t="shared" si="34"/>
        <v>130.65</v>
      </c>
      <c r="Y244" s="531" cm="1">
        <f t="array" ref="Y244">AVERAGE(_xlfn._xlws.FILTER(PTS!AC:AC, (PTS!$C:$C=A244) * ISNUMBER(PTS!AC:AC)))</f>
        <v>132.95454545454544</v>
      </c>
      <c r="Z244" s="531" cm="1">
        <f t="array" ref="Z244">AVERAGE(_xlfn._xlws.FILTER(PTS!AD:AD, (PTS!$C:$C=A244) * ISNUMBER(PTS!AD:AD)))</f>
        <v>197.95454545454547</v>
      </c>
      <c r="AB244" s="531">
        <f t="shared" si="35"/>
        <v>330.90909090909088</v>
      </c>
      <c r="AC244" s="10" cm="1">
        <f t="array" ref="AC244">AVERAGE(_xlfn._xlws.FILTER(PTS!AG:AG, (PTS!$C:$C=A244) * ISNUMBER(PTS!AG:AG)))</f>
        <v>28.814300000000003</v>
      </c>
      <c r="AD244" s="531" cm="1">
        <f t="array" ref="AD244">AVERAGE(_xlfn._xlws.FILTER(PTS!AH:AH, (PTS!$C:$C=A244) * ISNUMBER(PTS!AH:AH)))</f>
        <v>6.973140495867769</v>
      </c>
      <c r="AE244" s="531" cm="1">
        <f t="array" ref="AE244">AVERAGE(_xlfn._xlws.FILTER(PTS!AI:AI, (PTS!$C:$C=A244) * ISNUMBER(PTS!AI:AI)))</f>
        <v>12.587317427197677</v>
      </c>
      <c r="AF244" s="531" cm="1">
        <f t="array" ref="AF244">AVERAGE(_xlfn._xlws.FILTER(PTS!AJ:AJ, (PTS!$C:$C=A244) * ISNUMBER(PTS!AJ:AJ)))</f>
        <v>6.7351999999999999</v>
      </c>
      <c r="AH244" s="531">
        <f t="shared" si="36"/>
        <v>55.109957923065444</v>
      </c>
      <c r="AI244" s="10" cm="1">
        <f t="array" ref="AI244">AVERAGE(_xlfn._xlws.FILTER(PTS!AM:AM, (PTS!$C:$C=A244) * ISNUMBER(PTS!AM:AM)))</f>
        <v>79.999999999999986</v>
      </c>
      <c r="AJ244" s="10" cm="1">
        <f t="array" ref="AJ244">AVERAGE(_xlfn._xlws.FILTER(PTS!AN:AN, (PTS!$C:$C=A244) * ISNUMBER(PTS!AN:AN)))</f>
        <v>26.17808219178082</v>
      </c>
      <c r="AK244" s="10" cm="1">
        <f t="array" ref="AK244">AVERAGE(_xlfn._xlws.FILTER(PTS!AO:AO, (PTS!$C:$C=A244) * ISNUMBER(PTS!AO:AO)))</f>
        <v>0</v>
      </c>
      <c r="AN244" s="531">
        <f t="shared" si="37"/>
        <v>106.1780821917808</v>
      </c>
      <c r="AR244" s="531">
        <f t="shared" si="38"/>
        <v>1048.945615872422</v>
      </c>
      <c r="AS244" s="531">
        <f t="shared" si="39"/>
        <v>1494.9456158724217</v>
      </c>
    </row>
  </sheetData>
  <autoFilter ref="A2:AS244" xr:uid="{63D623B6-7F88-4423-B371-643033C2BF21}">
    <sortState xmlns:xlrd2="http://schemas.microsoft.com/office/spreadsheetml/2017/richdata2" ref="A3:AS244">
      <sortCondition sortBy="cellColor" ref="A2:A244" dxfId="22"/>
    </sortState>
  </autoFilter>
  <mergeCells count="8">
    <mergeCell ref="AO1:AQ1"/>
    <mergeCell ref="AR1:AS1"/>
    <mergeCell ref="D1:N1"/>
    <mergeCell ref="O1:S1"/>
    <mergeCell ref="T1:X1"/>
    <mergeCell ref="Y1:AB1"/>
    <mergeCell ref="AC1:AH1"/>
    <mergeCell ref="AI1:AN1"/>
  </mergeCells>
  <conditionalFormatting sqref="A1:A1048576">
    <cfRule type="duplicateValues" dxfId="2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BB6D-E580-4DE0-A6A7-021B917AA494}">
  <sheetPr>
    <tabColor theme="5"/>
  </sheetPr>
  <dimension ref="A1:AN50"/>
  <sheetViews>
    <sheetView showGridLines="0" zoomScale="90" zoomScaleNormal="90" workbookViewId="0">
      <selection activeCell="AG21" sqref="AG21"/>
    </sheetView>
  </sheetViews>
  <sheetFormatPr defaultColWidth="9.1796875" defaultRowHeight="12"/>
  <cols>
    <col min="1" max="1" width="9.26953125" style="1" bestFit="1" customWidth="1"/>
    <col min="2" max="2" width="5.81640625" style="1" customWidth="1"/>
    <col min="3" max="3" width="5.1796875" style="1" bestFit="1" customWidth="1"/>
    <col min="4" max="4" width="4" style="1" bestFit="1" customWidth="1"/>
    <col min="5" max="5" width="5.1796875" style="1" bestFit="1" customWidth="1"/>
    <col min="6" max="6" width="4.54296875" style="1" bestFit="1" customWidth="1"/>
    <col min="7" max="7" width="4.1796875" style="1" bestFit="1" customWidth="1"/>
    <col min="8" max="8" width="6.26953125" style="1" bestFit="1" customWidth="1"/>
    <col min="9" max="9" width="2.81640625" style="1" bestFit="1" customWidth="1"/>
    <col min="10" max="10" width="3.453125" style="1" bestFit="1" customWidth="1"/>
    <col min="11" max="11" width="5.1796875" style="1" bestFit="1" customWidth="1"/>
    <col min="12" max="12" width="4.54296875" style="1" bestFit="1" customWidth="1"/>
    <col min="13" max="13" width="4.1796875" style="1" bestFit="1" customWidth="1"/>
    <col min="14" max="14" width="6.26953125" style="1" bestFit="1" customWidth="1"/>
    <col min="15" max="15" width="2.81640625" style="1" bestFit="1" customWidth="1"/>
    <col min="16" max="16" width="4.453125" style="1" bestFit="1" customWidth="1"/>
    <col min="17" max="17" width="5.1796875" style="1" bestFit="1" customWidth="1"/>
    <col min="18" max="18" width="4.54296875" style="1" bestFit="1" customWidth="1"/>
    <col min="19" max="19" width="4.1796875" style="1" bestFit="1" customWidth="1"/>
    <col min="20" max="20" width="6.26953125" style="1" bestFit="1" customWidth="1"/>
    <col min="21" max="21" width="3.26953125" style="1" customWidth="1"/>
    <col min="22" max="22" width="15" style="1" bestFit="1" customWidth="1"/>
    <col min="23" max="24" width="9.1796875" style="1"/>
    <col min="25" max="25" width="3.26953125" style="1" customWidth="1"/>
    <col min="26" max="26" width="14.81640625" style="1" bestFit="1" customWidth="1"/>
    <col min="27" max="27" width="7.1796875" style="1" customWidth="1"/>
    <col min="28" max="28" width="8.81640625" style="1" customWidth="1"/>
    <col min="29" max="29" width="10.453125" style="1" bestFit="1" customWidth="1"/>
    <col min="30" max="30" width="8.1796875" style="1" customWidth="1"/>
    <col min="31" max="31" width="6.81640625" style="1" customWidth="1"/>
    <col min="32" max="32" width="7" style="1" bestFit="1" customWidth="1"/>
    <col min="33" max="33" width="13.81640625" style="1" bestFit="1" customWidth="1"/>
    <col min="34" max="34" width="5.453125" style="1" bestFit="1" customWidth="1"/>
    <col min="35" max="35" width="7.81640625" style="1" bestFit="1" customWidth="1"/>
    <col min="36" max="36" width="7.26953125" style="1" bestFit="1" customWidth="1"/>
    <col min="37" max="37" width="10.54296875" style="1" bestFit="1" customWidth="1"/>
    <col min="38" max="38" width="5.1796875" style="1" bestFit="1" customWidth="1"/>
    <col min="39" max="39" width="7.453125" style="1" bestFit="1" customWidth="1"/>
    <col min="40" max="40" width="6.1796875" style="1" customWidth="1"/>
    <col min="41" max="41" width="7.26953125" style="1" bestFit="1" customWidth="1"/>
    <col min="42" max="42" width="13.81640625" style="1" bestFit="1" customWidth="1"/>
    <col min="43" max="43" width="5.453125" style="1" bestFit="1" customWidth="1"/>
    <col min="44" max="44" width="7.81640625" style="1" bestFit="1" customWidth="1"/>
    <col min="45" max="45" width="15.26953125" style="1" customWidth="1"/>
    <col min="46" max="46" width="9.1796875" style="1"/>
    <col min="47" max="47" width="6.54296875" style="1" bestFit="1" customWidth="1"/>
    <col min="48" max="48" width="6.7265625" style="1" bestFit="1" customWidth="1"/>
    <col min="49" max="49" width="9.1796875" style="1"/>
    <col min="50" max="50" width="2.7265625" style="1" customWidth="1"/>
    <col min="51" max="51" width="15" style="1" bestFit="1" customWidth="1"/>
    <col min="52" max="16384" width="9.1796875" style="1"/>
  </cols>
  <sheetData>
    <row r="1" spans="1:40" ht="12.5" thickBot="1">
      <c r="AG1" s="42" t="s">
        <v>1616</v>
      </c>
      <c r="AH1" s="43" t="s">
        <v>14</v>
      </c>
      <c r="AI1" s="44" t="s">
        <v>15</v>
      </c>
      <c r="AJ1" s="44" t="s">
        <v>16</v>
      </c>
      <c r="AK1" s="44" t="s">
        <v>17</v>
      </c>
      <c r="AL1" s="44" t="s">
        <v>18</v>
      </c>
      <c r="AM1" s="44" t="s">
        <v>19</v>
      </c>
      <c r="AN1" s="45" t="s">
        <v>20</v>
      </c>
    </row>
    <row r="2" spans="1:40" ht="12.5" thickBot="1">
      <c r="C2" s="673" t="s">
        <v>1617</v>
      </c>
      <c r="D2" s="674"/>
      <c r="E2" s="674"/>
      <c r="F2" s="674"/>
      <c r="G2" s="674"/>
      <c r="H2" s="675"/>
      <c r="I2" s="673" t="s">
        <v>1618</v>
      </c>
      <c r="J2" s="674"/>
      <c r="K2" s="674"/>
      <c r="L2" s="674"/>
      <c r="M2" s="674"/>
      <c r="N2" s="675"/>
      <c r="O2" s="673" t="s">
        <v>1619</v>
      </c>
      <c r="P2" s="674"/>
      <c r="Q2" s="674"/>
      <c r="R2" s="674"/>
      <c r="S2" s="674"/>
      <c r="T2" s="675"/>
      <c r="V2" s="676" t="s">
        <v>1620</v>
      </c>
      <c r="W2" s="677"/>
      <c r="X2" s="678"/>
      <c r="Z2" s="658" t="s">
        <v>1621</v>
      </c>
      <c r="AA2" s="659"/>
      <c r="AB2" s="659"/>
      <c r="AC2" s="659"/>
      <c r="AD2" s="660"/>
      <c r="AG2" s="51" t="s">
        <v>1622</v>
      </c>
      <c r="AH2" s="52">
        <v>1</v>
      </c>
      <c r="AI2" s="53"/>
      <c r="AJ2" s="53"/>
      <c r="AK2" s="53"/>
      <c r="AL2" s="53"/>
      <c r="AM2" s="53"/>
      <c r="AN2" s="54" t="s">
        <v>1623</v>
      </c>
    </row>
    <row r="3" spans="1:40" ht="12.5" thickBot="1">
      <c r="C3" s="661" t="s">
        <v>4</v>
      </c>
      <c r="D3" s="662"/>
      <c r="E3" s="672"/>
      <c r="F3" s="663" t="s">
        <v>5</v>
      </c>
      <c r="G3" s="664"/>
      <c r="H3" s="665"/>
      <c r="I3" s="661" t="s">
        <v>4</v>
      </c>
      <c r="J3" s="662"/>
      <c r="K3" s="672"/>
      <c r="L3" s="663" t="s">
        <v>5</v>
      </c>
      <c r="M3" s="664"/>
      <c r="N3" s="665"/>
      <c r="O3" s="661" t="s">
        <v>4</v>
      </c>
      <c r="P3" s="662"/>
      <c r="Q3" s="672"/>
      <c r="R3" s="663" t="s">
        <v>5</v>
      </c>
      <c r="S3" s="664"/>
      <c r="T3" s="665"/>
      <c r="V3" s="57" t="s">
        <v>1624</v>
      </c>
      <c r="W3" s="58">
        <v>0.7</v>
      </c>
      <c r="X3" s="59"/>
      <c r="Z3" s="688" t="s">
        <v>13</v>
      </c>
      <c r="AA3" s="689"/>
      <c r="AB3" s="370" t="s">
        <v>1625</v>
      </c>
      <c r="AC3" s="370" t="s">
        <v>1626</v>
      </c>
      <c r="AD3" s="371" t="s">
        <v>1627</v>
      </c>
      <c r="AG3" s="60" t="s">
        <v>1628</v>
      </c>
      <c r="AH3" s="61">
        <v>1</v>
      </c>
      <c r="AI3" s="62"/>
      <c r="AJ3" s="62"/>
      <c r="AK3" s="62"/>
      <c r="AL3" s="62"/>
      <c r="AM3" s="62"/>
      <c r="AN3" s="63" t="s">
        <v>1623</v>
      </c>
    </row>
    <row r="4" spans="1:40" ht="12.5" thickBot="1">
      <c r="C4" s="396" t="s">
        <v>1629</v>
      </c>
      <c r="D4" s="118" t="s">
        <v>1630</v>
      </c>
      <c r="E4" s="118" t="s">
        <v>1634</v>
      </c>
      <c r="F4" s="118" t="s">
        <v>1631</v>
      </c>
      <c r="G4" s="118" t="s">
        <v>1632</v>
      </c>
      <c r="H4" s="118" t="s">
        <v>1633</v>
      </c>
      <c r="I4" s="396" t="s">
        <v>1629</v>
      </c>
      <c r="J4" s="118" t="s">
        <v>1630</v>
      </c>
      <c r="K4" s="118" t="s">
        <v>1634</v>
      </c>
      <c r="L4" s="118" t="s">
        <v>1631</v>
      </c>
      <c r="M4" s="118" t="s">
        <v>1632</v>
      </c>
      <c r="N4" s="367" t="s">
        <v>1633</v>
      </c>
      <c r="O4" s="118" t="s">
        <v>1629</v>
      </c>
      <c r="P4" s="118" t="s">
        <v>1630</v>
      </c>
      <c r="Q4" s="118" t="s">
        <v>1634</v>
      </c>
      <c r="R4" s="118" t="s">
        <v>1631</v>
      </c>
      <c r="S4" s="118" t="s">
        <v>1632</v>
      </c>
      <c r="T4" s="367" t="s">
        <v>1633</v>
      </c>
      <c r="V4" s="64" t="s">
        <v>1620</v>
      </c>
      <c r="W4" s="65">
        <v>6.5000000000000002E-2</v>
      </c>
      <c r="X4" s="66"/>
      <c r="Z4" s="67" t="s">
        <v>537</v>
      </c>
      <c r="AA4" s="87" t="s">
        <v>1635</v>
      </c>
      <c r="AB4" s="68">
        <f>VLOOKUP(Z4&amp;AA4,OCEAN!E:K,4,FALSE)</f>
        <v>804</v>
      </c>
      <c r="AC4" s="69">
        <f>AB4/88</f>
        <v>9.1363636363636367</v>
      </c>
      <c r="AD4" s="305">
        <v>45922</v>
      </c>
      <c r="AG4" s="60" t="s">
        <v>1636</v>
      </c>
      <c r="AH4" s="61">
        <v>4</v>
      </c>
      <c r="AI4" s="62"/>
      <c r="AJ4" s="62"/>
      <c r="AK4" s="62"/>
      <c r="AL4" s="62" t="s">
        <v>1623</v>
      </c>
      <c r="AM4" s="62"/>
      <c r="AN4" s="63"/>
    </row>
    <row r="5" spans="1:40" ht="12.5" thickBot="1">
      <c r="A5" s="70" t="s">
        <v>1637</v>
      </c>
      <c r="B5" s="388" t="s">
        <v>1638</v>
      </c>
      <c r="C5" s="399">
        <f>VLOOKUP(B5,'LC COSTS'!$AL$4:$AP$46,5,FALSE)+8</f>
        <v>28.814300000000003</v>
      </c>
      <c r="D5" s="68">
        <f>INSURANCE!E6</f>
        <v>6.7351999999999999</v>
      </c>
      <c r="E5" s="68">
        <f>CONTROLLER!AI3</f>
        <v>12.587317427197679</v>
      </c>
      <c r="F5" s="68">
        <v>80</v>
      </c>
      <c r="G5" s="68">
        <f>'COST OF FUNDS'!O35*100</f>
        <v>26.17808219178082</v>
      </c>
      <c r="H5" s="87"/>
      <c r="I5" s="508">
        <f>'LC COSTS'!AT4</f>
        <v>51</v>
      </c>
      <c r="J5" s="68">
        <f>INSURANCE!F6</f>
        <v>6.5752000000000006</v>
      </c>
      <c r="K5" s="87">
        <f>CONTROLLER!AC3</f>
        <v>20</v>
      </c>
      <c r="L5" s="87">
        <v>75</v>
      </c>
      <c r="M5" s="68">
        <f>('COST OF FUNDS'!P35*100)*2</f>
        <v>74.794520547945197</v>
      </c>
      <c r="N5" s="368">
        <v>50</v>
      </c>
      <c r="O5" s="87">
        <f>'LC COSTS'!AW4</f>
        <v>16</v>
      </c>
      <c r="P5" s="69">
        <f>INSURANCE!G6</f>
        <v>7.0888000000000009</v>
      </c>
      <c r="Q5" s="87">
        <f>CONTROLLER!AD3</f>
        <v>25</v>
      </c>
      <c r="R5" s="87">
        <v>82</v>
      </c>
      <c r="S5" s="87">
        <v>67</v>
      </c>
      <c r="T5" s="368">
        <v>50</v>
      </c>
      <c r="V5" s="64"/>
      <c r="X5" s="66"/>
      <c r="Z5" s="67" t="s">
        <v>682</v>
      </c>
      <c r="AA5" s="87" t="s">
        <v>1635</v>
      </c>
      <c r="AB5" s="68">
        <f>VLOOKUP(Z5&amp;AA5,OCEAN!E:K,4,FALSE)</f>
        <v>471</v>
      </c>
      <c r="AC5" s="69">
        <f t="shared" ref="AC5:AC7" si="0">AB5/88</f>
        <v>5.3522727272727275</v>
      </c>
      <c r="AD5" s="305">
        <v>45922</v>
      </c>
      <c r="AG5" s="60" t="s">
        <v>1639</v>
      </c>
      <c r="AH5" s="61">
        <v>3</v>
      </c>
      <c r="AI5" s="62"/>
      <c r="AJ5" s="62" t="s">
        <v>1623</v>
      </c>
      <c r="AK5" s="62" t="s">
        <v>1623</v>
      </c>
      <c r="AL5" s="62" t="s">
        <v>1623</v>
      </c>
      <c r="AM5" s="62"/>
      <c r="AN5" s="63" t="s">
        <v>1623</v>
      </c>
    </row>
    <row r="6" spans="1:40" ht="12.5" thickBot="1">
      <c r="A6" s="72" t="s">
        <v>1640</v>
      </c>
      <c r="B6" s="389" t="s">
        <v>1641</v>
      </c>
      <c r="C6" s="399">
        <f>VLOOKUP(B6,'LC COSTS'!$AL$4:$AP$46,5,FALSE)+8</f>
        <v>49.114666666666672</v>
      </c>
      <c r="D6" s="68">
        <f>INSURANCE!E6</f>
        <v>6.7351999999999999</v>
      </c>
      <c r="E6" s="68">
        <f>CONTROLLER!AI6</f>
        <v>11.566724122289759</v>
      </c>
      <c r="F6" s="68">
        <v>80</v>
      </c>
      <c r="G6" s="68">
        <f>'COST OF FUNDS'!O36*100</f>
        <v>26.17808219178082</v>
      </c>
      <c r="H6" s="87"/>
      <c r="I6" s="508">
        <f>'LC COSTS'!AT7</f>
        <v>54</v>
      </c>
      <c r="J6" s="68">
        <v>7</v>
      </c>
      <c r="K6" s="87">
        <f>CONTROLLER!AC4</f>
        <v>20</v>
      </c>
      <c r="L6" s="87">
        <v>75</v>
      </c>
      <c r="M6" s="68">
        <f>('COST OF FUNDS'!P36*100)*2</f>
        <v>74.794520547945197</v>
      </c>
      <c r="N6" s="368">
        <v>25</v>
      </c>
      <c r="O6" s="87">
        <f>'LC COSTS'!AW7</f>
        <v>32</v>
      </c>
      <c r="P6" s="69">
        <f>INSURANCE!G6</f>
        <v>7.0888000000000009</v>
      </c>
      <c r="Q6" s="87">
        <f>CONTROLLER!AD4</f>
        <v>25</v>
      </c>
      <c r="R6" s="87">
        <v>82</v>
      </c>
      <c r="S6" s="87">
        <v>67</v>
      </c>
      <c r="T6" s="368">
        <v>25</v>
      </c>
      <c r="V6" s="73" t="s">
        <v>1642</v>
      </c>
      <c r="W6" s="74">
        <f>(W4/12)*(W3*500)</f>
        <v>1.8958333333333335</v>
      </c>
      <c r="X6" s="75"/>
      <c r="Z6" s="67" t="s">
        <v>241</v>
      </c>
      <c r="AA6" s="87" t="s">
        <v>1635</v>
      </c>
      <c r="AB6" s="68">
        <f>VLOOKUP(Z6&amp;AA6,OCEAN!E:K,4,FALSE)</f>
        <v>1180</v>
      </c>
      <c r="AC6" s="69">
        <f t="shared" si="0"/>
        <v>13.409090909090908</v>
      </c>
      <c r="AD6" s="305">
        <v>45922</v>
      </c>
      <c r="AG6" s="76" t="s">
        <v>1643</v>
      </c>
      <c r="AH6" s="77">
        <v>2</v>
      </c>
      <c r="AI6" s="78"/>
      <c r="AJ6" s="78"/>
      <c r="AK6" s="78" t="s">
        <v>1623</v>
      </c>
      <c r="AL6" s="78"/>
      <c r="AM6" s="78"/>
      <c r="AN6" s="79" t="s">
        <v>1623</v>
      </c>
    </row>
    <row r="7" spans="1:40" ht="12.5" thickBot="1">
      <c r="A7" s="72" t="s">
        <v>1644</v>
      </c>
      <c r="B7" s="389" t="s">
        <v>1645</v>
      </c>
      <c r="C7" s="399">
        <f>VLOOKUP(B7,'LC COSTS'!$AL$4:$AP$46,5,FALSE)+8</f>
        <v>18.278666666666666</v>
      </c>
      <c r="D7" s="68">
        <f>INSURANCE!E6</f>
        <v>6.7351999999999999</v>
      </c>
      <c r="E7" s="68">
        <f>CONTROLLER!AI9</f>
        <v>12.92751519550032</v>
      </c>
      <c r="F7" s="68">
        <v>80</v>
      </c>
      <c r="G7" s="68">
        <f>'COST OF FUNDS'!O37*100</f>
        <v>26.17808219178082</v>
      </c>
      <c r="H7" s="87"/>
      <c r="I7" s="508">
        <f>'LC COSTS'!AT10</f>
        <v>54</v>
      </c>
      <c r="J7" s="68">
        <v>0</v>
      </c>
      <c r="K7" s="87">
        <f>CONTROLLER!AC5</f>
        <v>20</v>
      </c>
      <c r="L7" s="87">
        <v>75</v>
      </c>
      <c r="M7" s="68">
        <f>('COST OF FUNDS'!P37*100)*2</f>
        <v>74.794520547945197</v>
      </c>
      <c r="N7" s="368">
        <v>25</v>
      </c>
      <c r="O7" s="87">
        <f>'LC COSTS'!AW10</f>
        <v>16</v>
      </c>
      <c r="P7" s="87">
        <v>0</v>
      </c>
      <c r="Q7" s="87">
        <f>CONTROLLER!AD5</f>
        <v>25</v>
      </c>
      <c r="R7" s="87">
        <v>82</v>
      </c>
      <c r="S7" s="87">
        <v>67</v>
      </c>
      <c r="T7" s="368">
        <v>25</v>
      </c>
      <c r="Z7" s="80" t="s">
        <v>439</v>
      </c>
      <c r="AA7" s="91" t="s">
        <v>1635</v>
      </c>
      <c r="AB7" s="81">
        <f>VLOOKUP(Z7&amp;AA7,OCEAN!E:K,4,FALSE)</f>
        <v>871</v>
      </c>
      <c r="AC7" s="82">
        <f t="shared" si="0"/>
        <v>9.8977272727272734</v>
      </c>
      <c r="AD7" s="306">
        <v>45922</v>
      </c>
      <c r="AG7" s="132" t="s">
        <v>1709</v>
      </c>
      <c r="AH7" s="133"/>
      <c r="AI7" s="133"/>
      <c r="AJ7" s="133"/>
      <c r="AK7" s="133"/>
    </row>
    <row r="8" spans="1:40" ht="12.5" thickBot="1">
      <c r="A8" s="72" t="s">
        <v>1646</v>
      </c>
      <c r="B8" s="389" t="s">
        <v>1647</v>
      </c>
      <c r="C8" s="399">
        <f>VLOOKUP(B8,'LC COSTS'!$AL$4:$AP$46,5,FALSE)+8</f>
        <v>8</v>
      </c>
      <c r="D8" s="68">
        <f>INSURANCE!E6</f>
        <v>6.7351999999999999</v>
      </c>
      <c r="E8" s="68"/>
      <c r="F8" s="68">
        <v>80</v>
      </c>
      <c r="G8" s="68">
        <f>'COST OF FUNDS'!O38*100</f>
        <v>26.17808219178082</v>
      </c>
      <c r="H8" s="87"/>
      <c r="I8" s="508">
        <f>'LC COSTS'!AT12</f>
        <v>59</v>
      </c>
      <c r="J8" s="68">
        <v>7</v>
      </c>
      <c r="K8" s="87">
        <f>CONTROLLER!AC6</f>
        <v>20</v>
      </c>
      <c r="L8" s="87">
        <v>75</v>
      </c>
      <c r="M8" s="68">
        <f>('COST OF FUNDS'!P38*100)*2</f>
        <v>74.794520547945197</v>
      </c>
      <c r="N8" s="368">
        <v>25</v>
      </c>
      <c r="O8" s="87">
        <f>'LC COSTS'!AW12</f>
        <v>16</v>
      </c>
      <c r="P8" s="69">
        <f>INSURANCE!G6</f>
        <v>7.0888000000000009</v>
      </c>
      <c r="Q8" s="87">
        <f>CONTROLLER!AD6</f>
        <v>25</v>
      </c>
      <c r="R8" s="87">
        <v>82</v>
      </c>
      <c r="S8" s="87">
        <v>67</v>
      </c>
      <c r="T8" s="368">
        <v>25</v>
      </c>
      <c r="AL8" s="83"/>
      <c r="AM8" s="83"/>
    </row>
    <row r="9" spans="1:40" ht="12.5" thickBot="1">
      <c r="A9" s="72" t="s">
        <v>1648</v>
      </c>
      <c r="B9" s="389" t="s">
        <v>1649</v>
      </c>
      <c r="C9" s="399">
        <f>VLOOKUP(B9,'LC COSTS'!$AL$4:$AP$46,5,FALSE)+8</f>
        <v>8</v>
      </c>
      <c r="D9" s="68">
        <f>INSURANCE!E6</f>
        <v>6.7351999999999999</v>
      </c>
      <c r="E9" s="68">
        <f>CONTROLLER!AI14</f>
        <v>16.193413771205662</v>
      </c>
      <c r="F9" s="68">
        <v>80</v>
      </c>
      <c r="G9" s="68">
        <f>'COST OF FUNDS'!O39*100</f>
        <v>26.17808219178082</v>
      </c>
      <c r="H9" s="87"/>
      <c r="I9" s="508">
        <f>'LC COSTS'!AT15</f>
        <v>58</v>
      </c>
      <c r="J9" s="68">
        <v>0</v>
      </c>
      <c r="K9" s="87">
        <f>CONTROLLER!AC7</f>
        <v>20</v>
      </c>
      <c r="L9" s="87">
        <v>75</v>
      </c>
      <c r="M9" s="68">
        <f>('COST OF FUNDS'!P39*100)*2</f>
        <v>74.794520547945197</v>
      </c>
      <c r="N9" s="368">
        <v>25</v>
      </c>
      <c r="O9" s="87">
        <f>'LC COSTS'!AW15</f>
        <v>20</v>
      </c>
      <c r="P9" s="87">
        <v>0</v>
      </c>
      <c r="Q9" s="87">
        <f>CONTROLLER!AD7</f>
        <v>25</v>
      </c>
      <c r="R9" s="87">
        <v>82</v>
      </c>
      <c r="S9" s="87">
        <v>67</v>
      </c>
      <c r="T9" s="368">
        <v>25</v>
      </c>
      <c r="V9" s="690" t="s">
        <v>1650</v>
      </c>
      <c r="W9" s="690"/>
      <c r="X9" s="691"/>
      <c r="Z9" s="692" t="s">
        <v>1651</v>
      </c>
      <c r="AA9" s="693"/>
      <c r="AB9" s="693"/>
      <c r="AC9" s="693"/>
      <c r="AD9" s="693"/>
      <c r="AE9" s="694"/>
    </row>
    <row r="10" spans="1:40" ht="12.5" thickBot="1">
      <c r="A10" s="72" t="s">
        <v>1652</v>
      </c>
      <c r="B10" s="389" t="s">
        <v>1653</v>
      </c>
      <c r="C10" s="399">
        <f>VLOOKUP(B10,'LC COSTS'!$AL$4:$AP$46,5,FALSE)+8</f>
        <v>22.133166666666668</v>
      </c>
      <c r="D10" s="68">
        <f>INSURANCE!E6</f>
        <v>6.7351999999999999</v>
      </c>
      <c r="E10" s="68">
        <f>CONTROLLER!AI17</f>
        <v>12.24711965889504</v>
      </c>
      <c r="F10" s="68">
        <v>80</v>
      </c>
      <c r="G10" s="68">
        <f>'COST OF FUNDS'!O40*100</f>
        <v>26.17808219178082</v>
      </c>
      <c r="H10" s="87"/>
      <c r="I10" s="508">
        <f>'LC COSTS'!AT18</f>
        <v>54</v>
      </c>
      <c r="J10" s="68">
        <v>0</v>
      </c>
      <c r="K10" s="87">
        <f>CONTROLLER!AC8</f>
        <v>20</v>
      </c>
      <c r="L10" s="87">
        <v>75</v>
      </c>
      <c r="M10" s="68">
        <f>('COST OF FUNDS'!P40*100)*2</f>
        <v>74.794520547945197</v>
      </c>
      <c r="N10" s="368">
        <v>25</v>
      </c>
      <c r="O10" s="87">
        <f>'LC COSTS'!AW18</f>
        <v>19</v>
      </c>
      <c r="P10" s="69">
        <f>INSURANCE!G6</f>
        <v>7.0888000000000009</v>
      </c>
      <c r="Q10" s="87">
        <f>CONTROLLER!AD8</f>
        <v>25</v>
      </c>
      <c r="R10" s="87">
        <v>82</v>
      </c>
      <c r="S10" s="87">
        <v>67</v>
      </c>
      <c r="T10" s="368">
        <v>25</v>
      </c>
      <c r="V10" s="57"/>
      <c r="W10" s="85" t="s">
        <v>845</v>
      </c>
      <c r="X10" s="86" t="s">
        <v>1654</v>
      </c>
      <c r="Z10" s="304" t="s">
        <v>13</v>
      </c>
      <c r="AA10" s="85" t="s">
        <v>1655</v>
      </c>
      <c r="AB10" s="85" t="s">
        <v>1656</v>
      </c>
      <c r="AC10" s="85" t="s">
        <v>1625</v>
      </c>
      <c r="AD10" s="85" t="s">
        <v>1657</v>
      </c>
      <c r="AE10" s="86" t="s">
        <v>1627</v>
      </c>
      <c r="AL10" s="84"/>
    </row>
    <row r="11" spans="1:40" ht="12.5" thickBot="1">
      <c r="A11" s="72" t="s">
        <v>1658</v>
      </c>
      <c r="B11" s="389" t="s">
        <v>1659</v>
      </c>
      <c r="C11" s="399">
        <f>VLOOKUP(B11,'LC COSTS'!$AL$4:$AP$46,5,FALSE)+8</f>
        <v>28.557333333333336</v>
      </c>
      <c r="D11" s="68">
        <f>INSURANCE!E6</f>
        <v>6.7351999999999999</v>
      </c>
      <c r="E11" s="68">
        <f>CONTROLLER!AI21</f>
        <v>14.084187607729293</v>
      </c>
      <c r="F11" s="68">
        <v>80</v>
      </c>
      <c r="G11" s="68">
        <f>'COST OF FUNDS'!O41*100</f>
        <v>26.17808219178082</v>
      </c>
      <c r="H11" s="87"/>
      <c r="I11" s="508">
        <f>'LC COSTS'!AT22</f>
        <v>56</v>
      </c>
      <c r="J11" s="68">
        <v>0</v>
      </c>
      <c r="K11" s="87">
        <f>CONTROLLER!AC9</f>
        <v>20</v>
      </c>
      <c r="L11" s="87">
        <v>75</v>
      </c>
      <c r="M11" s="68">
        <f>('COST OF FUNDS'!P41*100)*2</f>
        <v>74.794520547945197</v>
      </c>
      <c r="N11" s="368">
        <v>25</v>
      </c>
      <c r="O11" s="87">
        <f>'LC COSTS'!AW22</f>
        <v>19</v>
      </c>
      <c r="P11" s="87">
        <v>0</v>
      </c>
      <c r="Q11" s="87">
        <f>CONTROLLER!AD9</f>
        <v>25</v>
      </c>
      <c r="R11" s="87">
        <v>82</v>
      </c>
      <c r="S11" s="87">
        <v>67</v>
      </c>
      <c r="T11" s="368">
        <v>25</v>
      </c>
      <c r="V11" s="67" t="s">
        <v>241</v>
      </c>
      <c r="X11" s="66"/>
      <c r="Z11" s="67" t="s">
        <v>537</v>
      </c>
      <c r="AA11" s="307">
        <v>255</v>
      </c>
      <c r="AB11" s="87">
        <f>60+150</f>
        <v>210</v>
      </c>
      <c r="AC11" s="68">
        <f>(AA11*AA27)+AB11+$AA$30</f>
        <v>642.5</v>
      </c>
      <c r="AD11" s="88">
        <f>AC11/88</f>
        <v>7.3011363636363633</v>
      </c>
      <c r="AE11" s="305">
        <v>45832</v>
      </c>
      <c r="AL11" s="84"/>
    </row>
    <row r="12" spans="1:40" ht="12.5" thickBot="1">
      <c r="A12" s="72" t="s">
        <v>1660</v>
      </c>
      <c r="B12" s="389" t="s">
        <v>1661</v>
      </c>
      <c r="C12" s="399">
        <f>VLOOKUP(B12,'LC COSTS'!$AE$4:$AH$24,4,FALSE)+8</f>
        <v>8.1983333333333341</v>
      </c>
      <c r="D12" s="68">
        <f>INSURANCE!E6</f>
        <v>6.7351999999999999</v>
      </c>
      <c r="E12" s="68">
        <f>CONTROLLER!AI25</f>
        <v>10.886328585684478</v>
      </c>
      <c r="F12" s="68">
        <v>80</v>
      </c>
      <c r="G12" s="68">
        <f>'COST OF FUNDS'!O42*100</f>
        <v>26.17808219178082</v>
      </c>
      <c r="H12" s="87"/>
      <c r="I12" s="508">
        <f>'LC COSTS'!AT26</f>
        <v>58</v>
      </c>
      <c r="J12" s="68">
        <v>0</v>
      </c>
      <c r="K12" s="87">
        <f>CONTROLLER!AC10</f>
        <v>20</v>
      </c>
      <c r="L12" s="87">
        <v>75</v>
      </c>
      <c r="M12" s="68">
        <f>('COST OF FUNDS'!P42*100)*2</f>
        <v>74.794520547945197</v>
      </c>
      <c r="N12" s="368">
        <v>25</v>
      </c>
      <c r="O12" s="87">
        <f>'LC COSTS'!AW26</f>
        <v>19</v>
      </c>
      <c r="P12" s="87">
        <v>0</v>
      </c>
      <c r="Q12" s="87">
        <f>CONTROLLER!AD10</f>
        <v>25</v>
      </c>
      <c r="R12" s="87">
        <v>82</v>
      </c>
      <c r="S12" s="87">
        <v>67</v>
      </c>
      <c r="T12" s="368">
        <v>25</v>
      </c>
      <c r="V12" s="67" t="s">
        <v>439</v>
      </c>
      <c r="X12" s="66"/>
      <c r="Z12" s="67" t="s">
        <v>682</v>
      </c>
      <c r="AA12" s="308" t="s">
        <v>1662</v>
      </c>
      <c r="AB12" s="87" t="s">
        <v>1663</v>
      </c>
      <c r="AC12" s="87">
        <v>485</v>
      </c>
      <c r="AD12" s="88">
        <f t="shared" ref="AD12:AD14" si="1">AC12/88</f>
        <v>5.5113636363636367</v>
      </c>
      <c r="AE12" s="305">
        <v>45832</v>
      </c>
      <c r="AG12" s="38"/>
      <c r="AH12" s="38"/>
      <c r="AL12" s="89"/>
    </row>
    <row r="13" spans="1:40" ht="12.5" thickBot="1">
      <c r="A13" s="90" t="s">
        <v>1664</v>
      </c>
      <c r="B13" s="390" t="s">
        <v>1665</v>
      </c>
      <c r="C13" s="399">
        <f>VLOOKUP(B13,'LC COSTS'!$AL$4:$AP$46,5,FALSE)+8</f>
        <v>110.78666666666668</v>
      </c>
      <c r="D13" s="68">
        <f>INSURANCE!E6</f>
        <v>6.7351999999999999</v>
      </c>
      <c r="E13" s="68">
        <f>CONTROLLER!AI28</f>
        <v>7.0080740270343815</v>
      </c>
      <c r="F13" s="68">
        <v>80</v>
      </c>
      <c r="G13" s="68">
        <f>'COST OF FUNDS'!O43*100</f>
        <v>37.397260273972599</v>
      </c>
      <c r="H13" s="87"/>
      <c r="I13" s="508">
        <f>'LC COSTS'!AT29</f>
        <v>118</v>
      </c>
      <c r="J13" s="68">
        <v>0</v>
      </c>
      <c r="K13" s="87">
        <f>CONTROLLER!AC11</f>
        <v>20</v>
      </c>
      <c r="L13" s="87">
        <v>75</v>
      </c>
      <c r="M13" s="68">
        <f>('COST OF FUNDS'!P43*100)*2</f>
        <v>74.794520547945197</v>
      </c>
      <c r="N13" s="368">
        <v>25</v>
      </c>
      <c r="O13" s="87">
        <f>'LC COSTS'!AW29</f>
        <v>81</v>
      </c>
      <c r="P13" s="87">
        <v>0</v>
      </c>
      <c r="Q13" s="87">
        <f>CONTROLLER!AD11</f>
        <v>25</v>
      </c>
      <c r="R13" s="87">
        <v>82</v>
      </c>
      <c r="S13" s="87">
        <v>67</v>
      </c>
      <c r="T13" s="368">
        <v>25</v>
      </c>
      <c r="V13" s="67" t="s">
        <v>682</v>
      </c>
      <c r="X13" s="66"/>
      <c r="Z13" s="67" t="s">
        <v>241</v>
      </c>
      <c r="AA13" s="122">
        <v>270</v>
      </c>
      <c r="AB13" s="87">
        <f>135+125</f>
        <v>260</v>
      </c>
      <c r="AC13" s="68">
        <f>(AA13*AA27)+AB13+$AA$30</f>
        <v>715</v>
      </c>
      <c r="AD13" s="88">
        <f t="shared" si="1"/>
        <v>8.125</v>
      </c>
      <c r="AE13" s="305">
        <v>45832</v>
      </c>
      <c r="AL13" s="84"/>
    </row>
    <row r="14" spans="1:40" ht="12.5" thickBot="1">
      <c r="A14" s="90" t="s">
        <v>1666</v>
      </c>
      <c r="B14" s="391" t="s">
        <v>1667</v>
      </c>
      <c r="C14" s="399">
        <f>VLOOKUP(B14,'LC COSTS'!$AL$4:$AP$46,5,FALSE)+8</f>
        <v>185.30700000000002</v>
      </c>
      <c r="D14" s="68">
        <f>INSURANCE!E6</f>
        <v>6.7351999999999999</v>
      </c>
      <c r="E14" s="68">
        <f>CONTROLLER!AI29</f>
        <v>9.6616166197949749</v>
      </c>
      <c r="F14" s="68">
        <v>80</v>
      </c>
      <c r="G14" s="68">
        <f>'COST OF FUNDS'!O44*100</f>
        <v>37.397260273972599</v>
      </c>
      <c r="H14" s="87"/>
      <c r="I14" s="508">
        <f>'LC COSTS'!AT30</f>
        <v>77</v>
      </c>
      <c r="J14" s="68">
        <v>7</v>
      </c>
      <c r="K14" s="87">
        <f>CONTROLLER!AC12</f>
        <v>20</v>
      </c>
      <c r="L14" s="87">
        <v>75</v>
      </c>
      <c r="M14" s="68">
        <f>('COST OF FUNDS'!P44*100)*2</f>
        <v>74.794520547945197</v>
      </c>
      <c r="N14" s="368">
        <v>25</v>
      </c>
      <c r="O14" s="87">
        <f>'LC COSTS'!AW30</f>
        <v>32</v>
      </c>
      <c r="P14" s="69">
        <f>INSURANCE!G6</f>
        <v>7.0888000000000009</v>
      </c>
      <c r="Q14" s="87">
        <f>CONTROLLER!AD12</f>
        <v>25</v>
      </c>
      <c r="R14" s="87">
        <v>82</v>
      </c>
      <c r="S14" s="87">
        <v>67</v>
      </c>
      <c r="T14" s="368">
        <v>25</v>
      </c>
      <c r="V14" s="80" t="s">
        <v>537</v>
      </c>
      <c r="W14" s="74"/>
      <c r="X14" s="75"/>
      <c r="Z14" s="80" t="s">
        <v>439</v>
      </c>
      <c r="AA14" s="309" t="s">
        <v>1662</v>
      </c>
      <c r="AB14" s="91" t="s">
        <v>1663</v>
      </c>
      <c r="AC14" s="91">
        <v>585</v>
      </c>
      <c r="AD14" s="92">
        <f t="shared" si="1"/>
        <v>6.6477272727272725</v>
      </c>
      <c r="AE14" s="306">
        <v>45832</v>
      </c>
      <c r="AL14" s="84"/>
    </row>
    <row r="15" spans="1:40" ht="12.5" thickBot="1">
      <c r="A15" s="90" t="s">
        <v>1668</v>
      </c>
      <c r="B15" s="391" t="s">
        <v>1669</v>
      </c>
      <c r="C15" s="399">
        <f>VLOOKUP(B15,'LC COSTS'!$AL$4:$AP$46,5,FALSE)+8</f>
        <v>27.272500000000001</v>
      </c>
      <c r="D15" s="68">
        <f>INSURANCE!E6</f>
        <v>6.7351999999999999</v>
      </c>
      <c r="E15" s="68">
        <f>CONTROLLER!AI30</f>
        <v>8.7771024222081113</v>
      </c>
      <c r="F15" s="68">
        <v>80</v>
      </c>
      <c r="G15" s="68">
        <f>'COST OF FUNDS'!O45*100</f>
        <v>37.397260273972599</v>
      </c>
      <c r="H15" s="87"/>
      <c r="I15" s="508">
        <f>'LC COSTS'!AT32</f>
        <v>78</v>
      </c>
      <c r="J15" s="68">
        <v>7</v>
      </c>
      <c r="K15" s="87">
        <f>CONTROLLER!AC13</f>
        <v>20</v>
      </c>
      <c r="L15" s="87">
        <v>75</v>
      </c>
      <c r="M15" s="68">
        <f>('COST OF FUNDS'!P45*100)*2</f>
        <v>87.260273972602747</v>
      </c>
      <c r="N15" s="368">
        <v>25</v>
      </c>
      <c r="O15" s="87">
        <f>'LC COSTS'!AW32</f>
        <v>28</v>
      </c>
      <c r="P15" s="69">
        <f>INSURANCE!G6</f>
        <v>7.0888000000000009</v>
      </c>
      <c r="Q15" s="87">
        <f>CONTROLLER!AD13</f>
        <v>25</v>
      </c>
      <c r="R15" s="87">
        <v>82</v>
      </c>
      <c r="S15" s="87">
        <v>127</v>
      </c>
      <c r="T15" s="368">
        <v>25</v>
      </c>
      <c r="AL15" s="84"/>
    </row>
    <row r="16" spans="1:40" ht="12.5" thickBot="1">
      <c r="A16" s="93" t="s">
        <v>1670</v>
      </c>
      <c r="B16" s="392" t="s">
        <v>1671</v>
      </c>
      <c r="C16" s="399">
        <f>VLOOKUP(B16,'LC COSTS'!$AL$4:$AP$46,5,FALSE)+8</f>
        <v>69.671999999999997</v>
      </c>
      <c r="D16" s="68">
        <f>INSURANCE!E6</f>
        <v>6.7351999999999999</v>
      </c>
      <c r="E16" s="68">
        <f>CONTROLLER!AI33</f>
        <v>11.566724122289759</v>
      </c>
      <c r="F16" s="68">
        <v>80</v>
      </c>
      <c r="G16" s="68">
        <f>'COST OF FUNDS'!O46*100</f>
        <v>43.630136986301373</v>
      </c>
      <c r="H16" s="87"/>
      <c r="I16" s="508">
        <f>'LC COSTS'!AT34</f>
        <v>83</v>
      </c>
      <c r="J16" s="68">
        <v>7</v>
      </c>
      <c r="K16" s="87">
        <f>CONTROLLER!AC14</f>
        <v>20</v>
      </c>
      <c r="L16" s="87">
        <v>75</v>
      </c>
      <c r="M16" s="68">
        <f>(('COST OF FUNDS'!P46*100)*2)</f>
        <v>87.260273972602747</v>
      </c>
      <c r="N16" s="368">
        <v>25</v>
      </c>
      <c r="O16" s="87">
        <f>'LC COSTS'!AW34</f>
        <v>16</v>
      </c>
      <c r="P16" s="69">
        <f>INSURANCE!G6</f>
        <v>7.0888000000000009</v>
      </c>
      <c r="Q16" s="87">
        <f>CONTROLLER!AD14</f>
        <v>25</v>
      </c>
      <c r="R16" s="87">
        <v>82</v>
      </c>
      <c r="S16" s="87">
        <v>127</v>
      </c>
      <c r="T16" s="368">
        <v>25</v>
      </c>
      <c r="V16" s="679" t="s">
        <v>1685</v>
      </c>
      <c r="W16" s="680"/>
      <c r="X16" s="681"/>
      <c r="Z16" s="695" t="s">
        <v>2</v>
      </c>
      <c r="AA16" s="696"/>
      <c r="AB16" s="696"/>
      <c r="AC16" s="697"/>
      <c r="AD16" s="94" t="s">
        <v>1672</v>
      </c>
      <c r="AE16" s="94" t="s">
        <v>1673</v>
      </c>
      <c r="AL16" s="84"/>
    </row>
    <row r="17" spans="1:38" ht="12.5" thickBot="1">
      <c r="A17" s="95" t="s">
        <v>821</v>
      </c>
      <c r="B17" s="393" t="s">
        <v>1674</v>
      </c>
      <c r="C17" s="399">
        <f>VLOOKUP(B17,'LC COSTS'!$AL$4:$AP$46,5,FALSE)</f>
        <v>0</v>
      </c>
      <c r="D17" s="68">
        <f>INSURANCE!E6</f>
        <v>6.7351999999999999</v>
      </c>
      <c r="E17" s="68"/>
      <c r="F17" s="68">
        <v>80</v>
      </c>
      <c r="G17" s="68">
        <f>'COST OF FUNDS'!O47*100</f>
        <v>17.452054794520546</v>
      </c>
      <c r="H17" s="87"/>
      <c r="I17" s="508"/>
      <c r="J17" s="68"/>
      <c r="K17" s="87"/>
      <c r="L17" s="87"/>
      <c r="M17" s="87"/>
      <c r="N17" s="368"/>
      <c r="O17" s="87"/>
      <c r="P17" s="87"/>
      <c r="Q17" s="87"/>
      <c r="R17" s="87"/>
      <c r="S17" s="87"/>
      <c r="T17" s="368"/>
      <c r="V17" s="106" t="s">
        <v>1688</v>
      </c>
      <c r="W17" s="107">
        <v>4.25</v>
      </c>
      <c r="X17" s="108">
        <f>W17*20</f>
        <v>85</v>
      </c>
      <c r="Z17" s="96" t="s">
        <v>1675</v>
      </c>
      <c r="AA17" s="97" t="s">
        <v>1657</v>
      </c>
      <c r="AB17" s="97" t="s">
        <v>20</v>
      </c>
      <c r="AC17" s="98" t="s">
        <v>1676</v>
      </c>
      <c r="AD17" s="99">
        <v>21</v>
      </c>
      <c r="AE17" s="100">
        <f>AD17/7</f>
        <v>3</v>
      </c>
      <c r="AL17" s="84"/>
    </row>
    <row r="18" spans="1:38" ht="12.5" thickBot="1">
      <c r="A18" s="95" t="s">
        <v>1677</v>
      </c>
      <c r="B18" s="394" t="s">
        <v>1678</v>
      </c>
      <c r="C18" s="399">
        <f>VLOOKUP(B18,'LC COSTS'!$AL$4:$AP$46,5,FALSE)+8</f>
        <v>8</v>
      </c>
      <c r="D18" s="68">
        <f>INSURANCE!E6</f>
        <v>6.7351999999999999</v>
      </c>
      <c r="E18" s="68">
        <f>CONTROLLER!AI39</f>
        <v>20.547945205479451</v>
      </c>
      <c r="F18" s="68">
        <v>80</v>
      </c>
      <c r="G18" s="68">
        <f>'COST OF FUNDS'!O48*100</f>
        <v>17.452054794520546</v>
      </c>
      <c r="H18" s="87"/>
      <c r="I18" s="508"/>
      <c r="J18" s="68"/>
      <c r="K18" s="87"/>
      <c r="L18" s="87"/>
      <c r="M18" s="87"/>
      <c r="N18" s="368"/>
      <c r="O18" s="87"/>
      <c r="P18" s="87"/>
      <c r="Q18" s="87"/>
      <c r="R18" s="87"/>
      <c r="S18" s="87"/>
      <c r="T18" s="368"/>
      <c r="V18" s="67" t="s">
        <v>1691</v>
      </c>
      <c r="W18" s="454">
        <v>2</v>
      </c>
      <c r="X18" s="111">
        <f>W18*20</f>
        <v>40</v>
      </c>
      <c r="Z18" s="101" t="s">
        <v>241</v>
      </c>
      <c r="AA18" s="102">
        <v>2.7</v>
      </c>
      <c r="AB18" s="103">
        <v>0.12</v>
      </c>
      <c r="AC18" s="104">
        <f>AB18*$AD$17</f>
        <v>2.52</v>
      </c>
      <c r="AL18" s="84"/>
    </row>
    <row r="19" spans="1:38" ht="12.5" thickBot="1">
      <c r="A19" s="95" t="s">
        <v>1679</v>
      </c>
      <c r="B19" s="394" t="s">
        <v>1680</v>
      </c>
      <c r="C19" s="399">
        <f>VLOOKUP(B19,'LC COSTS'!$AL$4:$AP$46,5,FALSE)+8</f>
        <v>8</v>
      </c>
      <c r="D19" s="68">
        <f>INSURANCE!E6</f>
        <v>6.7351999999999999</v>
      </c>
      <c r="E19" s="68">
        <f>CONTROLLER!AI40</f>
        <v>18.84695636396625</v>
      </c>
      <c r="F19" s="68">
        <v>80</v>
      </c>
      <c r="G19" s="68">
        <f>'COST OF FUNDS'!O51*100</f>
        <v>17.452054794520546</v>
      </c>
      <c r="H19" s="87"/>
      <c r="I19" s="508"/>
      <c r="J19" s="68"/>
      <c r="K19" s="87"/>
      <c r="L19" s="87"/>
      <c r="M19" s="87"/>
      <c r="N19" s="368"/>
      <c r="O19" s="87"/>
      <c r="P19" s="87"/>
      <c r="Q19" s="87"/>
      <c r="R19" s="87"/>
      <c r="S19" s="87"/>
      <c r="T19" s="368"/>
      <c r="V19" s="67" t="s">
        <v>1693</v>
      </c>
      <c r="W19" s="133">
        <v>6.35</v>
      </c>
      <c r="X19" s="111">
        <f>W19*20</f>
        <v>127</v>
      </c>
      <c r="Z19" s="101" t="s">
        <v>439</v>
      </c>
      <c r="AA19" s="102">
        <v>2.7</v>
      </c>
      <c r="AB19" s="102">
        <v>0.12</v>
      </c>
      <c r="AC19" s="105">
        <f t="shared" ref="AC19:AC21" si="2">AB19*$AD$17</f>
        <v>2.52</v>
      </c>
      <c r="AL19" s="84"/>
    </row>
    <row r="20" spans="1:38" ht="12.5" thickBot="1">
      <c r="A20" s="95" t="s">
        <v>1681</v>
      </c>
      <c r="B20" s="394" t="s">
        <v>1682</v>
      </c>
      <c r="C20" s="399">
        <f>VLOOKUP(B20,'LC COSTS'!$AL$4:$AP$46,5,FALSE)+8</f>
        <v>8</v>
      </c>
      <c r="D20" s="68">
        <f>INSURANCE!E6</f>
        <v>6.7351999999999999</v>
      </c>
      <c r="E20" s="68">
        <f>CONTROLLER!AI41</f>
        <v>18.84695636396625</v>
      </c>
      <c r="F20" s="68">
        <v>80</v>
      </c>
      <c r="G20" s="68">
        <f>'COST OF FUNDS'!O52*100</f>
        <v>17.452054794520546</v>
      </c>
      <c r="H20" s="87"/>
      <c r="I20" s="508"/>
      <c r="J20" s="68"/>
      <c r="K20" s="87"/>
      <c r="L20" s="87"/>
      <c r="M20" s="87"/>
      <c r="N20" s="368"/>
      <c r="O20" s="87"/>
      <c r="P20" s="87"/>
      <c r="Q20" s="87"/>
      <c r="R20" s="87"/>
      <c r="S20" s="87"/>
      <c r="T20" s="368"/>
      <c r="V20" s="80" t="s">
        <v>2112</v>
      </c>
      <c r="W20" s="74">
        <f>AF21</f>
        <v>40.625</v>
      </c>
      <c r="X20" s="75"/>
      <c r="Z20" s="101" t="s">
        <v>682</v>
      </c>
      <c r="AA20" s="102">
        <v>2.6</v>
      </c>
      <c r="AB20" s="102">
        <v>0.12</v>
      </c>
      <c r="AC20" s="105">
        <f t="shared" si="2"/>
        <v>2.52</v>
      </c>
      <c r="AE20" s="83" t="s">
        <v>2104</v>
      </c>
      <c r="AF20" s="450">
        <v>75</v>
      </c>
      <c r="AL20" s="84"/>
    </row>
    <row r="21" spans="1:38" ht="12.5" thickBot="1">
      <c r="A21" s="95" t="s">
        <v>1817</v>
      </c>
      <c r="B21" s="394" t="s">
        <v>1942</v>
      </c>
      <c r="C21" s="399" t="e">
        <f>VLOOKUP(B21,'LC COSTS'!$AL$4:$AP$46,5,FALSE)+8</f>
        <v>#N/A</v>
      </c>
      <c r="D21" s="68">
        <f>INSURANCE!E6</f>
        <v>6.7351999999999999</v>
      </c>
      <c r="E21" s="68"/>
      <c r="F21" s="68">
        <v>80</v>
      </c>
      <c r="G21" s="68">
        <f>'COST OF FUNDS'!O49*100</f>
        <v>17.452054794520546</v>
      </c>
      <c r="H21" s="87"/>
      <c r="I21" s="508"/>
      <c r="J21" s="68"/>
      <c r="K21" s="87"/>
      <c r="L21" s="87"/>
      <c r="M21" s="87"/>
      <c r="N21" s="368"/>
      <c r="O21" s="87"/>
      <c r="P21" s="87"/>
      <c r="Q21" s="87"/>
      <c r="R21" s="87"/>
      <c r="S21" s="87"/>
      <c r="T21" s="368"/>
      <c r="Z21" s="101" t="s">
        <v>537</v>
      </c>
      <c r="AA21" s="102">
        <v>2.5</v>
      </c>
      <c r="AB21" s="102">
        <v>0.08</v>
      </c>
      <c r="AC21" s="105">
        <f t="shared" si="2"/>
        <v>1.68</v>
      </c>
      <c r="AE21" s="83" t="s">
        <v>826</v>
      </c>
      <c r="AF21" s="451">
        <f>(AF24/12)*AF20*100</f>
        <v>40.625</v>
      </c>
    </row>
    <row r="22" spans="1:38" ht="12.5" thickBot="1">
      <c r="A22" s="95" t="s">
        <v>2097</v>
      </c>
      <c r="B22" s="394" t="s">
        <v>1945</v>
      </c>
      <c r="C22" s="399" t="e">
        <f>VLOOKUP(B22,'LC COSTS'!$AL$4:$AP$46,5,FALSE)+8</f>
        <v>#N/A</v>
      </c>
      <c r="D22" s="68">
        <f>INSURANCE!E6</f>
        <v>6.7351999999999999</v>
      </c>
      <c r="E22" s="68">
        <f>CONTROLLER!AI41</f>
        <v>18.84695636396625</v>
      </c>
      <c r="F22" s="68">
        <v>80</v>
      </c>
      <c r="G22" s="68">
        <f>'COST OF FUNDS'!O50*100</f>
        <v>17.452054794520546</v>
      </c>
      <c r="H22" s="87"/>
      <c r="I22" s="508"/>
      <c r="J22" s="87"/>
      <c r="K22" s="87"/>
      <c r="L22" s="87"/>
      <c r="M22" s="87"/>
      <c r="N22" s="368"/>
      <c r="O22" s="87"/>
      <c r="P22" s="87"/>
      <c r="Q22" s="87"/>
      <c r="R22" s="87"/>
      <c r="S22" s="87"/>
      <c r="T22" s="368"/>
      <c r="V22" s="685" t="s">
        <v>1694</v>
      </c>
      <c r="W22" s="686"/>
      <c r="X22" s="687"/>
      <c r="Z22" s="101" t="s">
        <v>698</v>
      </c>
      <c r="AA22" s="102">
        <v>2.2000000000000002</v>
      </c>
      <c r="AB22" s="109">
        <v>3.6700000000000003E-2</v>
      </c>
      <c r="AC22" s="104">
        <f>AB22*$AD$17</f>
        <v>0.77070000000000005</v>
      </c>
      <c r="AE22" s="83" t="s">
        <v>827</v>
      </c>
      <c r="AF22" s="451">
        <f>(AF25/12)*AF20*100</f>
        <v>35.1875</v>
      </c>
    </row>
    <row r="23" spans="1:38" ht="12.5" thickBot="1">
      <c r="A23" s="95" t="s">
        <v>1683</v>
      </c>
      <c r="B23" s="394" t="s">
        <v>1684</v>
      </c>
      <c r="C23" s="399">
        <f>VLOOKUP(B23,'LC COSTS'!$AL$4:$AP$46,5,FALSE)+8</f>
        <v>8</v>
      </c>
      <c r="D23" s="68">
        <f>INSURANCE!E6</f>
        <v>6.7351999999999999</v>
      </c>
      <c r="E23" s="68">
        <f>CONTROLLER!AI43</f>
        <v>0</v>
      </c>
      <c r="F23" s="68">
        <v>80</v>
      </c>
      <c r="G23" s="68">
        <f>'COST OF FUNDS'!O53*100</f>
        <v>17.452054794520546</v>
      </c>
      <c r="H23" s="87"/>
      <c r="I23" s="508"/>
      <c r="J23" s="68"/>
      <c r="K23" s="87"/>
      <c r="L23" s="87"/>
      <c r="M23" s="87"/>
      <c r="N23" s="368"/>
      <c r="O23" s="87"/>
      <c r="P23" s="87"/>
      <c r="Q23" s="87"/>
      <c r="R23" s="87"/>
      <c r="S23" s="87"/>
      <c r="T23" s="368"/>
      <c r="V23" s="115" t="s">
        <v>1695</v>
      </c>
      <c r="W23" s="116" t="s">
        <v>1654</v>
      </c>
      <c r="X23" s="117" t="s">
        <v>845</v>
      </c>
      <c r="Z23" s="112" t="s">
        <v>1692</v>
      </c>
      <c r="AA23" s="113">
        <v>1.6</v>
      </c>
      <c r="AB23" s="113">
        <v>0.08</v>
      </c>
      <c r="AC23" s="114">
        <f>AB23*$AD$17</f>
        <v>1.68</v>
      </c>
      <c r="AF23" s="136"/>
    </row>
    <row r="24" spans="1:38" ht="12.5" thickBot="1">
      <c r="A24" s="95" t="s">
        <v>1686</v>
      </c>
      <c r="B24" s="394" t="s">
        <v>1687</v>
      </c>
      <c r="C24" s="399">
        <f>VLOOKUP(B24,'LC COSTS'!$AL$4:$AP$46,5,FALSE)+8</f>
        <v>8</v>
      </c>
      <c r="D24" s="68">
        <f>INSURANCE!E6</f>
        <v>6.7351999999999999</v>
      </c>
      <c r="E24" s="68"/>
      <c r="F24" s="68">
        <v>80</v>
      </c>
      <c r="G24" s="68">
        <f>'COST OF FUNDS'!O54*100</f>
        <v>17.452054794520546</v>
      </c>
      <c r="H24" s="87"/>
      <c r="I24" s="508"/>
      <c r="J24" s="68"/>
      <c r="K24" s="87"/>
      <c r="L24" s="87"/>
      <c r="M24" s="87"/>
      <c r="N24" s="368"/>
      <c r="O24" s="87"/>
      <c r="P24" s="87"/>
      <c r="Q24" s="87"/>
      <c r="R24" s="87"/>
      <c r="S24" s="87"/>
      <c r="T24" s="368"/>
      <c r="V24" s="67" t="s">
        <v>34</v>
      </c>
      <c r="W24" s="1">
        <v>230</v>
      </c>
      <c r="X24" s="120">
        <f>(W24/88)*20</f>
        <v>52.272727272727273</v>
      </c>
      <c r="AE24" s="83" t="s">
        <v>2105</v>
      </c>
      <c r="AF24" s="452">
        <v>6.5000000000000002E-2</v>
      </c>
    </row>
    <row r="25" spans="1:38" ht="12.5" thickBot="1">
      <c r="A25" s="110" t="s">
        <v>1689</v>
      </c>
      <c r="B25" s="395" t="s">
        <v>1690</v>
      </c>
      <c r="C25" s="400" t="e">
        <f>VLOOKUP(B25,'LC COSTS'!$AL$4:$AP$46,5,FALSE)+8</f>
        <v>#N/A</v>
      </c>
      <c r="D25" s="81">
        <f>INSURANCE!E6</f>
        <v>6.7351999999999999</v>
      </c>
      <c r="E25" s="81">
        <f>CONTROLLER!AB3</f>
        <v>12.587317427197679</v>
      </c>
      <c r="F25" s="81">
        <v>80</v>
      </c>
      <c r="G25" s="81">
        <f>'COST OF FUNDS'!O35*100</f>
        <v>26.17808219178082</v>
      </c>
      <c r="H25" s="91"/>
      <c r="I25" s="509"/>
      <c r="J25" s="81"/>
      <c r="K25" s="91"/>
      <c r="L25" s="91"/>
      <c r="M25" s="91"/>
      <c r="N25" s="397"/>
      <c r="O25" s="91"/>
      <c r="P25" s="91"/>
      <c r="Q25" s="91"/>
      <c r="R25" s="91"/>
      <c r="S25" s="91"/>
      <c r="T25" s="397"/>
      <c r="V25" s="67" t="s">
        <v>1698</v>
      </c>
      <c r="W25" s="1">
        <v>130</v>
      </c>
      <c r="X25" s="120">
        <f>(W25/88)*20</f>
        <v>29.545454545454547</v>
      </c>
      <c r="AE25" s="83" t="s">
        <v>2106</v>
      </c>
      <c r="AF25" s="452">
        <v>5.6300000000000003E-2</v>
      </c>
    </row>
    <row r="26" spans="1:38" ht="12.5" thickBot="1">
      <c r="V26" s="67" t="s">
        <v>1700</v>
      </c>
      <c r="W26" s="1">
        <v>75</v>
      </c>
      <c r="X26" s="120">
        <f>(W26/88)*20</f>
        <v>17.045454545454547</v>
      </c>
      <c r="Z26" s="682" t="s">
        <v>2136</v>
      </c>
      <c r="AA26" s="683"/>
      <c r="AB26" s="683"/>
      <c r="AC26" s="684"/>
      <c r="AE26" s="83" t="s">
        <v>2107</v>
      </c>
      <c r="AF26" s="453">
        <v>52</v>
      </c>
    </row>
    <row r="27" spans="1:38" ht="12.5" thickBot="1">
      <c r="C27" s="673" t="s">
        <v>2089</v>
      </c>
      <c r="D27" s="674"/>
      <c r="E27" s="674"/>
      <c r="F27" s="674"/>
      <c r="G27" s="674"/>
      <c r="H27" s="675"/>
      <c r="I27" s="673"/>
      <c r="J27" s="674"/>
      <c r="K27" s="674"/>
      <c r="L27" s="674"/>
      <c r="M27" s="674"/>
      <c r="N27" s="675"/>
      <c r="O27" s="673"/>
      <c r="P27" s="674"/>
      <c r="Q27" s="674"/>
      <c r="R27" s="674"/>
      <c r="S27" s="674"/>
      <c r="T27" s="675"/>
      <c r="V27" s="67" t="s">
        <v>1702</v>
      </c>
      <c r="W27" s="1">
        <v>106</v>
      </c>
      <c r="X27" s="120">
        <f>(W27/88)*20</f>
        <v>24.090909090909093</v>
      </c>
      <c r="Z27" s="106" t="s">
        <v>1696</v>
      </c>
      <c r="AA27" s="118">
        <v>1.5</v>
      </c>
      <c r="AB27" s="119">
        <v>45932</v>
      </c>
      <c r="AC27" s="59"/>
      <c r="AE27" s="83" t="s">
        <v>2108</v>
      </c>
      <c r="AF27" s="453">
        <f>AF20-AF26</f>
        <v>23</v>
      </c>
    </row>
    <row r="28" spans="1:38" ht="12.5" thickBot="1">
      <c r="C28" s="661" t="s">
        <v>4</v>
      </c>
      <c r="D28" s="662"/>
      <c r="E28" s="672"/>
      <c r="F28" s="663" t="s">
        <v>5</v>
      </c>
      <c r="G28" s="664"/>
      <c r="H28" s="665"/>
      <c r="I28" s="661" t="s">
        <v>4</v>
      </c>
      <c r="J28" s="662"/>
      <c r="K28" s="672"/>
      <c r="L28" s="663" t="s">
        <v>5</v>
      </c>
      <c r="M28" s="664"/>
      <c r="N28" s="665"/>
      <c r="O28" s="661" t="s">
        <v>4</v>
      </c>
      <c r="P28" s="662"/>
      <c r="Q28" s="672"/>
      <c r="R28" s="663" t="s">
        <v>5</v>
      </c>
      <c r="S28" s="664"/>
      <c r="T28" s="665"/>
      <c r="V28" s="67" t="s">
        <v>1704</v>
      </c>
      <c r="W28" s="1">
        <v>55</v>
      </c>
      <c r="X28" s="120">
        <f>(W28/88)*20</f>
        <v>12.5</v>
      </c>
      <c r="Z28" s="106" t="s">
        <v>1697</v>
      </c>
      <c r="AA28" s="121">
        <v>50</v>
      </c>
      <c r="AB28" s="71"/>
      <c r="AC28" s="59"/>
      <c r="AE28" s="83" t="s">
        <v>2109</v>
      </c>
      <c r="AF28" s="453">
        <f>(AF31/12)*AF24*100</f>
        <v>35.93416666666667</v>
      </c>
    </row>
    <row r="29" spans="1:38" ht="12.5" thickBot="1">
      <c r="C29" s="396" t="s">
        <v>1629</v>
      </c>
      <c r="D29" s="118" t="s">
        <v>1630</v>
      </c>
      <c r="E29" s="118" t="s">
        <v>1634</v>
      </c>
      <c r="F29" s="118" t="s">
        <v>1631</v>
      </c>
      <c r="G29" s="118" t="s">
        <v>1632</v>
      </c>
      <c r="H29" s="367" t="s">
        <v>1633</v>
      </c>
      <c r="I29" s="396" t="s">
        <v>1629</v>
      </c>
      <c r="J29" s="118" t="s">
        <v>1630</v>
      </c>
      <c r="K29" s="118" t="s">
        <v>1634</v>
      </c>
      <c r="L29" s="118" t="s">
        <v>1631</v>
      </c>
      <c r="M29" s="118" t="s">
        <v>1632</v>
      </c>
      <c r="N29" s="367" t="s">
        <v>1633</v>
      </c>
      <c r="O29" s="396" t="s">
        <v>1629</v>
      </c>
      <c r="P29" s="118" t="s">
        <v>1630</v>
      </c>
      <c r="Q29" s="118" t="s">
        <v>1634</v>
      </c>
      <c r="R29" s="118" t="s">
        <v>1631</v>
      </c>
      <c r="S29" s="118" t="s">
        <v>1632</v>
      </c>
      <c r="T29" s="367" t="s">
        <v>1633</v>
      </c>
      <c r="V29" s="131" t="s">
        <v>1706</v>
      </c>
      <c r="X29" s="120"/>
      <c r="Z29" s="67" t="s">
        <v>1699</v>
      </c>
      <c r="AA29" s="122">
        <v>350</v>
      </c>
      <c r="AC29" s="66"/>
      <c r="AE29" s="83" t="s">
        <v>2110</v>
      </c>
      <c r="AF29" s="152">
        <v>64.34</v>
      </c>
    </row>
    <row r="30" spans="1:38" ht="12.5" thickBot="1">
      <c r="A30" s="70" t="s">
        <v>1637</v>
      </c>
      <c r="B30" s="388" t="s">
        <v>1638</v>
      </c>
      <c r="C30" s="64"/>
      <c r="D30" s="68"/>
      <c r="E30" s="87"/>
      <c r="T30" s="66"/>
      <c r="V30" s="67" t="s">
        <v>1707</v>
      </c>
      <c r="W30" s="1">
        <v>190</v>
      </c>
      <c r="X30" s="120">
        <f>(W30/88)*20</f>
        <v>43.181818181818187</v>
      </c>
      <c r="Z30" s="67" t="s">
        <v>1701</v>
      </c>
      <c r="AA30" s="122">
        <v>50</v>
      </c>
      <c r="AC30" s="66"/>
      <c r="AE30" s="83" t="s">
        <v>2111</v>
      </c>
      <c r="AF30" s="450">
        <v>2</v>
      </c>
    </row>
    <row r="31" spans="1:38" ht="12.5" thickBot="1">
      <c r="A31" s="72" t="s">
        <v>1640</v>
      </c>
      <c r="B31" s="389" t="s">
        <v>1641</v>
      </c>
      <c r="C31" s="64"/>
      <c r="D31" s="68"/>
      <c r="E31" s="87"/>
      <c r="T31" s="66"/>
      <c r="V31" s="67" t="s">
        <v>1708</v>
      </c>
      <c r="W31" s="1">
        <v>30</v>
      </c>
      <c r="X31" s="120">
        <f>(W31/88)*20</f>
        <v>6.8181818181818175</v>
      </c>
      <c r="Z31" s="123" t="s">
        <v>1703</v>
      </c>
      <c r="AA31" s="124">
        <f>SUM(AA28,AA29,AA30)</f>
        <v>450</v>
      </c>
      <c r="AB31" s="125"/>
      <c r="AC31" s="126"/>
      <c r="AE31" s="83" t="s">
        <v>1710</v>
      </c>
      <c r="AF31" s="453">
        <f>SUM(AF29:AF30)</f>
        <v>66.34</v>
      </c>
    </row>
    <row r="32" spans="1:38" ht="12.5" thickBot="1">
      <c r="A32" s="72" t="s">
        <v>1644</v>
      </c>
      <c r="B32" s="389" t="s">
        <v>1645</v>
      </c>
      <c r="C32" s="64"/>
      <c r="D32" s="68"/>
      <c r="E32" s="87"/>
      <c r="T32" s="66"/>
      <c r="V32" s="131" t="s">
        <v>1710</v>
      </c>
      <c r="W32" s="134">
        <f>W24+W25+W26+W27+W28+W30+W31</f>
        <v>816</v>
      </c>
      <c r="X32" s="135">
        <f>X24+X25+X26+X27+X28+X30+X31</f>
        <v>185.45454545454544</v>
      </c>
      <c r="Z32" s="127" t="s">
        <v>1705</v>
      </c>
      <c r="AA32" s="128">
        <f>AA31/88*20</f>
        <v>102.27272727272727</v>
      </c>
      <c r="AB32" s="129"/>
      <c r="AC32" s="130"/>
    </row>
    <row r="33" spans="1:30" ht="12.5" thickBot="1">
      <c r="A33" s="72" t="s">
        <v>1646</v>
      </c>
      <c r="B33" s="389" t="s">
        <v>1647</v>
      </c>
      <c r="C33" s="64"/>
      <c r="D33" s="68"/>
      <c r="E33" s="87"/>
      <c r="T33" s="66"/>
      <c r="V33" s="80" t="s">
        <v>1711</v>
      </c>
      <c r="W33" s="74">
        <v>66</v>
      </c>
      <c r="X33" s="75"/>
    </row>
    <row r="34" spans="1:30" ht="12.5" thickBot="1">
      <c r="A34" s="72" t="s">
        <v>1648</v>
      </c>
      <c r="B34" s="389" t="s">
        <v>1649</v>
      </c>
      <c r="C34" s="64"/>
      <c r="D34" s="68"/>
      <c r="E34" s="87"/>
      <c r="T34" s="66"/>
      <c r="Z34" s="372" t="s">
        <v>36</v>
      </c>
      <c r="AA34" s="373"/>
      <c r="AB34" s="373"/>
      <c r="AC34" s="373"/>
      <c r="AD34" s="374"/>
    </row>
    <row r="35" spans="1:30" ht="12.5" thickBot="1">
      <c r="A35" s="72" t="s">
        <v>1652</v>
      </c>
      <c r="B35" s="389" t="s">
        <v>1653</v>
      </c>
      <c r="C35" s="64"/>
      <c r="D35" s="68"/>
      <c r="E35" s="87"/>
      <c r="T35" s="66"/>
      <c r="V35" s="649" t="s">
        <v>2098</v>
      </c>
      <c r="W35" s="650"/>
      <c r="X35" s="651"/>
      <c r="Z35" s="57"/>
      <c r="AA35" s="370" t="s">
        <v>2055</v>
      </c>
      <c r="AB35" s="370" t="s">
        <v>1753</v>
      </c>
      <c r="AC35" s="370" t="s">
        <v>1724</v>
      </c>
      <c r="AD35" s="371" t="s">
        <v>2089</v>
      </c>
    </row>
    <row r="36" spans="1:30" ht="12.5" thickBot="1">
      <c r="A36" s="72" t="s">
        <v>1658</v>
      </c>
      <c r="B36" s="389" t="s">
        <v>1659</v>
      </c>
      <c r="C36" s="64"/>
      <c r="D36" s="68"/>
      <c r="E36" s="87"/>
      <c r="T36" s="66"/>
      <c r="V36" s="106" t="s">
        <v>2099</v>
      </c>
      <c r="W36" s="402">
        <v>10</v>
      </c>
      <c r="X36" s="367"/>
      <c r="Z36" s="67" t="s">
        <v>2088</v>
      </c>
      <c r="AA36" s="219">
        <f>W3</f>
        <v>0.7</v>
      </c>
      <c r="AD36" s="66"/>
    </row>
    <row r="37" spans="1:30" ht="12.5" thickBot="1">
      <c r="A37" s="72" t="s">
        <v>1660</v>
      </c>
      <c r="B37" s="389" t="s">
        <v>1661</v>
      </c>
      <c r="C37" s="64"/>
      <c r="D37" s="68"/>
      <c r="E37" s="87"/>
      <c r="T37" s="66"/>
      <c r="V37" s="67" t="s">
        <v>2100</v>
      </c>
      <c r="W37" s="403">
        <v>125</v>
      </c>
      <c r="X37" s="66"/>
      <c r="Z37" s="64"/>
      <c r="AA37" s="369">
        <v>8.0000000000000004E-4</v>
      </c>
      <c r="AD37" s="66"/>
    </row>
    <row r="38" spans="1:30" ht="12.5" thickBot="1">
      <c r="A38" s="90" t="s">
        <v>1664</v>
      </c>
      <c r="B38" s="390" t="s">
        <v>1665</v>
      </c>
      <c r="C38" s="64"/>
      <c r="D38" s="68"/>
      <c r="E38" s="87"/>
      <c r="T38" s="66"/>
      <c r="V38" s="80" t="s">
        <v>2101</v>
      </c>
      <c r="W38" s="404">
        <f>15*88</f>
        <v>1320</v>
      </c>
      <c r="X38" s="544">
        <f>(W36+W37)/88</f>
        <v>1.5340909090909092</v>
      </c>
      <c r="Z38" s="73"/>
      <c r="AA38" s="74">
        <f>AA37*AA36</f>
        <v>5.5999999999999995E-4</v>
      </c>
      <c r="AB38" s="74"/>
      <c r="AC38" s="74"/>
      <c r="AD38" s="75"/>
    </row>
    <row r="39" spans="1:30" ht="12.5" thickBot="1">
      <c r="A39" s="90" t="s">
        <v>1666</v>
      </c>
      <c r="B39" s="391" t="s">
        <v>1667</v>
      </c>
      <c r="C39" s="64"/>
      <c r="D39" s="68"/>
      <c r="E39" s="87"/>
      <c r="T39" s="66"/>
    </row>
    <row r="40" spans="1:30" ht="12.5" thickBot="1">
      <c r="A40" s="90" t="s">
        <v>1668</v>
      </c>
      <c r="B40" s="391" t="s">
        <v>1669</v>
      </c>
      <c r="C40" s="64"/>
      <c r="D40" s="68"/>
      <c r="E40" s="87"/>
      <c r="T40" s="66"/>
    </row>
    <row r="41" spans="1:30" ht="12.5" thickBot="1">
      <c r="A41" s="93" t="s">
        <v>1670</v>
      </c>
      <c r="B41" s="392" t="s">
        <v>1671</v>
      </c>
      <c r="C41" s="64"/>
      <c r="D41" s="68"/>
      <c r="E41" s="87"/>
      <c r="T41" s="66"/>
    </row>
    <row r="42" spans="1:30" ht="12.5" thickBot="1">
      <c r="A42" s="95" t="s">
        <v>821</v>
      </c>
      <c r="B42" s="393" t="s">
        <v>1674</v>
      </c>
      <c r="C42" s="64"/>
      <c r="D42" s="68"/>
      <c r="E42" s="87"/>
      <c r="T42" s="66"/>
    </row>
    <row r="43" spans="1:30" ht="12.5" thickBot="1">
      <c r="A43" s="95" t="s">
        <v>1677</v>
      </c>
      <c r="B43" s="394" t="s">
        <v>1678</v>
      </c>
      <c r="C43" s="64"/>
      <c r="D43" s="68"/>
      <c r="E43" s="87"/>
      <c r="T43" s="66"/>
    </row>
    <row r="44" spans="1:30" ht="12.5" thickBot="1">
      <c r="A44" s="95" t="s">
        <v>1679</v>
      </c>
      <c r="B44" s="394" t="s">
        <v>1680</v>
      </c>
      <c r="C44" s="64"/>
      <c r="D44" s="68"/>
      <c r="E44" s="87"/>
      <c r="T44" s="66"/>
    </row>
    <row r="45" spans="1:30" ht="12.5" thickBot="1">
      <c r="A45" s="95" t="s">
        <v>1681</v>
      </c>
      <c r="B45" s="394" t="s">
        <v>1682</v>
      </c>
      <c r="C45" s="64"/>
      <c r="D45" s="68"/>
      <c r="E45" s="87"/>
      <c r="T45" s="66"/>
    </row>
    <row r="46" spans="1:30" ht="12.5" thickBot="1">
      <c r="A46" s="95" t="s">
        <v>1817</v>
      </c>
      <c r="B46" s="394" t="s">
        <v>1942</v>
      </c>
      <c r="C46" s="64"/>
      <c r="D46" s="68"/>
      <c r="E46" s="87"/>
      <c r="T46" s="66"/>
    </row>
    <row r="47" spans="1:30" ht="12.5" thickBot="1">
      <c r="A47" s="95" t="s">
        <v>2097</v>
      </c>
      <c r="B47" s="394" t="s">
        <v>1945</v>
      </c>
      <c r="C47" s="64"/>
      <c r="D47" s="68"/>
      <c r="E47" s="87"/>
      <c r="T47" s="66"/>
    </row>
    <row r="48" spans="1:30" ht="12.5" thickBot="1">
      <c r="A48" s="95" t="s">
        <v>1683</v>
      </c>
      <c r="B48" s="394" t="s">
        <v>1684</v>
      </c>
      <c r="C48" s="64"/>
      <c r="D48" s="68"/>
      <c r="E48" s="87"/>
      <c r="T48" s="66"/>
    </row>
    <row r="49" spans="1:20" ht="12.5" thickBot="1">
      <c r="A49" s="95" t="s">
        <v>1686</v>
      </c>
      <c r="B49" s="394" t="s">
        <v>1687</v>
      </c>
      <c r="C49" s="64"/>
      <c r="D49" s="68"/>
      <c r="E49" s="87"/>
      <c r="T49" s="66"/>
    </row>
    <row r="50" spans="1:20" ht="12.5" thickBot="1">
      <c r="A50" s="110" t="s">
        <v>1689</v>
      </c>
      <c r="B50" s="395" t="s">
        <v>1690</v>
      </c>
      <c r="C50" s="73"/>
      <c r="D50" s="81"/>
      <c r="E50" s="91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5"/>
    </row>
  </sheetData>
  <mergeCells count="28">
    <mergeCell ref="C27:H27"/>
    <mergeCell ref="I27:N27"/>
    <mergeCell ref="O27:T27"/>
    <mergeCell ref="C28:E28"/>
    <mergeCell ref="F28:H28"/>
    <mergeCell ref="I28:K28"/>
    <mergeCell ref="L28:N28"/>
    <mergeCell ref="O28:Q28"/>
    <mergeCell ref="R28:T28"/>
    <mergeCell ref="V16:X16"/>
    <mergeCell ref="Z26:AC26"/>
    <mergeCell ref="V22:X22"/>
    <mergeCell ref="V35:X35"/>
    <mergeCell ref="R3:T3"/>
    <mergeCell ref="Z3:AA3"/>
    <mergeCell ref="V9:X9"/>
    <mergeCell ref="Z9:AE9"/>
    <mergeCell ref="Z16:AC16"/>
    <mergeCell ref="C2:H2"/>
    <mergeCell ref="I2:N2"/>
    <mergeCell ref="O2:T2"/>
    <mergeCell ref="V2:X2"/>
    <mergeCell ref="Z2:AD2"/>
    <mergeCell ref="C3:E3"/>
    <mergeCell ref="F3:H3"/>
    <mergeCell ref="I3:K3"/>
    <mergeCell ref="L3:N3"/>
    <mergeCell ref="O3:Q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761E-E649-4C60-96F0-B6345ECABDBE}">
  <sheetPr filterMode="1"/>
  <dimension ref="A1:AX375"/>
  <sheetViews>
    <sheetView zoomScale="160" zoomScaleNormal="160" workbookViewId="0">
      <pane ySplit="2" topLeftCell="A3" activePane="bottomLeft" state="frozen"/>
      <selection pane="bottomLeft" activeCell="AS59" sqref="AS59"/>
    </sheetView>
  </sheetViews>
  <sheetFormatPr defaultColWidth="9.1796875" defaultRowHeight="12" outlineLevelCol="1"/>
  <cols>
    <col min="1" max="7" width="9.1796875" style="1"/>
    <col min="8" max="16" width="9.1796875" style="1" hidden="1" customWidth="1" outlineLevel="1"/>
    <col min="17" max="17" width="9.81640625" style="1" customWidth="1" collapsed="1"/>
    <col min="18" max="18" width="9.1796875" style="1"/>
    <col min="19" max="22" width="9.1796875" style="1" hidden="1" customWidth="1" outlineLevel="1"/>
    <col min="23" max="23" width="9.1796875" style="1" collapsed="1"/>
    <col min="24" max="27" width="9.1796875" style="1" hidden="1" customWidth="1" outlineLevel="1"/>
    <col min="28" max="28" width="9.1796875" style="1" collapsed="1"/>
    <col min="29" max="31" width="9.1796875" style="1" hidden="1" customWidth="1" outlineLevel="1"/>
    <col min="32" max="32" width="9.1796875" style="1" collapsed="1"/>
    <col min="33" max="37" width="9.1796875" style="1" hidden="1" customWidth="1" outlineLevel="1"/>
    <col min="38" max="38" width="9.1796875" style="1" collapsed="1"/>
    <col min="39" max="43" width="9.1796875" style="1" hidden="1" customWidth="1" outlineLevel="1"/>
    <col min="44" max="44" width="9.1796875" style="1" collapsed="1"/>
    <col min="45" max="46" width="9.1796875" style="1"/>
    <col min="47" max="47" width="4.26953125" style="1" customWidth="1"/>
    <col min="48" max="48" width="2.81640625" style="1" customWidth="1"/>
    <col min="49" max="16384" width="9.1796875" style="1"/>
  </cols>
  <sheetData>
    <row r="1" spans="1:50" ht="12.75" customHeight="1" thickBot="1">
      <c r="H1" s="700" t="s">
        <v>0</v>
      </c>
      <c r="I1" s="701"/>
      <c r="J1" s="701"/>
      <c r="K1" s="701"/>
      <c r="L1" s="701"/>
      <c r="M1" s="701"/>
      <c r="N1" s="701"/>
      <c r="O1" s="701"/>
      <c r="P1" s="701"/>
      <c r="Q1" s="701"/>
      <c r="R1" s="702"/>
      <c r="S1" s="703" t="s">
        <v>1</v>
      </c>
      <c r="T1" s="704"/>
      <c r="U1" s="704"/>
      <c r="V1" s="704"/>
      <c r="W1" s="705"/>
      <c r="X1" s="706" t="s">
        <v>2</v>
      </c>
      <c r="Y1" s="707"/>
      <c r="Z1" s="707"/>
      <c r="AA1" s="707"/>
      <c r="AB1" s="708"/>
      <c r="AC1" s="709" t="s">
        <v>3</v>
      </c>
      <c r="AD1" s="709"/>
      <c r="AE1" s="709"/>
      <c r="AF1" s="699"/>
      <c r="AG1" s="710" t="s">
        <v>4</v>
      </c>
      <c r="AH1" s="711"/>
      <c r="AI1" s="711"/>
      <c r="AJ1" s="711"/>
      <c r="AK1" s="711"/>
      <c r="AL1" s="712"/>
      <c r="AM1" s="713" t="s">
        <v>5</v>
      </c>
      <c r="AN1" s="714"/>
      <c r="AO1" s="714"/>
      <c r="AP1" s="714"/>
      <c r="AQ1" s="714"/>
      <c r="AR1" s="715"/>
      <c r="AS1" s="698" t="s">
        <v>2103</v>
      </c>
      <c r="AT1" s="699"/>
      <c r="AU1" s="199"/>
      <c r="AW1" s="2" t="s">
        <v>6</v>
      </c>
      <c r="AX1" s="559" t="s">
        <v>698</v>
      </c>
    </row>
    <row r="2" spans="1:50" s="87" customFormat="1" ht="12.5" thickBot="1">
      <c r="A2" s="376" t="s">
        <v>7</v>
      </c>
      <c r="B2" s="377" t="s">
        <v>8</v>
      </c>
      <c r="C2" s="377" t="s">
        <v>9</v>
      </c>
      <c r="D2" s="377" t="s">
        <v>10</v>
      </c>
      <c r="E2" s="377" t="s">
        <v>11</v>
      </c>
      <c r="F2" s="377" t="s">
        <v>12</v>
      </c>
      <c r="G2" s="377" t="s">
        <v>13</v>
      </c>
      <c r="H2" s="378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28</v>
      </c>
      <c r="P2" s="3" t="s">
        <v>21</v>
      </c>
      <c r="Q2" s="409" t="s">
        <v>2102</v>
      </c>
      <c r="R2" s="375" t="s">
        <v>22</v>
      </c>
      <c r="S2" s="379" t="s">
        <v>23</v>
      </c>
      <c r="T2" s="379" t="s">
        <v>2096</v>
      </c>
      <c r="U2" s="379" t="s">
        <v>25</v>
      </c>
      <c r="V2" s="379"/>
      <c r="W2" s="380" t="s">
        <v>26</v>
      </c>
      <c r="X2" s="376" t="s">
        <v>27</v>
      </c>
      <c r="Y2" s="377" t="s">
        <v>20</v>
      </c>
      <c r="Z2" s="377" t="s">
        <v>28</v>
      </c>
      <c r="AA2" s="377"/>
      <c r="AB2" s="381" t="s">
        <v>29</v>
      </c>
      <c r="AC2" s="382" t="s">
        <v>30</v>
      </c>
      <c r="AD2" s="382" t="s">
        <v>31</v>
      </c>
      <c r="AE2" s="382"/>
      <c r="AF2" s="50" t="s">
        <v>32</v>
      </c>
      <c r="AG2" s="383" t="s">
        <v>33</v>
      </c>
      <c r="AH2" s="384" t="s">
        <v>34</v>
      </c>
      <c r="AI2" s="384" t="s">
        <v>35</v>
      </c>
      <c r="AJ2" s="384" t="s">
        <v>36</v>
      </c>
      <c r="AK2" s="384"/>
      <c r="AL2" s="55" t="s">
        <v>37</v>
      </c>
      <c r="AM2" s="385" t="s">
        <v>38</v>
      </c>
      <c r="AN2" s="386" t="s">
        <v>2183</v>
      </c>
      <c r="AO2" s="386" t="s">
        <v>39</v>
      </c>
      <c r="AP2" s="386"/>
      <c r="AQ2" s="386"/>
      <c r="AR2" s="56" t="s">
        <v>40</v>
      </c>
      <c r="AS2" s="408" t="s">
        <v>826</v>
      </c>
      <c r="AT2" s="407" t="s">
        <v>827</v>
      </c>
      <c r="AU2" s="406"/>
      <c r="AW2" s="6" t="s">
        <v>25</v>
      </c>
      <c r="AX2" s="560" t="s">
        <v>25</v>
      </c>
    </row>
    <row r="3" spans="1:50">
      <c r="A3" s="1">
        <v>520</v>
      </c>
      <c r="B3" s="1" t="s">
        <v>63</v>
      </c>
      <c r="C3" s="1" t="s">
        <v>64</v>
      </c>
      <c r="D3" s="1" t="s">
        <v>65</v>
      </c>
      <c r="E3" s="1" t="str">
        <f>VLOOKUP(A:A,USD!A:E,5,FALSE)</f>
        <v>Eastern Rule 5</v>
      </c>
      <c r="F3" s="1" t="str">
        <f>VLOOKUP(A:A,USD!A:F,6,FALSE)</f>
        <v>ER5</v>
      </c>
      <c r="G3" s="1" t="str">
        <f>VLOOKUP(A:A,'Regions and Ports'!A:G,7,FALSE)</f>
        <v>Savannah</v>
      </c>
      <c r="H3" s="1">
        <f>VLOOKUP(A:A,USD!A:R,8,FALSE)</f>
        <v>1</v>
      </c>
      <c r="I3" s="87">
        <f>(VLOOKUP($A:$A,USD!$A:$AL,9,FALSE)*88)/88*20</f>
        <v>0</v>
      </c>
      <c r="J3" s="87">
        <f>(VLOOKUP($A:$A,USD!$A:$AL,10,FALSE)*88)/88*20</f>
        <v>140</v>
      </c>
      <c r="K3" s="87">
        <f>(VLOOKUP($A:$A,USD!$A:$AL,11,FALSE)*88)/88*20</f>
        <v>0</v>
      </c>
      <c r="L3" s="87">
        <f>(VLOOKUP($A:$A,USD!$A:$AL,12,FALSE)*88)/88*20</f>
        <v>0</v>
      </c>
      <c r="M3" s="87">
        <f>(VLOOKUP($A:$A,USD!$A:$AL,13,FALSE)*88)/88*20</f>
        <v>10</v>
      </c>
      <c r="N3" s="87">
        <f>(VLOOKUP($A:$A,USD!$A:$AL,14,FALSE)*88)/88*20</f>
        <v>70</v>
      </c>
      <c r="O3" s="68">
        <f>(VLOOKUP($A:$A,USD!$A:$AL,15,FALSE)*88)/88*20</f>
        <v>37.916666666666671</v>
      </c>
      <c r="P3" s="87">
        <f>(VLOOKUP($A:$A,USD!$A:$AL,16,FALSE)*88)/88*20</f>
        <v>0</v>
      </c>
      <c r="Q3" s="68">
        <f t="shared" ref="Q3:Q66" si="0">I3+J3+K3+L3+M3+N3+O3+P3</f>
        <v>257.91666666666669</v>
      </c>
      <c r="R3" s="68">
        <f t="shared" ref="R3:R66" si="1">IF(H3=1,SUM(N3),IF(H3=2,SUM(K3,N3),IF(H3=3,SUM(J3,K3,L3,N3),IF(H3=4,SUM(L3),"ERROR"))))+O3</f>
        <v>107.91666666666667</v>
      </c>
      <c r="S3" s="68">
        <f>(VLOOKUP($A:$A,USD!$A:$AL,19,FALSE)*88)/88*20</f>
        <v>0</v>
      </c>
      <c r="T3" s="68">
        <f>(VLOOKUP($A:$A,USD!$A:$AL,20,FALSE)*88)/88*20</f>
        <v>0</v>
      </c>
      <c r="U3" s="68">
        <f>(VLOOKUP($A:$A,USD!$A:$AL,21,FALSE)*88)/88*20</f>
        <v>271.8931818181818</v>
      </c>
      <c r="V3" s="68"/>
      <c r="W3" s="68">
        <f t="shared" ref="W3:W66" si="2">S3+T3+U3+V3</f>
        <v>271.8931818181818</v>
      </c>
      <c r="X3" s="1">
        <f>(VLOOKUP($A:$A,USD!$A:$AL,24,FALSE)*88)/88*20</f>
        <v>52</v>
      </c>
      <c r="Y3" s="68">
        <f>(VLOOKUP($A:$A,USD!$A:$AL,25,FALSE)*88)/88*20</f>
        <v>50.4</v>
      </c>
      <c r="Z3" s="68">
        <f>(VLOOKUP($A:$A,USD!$A:$AL,26,FALSE)*88)/88*20</f>
        <v>26.25</v>
      </c>
      <c r="AB3" s="68">
        <f t="shared" ref="AB3:AB66" si="3">X3+Y3+Z3+AA3</f>
        <v>128.65</v>
      </c>
      <c r="AC3" s="68">
        <f>(VLOOKUP($A:$A,USD!$A:$AL,29,FALSE)*88)/88*20</f>
        <v>110.22727272727273</v>
      </c>
      <c r="AD3" s="68">
        <f>(VLOOKUP($A:$A,USD!$A:$AL,30,FALSE)*88)/88*20</f>
        <v>107.04545454545455</v>
      </c>
      <c r="AF3" s="68">
        <f t="shared" ref="AF3:AF66" si="4">AC3+AD3+AE3</f>
        <v>217.27272727272728</v>
      </c>
      <c r="AG3" s="87">
        <f>(VLOOKUP($A:$A,USD!$A:$AL,33,FALSE)*88)/88*20</f>
        <v>28.814300000000003</v>
      </c>
      <c r="AH3" s="68">
        <f>(VLOOKUP($A:$A,USD!$A:$AL,34,FALSE)*88)/88*20</f>
        <v>6.973140495867769</v>
      </c>
      <c r="AI3" s="87">
        <f>(VLOOKUP($A:$A,USD!$A:$AL,35,FALSE)*88)/88*20</f>
        <v>12.587317427197677</v>
      </c>
      <c r="AJ3" s="87">
        <f>(VLOOKUP($A:$A,USD!$A:$AL,36,FALSE)*88)/88*20</f>
        <v>6.7351999999999999</v>
      </c>
      <c r="AL3" s="68">
        <f t="shared" ref="AL3:AL66" si="5">AG3+AH3+AI3+AJ3</f>
        <v>55.109957923065444</v>
      </c>
      <c r="AM3" s="87">
        <f>(VLOOKUP($A:$A,USD!$A:$AR,39,FALSE)*88)/88*20</f>
        <v>79.999999999999986</v>
      </c>
      <c r="AN3" s="68">
        <f>(VLOOKUP($A:$A,USD!$A:$AR,40,FALSE)*88)/88*20</f>
        <v>26.17808219178082</v>
      </c>
      <c r="AO3" s="1">
        <f>(VLOOKUP($A:$A,USD!$A:$AR,41,FALSE)*88)/88*20</f>
        <v>0</v>
      </c>
      <c r="AR3" s="1">
        <f t="shared" ref="AR3:AR66" si="6">AM3+AN3+AO3+AP3+AQ3</f>
        <v>106.1780821917808</v>
      </c>
      <c r="AS3" s="38">
        <f t="shared" ref="AS3:AS66" si="7">R3+W3+AB3+AF3+AL3+AR3</f>
        <v>887.02061587242201</v>
      </c>
      <c r="AT3" s="38">
        <f t="shared" ref="AT3:AT66" si="8">Q3+W3+AB3+AF3+AR3+AL3</f>
        <v>1037.020615872422</v>
      </c>
      <c r="AW3" s="1" t="e">
        <f>(VLOOKUP(A:A,USD!A:AT,46,FALSE)*88)/88*20</f>
        <v>#N/A</v>
      </c>
      <c r="AX3" s="1">
        <f>(VLOOKUP(A:A,USD!A:AU,47,FALSE)*88)/88*20</f>
        <v>311.36363636363637</v>
      </c>
    </row>
    <row r="4" spans="1:50" hidden="1">
      <c r="A4" s="1">
        <v>810537</v>
      </c>
      <c r="B4" s="1" t="s">
        <v>69</v>
      </c>
      <c r="C4" s="1" t="s">
        <v>70</v>
      </c>
      <c r="D4" s="1" t="s">
        <v>71</v>
      </c>
      <c r="E4" s="1" t="str">
        <f>VLOOKUP(A:A,USD!A:E,5,FALSE)</f>
        <v>WTX</v>
      </c>
      <c r="F4" s="1" t="str">
        <f>VLOOKUP(A:A,USD!A:F,6,FALSE)</f>
        <v>WTX</v>
      </c>
      <c r="G4" s="1" t="str">
        <f>VLOOKUP(A:A,'Regions and Ports'!A:G,7,FALSE)</f>
        <v>Dallas</v>
      </c>
      <c r="H4" s="1">
        <f>VLOOKUP(A:A,USD!A:R,8,FALSE)</f>
        <v>2</v>
      </c>
      <c r="I4" s="87">
        <f>(VLOOKUP($A:$A,USD!$A:$AL,9,FALSE)*88)/88*20</f>
        <v>95</v>
      </c>
      <c r="J4" s="87">
        <f>(VLOOKUP($A:$A,USD!$A:$AL,10,FALSE)*88)/88*20</f>
        <v>120</v>
      </c>
      <c r="K4" s="87">
        <f>(VLOOKUP($A:$A,USD!$A:$AL,11,FALSE)*88)/88*20</f>
        <v>200</v>
      </c>
      <c r="L4" s="87">
        <f>(VLOOKUP($A:$A,USD!$A:$AL,12,FALSE)*88)/88*20</f>
        <v>0</v>
      </c>
      <c r="M4" s="87">
        <f>(VLOOKUP($A:$A,USD!$A:$AL,13,FALSE)*88)/88*20</f>
        <v>0</v>
      </c>
      <c r="N4" s="87">
        <f>(VLOOKUP($A:$A,USD!$A:$AL,14,FALSE)*88)/88*20</f>
        <v>50</v>
      </c>
      <c r="O4" s="68">
        <f>(VLOOKUP($A:$A,USD!$A:$AL,15,FALSE)*88)/88*20</f>
        <v>37.916666666666671</v>
      </c>
      <c r="P4" s="87">
        <f>(VLOOKUP($A:$A,USD!$A:$AL,16,FALSE)*88)/88*20</f>
        <v>0</v>
      </c>
      <c r="Q4" s="68">
        <f t="shared" si="0"/>
        <v>502.91666666666669</v>
      </c>
      <c r="R4" s="68">
        <f t="shared" si="1"/>
        <v>287.91666666666669</v>
      </c>
      <c r="S4" s="68">
        <f>(VLOOKUP($A:$A,USD!$A:$AL,19,FALSE)*88)/88*20</f>
        <v>0</v>
      </c>
      <c r="T4" s="68">
        <f>(VLOOKUP($A:$A,USD!$A:$AL,20,FALSE)*88)/88*20</f>
        <v>0</v>
      </c>
      <c r="U4" s="68">
        <f>(VLOOKUP($A:$A,USD!$A:$AL,21,FALSE)*88)/88*20</f>
        <v>195.45454545454547</v>
      </c>
      <c r="V4" s="68"/>
      <c r="W4" s="68">
        <f t="shared" si="2"/>
        <v>195.45454545454547</v>
      </c>
      <c r="X4" s="1">
        <f>(VLOOKUP($A:$A,USD!$A:$AL,24,FALSE)*88)/88*20</f>
        <v>54</v>
      </c>
      <c r="Y4" s="68">
        <f>(VLOOKUP($A:$A,USD!$A:$AL,25,FALSE)*88)/88*20</f>
        <v>50.4</v>
      </c>
      <c r="Z4" s="68">
        <f>(VLOOKUP($A:$A,USD!$A:$AL,26,FALSE)*88)/88*20</f>
        <v>26.25</v>
      </c>
      <c r="AB4" s="68">
        <f t="shared" si="3"/>
        <v>130.65</v>
      </c>
      <c r="AC4" s="68">
        <f>(VLOOKUP($A:$A,USD!$A:$AL,29,FALSE)*88)/88*20</f>
        <v>162.5</v>
      </c>
      <c r="AD4" s="68">
        <f>(VLOOKUP($A:$A,USD!$A:$AL,30,FALSE)*88)/88*20</f>
        <v>268.18181818181819</v>
      </c>
      <c r="AF4" s="68">
        <f t="shared" si="4"/>
        <v>430.68181818181819</v>
      </c>
      <c r="AG4" s="87">
        <f>(VLOOKUP($A:$A,USD!$A:$AL,33,FALSE)*88)/88*20</f>
        <v>28.814300000000003</v>
      </c>
      <c r="AH4" s="68">
        <f>(VLOOKUP($A:$A,USD!$A:$AL,34,FALSE)*88)/88*20</f>
        <v>6.973140495867769</v>
      </c>
      <c r="AI4" s="87">
        <f>(VLOOKUP($A:$A,USD!$A:$AL,35,FALSE)*88)/88*20</f>
        <v>12.587317427197677</v>
      </c>
      <c r="AJ4" s="87">
        <f>(VLOOKUP($A:$A,USD!$A:$AL,36,FALSE)*88)/88*20</f>
        <v>6.7351999999999999</v>
      </c>
      <c r="AL4" s="68">
        <f t="shared" si="5"/>
        <v>55.109957923065444</v>
      </c>
      <c r="AM4" s="87">
        <f>(VLOOKUP($A:$A,USD!$A:$AR,39,FALSE)*88)/88*20</f>
        <v>79.999999999999986</v>
      </c>
      <c r="AN4" s="68">
        <f>(VLOOKUP($A:$A,USD!$A:$AR,40,FALSE)*88)/88*20</f>
        <v>26.17808219178082</v>
      </c>
      <c r="AO4" s="1">
        <f>(VLOOKUP($A:$A,USD!$A:$AR,41,FALSE)*88)/88*20</f>
        <v>0</v>
      </c>
      <c r="AR4" s="1">
        <f t="shared" si="6"/>
        <v>106.1780821917808</v>
      </c>
      <c r="AS4" s="38">
        <f t="shared" si="7"/>
        <v>1205.9910704178765</v>
      </c>
      <c r="AT4" s="38">
        <f t="shared" si="8"/>
        <v>1420.9910704178765</v>
      </c>
      <c r="AW4" s="1">
        <f>(VLOOKUP(A:A,USD!A:AT,46,FALSE)*88)/88*20</f>
        <v>360.65909090909088</v>
      </c>
      <c r="AX4" s="1" t="e">
        <f>(VLOOKUP(A:A,USD!A:AU,47,FALSE)*88)/88*20</f>
        <v>#N/A</v>
      </c>
    </row>
    <row r="5" spans="1:50" hidden="1">
      <c r="A5" s="125">
        <v>810537</v>
      </c>
      <c r="B5" s="1" t="s">
        <v>69</v>
      </c>
      <c r="C5" s="1" t="s">
        <v>70</v>
      </c>
      <c r="D5" s="1" t="s">
        <v>71</v>
      </c>
      <c r="E5" s="1" t="s">
        <v>2067</v>
      </c>
      <c r="F5" s="1" t="str">
        <f>VLOOKUP(A:A,USD!A:F,6,FALSE)</f>
        <v>WTX</v>
      </c>
      <c r="G5" s="1" t="s">
        <v>439</v>
      </c>
      <c r="H5" s="1">
        <f>VLOOKUP(A:A,USD!A:R,8,FALSE)</f>
        <v>2</v>
      </c>
      <c r="I5" s="87">
        <f>(VLOOKUP($A:$A,USD!$A:$AL,9,FALSE)*88)/88*20</f>
        <v>95</v>
      </c>
      <c r="J5" s="87">
        <f>(VLOOKUP($A:$A,USD!$A:$AL,10,FALSE)*88)/88*20</f>
        <v>120</v>
      </c>
      <c r="K5" s="87">
        <f>(VLOOKUP($A:$A,USD!$A:$AL,11,FALSE)*88)/88*20</f>
        <v>200</v>
      </c>
      <c r="L5" s="87">
        <f>(VLOOKUP($A:$A,USD!$A:$AL,12,FALSE)*88)/88*20</f>
        <v>0</v>
      </c>
      <c r="M5" s="87">
        <f>(VLOOKUP($A:$A,USD!$A:$AL,13,FALSE)*88)/88*20</f>
        <v>0</v>
      </c>
      <c r="N5" s="87">
        <f>(VLOOKUP($A:$A,USD!$A:$AL,14,FALSE)*88)/88*20</f>
        <v>50</v>
      </c>
      <c r="O5" s="68">
        <f>(VLOOKUP($A:$A,USD!$A:$AL,15,FALSE)*88)/88*20</f>
        <v>37.916666666666671</v>
      </c>
      <c r="P5" s="87">
        <f>(VLOOKUP($A:$A,USD!$A:$AL,16,FALSE)*88)/88*20</f>
        <v>0</v>
      </c>
      <c r="Q5" s="68">
        <f t="shared" si="0"/>
        <v>502.91666666666669</v>
      </c>
      <c r="R5" s="68">
        <f t="shared" si="1"/>
        <v>287.91666666666669</v>
      </c>
      <c r="S5" s="68">
        <f>(VLOOKUP($A:$A,USD!$A:$AL,19,FALSE)*88)/88*20</f>
        <v>0</v>
      </c>
      <c r="T5" s="68">
        <f>(VLOOKUP($A:$A,USD!$A:$AL,20,FALSE)*88)/88*20</f>
        <v>0</v>
      </c>
      <c r="U5" s="68" cm="1">
        <f t="array" ref="U5">(_xlfn.XLOOKUP(1, (USD!$A:$A=$A5)*(USD!$E:$E=$E5), USD!$U:$U, "", 0)*88)/88*20</f>
        <v>301.13636363636363</v>
      </c>
      <c r="V5" s="68"/>
      <c r="W5" s="68">
        <f t="shared" si="2"/>
        <v>301.13636363636363</v>
      </c>
      <c r="X5" s="1">
        <f>(VLOOKUP($A:$A,USD!$A:$AL,24,FALSE)*88)/88*20</f>
        <v>54</v>
      </c>
      <c r="Y5" s="68">
        <f>(VLOOKUP($A:$A,USD!$A:$AL,25,FALSE)*88)/88*20</f>
        <v>50.4</v>
      </c>
      <c r="Z5" s="68">
        <f>(VLOOKUP($A:$A,USD!$A:$AL,26,FALSE)*88)/88*20</f>
        <v>26.25</v>
      </c>
      <c r="AB5" s="68">
        <f t="shared" si="3"/>
        <v>130.65</v>
      </c>
      <c r="AC5" s="68" cm="1">
        <f t="array" ref="AC5">_xlfn.XLOOKUP(A5&amp;E5, USD!$A:$A&amp;USD!$E:$E, USD!$AC:$AC, "")*20</f>
        <v>132.95454545454544</v>
      </c>
      <c r="AD5" s="68" cm="1">
        <f t="array" ref="AD5">_xlfn.XLOOKUP(A5&amp;E5, USD!$A:$A&amp;USD!$E:$E, USD!$AD:$AD, "")*20</f>
        <v>197.95454545454547</v>
      </c>
      <c r="AF5" s="68">
        <f t="shared" si="4"/>
        <v>330.90909090909088</v>
      </c>
      <c r="AG5" s="87">
        <f>(VLOOKUP($A:$A,USD!$A:$AL,33,FALSE)*88)/88*20</f>
        <v>28.814300000000003</v>
      </c>
      <c r="AH5" s="68">
        <f>(VLOOKUP($A:$A,USD!$A:$AL,34,FALSE)*88)/88*20</f>
        <v>6.973140495867769</v>
      </c>
      <c r="AI5" s="87">
        <f>(VLOOKUP($A:$A,USD!$A:$AL,35,FALSE)*88)/88*20</f>
        <v>12.587317427197677</v>
      </c>
      <c r="AJ5" s="87">
        <f>(VLOOKUP($A:$A,USD!$A:$AL,36,FALSE)*88)/88*20</f>
        <v>6.7351999999999999</v>
      </c>
      <c r="AL5" s="68">
        <f t="shared" si="5"/>
        <v>55.109957923065444</v>
      </c>
      <c r="AM5" s="87">
        <f>(VLOOKUP($A:$A,USD!$A:$AR,39,FALSE)*88)/88*20</f>
        <v>79.999999999999986</v>
      </c>
      <c r="AN5" s="68">
        <f>(VLOOKUP($A:$A,USD!$A:$AR,40,FALSE)*88)/88*20</f>
        <v>26.17808219178082</v>
      </c>
      <c r="AO5" s="1">
        <f>(VLOOKUP($A:$A,USD!$A:$AR,41,FALSE)*88)/88*20</f>
        <v>0</v>
      </c>
      <c r="AR5" s="1">
        <f t="shared" si="6"/>
        <v>106.1780821917808</v>
      </c>
      <c r="AS5" s="38">
        <f t="shared" si="7"/>
        <v>1211.9001613269672</v>
      </c>
      <c r="AT5" s="38">
        <f t="shared" si="8"/>
        <v>1426.9001613269672</v>
      </c>
      <c r="AW5" s="1">
        <f>(VLOOKUP(A:A,USD!A:AT,46,FALSE)*88)/88*20</f>
        <v>360.65909090909088</v>
      </c>
      <c r="AX5" s="1" t="e">
        <f>(VLOOKUP(A:A,USD!A:AU,47,FALSE)*88)/88*20</f>
        <v>#N/A</v>
      </c>
    </row>
    <row r="6" spans="1:50" hidden="1">
      <c r="A6" s="1">
        <v>213008</v>
      </c>
      <c r="B6" s="1" t="s">
        <v>74</v>
      </c>
      <c r="C6" s="1" t="s">
        <v>75</v>
      </c>
      <c r="D6" s="1" t="s">
        <v>76</v>
      </c>
      <c r="E6" s="1" t="str">
        <f>VLOOKUP(A:A,USD!A:E,5,FALSE)</f>
        <v>GA 30 Day</v>
      </c>
      <c r="F6" s="1" t="str">
        <f>VLOOKUP(A:A,USD!A:F,6,FALSE)</f>
        <v>ER5</v>
      </c>
      <c r="G6" s="1" t="str">
        <f>VLOOKUP(A:A,'Regions and Ports'!A:G,7,FALSE)</f>
        <v>Savannah</v>
      </c>
      <c r="H6" s="1">
        <f>VLOOKUP(A:A,USD!A:R,8,FALSE)</f>
        <v>4</v>
      </c>
      <c r="I6" s="87">
        <f>(VLOOKUP($A:$A,USD!$A:$AL,9,FALSE)*88)/88*20</f>
        <v>70</v>
      </c>
      <c r="J6" s="87">
        <f>(VLOOKUP($A:$A,USD!$A:$AL,10,FALSE)*88)/88*20</f>
        <v>130</v>
      </c>
      <c r="K6" s="87">
        <f>(VLOOKUP($A:$A,USD!$A:$AL,11,FALSE)*88)/88*20</f>
        <v>0</v>
      </c>
      <c r="L6" s="87">
        <f>(VLOOKUP($A:$A,USD!$A:$AL,12,FALSE)*88)/88*20</f>
        <v>0</v>
      </c>
      <c r="M6" s="87">
        <f>(VLOOKUP($A:$A,USD!$A:$AL,13,FALSE)*88)/88*20</f>
        <v>0</v>
      </c>
      <c r="N6" s="87">
        <f>(VLOOKUP($A:$A,USD!$A:$AL,14,FALSE)*88)/88*20</f>
        <v>55</v>
      </c>
      <c r="O6" s="68">
        <f>(VLOOKUP($A:$A,USD!$A:$AL,15,FALSE)*88)/88*20</f>
        <v>37.916666666666671</v>
      </c>
      <c r="P6" s="87">
        <f>(VLOOKUP($A:$A,USD!$A:$AL,16,FALSE)*88)/88*20</f>
        <v>0</v>
      </c>
      <c r="Q6" s="68">
        <f t="shared" si="0"/>
        <v>292.91666666666669</v>
      </c>
      <c r="R6" s="68">
        <f t="shared" si="1"/>
        <v>37.916666666666671</v>
      </c>
      <c r="S6" s="68">
        <f>(VLOOKUP($A:$A,USD!$A:$AL,19,FALSE)*88)/88*20</f>
        <v>0</v>
      </c>
      <c r="T6" s="68">
        <f>(VLOOKUP($A:$A,USD!$A:$AL,20,FALSE)*88)/88*20</f>
        <v>0</v>
      </c>
      <c r="U6" s="68">
        <f>(VLOOKUP($A:$A,USD!$A:$AL,21,FALSE)*88)/88*20</f>
        <v>227.66363636363636</v>
      </c>
      <c r="V6" s="68"/>
      <c r="W6" s="68">
        <f t="shared" si="2"/>
        <v>227.66363636363636</v>
      </c>
      <c r="X6" s="1">
        <f>(VLOOKUP($A:$A,USD!$A:$AL,24,FALSE)*88)/88*20</f>
        <v>52</v>
      </c>
      <c r="Y6" s="68">
        <f>(VLOOKUP($A:$A,USD!$A:$AL,25,FALSE)*88)/88*20</f>
        <v>50.4</v>
      </c>
      <c r="Z6" s="68">
        <f>(VLOOKUP($A:$A,USD!$A:$AL,26,FALSE)*88)/88*20</f>
        <v>26.25</v>
      </c>
      <c r="AB6" s="68">
        <f t="shared" si="3"/>
        <v>128.65</v>
      </c>
      <c r="AC6" s="68">
        <f>(VLOOKUP($A:$A,USD!$A:$AL,29,FALSE)*88)/88*20</f>
        <v>110.22727272727273</v>
      </c>
      <c r="AD6" s="68">
        <f>(VLOOKUP($A:$A,USD!$A:$AL,30,FALSE)*88)/88*20</f>
        <v>107.04545454545455</v>
      </c>
      <c r="AF6" s="68">
        <f t="shared" si="4"/>
        <v>217.27272727272728</v>
      </c>
      <c r="AG6" s="87">
        <f>(VLOOKUP($A:$A,USD!$A:$AL,33,FALSE)*88)/88*20</f>
        <v>28.814300000000003</v>
      </c>
      <c r="AH6" s="68">
        <f>(VLOOKUP($A:$A,USD!$A:$AL,34,FALSE)*88)/88*20</f>
        <v>6.973140495867769</v>
      </c>
      <c r="AI6" s="87">
        <f>(VLOOKUP($A:$A,USD!$A:$AL,35,FALSE)*88)/88*20</f>
        <v>12.587317427197677</v>
      </c>
      <c r="AJ6" s="87">
        <f>(VLOOKUP($A:$A,USD!$A:$AL,36,FALSE)*88)/88*20</f>
        <v>6.7351999999999999</v>
      </c>
      <c r="AL6" s="68">
        <f t="shared" si="5"/>
        <v>55.109957923065444</v>
      </c>
      <c r="AM6" s="87">
        <f>(VLOOKUP($A:$A,USD!$A:$AR,39,FALSE)*88)/88*20</f>
        <v>79.999999999999986</v>
      </c>
      <c r="AN6" s="68">
        <f>(VLOOKUP($A:$A,USD!$A:$AR,40,FALSE)*88)/88*20</f>
        <v>26.17808219178082</v>
      </c>
      <c r="AO6" s="1">
        <f>(VLOOKUP($A:$A,USD!$A:$AR,41,FALSE)*88)/88*20</f>
        <v>0</v>
      </c>
      <c r="AR6" s="1">
        <f t="shared" si="6"/>
        <v>106.1780821917808</v>
      </c>
      <c r="AS6" s="38">
        <f t="shared" si="7"/>
        <v>772.79107041787654</v>
      </c>
      <c r="AT6" s="38">
        <f t="shared" si="8"/>
        <v>1027.7910704178767</v>
      </c>
      <c r="AW6" s="1">
        <f>(VLOOKUP(A:A,USD!A:AT,46,FALSE)*88)/88*20</f>
        <v>455.19318181818176</v>
      </c>
      <c r="AX6" s="1">
        <f>(VLOOKUP(A:A,USD!A:AU,47,FALSE)*88)/88*20</f>
        <v>306.25</v>
      </c>
    </row>
    <row r="7" spans="1:50" hidden="1">
      <c r="A7" s="1">
        <v>400510</v>
      </c>
      <c r="B7" s="1" t="s">
        <v>78</v>
      </c>
      <c r="C7" s="1" t="s">
        <v>79</v>
      </c>
      <c r="D7" s="1" t="s">
        <v>80</v>
      </c>
      <c r="E7" s="1" t="str">
        <f>VLOOKUP(A:A,USD!A:E,5,FALSE)</f>
        <v>Memphis Rule 5</v>
      </c>
      <c r="F7" s="1" t="str">
        <f>VLOOKUP(A:A,USD!A:F,6,FALSE)</f>
        <v>MR5</v>
      </c>
      <c r="G7" s="1" t="str">
        <f>VLOOKUP(A:A,'Regions and Ports'!A:G,7,FALSE)</f>
        <v>Houston</v>
      </c>
      <c r="H7" s="1">
        <f>VLOOKUP(A:A,USD!A:R,8,FALSE)</f>
        <v>1</v>
      </c>
      <c r="I7" s="87">
        <f>(VLOOKUP($A:$A,USD!$A:$AL,9,FALSE)*88)/88*20</f>
        <v>107</v>
      </c>
      <c r="J7" s="87">
        <f>(VLOOKUP($A:$A,USD!$A:$AL,10,FALSE)*88)/88*20</f>
        <v>180</v>
      </c>
      <c r="K7" s="87">
        <f>(VLOOKUP($A:$A,USD!$A:$AL,11,FALSE)*88)/88*20</f>
        <v>170</v>
      </c>
      <c r="L7" s="87">
        <f>(VLOOKUP($A:$A,USD!$A:$AL,12,FALSE)*88)/88*20</f>
        <v>0</v>
      </c>
      <c r="M7" s="87">
        <f>(VLOOKUP($A:$A,USD!$A:$AL,13,FALSE)*88)/88*20</f>
        <v>0</v>
      </c>
      <c r="N7" s="87">
        <f>(VLOOKUP($A:$A,USD!$A:$AL,14,FALSE)*88)/88*20</f>
        <v>70</v>
      </c>
      <c r="O7" s="68">
        <f>(VLOOKUP($A:$A,USD!$A:$AL,15,FALSE)*88)/88*20</f>
        <v>37.916666666666671</v>
      </c>
      <c r="P7" s="87">
        <f>(VLOOKUP($A:$A,USD!$A:$AL,16,FALSE)*88)/88*20</f>
        <v>0</v>
      </c>
      <c r="Q7" s="68">
        <f t="shared" si="0"/>
        <v>564.91666666666663</v>
      </c>
      <c r="R7" s="68">
        <f t="shared" si="1"/>
        <v>107.91666666666667</v>
      </c>
      <c r="S7" s="68">
        <f>(VLOOKUP($A:$A,USD!$A:$AL,19,FALSE)*88)/88*20</f>
        <v>0</v>
      </c>
      <c r="T7" s="68">
        <f>(VLOOKUP($A:$A,USD!$A:$AL,20,FALSE)*88)/88*20</f>
        <v>0</v>
      </c>
      <c r="U7" s="68">
        <f>(VLOOKUP($A:$A,USD!$A:$AL,21,FALSE)*88)/88*20</f>
        <v>659.09090909090901</v>
      </c>
      <c r="V7" s="68"/>
      <c r="W7" s="68">
        <f t="shared" si="2"/>
        <v>659.09090909090901</v>
      </c>
      <c r="X7" s="1">
        <f>(VLOOKUP($A:$A,USD!$A:$AL,24,FALSE)*88)/88*20</f>
        <v>54</v>
      </c>
      <c r="Y7" s="68">
        <f>(VLOOKUP($A:$A,USD!$A:$AL,25,FALSE)*88)/88*20</f>
        <v>50.4</v>
      </c>
      <c r="Z7" s="68">
        <f>(VLOOKUP($A:$A,USD!$A:$AL,26,FALSE)*88)/88*20</f>
        <v>26.25</v>
      </c>
      <c r="AB7" s="68">
        <f t="shared" si="3"/>
        <v>130.65</v>
      </c>
      <c r="AC7" s="68">
        <f>(VLOOKUP($A:$A,USD!$A:$AL,29,FALSE)*88)/88*20</f>
        <v>132.95454545454544</v>
      </c>
      <c r="AD7" s="68">
        <f>(VLOOKUP($A:$A,USD!$A:$AL,30,FALSE)*88)/88*20</f>
        <v>197.95454545454547</v>
      </c>
      <c r="AF7" s="68">
        <f t="shared" si="4"/>
        <v>330.90909090909088</v>
      </c>
      <c r="AG7" s="87">
        <f>(VLOOKUP($A:$A,USD!$A:$AL,33,FALSE)*88)/88*20</f>
        <v>28.814300000000003</v>
      </c>
      <c r="AH7" s="68">
        <f>(VLOOKUP($A:$A,USD!$A:$AL,34,FALSE)*88)/88*20</f>
        <v>6.973140495867769</v>
      </c>
      <c r="AI7" s="87">
        <f>(VLOOKUP($A:$A,USD!$A:$AL,35,FALSE)*88)/88*20</f>
        <v>12.587317427197677</v>
      </c>
      <c r="AJ7" s="87">
        <f>(VLOOKUP($A:$A,USD!$A:$AL,36,FALSE)*88)/88*20</f>
        <v>6.7351999999999999</v>
      </c>
      <c r="AL7" s="68">
        <f t="shared" si="5"/>
        <v>55.109957923065444</v>
      </c>
      <c r="AM7" s="87">
        <f>(VLOOKUP($A:$A,USD!$A:$AR,39,FALSE)*88)/88*20</f>
        <v>79.999999999999986</v>
      </c>
      <c r="AN7" s="68">
        <f>(VLOOKUP($A:$A,USD!$A:$AR,40,FALSE)*88)/88*20</f>
        <v>26.17808219178082</v>
      </c>
      <c r="AO7" s="1">
        <f>(VLOOKUP($A:$A,USD!$A:$AR,41,FALSE)*88)/88*20</f>
        <v>0</v>
      </c>
      <c r="AR7" s="1">
        <f t="shared" si="6"/>
        <v>106.1780821917808</v>
      </c>
      <c r="AS7" s="38">
        <f t="shared" si="7"/>
        <v>1389.8547067815127</v>
      </c>
      <c r="AT7" s="38">
        <f t="shared" si="8"/>
        <v>1846.8547067815127</v>
      </c>
      <c r="AW7" s="1">
        <f>(VLOOKUP(A:A,USD!A:AT,46,FALSE)*88)/88*20</f>
        <v>328.61363636363637</v>
      </c>
      <c r="AX7" s="1">
        <f>(VLOOKUP(A:A,USD!A:AU,47,FALSE)*88)/88*20</f>
        <v>539.43181818181824</v>
      </c>
    </row>
    <row r="8" spans="1:50" hidden="1">
      <c r="A8" s="1">
        <v>631020</v>
      </c>
      <c r="B8" s="1" t="s">
        <v>83</v>
      </c>
      <c r="C8" s="1" t="s">
        <v>84</v>
      </c>
      <c r="D8" s="1" t="s">
        <v>85</v>
      </c>
      <c r="E8" s="1" t="str">
        <f>VLOOKUP(A:A,USD!A:E,5,FALSE)</f>
        <v>WTX</v>
      </c>
      <c r="F8" s="1" t="str">
        <f>VLOOKUP(A:A,USD!A:F,6,FALSE)</f>
        <v>WTX</v>
      </c>
      <c r="G8" s="1" t="str">
        <f>VLOOKUP(A:A,'Regions and Ports'!A:G,7,FALSE)</f>
        <v>Dallas</v>
      </c>
      <c r="H8" s="1">
        <f>VLOOKUP(A:A,USD!A:R,8,FALSE)</f>
        <v>2</v>
      </c>
      <c r="I8" s="87">
        <f>(VLOOKUP($A:$A,USD!$A:$AL,9,FALSE)*88)/88*20</f>
        <v>103</v>
      </c>
      <c r="J8" s="87">
        <f>(VLOOKUP($A:$A,USD!$A:$AL,10,FALSE)*88)/88*20</f>
        <v>125</v>
      </c>
      <c r="K8" s="87">
        <f>(VLOOKUP($A:$A,USD!$A:$AL,11,FALSE)*88)/88*20</f>
        <v>240</v>
      </c>
      <c r="L8" s="87">
        <f>(VLOOKUP($A:$A,USD!$A:$AL,12,FALSE)*88)/88*20</f>
        <v>0</v>
      </c>
      <c r="M8" s="87">
        <f>(VLOOKUP($A:$A,USD!$A:$AL,13,FALSE)*88)/88*20</f>
        <v>0</v>
      </c>
      <c r="N8" s="87">
        <f>(VLOOKUP($A:$A,USD!$A:$AL,14,FALSE)*88)/88*20</f>
        <v>39</v>
      </c>
      <c r="O8" s="68">
        <f>(VLOOKUP($A:$A,USD!$A:$AL,15,FALSE)*88)/88*20</f>
        <v>37.916666666666671</v>
      </c>
      <c r="P8" s="87">
        <f>(VLOOKUP($A:$A,USD!$A:$AL,16,FALSE)*88)/88*20</f>
        <v>0</v>
      </c>
      <c r="Q8" s="68">
        <f t="shared" si="0"/>
        <v>544.91666666666663</v>
      </c>
      <c r="R8" s="68">
        <f t="shared" si="1"/>
        <v>316.91666666666669</v>
      </c>
      <c r="S8" s="68">
        <f>(VLOOKUP($A:$A,USD!$A:$AL,19,FALSE)*88)/88*20</f>
        <v>20</v>
      </c>
      <c r="T8" s="68">
        <f>(VLOOKUP($A:$A,USD!$A:$AL,20,FALSE)*88)/88*20</f>
        <v>5</v>
      </c>
      <c r="U8" s="68">
        <f>(VLOOKUP($A:$A,USD!$A:$AL,21,FALSE)*88)/88*20</f>
        <v>166.47727272727275</v>
      </c>
      <c r="V8" s="68"/>
      <c r="W8" s="68">
        <f t="shared" si="2"/>
        <v>191.47727272727275</v>
      </c>
      <c r="X8" s="1">
        <f>(VLOOKUP($A:$A,USD!$A:$AL,24,FALSE)*88)/88*20</f>
        <v>54</v>
      </c>
      <c r="Y8" s="68">
        <f>(VLOOKUP($A:$A,USD!$A:$AL,25,FALSE)*88)/88*20</f>
        <v>50.4</v>
      </c>
      <c r="Z8" s="68">
        <f>(VLOOKUP($A:$A,USD!$A:$AL,26,FALSE)*88)/88*20</f>
        <v>26.25</v>
      </c>
      <c r="AB8" s="68">
        <f t="shared" si="3"/>
        <v>130.65</v>
      </c>
      <c r="AC8" s="68">
        <f>(VLOOKUP($A:$A,USD!$A:$AL,29,FALSE)*88)/88*20</f>
        <v>162.5</v>
      </c>
      <c r="AD8" s="68">
        <f>(VLOOKUP($A:$A,USD!$A:$AL,30,FALSE)*88)/88*20</f>
        <v>268.18181818181819</v>
      </c>
      <c r="AF8" s="68">
        <f t="shared" si="4"/>
        <v>430.68181818181819</v>
      </c>
      <c r="AG8" s="87">
        <f>(VLOOKUP($A:$A,USD!$A:$AL,33,FALSE)*88)/88*20</f>
        <v>28.814300000000003</v>
      </c>
      <c r="AH8" s="68">
        <f>(VLOOKUP($A:$A,USD!$A:$AL,34,FALSE)*88)/88*20</f>
        <v>6.973140495867769</v>
      </c>
      <c r="AI8" s="87">
        <f>(VLOOKUP($A:$A,USD!$A:$AL,35,FALSE)*88)/88*20</f>
        <v>12.587317427197677</v>
      </c>
      <c r="AJ8" s="87">
        <f>(VLOOKUP($A:$A,USD!$A:$AL,36,FALSE)*88)/88*20</f>
        <v>6.7351999999999999</v>
      </c>
      <c r="AL8" s="68">
        <f t="shared" si="5"/>
        <v>55.109957923065444</v>
      </c>
      <c r="AM8" s="87">
        <f>(VLOOKUP($A:$A,USD!$A:$AR,39,FALSE)*88)/88*20</f>
        <v>79.999999999999986</v>
      </c>
      <c r="AN8" s="68">
        <f>(VLOOKUP($A:$A,USD!$A:$AR,40,FALSE)*88)/88*20</f>
        <v>26.17808219178082</v>
      </c>
      <c r="AO8" s="1">
        <f>(VLOOKUP($A:$A,USD!$A:$AR,41,FALSE)*88)/88*20</f>
        <v>0</v>
      </c>
      <c r="AR8" s="1">
        <f t="shared" si="6"/>
        <v>106.1780821917808</v>
      </c>
      <c r="AS8" s="38">
        <f t="shared" si="7"/>
        <v>1231.0137976906037</v>
      </c>
      <c r="AT8" s="38">
        <f t="shared" si="8"/>
        <v>1459.0137976906037</v>
      </c>
      <c r="AW8" s="1">
        <f>(VLOOKUP(A:A,USD!A:AT,46,FALSE)*88)/88*20</f>
        <v>430.8386363636364</v>
      </c>
      <c r="AX8" s="1" t="e">
        <f>(VLOOKUP(A:A,USD!A:AU,47,FALSE)*88)/88*20</f>
        <v>#N/A</v>
      </c>
    </row>
    <row r="9" spans="1:50" hidden="1">
      <c r="A9" s="125">
        <v>631020</v>
      </c>
      <c r="B9" s="1" t="s">
        <v>83</v>
      </c>
      <c r="C9" s="1" t="s">
        <v>84</v>
      </c>
      <c r="D9" s="1" t="s">
        <v>85</v>
      </c>
      <c r="E9" s="1" t="s">
        <v>2067</v>
      </c>
      <c r="F9" s="1" t="str">
        <f>VLOOKUP(A:A,USD!A:F,6,FALSE)</f>
        <v>WTX</v>
      </c>
      <c r="G9" s="1" t="s">
        <v>439</v>
      </c>
      <c r="H9" s="1">
        <f>VLOOKUP(A:A,USD!A:R,8,FALSE)</f>
        <v>2</v>
      </c>
      <c r="I9" s="87">
        <f>(VLOOKUP($A:$A,USD!$A:$AL,9,FALSE)*88)/88*20</f>
        <v>103</v>
      </c>
      <c r="J9" s="87">
        <f>(VLOOKUP($A:$A,USD!$A:$AL,10,FALSE)*88)/88*20</f>
        <v>125</v>
      </c>
      <c r="K9" s="87">
        <f>(VLOOKUP($A:$A,USD!$A:$AL,11,FALSE)*88)/88*20</f>
        <v>240</v>
      </c>
      <c r="L9" s="87">
        <f>(VLOOKUP($A:$A,USD!$A:$AL,12,FALSE)*88)/88*20</f>
        <v>0</v>
      </c>
      <c r="M9" s="87">
        <f>(VLOOKUP($A:$A,USD!$A:$AL,13,FALSE)*88)/88*20</f>
        <v>0</v>
      </c>
      <c r="N9" s="87">
        <f>(VLOOKUP($A:$A,USD!$A:$AL,14,FALSE)*88)/88*20</f>
        <v>39</v>
      </c>
      <c r="O9" s="68">
        <f>(VLOOKUP($A:$A,USD!$A:$AL,15,FALSE)*88)/88*20</f>
        <v>37.916666666666671</v>
      </c>
      <c r="P9" s="87">
        <f>(VLOOKUP($A:$A,USD!$A:$AL,16,FALSE)*88)/88*20</f>
        <v>0</v>
      </c>
      <c r="Q9" s="68">
        <f t="shared" si="0"/>
        <v>544.91666666666663</v>
      </c>
      <c r="R9" s="68">
        <f t="shared" si="1"/>
        <v>316.91666666666669</v>
      </c>
      <c r="S9" s="68">
        <f>(VLOOKUP($A:$A,USD!$A:$AL,19,FALSE)*88)/88*20</f>
        <v>20</v>
      </c>
      <c r="T9" s="68">
        <f>(VLOOKUP($A:$A,USD!$A:$AL,20,FALSE)*88)/88*20</f>
        <v>5</v>
      </c>
      <c r="U9" s="68" cm="1">
        <f t="array" ref="U9">(_xlfn.XLOOKUP(1, (USD!$A:$A=$A9)*(USD!$E:$E=$E9), USD!$U:$U, "", 0)*88)/88*20</f>
        <v>352.27272727272725</v>
      </c>
      <c r="V9" s="68"/>
      <c r="W9" s="68">
        <f t="shared" si="2"/>
        <v>377.27272727272725</v>
      </c>
      <c r="X9" s="1">
        <f>(VLOOKUP($A:$A,USD!$A:$AL,24,FALSE)*88)/88*20</f>
        <v>54</v>
      </c>
      <c r="Y9" s="68">
        <f>(VLOOKUP($A:$A,USD!$A:$AL,25,FALSE)*88)/88*20</f>
        <v>50.4</v>
      </c>
      <c r="Z9" s="68">
        <f>(VLOOKUP($A:$A,USD!$A:$AL,26,FALSE)*88)/88*20</f>
        <v>26.25</v>
      </c>
      <c r="AB9" s="68">
        <f t="shared" si="3"/>
        <v>130.65</v>
      </c>
      <c r="AC9" s="68" cm="1">
        <f t="array" ref="AC9">_xlfn.XLOOKUP(A9&amp;E9, USD!$A:$A&amp;USD!$E:$E, USD!$AC:$AC, "")*20</f>
        <v>132.95454545454544</v>
      </c>
      <c r="AD9" s="68" cm="1">
        <f t="array" ref="AD9">_xlfn.XLOOKUP(A9&amp;E9, USD!$A:$A&amp;USD!$E:$E, USD!$AD:$AD, "")*20</f>
        <v>197.95454545454547</v>
      </c>
      <c r="AF9" s="68">
        <f t="shared" si="4"/>
        <v>330.90909090909088</v>
      </c>
      <c r="AG9" s="87">
        <f>(VLOOKUP($A:$A,USD!$A:$AL,33,FALSE)*88)/88*20</f>
        <v>28.814300000000003</v>
      </c>
      <c r="AH9" s="68">
        <f>(VLOOKUP($A:$A,USD!$A:$AL,34,FALSE)*88)/88*20</f>
        <v>6.973140495867769</v>
      </c>
      <c r="AI9" s="87">
        <f>(VLOOKUP($A:$A,USD!$A:$AL,35,FALSE)*88)/88*20</f>
        <v>12.587317427197677</v>
      </c>
      <c r="AJ9" s="87">
        <f>(VLOOKUP($A:$A,USD!$A:$AL,36,FALSE)*88)/88*20</f>
        <v>6.7351999999999999</v>
      </c>
      <c r="AL9" s="68">
        <f t="shared" si="5"/>
        <v>55.109957923065444</v>
      </c>
      <c r="AM9" s="87">
        <f>(VLOOKUP($A:$A,USD!$A:$AR,39,FALSE)*88)/88*20</f>
        <v>79.999999999999986</v>
      </c>
      <c r="AN9" s="68">
        <f>(VLOOKUP($A:$A,USD!$A:$AR,40,FALSE)*88)/88*20</f>
        <v>26.17808219178082</v>
      </c>
      <c r="AO9" s="1">
        <f>(VLOOKUP($A:$A,USD!$A:$AR,41,FALSE)*88)/88*20</f>
        <v>0</v>
      </c>
      <c r="AR9" s="1">
        <f t="shared" si="6"/>
        <v>106.1780821917808</v>
      </c>
      <c r="AS9" s="38">
        <f t="shared" si="7"/>
        <v>1317.036524963331</v>
      </c>
      <c r="AT9" s="38">
        <f t="shared" si="8"/>
        <v>1545.0365249633307</v>
      </c>
      <c r="AW9" s="1">
        <f>(VLOOKUP(A:A,USD!A:AT,46,FALSE)*88)/88*20</f>
        <v>430.8386363636364</v>
      </c>
      <c r="AX9" s="1" t="e">
        <f>(VLOOKUP(A:A,USD!A:AU,47,FALSE)*88)/88*20</f>
        <v>#N/A</v>
      </c>
    </row>
    <row r="10" spans="1:50" hidden="1">
      <c r="A10" s="1">
        <v>810001</v>
      </c>
      <c r="B10" s="1" t="s">
        <v>87</v>
      </c>
      <c r="C10" s="1" t="s">
        <v>88</v>
      </c>
      <c r="D10" s="1" t="s">
        <v>71</v>
      </c>
      <c r="E10" s="1" t="str">
        <f>VLOOKUP(A:A,USD!A:E,5,FALSE)</f>
        <v>WTX</v>
      </c>
      <c r="F10" s="1" t="str">
        <f>VLOOKUP(A:A,USD!A:F,6,FALSE)</f>
        <v>WTX</v>
      </c>
      <c r="G10" s="1" t="str">
        <f>VLOOKUP(A:A,'Regions and Ports'!A:G,7,FALSE)</f>
        <v>Dallas</v>
      </c>
      <c r="H10" s="1">
        <f>VLOOKUP(A:A,USD!A:R,8,FALSE)</f>
        <v>2</v>
      </c>
      <c r="I10" s="87">
        <f>(VLOOKUP($A:$A,USD!$A:$AL,9,FALSE)*88)/88*20</f>
        <v>87</v>
      </c>
      <c r="J10" s="87">
        <f>(VLOOKUP($A:$A,USD!$A:$AL,10,FALSE)*88)/88*20</f>
        <v>115</v>
      </c>
      <c r="K10" s="87">
        <f>(VLOOKUP($A:$A,USD!$A:$AL,11,FALSE)*88)/88*20</f>
        <v>225</v>
      </c>
      <c r="L10" s="87">
        <f>(VLOOKUP($A:$A,USD!$A:$AL,12,FALSE)*88)/88*20</f>
        <v>0</v>
      </c>
      <c r="M10" s="87">
        <f>(VLOOKUP($A:$A,USD!$A:$AL,13,FALSE)*88)/88*20</f>
        <v>0</v>
      </c>
      <c r="N10" s="87">
        <f>(VLOOKUP($A:$A,USD!$A:$AL,14,FALSE)*88)/88*20</f>
        <v>45</v>
      </c>
      <c r="O10" s="68">
        <f>(VLOOKUP($A:$A,USD!$A:$AL,15,FALSE)*88)/88*20</f>
        <v>37.916666666666671</v>
      </c>
      <c r="P10" s="87">
        <f>(VLOOKUP($A:$A,USD!$A:$AL,16,FALSE)*88)/88*20</f>
        <v>0</v>
      </c>
      <c r="Q10" s="68">
        <f t="shared" si="0"/>
        <v>509.91666666666669</v>
      </c>
      <c r="R10" s="68">
        <f t="shared" si="1"/>
        <v>307.91666666666669</v>
      </c>
      <c r="S10" s="68">
        <f>(VLOOKUP($A:$A,USD!$A:$AL,19,FALSE)*88)/88*20</f>
        <v>20</v>
      </c>
      <c r="T10" s="68">
        <f>(VLOOKUP($A:$A,USD!$A:$AL,20,FALSE)*88)/88*20</f>
        <v>5</v>
      </c>
      <c r="U10" s="68">
        <f>(VLOOKUP($A:$A,USD!$A:$AL,21,FALSE)*88)/88*20</f>
        <v>202.27272727272725</v>
      </c>
      <c r="V10" s="68"/>
      <c r="W10" s="68">
        <f t="shared" si="2"/>
        <v>227.27272727272725</v>
      </c>
      <c r="X10" s="1">
        <f>(VLOOKUP($A:$A,USD!$A:$AL,24,FALSE)*88)/88*20</f>
        <v>54</v>
      </c>
      <c r="Y10" s="68">
        <f>(VLOOKUP($A:$A,USD!$A:$AL,25,FALSE)*88)/88*20</f>
        <v>50.4</v>
      </c>
      <c r="Z10" s="68">
        <f>(VLOOKUP($A:$A,USD!$A:$AL,26,FALSE)*88)/88*20</f>
        <v>26.25</v>
      </c>
      <c r="AB10" s="68">
        <f t="shared" si="3"/>
        <v>130.65</v>
      </c>
      <c r="AC10" s="68">
        <f>(VLOOKUP($A:$A,USD!$A:$AL,29,FALSE)*88)/88*20</f>
        <v>162.5</v>
      </c>
      <c r="AD10" s="68">
        <f>(VLOOKUP($A:$A,USD!$A:$AL,30,FALSE)*88)/88*20</f>
        <v>268.18181818181819</v>
      </c>
      <c r="AF10" s="68">
        <f t="shared" si="4"/>
        <v>430.68181818181819</v>
      </c>
      <c r="AG10" s="87">
        <f>(VLOOKUP($A:$A,USD!$A:$AL,33,FALSE)*88)/88*20</f>
        <v>28.814300000000003</v>
      </c>
      <c r="AH10" s="68">
        <f>(VLOOKUP($A:$A,USD!$A:$AL,34,FALSE)*88)/88*20</f>
        <v>6.973140495867769</v>
      </c>
      <c r="AI10" s="87">
        <f>(VLOOKUP($A:$A,USD!$A:$AL,35,FALSE)*88)/88*20</f>
        <v>12.587317427197677</v>
      </c>
      <c r="AJ10" s="87">
        <f>(VLOOKUP($A:$A,USD!$A:$AL,36,FALSE)*88)/88*20</f>
        <v>6.7351999999999999</v>
      </c>
      <c r="AL10" s="68">
        <f t="shared" si="5"/>
        <v>55.109957923065444</v>
      </c>
      <c r="AM10" s="87">
        <f>(VLOOKUP($A:$A,USD!$A:$AR,39,FALSE)*88)/88*20</f>
        <v>79.999999999999986</v>
      </c>
      <c r="AN10" s="68">
        <f>(VLOOKUP($A:$A,USD!$A:$AR,40,FALSE)*88)/88*20</f>
        <v>26.17808219178082</v>
      </c>
      <c r="AO10" s="1">
        <f>(VLOOKUP($A:$A,USD!$A:$AR,41,FALSE)*88)/88*20</f>
        <v>0</v>
      </c>
      <c r="AR10" s="1">
        <f t="shared" si="6"/>
        <v>106.1780821917808</v>
      </c>
      <c r="AS10" s="38">
        <f t="shared" si="7"/>
        <v>1257.8092522360582</v>
      </c>
      <c r="AT10" s="38">
        <f t="shared" si="8"/>
        <v>1459.8092522360582</v>
      </c>
      <c r="AW10" s="1">
        <f>(VLOOKUP(A:A,USD!A:AT,46,FALSE)*88)/88*20</f>
        <v>421.5454545454545</v>
      </c>
      <c r="AX10" s="1" t="e">
        <f>(VLOOKUP(A:A,USD!A:AU,47,FALSE)*88)/88*20</f>
        <v>#N/A</v>
      </c>
    </row>
    <row r="11" spans="1:50" hidden="1">
      <c r="A11" s="125">
        <v>810001</v>
      </c>
      <c r="B11" s="1" t="s">
        <v>87</v>
      </c>
      <c r="C11" s="1" t="s">
        <v>88</v>
      </c>
      <c r="D11" s="1" t="s">
        <v>71</v>
      </c>
      <c r="E11" s="1" t="s">
        <v>2067</v>
      </c>
      <c r="F11" s="1" t="str">
        <f>VLOOKUP(A:A,USD!A:F,6,FALSE)</f>
        <v>WTX</v>
      </c>
      <c r="G11" s="1" t="s">
        <v>439</v>
      </c>
      <c r="H11" s="1">
        <f>VLOOKUP(A:A,USD!A:R,8,FALSE)</f>
        <v>2</v>
      </c>
      <c r="I11" s="87">
        <f>(VLOOKUP($A:$A,USD!$A:$AL,9,FALSE)*88)/88*20</f>
        <v>87</v>
      </c>
      <c r="J11" s="87">
        <f>(VLOOKUP($A:$A,USD!$A:$AL,10,FALSE)*88)/88*20</f>
        <v>115</v>
      </c>
      <c r="K11" s="87">
        <f>(VLOOKUP($A:$A,USD!$A:$AL,11,FALSE)*88)/88*20</f>
        <v>225</v>
      </c>
      <c r="L11" s="87">
        <f>(VLOOKUP($A:$A,USD!$A:$AL,12,FALSE)*88)/88*20</f>
        <v>0</v>
      </c>
      <c r="M11" s="87">
        <f>(VLOOKUP($A:$A,USD!$A:$AL,13,FALSE)*88)/88*20</f>
        <v>0</v>
      </c>
      <c r="N11" s="87">
        <f>(VLOOKUP($A:$A,USD!$A:$AL,14,FALSE)*88)/88*20</f>
        <v>45</v>
      </c>
      <c r="O11" s="68">
        <f>(VLOOKUP($A:$A,USD!$A:$AL,15,FALSE)*88)/88*20</f>
        <v>37.916666666666671</v>
      </c>
      <c r="P11" s="87">
        <f>(VLOOKUP($A:$A,USD!$A:$AL,16,FALSE)*88)/88*20</f>
        <v>0</v>
      </c>
      <c r="Q11" s="68">
        <f t="shared" si="0"/>
        <v>509.91666666666669</v>
      </c>
      <c r="R11" s="68">
        <f t="shared" si="1"/>
        <v>307.91666666666669</v>
      </c>
      <c r="S11" s="68">
        <f>(VLOOKUP($A:$A,USD!$A:$AL,19,FALSE)*88)/88*20</f>
        <v>20</v>
      </c>
      <c r="T11" s="68">
        <f>(VLOOKUP($A:$A,USD!$A:$AL,20,FALSE)*88)/88*20</f>
        <v>5</v>
      </c>
      <c r="U11" s="68" cm="1">
        <f t="array" ref="U11">(_xlfn.XLOOKUP(1, (USD!$A:$A=$A11)*(USD!$E:$E=$E11), USD!$U:$U, "", 0)*88)/88*20</f>
        <v>318.18181818181819</v>
      </c>
      <c r="V11" s="68"/>
      <c r="W11" s="68">
        <f t="shared" si="2"/>
        <v>343.18181818181819</v>
      </c>
      <c r="X11" s="1">
        <f>(VLOOKUP($A:$A,USD!$A:$AL,24,FALSE)*88)/88*20</f>
        <v>54</v>
      </c>
      <c r="Y11" s="68">
        <f>(VLOOKUP($A:$A,USD!$A:$AL,25,FALSE)*88)/88*20</f>
        <v>50.4</v>
      </c>
      <c r="Z11" s="68">
        <f>(VLOOKUP($A:$A,USD!$A:$AL,26,FALSE)*88)/88*20</f>
        <v>26.25</v>
      </c>
      <c r="AB11" s="68">
        <f t="shared" si="3"/>
        <v>130.65</v>
      </c>
      <c r="AC11" s="68" cm="1">
        <f t="array" ref="AC11">_xlfn.XLOOKUP(A11&amp;E11, USD!$A:$A&amp;USD!$E:$E, USD!$AC:$AC, "")*20</f>
        <v>132.95454545454544</v>
      </c>
      <c r="AD11" s="68" cm="1">
        <f t="array" ref="AD11">_xlfn.XLOOKUP(A11&amp;E11, USD!$A:$A&amp;USD!$E:$E, USD!$AD:$AD, "")*20</f>
        <v>197.95454545454547</v>
      </c>
      <c r="AF11" s="68">
        <f t="shared" si="4"/>
        <v>330.90909090909088</v>
      </c>
      <c r="AG11" s="87">
        <f>(VLOOKUP($A:$A,USD!$A:$AL,33,FALSE)*88)/88*20</f>
        <v>28.814300000000003</v>
      </c>
      <c r="AH11" s="68">
        <f>(VLOOKUP($A:$A,USD!$A:$AL,34,FALSE)*88)/88*20</f>
        <v>6.973140495867769</v>
      </c>
      <c r="AI11" s="87">
        <f>(VLOOKUP($A:$A,USD!$A:$AL,35,FALSE)*88)/88*20</f>
        <v>12.587317427197677</v>
      </c>
      <c r="AJ11" s="87">
        <f>(VLOOKUP($A:$A,USD!$A:$AL,36,FALSE)*88)/88*20</f>
        <v>6.7351999999999999</v>
      </c>
      <c r="AL11" s="68">
        <f t="shared" si="5"/>
        <v>55.109957923065444</v>
      </c>
      <c r="AM11" s="87">
        <f>(VLOOKUP($A:$A,USD!$A:$AR,39,FALSE)*88)/88*20</f>
        <v>79.999999999999986</v>
      </c>
      <c r="AN11" s="68">
        <f>(VLOOKUP($A:$A,USD!$A:$AR,40,FALSE)*88)/88*20</f>
        <v>26.17808219178082</v>
      </c>
      <c r="AO11" s="1">
        <f>(VLOOKUP($A:$A,USD!$A:$AR,41,FALSE)*88)/88*20</f>
        <v>0</v>
      </c>
      <c r="AR11" s="1">
        <f t="shared" si="6"/>
        <v>106.1780821917808</v>
      </c>
      <c r="AS11" s="38">
        <f t="shared" si="7"/>
        <v>1273.9456158724217</v>
      </c>
      <c r="AT11" s="38">
        <f t="shared" si="8"/>
        <v>1475.9456158724217</v>
      </c>
      <c r="AW11" s="1">
        <f>(VLOOKUP(A:A,USD!A:AT,46,FALSE)*88)/88*20</f>
        <v>421.5454545454545</v>
      </c>
      <c r="AX11" s="1" t="e">
        <f>(VLOOKUP(A:A,USD!A:AU,47,FALSE)*88)/88*20</f>
        <v>#N/A</v>
      </c>
    </row>
    <row r="12" spans="1:50" hidden="1">
      <c r="A12" s="1">
        <v>810002</v>
      </c>
      <c r="B12" s="1" t="s">
        <v>90</v>
      </c>
      <c r="C12" s="1" t="s">
        <v>88</v>
      </c>
      <c r="D12" s="1" t="s">
        <v>71</v>
      </c>
      <c r="E12" s="1" t="str">
        <f>VLOOKUP(A:A,USD!A:E,5,FALSE)</f>
        <v>WTX</v>
      </c>
      <c r="F12" s="1" t="str">
        <f>VLOOKUP(A:A,USD!A:F,6,FALSE)</f>
        <v>WTX</v>
      </c>
      <c r="G12" s="1" t="str">
        <f>VLOOKUP(A:A,'Regions and Ports'!A:G,7,FALSE)</f>
        <v>Dallas</v>
      </c>
      <c r="H12" s="1">
        <f>VLOOKUP(A:A,USD!A:R,8,FALSE)</f>
        <v>2</v>
      </c>
      <c r="I12" s="87">
        <f>(VLOOKUP($A:$A,USD!$A:$AL,9,FALSE)*88)/88*20</f>
        <v>100</v>
      </c>
      <c r="J12" s="87">
        <f>(VLOOKUP($A:$A,USD!$A:$AL,10,FALSE)*88)/88*20</f>
        <v>125</v>
      </c>
      <c r="K12" s="87">
        <f>(VLOOKUP($A:$A,USD!$A:$AL,11,FALSE)*88)/88*20</f>
        <v>205</v>
      </c>
      <c r="L12" s="87">
        <f>(VLOOKUP($A:$A,USD!$A:$AL,12,FALSE)*88)/88*20</f>
        <v>0</v>
      </c>
      <c r="M12" s="87">
        <f>(VLOOKUP($A:$A,USD!$A:$AL,13,FALSE)*88)/88*20</f>
        <v>0</v>
      </c>
      <c r="N12" s="87">
        <f>(VLOOKUP($A:$A,USD!$A:$AL,14,FALSE)*88)/88*20</f>
        <v>48</v>
      </c>
      <c r="O12" s="68">
        <f>(VLOOKUP($A:$A,USD!$A:$AL,15,FALSE)*88)/88*20</f>
        <v>37.916666666666671</v>
      </c>
      <c r="P12" s="87">
        <f>(VLOOKUP($A:$A,USD!$A:$AL,16,FALSE)*88)/88*20</f>
        <v>0</v>
      </c>
      <c r="Q12" s="68">
        <f t="shared" si="0"/>
        <v>515.91666666666663</v>
      </c>
      <c r="R12" s="68">
        <f t="shared" si="1"/>
        <v>290.91666666666669</v>
      </c>
      <c r="S12" s="68">
        <f>(VLOOKUP($A:$A,USD!$A:$AL,19,FALSE)*88)/88*20</f>
        <v>0</v>
      </c>
      <c r="T12" s="68">
        <f>(VLOOKUP($A:$A,USD!$A:$AL,20,FALSE)*88)/88*20</f>
        <v>0</v>
      </c>
      <c r="U12" s="68">
        <f>(VLOOKUP($A:$A,USD!$A:$AL,21,FALSE)*88)/88*20</f>
        <v>202.27272727272725</v>
      </c>
      <c r="V12" s="68"/>
      <c r="W12" s="68">
        <f t="shared" si="2"/>
        <v>202.27272727272725</v>
      </c>
      <c r="X12" s="1">
        <f>(VLOOKUP($A:$A,USD!$A:$AL,24,FALSE)*88)/88*20</f>
        <v>54</v>
      </c>
      <c r="Y12" s="68">
        <f>(VLOOKUP($A:$A,USD!$A:$AL,25,FALSE)*88)/88*20</f>
        <v>50.4</v>
      </c>
      <c r="Z12" s="68">
        <f>(VLOOKUP($A:$A,USD!$A:$AL,26,FALSE)*88)/88*20</f>
        <v>26.25</v>
      </c>
      <c r="AB12" s="68">
        <f t="shared" si="3"/>
        <v>130.65</v>
      </c>
      <c r="AC12" s="68">
        <f>(VLOOKUP($A:$A,USD!$A:$AL,29,FALSE)*88)/88*20</f>
        <v>162.5</v>
      </c>
      <c r="AD12" s="68">
        <f>(VLOOKUP($A:$A,USD!$A:$AL,30,FALSE)*88)/88*20</f>
        <v>268.18181818181819</v>
      </c>
      <c r="AF12" s="68">
        <f t="shared" si="4"/>
        <v>430.68181818181819</v>
      </c>
      <c r="AG12" s="87">
        <f>(VLOOKUP($A:$A,USD!$A:$AL,33,FALSE)*88)/88*20</f>
        <v>28.814300000000003</v>
      </c>
      <c r="AH12" s="68">
        <f>(VLOOKUP($A:$A,USD!$A:$AL,34,FALSE)*88)/88*20</f>
        <v>6.973140495867769</v>
      </c>
      <c r="AI12" s="87">
        <f>(VLOOKUP($A:$A,USD!$A:$AL,35,FALSE)*88)/88*20</f>
        <v>12.587317427197677</v>
      </c>
      <c r="AJ12" s="87">
        <f>(VLOOKUP($A:$A,USD!$A:$AL,36,FALSE)*88)/88*20</f>
        <v>6.7351999999999999</v>
      </c>
      <c r="AL12" s="68">
        <f t="shared" si="5"/>
        <v>55.109957923065444</v>
      </c>
      <c r="AM12" s="87">
        <f>(VLOOKUP($A:$A,USD!$A:$AR,39,FALSE)*88)/88*20</f>
        <v>79.999999999999986</v>
      </c>
      <c r="AN12" s="68">
        <f>(VLOOKUP($A:$A,USD!$A:$AR,40,FALSE)*88)/88*20</f>
        <v>26.17808219178082</v>
      </c>
      <c r="AO12" s="1">
        <f>(VLOOKUP($A:$A,USD!$A:$AR,41,FALSE)*88)/88*20</f>
        <v>0</v>
      </c>
      <c r="AR12" s="1">
        <f t="shared" si="6"/>
        <v>106.1780821917808</v>
      </c>
      <c r="AS12" s="38">
        <f t="shared" si="7"/>
        <v>1215.8092522360582</v>
      </c>
      <c r="AT12" s="38">
        <f t="shared" si="8"/>
        <v>1440.8092522360582</v>
      </c>
      <c r="AW12" s="1">
        <f>(VLOOKUP(A:A,USD!A:AT,46,FALSE)*88)/88*20</f>
        <v>421.5454545454545</v>
      </c>
      <c r="AX12" s="1" t="e">
        <f>(VLOOKUP(A:A,USD!A:AU,47,FALSE)*88)/88*20</f>
        <v>#N/A</v>
      </c>
    </row>
    <row r="13" spans="1:50" hidden="1">
      <c r="A13" s="125">
        <v>810002</v>
      </c>
      <c r="B13" s="1" t="s">
        <v>90</v>
      </c>
      <c r="C13" s="1" t="s">
        <v>88</v>
      </c>
      <c r="D13" s="1" t="s">
        <v>71</v>
      </c>
      <c r="E13" s="1" t="s">
        <v>2067</v>
      </c>
      <c r="F13" s="1" t="str">
        <f>VLOOKUP(A:A,USD!A:F,6,FALSE)</f>
        <v>WTX</v>
      </c>
      <c r="G13" s="1" t="s">
        <v>439</v>
      </c>
      <c r="H13" s="1">
        <f>VLOOKUP(A:A,USD!A:R,8,FALSE)</f>
        <v>2</v>
      </c>
      <c r="I13" s="87">
        <f>(VLOOKUP($A:$A,USD!$A:$AL,9,FALSE)*88)/88*20</f>
        <v>100</v>
      </c>
      <c r="J13" s="87">
        <f>(VLOOKUP($A:$A,USD!$A:$AL,10,FALSE)*88)/88*20</f>
        <v>125</v>
      </c>
      <c r="K13" s="87">
        <f>(VLOOKUP($A:$A,USD!$A:$AL,11,FALSE)*88)/88*20</f>
        <v>205</v>
      </c>
      <c r="L13" s="87">
        <f>(VLOOKUP($A:$A,USD!$A:$AL,12,FALSE)*88)/88*20</f>
        <v>0</v>
      </c>
      <c r="M13" s="87">
        <f>(VLOOKUP($A:$A,USD!$A:$AL,13,FALSE)*88)/88*20</f>
        <v>0</v>
      </c>
      <c r="N13" s="87">
        <f>(VLOOKUP($A:$A,USD!$A:$AL,14,FALSE)*88)/88*20</f>
        <v>48</v>
      </c>
      <c r="O13" s="68">
        <f>(VLOOKUP($A:$A,USD!$A:$AL,15,FALSE)*88)/88*20</f>
        <v>37.916666666666671</v>
      </c>
      <c r="P13" s="87">
        <f>(VLOOKUP($A:$A,USD!$A:$AL,16,FALSE)*88)/88*20</f>
        <v>0</v>
      </c>
      <c r="Q13" s="68">
        <f t="shared" si="0"/>
        <v>515.91666666666663</v>
      </c>
      <c r="R13" s="68">
        <f t="shared" si="1"/>
        <v>290.91666666666669</v>
      </c>
      <c r="S13" s="68">
        <f>(VLOOKUP($A:$A,USD!$A:$AL,19,FALSE)*88)/88*20</f>
        <v>0</v>
      </c>
      <c r="T13" s="68">
        <f>(VLOOKUP($A:$A,USD!$A:$AL,20,FALSE)*88)/88*20</f>
        <v>0</v>
      </c>
      <c r="U13" s="68" cm="1">
        <f t="array" ref="U13">(_xlfn.XLOOKUP(1, (USD!$A:$A=$A13)*(USD!$E:$E=$E13), USD!$U:$U, "", 0)*88)/88*20</f>
        <v>318.18181818181819</v>
      </c>
      <c r="V13" s="68"/>
      <c r="W13" s="68">
        <f t="shared" si="2"/>
        <v>318.18181818181819</v>
      </c>
      <c r="X13" s="1">
        <f>(VLOOKUP($A:$A,USD!$A:$AL,24,FALSE)*88)/88*20</f>
        <v>54</v>
      </c>
      <c r="Y13" s="68">
        <f>(VLOOKUP($A:$A,USD!$A:$AL,25,FALSE)*88)/88*20</f>
        <v>50.4</v>
      </c>
      <c r="Z13" s="68">
        <f>(VLOOKUP($A:$A,USD!$A:$AL,26,FALSE)*88)/88*20</f>
        <v>26.25</v>
      </c>
      <c r="AB13" s="68">
        <f t="shared" si="3"/>
        <v>130.65</v>
      </c>
      <c r="AC13" s="68" cm="1">
        <f t="array" ref="AC13">_xlfn.XLOOKUP(A13&amp;E13, USD!$A:$A&amp;USD!$E:$E, USD!$AC:$AC, "")*20</f>
        <v>132.95454545454544</v>
      </c>
      <c r="AD13" s="68" cm="1">
        <f t="array" ref="AD13">_xlfn.XLOOKUP(A13&amp;E13, USD!$A:$A&amp;USD!$E:$E, USD!$AD:$AD, "")*20</f>
        <v>197.95454545454547</v>
      </c>
      <c r="AF13" s="68">
        <f t="shared" si="4"/>
        <v>330.90909090909088</v>
      </c>
      <c r="AG13" s="87">
        <f>(VLOOKUP($A:$A,USD!$A:$AL,33,FALSE)*88)/88*20</f>
        <v>28.814300000000003</v>
      </c>
      <c r="AH13" s="68">
        <f>(VLOOKUP($A:$A,USD!$A:$AL,34,FALSE)*88)/88*20</f>
        <v>6.973140495867769</v>
      </c>
      <c r="AI13" s="87">
        <f>(VLOOKUP($A:$A,USD!$A:$AL,35,FALSE)*88)/88*20</f>
        <v>12.587317427197677</v>
      </c>
      <c r="AJ13" s="87">
        <f>(VLOOKUP($A:$A,USD!$A:$AL,36,FALSE)*88)/88*20</f>
        <v>6.7351999999999999</v>
      </c>
      <c r="AL13" s="68">
        <f t="shared" si="5"/>
        <v>55.109957923065444</v>
      </c>
      <c r="AM13" s="87">
        <f>(VLOOKUP($A:$A,USD!$A:$AR,39,FALSE)*88)/88*20</f>
        <v>79.999999999999986</v>
      </c>
      <c r="AN13" s="68">
        <f>(VLOOKUP($A:$A,USD!$A:$AR,40,FALSE)*88)/88*20</f>
        <v>26.17808219178082</v>
      </c>
      <c r="AO13" s="1">
        <f>(VLOOKUP($A:$A,USD!$A:$AR,41,FALSE)*88)/88*20</f>
        <v>0</v>
      </c>
      <c r="AR13" s="1">
        <f t="shared" si="6"/>
        <v>106.1780821917808</v>
      </c>
      <c r="AS13" s="38">
        <f t="shared" si="7"/>
        <v>1231.9456158724217</v>
      </c>
      <c r="AT13" s="38">
        <f t="shared" si="8"/>
        <v>1456.9456158724217</v>
      </c>
      <c r="AW13" s="1">
        <f>(VLOOKUP(A:A,USD!A:AT,46,FALSE)*88)/88*20</f>
        <v>421.5454545454545</v>
      </c>
      <c r="AX13" s="1" t="e">
        <f>(VLOOKUP(A:A,USD!A:AU,47,FALSE)*88)/88*20</f>
        <v>#N/A</v>
      </c>
    </row>
    <row r="14" spans="1:50" hidden="1">
      <c r="A14" s="1">
        <v>810003</v>
      </c>
      <c r="B14" s="1" t="s">
        <v>90</v>
      </c>
      <c r="C14" s="1" t="s">
        <v>88</v>
      </c>
      <c r="D14" s="1" t="s">
        <v>71</v>
      </c>
      <c r="E14" s="1" t="str">
        <f>VLOOKUP(A:A,USD!A:E,5,FALSE)</f>
        <v>WTX</v>
      </c>
      <c r="F14" s="1" t="str">
        <f>VLOOKUP(A:A,USD!A:F,6,FALSE)</f>
        <v>WTX</v>
      </c>
      <c r="G14" s="1" t="str">
        <f>VLOOKUP(A:A,'Regions and Ports'!A:G,7,FALSE)</f>
        <v>Dallas</v>
      </c>
      <c r="H14" s="1">
        <f>VLOOKUP(A:A,USD!A:R,8,FALSE)</f>
        <v>2</v>
      </c>
      <c r="I14" s="87">
        <f>(VLOOKUP($A:$A,USD!$A:$AL,9,FALSE)*88)/88*20</f>
        <v>100</v>
      </c>
      <c r="J14" s="87">
        <f>(VLOOKUP($A:$A,USD!$A:$AL,10,FALSE)*88)/88*20</f>
        <v>125</v>
      </c>
      <c r="K14" s="87">
        <f>(VLOOKUP($A:$A,USD!$A:$AL,11,FALSE)*88)/88*20</f>
        <v>205</v>
      </c>
      <c r="L14" s="87">
        <f>(VLOOKUP($A:$A,USD!$A:$AL,12,FALSE)*88)/88*20</f>
        <v>0</v>
      </c>
      <c r="M14" s="87">
        <f>(VLOOKUP($A:$A,USD!$A:$AL,13,FALSE)*88)/88*20</f>
        <v>0</v>
      </c>
      <c r="N14" s="87">
        <f>(VLOOKUP($A:$A,USD!$A:$AL,14,FALSE)*88)/88*20</f>
        <v>48</v>
      </c>
      <c r="O14" s="68">
        <f>(VLOOKUP($A:$A,USD!$A:$AL,15,FALSE)*88)/88*20</f>
        <v>37.916666666666671</v>
      </c>
      <c r="P14" s="87">
        <f>(VLOOKUP($A:$A,USD!$A:$AL,16,FALSE)*88)/88*20</f>
        <v>0</v>
      </c>
      <c r="Q14" s="68">
        <f t="shared" si="0"/>
        <v>515.91666666666663</v>
      </c>
      <c r="R14" s="68">
        <f t="shared" si="1"/>
        <v>290.91666666666669</v>
      </c>
      <c r="S14" s="68">
        <f>(VLOOKUP($A:$A,USD!$A:$AL,19,FALSE)*88)/88*20</f>
        <v>0</v>
      </c>
      <c r="T14" s="68">
        <f>(VLOOKUP($A:$A,USD!$A:$AL,20,FALSE)*88)/88*20</f>
        <v>0</v>
      </c>
      <c r="U14" s="68">
        <f>(VLOOKUP($A:$A,USD!$A:$AL,21,FALSE)*88)/88*20</f>
        <v>202.27272727272725</v>
      </c>
      <c r="V14" s="68"/>
      <c r="W14" s="68">
        <f t="shared" si="2"/>
        <v>202.27272727272725</v>
      </c>
      <c r="X14" s="1">
        <f>(VLOOKUP($A:$A,USD!$A:$AL,24,FALSE)*88)/88*20</f>
        <v>54</v>
      </c>
      <c r="Y14" s="68">
        <f>(VLOOKUP($A:$A,USD!$A:$AL,25,FALSE)*88)/88*20</f>
        <v>50.4</v>
      </c>
      <c r="Z14" s="68">
        <f>(VLOOKUP($A:$A,USD!$A:$AL,26,FALSE)*88)/88*20</f>
        <v>26.25</v>
      </c>
      <c r="AB14" s="68">
        <f t="shared" si="3"/>
        <v>130.65</v>
      </c>
      <c r="AC14" s="68">
        <f>(VLOOKUP($A:$A,USD!$A:$AL,29,FALSE)*88)/88*20</f>
        <v>162.5</v>
      </c>
      <c r="AD14" s="68">
        <f>(VLOOKUP($A:$A,USD!$A:$AL,30,FALSE)*88)/88*20</f>
        <v>268.18181818181819</v>
      </c>
      <c r="AF14" s="68">
        <f t="shared" si="4"/>
        <v>430.68181818181819</v>
      </c>
      <c r="AG14" s="87">
        <f>(VLOOKUP($A:$A,USD!$A:$AL,33,FALSE)*88)/88*20</f>
        <v>28.814300000000003</v>
      </c>
      <c r="AH14" s="68">
        <f>(VLOOKUP($A:$A,USD!$A:$AL,34,FALSE)*88)/88*20</f>
        <v>6.973140495867769</v>
      </c>
      <c r="AI14" s="87">
        <f>(VLOOKUP($A:$A,USD!$A:$AL,35,FALSE)*88)/88*20</f>
        <v>12.587317427197677</v>
      </c>
      <c r="AJ14" s="87">
        <f>(VLOOKUP($A:$A,USD!$A:$AL,36,FALSE)*88)/88*20</f>
        <v>6.7351999999999999</v>
      </c>
      <c r="AL14" s="68">
        <f t="shared" si="5"/>
        <v>55.109957923065444</v>
      </c>
      <c r="AM14" s="87">
        <f>(VLOOKUP($A:$A,USD!$A:$AR,39,FALSE)*88)/88*20</f>
        <v>79.999999999999986</v>
      </c>
      <c r="AN14" s="68">
        <f>(VLOOKUP($A:$A,USD!$A:$AR,40,FALSE)*88)/88*20</f>
        <v>26.17808219178082</v>
      </c>
      <c r="AO14" s="1">
        <f>(VLOOKUP($A:$A,USD!$A:$AR,41,FALSE)*88)/88*20</f>
        <v>0</v>
      </c>
      <c r="AR14" s="1">
        <f t="shared" si="6"/>
        <v>106.1780821917808</v>
      </c>
      <c r="AS14" s="38">
        <f t="shared" si="7"/>
        <v>1215.8092522360582</v>
      </c>
      <c r="AT14" s="38">
        <f t="shared" si="8"/>
        <v>1440.8092522360582</v>
      </c>
      <c r="AW14" s="1">
        <f>(VLOOKUP(A:A,USD!A:AT,46,FALSE)*88)/88*20</f>
        <v>421.5454545454545</v>
      </c>
      <c r="AX14" s="1" t="e">
        <f>(VLOOKUP(A:A,USD!A:AU,47,FALSE)*88)/88*20</f>
        <v>#N/A</v>
      </c>
    </row>
    <row r="15" spans="1:50" hidden="1">
      <c r="A15" s="125">
        <v>810003</v>
      </c>
      <c r="B15" s="1" t="s">
        <v>90</v>
      </c>
      <c r="C15" s="1" t="s">
        <v>88</v>
      </c>
      <c r="D15" s="1" t="s">
        <v>71</v>
      </c>
      <c r="E15" s="1" t="s">
        <v>2067</v>
      </c>
      <c r="F15" s="1" t="str">
        <f>VLOOKUP(A:A,USD!A:F,6,FALSE)</f>
        <v>WTX</v>
      </c>
      <c r="G15" s="1" t="s">
        <v>439</v>
      </c>
      <c r="H15" s="1">
        <f>VLOOKUP(A:A,USD!A:R,8,FALSE)</f>
        <v>2</v>
      </c>
      <c r="I15" s="87">
        <f>(VLOOKUP($A:$A,USD!$A:$AL,9,FALSE)*88)/88*20</f>
        <v>100</v>
      </c>
      <c r="J15" s="87">
        <f>(VLOOKUP($A:$A,USD!$A:$AL,10,FALSE)*88)/88*20</f>
        <v>125</v>
      </c>
      <c r="K15" s="87">
        <f>(VLOOKUP($A:$A,USD!$A:$AL,11,FALSE)*88)/88*20</f>
        <v>205</v>
      </c>
      <c r="L15" s="87">
        <f>(VLOOKUP($A:$A,USD!$A:$AL,12,FALSE)*88)/88*20</f>
        <v>0</v>
      </c>
      <c r="M15" s="87">
        <f>(VLOOKUP($A:$A,USD!$A:$AL,13,FALSE)*88)/88*20</f>
        <v>0</v>
      </c>
      <c r="N15" s="87">
        <f>(VLOOKUP($A:$A,USD!$A:$AL,14,FALSE)*88)/88*20</f>
        <v>48</v>
      </c>
      <c r="O15" s="68">
        <f>(VLOOKUP($A:$A,USD!$A:$AL,15,FALSE)*88)/88*20</f>
        <v>37.916666666666671</v>
      </c>
      <c r="P15" s="87">
        <f>(VLOOKUP($A:$A,USD!$A:$AL,16,FALSE)*88)/88*20</f>
        <v>0</v>
      </c>
      <c r="Q15" s="68">
        <f t="shared" si="0"/>
        <v>515.91666666666663</v>
      </c>
      <c r="R15" s="68">
        <f t="shared" si="1"/>
        <v>290.91666666666669</v>
      </c>
      <c r="S15" s="68">
        <f>(VLOOKUP($A:$A,USD!$A:$AL,19,FALSE)*88)/88*20</f>
        <v>0</v>
      </c>
      <c r="T15" s="68">
        <f>(VLOOKUP($A:$A,USD!$A:$AL,20,FALSE)*88)/88*20</f>
        <v>0</v>
      </c>
      <c r="U15" s="68" cm="1">
        <f t="array" ref="U15">(_xlfn.XLOOKUP(1, (USD!$A:$A=$A15)*(USD!$E:$E=$E15), USD!$U:$U, "", 0)*88)/88*20</f>
        <v>318.18181818181819</v>
      </c>
      <c r="V15" s="68"/>
      <c r="W15" s="68">
        <f t="shared" si="2"/>
        <v>318.18181818181819</v>
      </c>
      <c r="X15" s="1">
        <f>(VLOOKUP($A:$A,USD!$A:$AL,24,FALSE)*88)/88*20</f>
        <v>54</v>
      </c>
      <c r="Y15" s="68">
        <f>(VLOOKUP($A:$A,USD!$A:$AL,25,FALSE)*88)/88*20</f>
        <v>50.4</v>
      </c>
      <c r="Z15" s="68">
        <f>(VLOOKUP($A:$A,USD!$A:$AL,26,FALSE)*88)/88*20</f>
        <v>26.25</v>
      </c>
      <c r="AB15" s="68">
        <f t="shared" si="3"/>
        <v>130.65</v>
      </c>
      <c r="AC15" s="68" cm="1">
        <f t="array" ref="AC15">_xlfn.XLOOKUP(A15&amp;E15, USD!$A:$A&amp;USD!$E:$E, USD!$AC:$AC, "")*20</f>
        <v>132.95454545454544</v>
      </c>
      <c r="AD15" s="68" cm="1">
        <f t="array" ref="AD15">_xlfn.XLOOKUP(A15&amp;E15, USD!$A:$A&amp;USD!$E:$E, USD!$AD:$AD, "")*20</f>
        <v>197.95454545454547</v>
      </c>
      <c r="AF15" s="68">
        <f t="shared" si="4"/>
        <v>330.90909090909088</v>
      </c>
      <c r="AG15" s="87">
        <f>(VLOOKUP($A:$A,USD!$A:$AL,33,FALSE)*88)/88*20</f>
        <v>28.814300000000003</v>
      </c>
      <c r="AH15" s="68">
        <f>(VLOOKUP($A:$A,USD!$A:$AL,34,FALSE)*88)/88*20</f>
        <v>6.973140495867769</v>
      </c>
      <c r="AI15" s="87">
        <f>(VLOOKUP($A:$A,USD!$A:$AL,35,FALSE)*88)/88*20</f>
        <v>12.587317427197677</v>
      </c>
      <c r="AJ15" s="87">
        <f>(VLOOKUP($A:$A,USD!$A:$AL,36,FALSE)*88)/88*20</f>
        <v>6.7351999999999999</v>
      </c>
      <c r="AL15" s="68">
        <f t="shared" si="5"/>
        <v>55.109957923065444</v>
      </c>
      <c r="AM15" s="87">
        <f>(VLOOKUP($A:$A,USD!$A:$AR,39,FALSE)*88)/88*20</f>
        <v>79.999999999999986</v>
      </c>
      <c r="AN15" s="68">
        <f>(VLOOKUP($A:$A,USD!$A:$AR,40,FALSE)*88)/88*20</f>
        <v>26.17808219178082</v>
      </c>
      <c r="AO15" s="1">
        <f>(VLOOKUP($A:$A,USD!$A:$AR,41,FALSE)*88)/88*20</f>
        <v>0</v>
      </c>
      <c r="AR15" s="1">
        <f t="shared" si="6"/>
        <v>106.1780821917808</v>
      </c>
      <c r="AS15" s="38">
        <f t="shared" si="7"/>
        <v>1231.9456158724217</v>
      </c>
      <c r="AT15" s="38">
        <f t="shared" si="8"/>
        <v>1456.9456158724217</v>
      </c>
      <c r="AW15" s="1">
        <f>(VLOOKUP(A:A,USD!A:AT,46,FALSE)*88)/88*20</f>
        <v>421.5454545454545</v>
      </c>
      <c r="AX15" s="1" t="e">
        <f>(VLOOKUP(A:A,USD!A:AU,47,FALSE)*88)/88*20</f>
        <v>#N/A</v>
      </c>
    </row>
    <row r="16" spans="1:50" hidden="1">
      <c r="A16" s="1">
        <v>810535</v>
      </c>
      <c r="B16" s="1" t="s">
        <v>90</v>
      </c>
      <c r="C16" s="1" t="s">
        <v>88</v>
      </c>
      <c r="D16" s="1" t="s">
        <v>71</v>
      </c>
      <c r="E16" s="1" t="str">
        <f>VLOOKUP(A:A,USD!A:E,5,FALSE)</f>
        <v>WTX</v>
      </c>
      <c r="F16" s="1" t="str">
        <f>VLOOKUP(A:A,USD!A:F,6,FALSE)</f>
        <v>WTX</v>
      </c>
      <c r="G16" s="1" t="str">
        <f>VLOOKUP(A:A,'Regions and Ports'!A:G,7,FALSE)</f>
        <v>Dallas</v>
      </c>
      <c r="H16" s="1">
        <f>VLOOKUP(A:A,USD!A:R,8,FALSE)</f>
        <v>2</v>
      </c>
      <c r="I16" s="87">
        <f>(VLOOKUP($A:$A,USD!$A:$AL,9,FALSE)*88)/88*20</f>
        <v>100</v>
      </c>
      <c r="J16" s="87">
        <f>(VLOOKUP($A:$A,USD!$A:$AL,10,FALSE)*88)/88*20</f>
        <v>125</v>
      </c>
      <c r="K16" s="87">
        <f>(VLOOKUP($A:$A,USD!$A:$AL,11,FALSE)*88)/88*20</f>
        <v>205</v>
      </c>
      <c r="L16" s="87">
        <f>(VLOOKUP($A:$A,USD!$A:$AL,12,FALSE)*88)/88*20</f>
        <v>0</v>
      </c>
      <c r="M16" s="87">
        <f>(VLOOKUP($A:$A,USD!$A:$AL,13,FALSE)*88)/88*20</f>
        <v>0</v>
      </c>
      <c r="N16" s="87">
        <f>(VLOOKUP($A:$A,USD!$A:$AL,14,FALSE)*88)/88*20</f>
        <v>48</v>
      </c>
      <c r="O16" s="68">
        <f>(VLOOKUP($A:$A,USD!$A:$AL,15,FALSE)*88)/88*20</f>
        <v>37.916666666666671</v>
      </c>
      <c r="P16" s="87">
        <f>(VLOOKUP($A:$A,USD!$A:$AL,16,FALSE)*88)/88*20</f>
        <v>0</v>
      </c>
      <c r="Q16" s="68">
        <f t="shared" si="0"/>
        <v>515.91666666666663</v>
      </c>
      <c r="R16" s="68">
        <f t="shared" si="1"/>
        <v>290.91666666666669</v>
      </c>
      <c r="S16" s="68">
        <f>(VLOOKUP($A:$A,USD!$A:$AL,19,FALSE)*88)/88*20</f>
        <v>0</v>
      </c>
      <c r="T16" s="68">
        <f>(VLOOKUP($A:$A,USD!$A:$AL,20,FALSE)*88)/88*20</f>
        <v>0</v>
      </c>
      <c r="U16" s="68">
        <f>(VLOOKUP($A:$A,USD!$A:$AL,21,FALSE)*88)/88*20</f>
        <v>202.27272727272725</v>
      </c>
      <c r="V16" s="68"/>
      <c r="W16" s="68">
        <f t="shared" si="2"/>
        <v>202.27272727272725</v>
      </c>
      <c r="X16" s="1">
        <f>(VLOOKUP($A:$A,USD!$A:$AL,24,FALSE)*88)/88*20</f>
        <v>54</v>
      </c>
      <c r="Y16" s="68">
        <f>(VLOOKUP($A:$A,USD!$A:$AL,25,FALSE)*88)/88*20</f>
        <v>50.4</v>
      </c>
      <c r="Z16" s="68">
        <f>(VLOOKUP($A:$A,USD!$A:$AL,26,FALSE)*88)/88*20</f>
        <v>26.25</v>
      </c>
      <c r="AB16" s="68">
        <f t="shared" si="3"/>
        <v>130.65</v>
      </c>
      <c r="AC16" s="68">
        <f>(VLOOKUP($A:$A,USD!$A:$AL,29,FALSE)*88)/88*20</f>
        <v>162.5</v>
      </c>
      <c r="AD16" s="68">
        <f>(VLOOKUP($A:$A,USD!$A:$AL,30,FALSE)*88)/88*20</f>
        <v>268.18181818181819</v>
      </c>
      <c r="AF16" s="68">
        <f t="shared" si="4"/>
        <v>430.68181818181819</v>
      </c>
      <c r="AG16" s="87">
        <f>(VLOOKUP($A:$A,USD!$A:$AL,33,FALSE)*88)/88*20</f>
        <v>28.814300000000003</v>
      </c>
      <c r="AH16" s="68">
        <f>(VLOOKUP($A:$A,USD!$A:$AL,34,FALSE)*88)/88*20</f>
        <v>6.973140495867769</v>
      </c>
      <c r="AI16" s="87">
        <f>(VLOOKUP($A:$A,USD!$A:$AL,35,FALSE)*88)/88*20</f>
        <v>12.587317427197677</v>
      </c>
      <c r="AJ16" s="87">
        <f>(VLOOKUP($A:$A,USD!$A:$AL,36,FALSE)*88)/88*20</f>
        <v>6.7351999999999999</v>
      </c>
      <c r="AL16" s="68">
        <f t="shared" si="5"/>
        <v>55.109957923065444</v>
      </c>
      <c r="AM16" s="87">
        <f>(VLOOKUP($A:$A,USD!$A:$AR,39,FALSE)*88)/88*20</f>
        <v>79.999999999999986</v>
      </c>
      <c r="AN16" s="68">
        <f>(VLOOKUP($A:$A,USD!$A:$AR,40,FALSE)*88)/88*20</f>
        <v>26.17808219178082</v>
      </c>
      <c r="AO16" s="1">
        <f>(VLOOKUP($A:$A,USD!$A:$AR,41,FALSE)*88)/88*20</f>
        <v>0</v>
      </c>
      <c r="AR16" s="1">
        <f t="shared" si="6"/>
        <v>106.1780821917808</v>
      </c>
      <c r="AS16" s="38">
        <f t="shared" si="7"/>
        <v>1215.8092522360582</v>
      </c>
      <c r="AT16" s="38">
        <f t="shared" si="8"/>
        <v>1440.8092522360582</v>
      </c>
      <c r="AW16" s="1">
        <f>(VLOOKUP(A:A,USD!A:AT,46,FALSE)*88)/88*20</f>
        <v>421.5454545454545</v>
      </c>
      <c r="AX16" s="1" t="e">
        <f>(VLOOKUP(A:A,USD!A:AU,47,FALSE)*88)/88*20</f>
        <v>#N/A</v>
      </c>
    </row>
    <row r="17" spans="1:50" hidden="1">
      <c r="A17" s="125">
        <v>810535</v>
      </c>
      <c r="B17" s="1" t="s">
        <v>90</v>
      </c>
      <c r="C17" s="1" t="s">
        <v>88</v>
      </c>
      <c r="D17" s="1" t="s">
        <v>71</v>
      </c>
      <c r="E17" s="1" t="s">
        <v>2067</v>
      </c>
      <c r="F17" s="1" t="str">
        <f>VLOOKUP(A:A,USD!A:F,6,FALSE)</f>
        <v>WTX</v>
      </c>
      <c r="G17" s="1" t="s">
        <v>439</v>
      </c>
      <c r="H17" s="1">
        <f>VLOOKUP(A:A,USD!A:R,8,FALSE)</f>
        <v>2</v>
      </c>
      <c r="I17" s="87">
        <f>(VLOOKUP($A:$A,USD!$A:$AL,9,FALSE)*88)/88*20</f>
        <v>100</v>
      </c>
      <c r="J17" s="87">
        <f>(VLOOKUP($A:$A,USD!$A:$AL,10,FALSE)*88)/88*20</f>
        <v>125</v>
      </c>
      <c r="K17" s="87">
        <f>(VLOOKUP($A:$A,USD!$A:$AL,11,FALSE)*88)/88*20</f>
        <v>205</v>
      </c>
      <c r="L17" s="87">
        <f>(VLOOKUP($A:$A,USD!$A:$AL,12,FALSE)*88)/88*20</f>
        <v>0</v>
      </c>
      <c r="M17" s="87">
        <f>(VLOOKUP($A:$A,USD!$A:$AL,13,FALSE)*88)/88*20</f>
        <v>0</v>
      </c>
      <c r="N17" s="87">
        <f>(VLOOKUP($A:$A,USD!$A:$AL,14,FALSE)*88)/88*20</f>
        <v>48</v>
      </c>
      <c r="O17" s="68">
        <f>(VLOOKUP($A:$A,USD!$A:$AL,15,FALSE)*88)/88*20</f>
        <v>37.916666666666671</v>
      </c>
      <c r="P17" s="87">
        <f>(VLOOKUP($A:$A,USD!$A:$AL,16,FALSE)*88)/88*20</f>
        <v>0</v>
      </c>
      <c r="Q17" s="68">
        <f t="shared" si="0"/>
        <v>515.91666666666663</v>
      </c>
      <c r="R17" s="68">
        <f t="shared" si="1"/>
        <v>290.91666666666669</v>
      </c>
      <c r="S17" s="68">
        <f>(VLOOKUP($A:$A,USD!$A:$AL,19,FALSE)*88)/88*20</f>
        <v>0</v>
      </c>
      <c r="T17" s="68">
        <f>(VLOOKUP($A:$A,USD!$A:$AL,20,FALSE)*88)/88*20</f>
        <v>0</v>
      </c>
      <c r="U17" s="68" cm="1">
        <f t="array" ref="U17">(_xlfn.XLOOKUP(1, (USD!$A:$A=$A17)*(USD!$E:$E=$E17), USD!$U:$U, "", 0)*88)/88*20</f>
        <v>318.18181818181819</v>
      </c>
      <c r="V17" s="68"/>
      <c r="W17" s="68">
        <f t="shared" si="2"/>
        <v>318.18181818181819</v>
      </c>
      <c r="X17" s="1">
        <f>(VLOOKUP($A:$A,USD!$A:$AL,24,FALSE)*88)/88*20</f>
        <v>54</v>
      </c>
      <c r="Y17" s="68">
        <f>(VLOOKUP($A:$A,USD!$A:$AL,25,FALSE)*88)/88*20</f>
        <v>50.4</v>
      </c>
      <c r="Z17" s="68">
        <f>(VLOOKUP($A:$A,USD!$A:$AL,26,FALSE)*88)/88*20</f>
        <v>26.25</v>
      </c>
      <c r="AB17" s="68">
        <f t="shared" si="3"/>
        <v>130.65</v>
      </c>
      <c r="AC17" s="68" cm="1">
        <f t="array" ref="AC17">_xlfn.XLOOKUP(A17&amp;E17, USD!$A:$A&amp;USD!$E:$E, USD!$AC:$AC, "")*20</f>
        <v>132.95454545454544</v>
      </c>
      <c r="AD17" s="68" cm="1">
        <f t="array" ref="AD17">_xlfn.XLOOKUP(A17&amp;E17, USD!$A:$A&amp;USD!$E:$E, USD!$AD:$AD, "")*20</f>
        <v>197.95454545454547</v>
      </c>
      <c r="AF17" s="68">
        <f t="shared" si="4"/>
        <v>330.90909090909088</v>
      </c>
      <c r="AG17" s="87">
        <f>(VLOOKUP($A:$A,USD!$A:$AL,33,FALSE)*88)/88*20</f>
        <v>28.814300000000003</v>
      </c>
      <c r="AH17" s="68">
        <f>(VLOOKUP($A:$A,USD!$A:$AL,34,FALSE)*88)/88*20</f>
        <v>6.973140495867769</v>
      </c>
      <c r="AI17" s="87">
        <f>(VLOOKUP($A:$A,USD!$A:$AL,35,FALSE)*88)/88*20</f>
        <v>12.587317427197677</v>
      </c>
      <c r="AJ17" s="87">
        <f>(VLOOKUP($A:$A,USD!$A:$AL,36,FALSE)*88)/88*20</f>
        <v>6.7351999999999999</v>
      </c>
      <c r="AL17" s="68">
        <f t="shared" si="5"/>
        <v>55.109957923065444</v>
      </c>
      <c r="AM17" s="87">
        <f>(VLOOKUP($A:$A,USD!$A:$AR,39,FALSE)*88)/88*20</f>
        <v>79.999999999999986</v>
      </c>
      <c r="AN17" s="68">
        <f>(VLOOKUP($A:$A,USD!$A:$AR,40,FALSE)*88)/88*20</f>
        <v>26.17808219178082</v>
      </c>
      <c r="AO17" s="1">
        <f>(VLOOKUP($A:$A,USD!$A:$AR,41,FALSE)*88)/88*20</f>
        <v>0</v>
      </c>
      <c r="AR17" s="1">
        <f t="shared" si="6"/>
        <v>106.1780821917808</v>
      </c>
      <c r="AS17" s="38">
        <f t="shared" si="7"/>
        <v>1231.9456158724217</v>
      </c>
      <c r="AT17" s="38">
        <f t="shared" si="8"/>
        <v>1456.9456158724217</v>
      </c>
      <c r="AW17" s="1">
        <f>(VLOOKUP(A:A,USD!A:AT,46,FALSE)*88)/88*20</f>
        <v>421.5454545454545</v>
      </c>
      <c r="AX17" s="1" t="e">
        <f>(VLOOKUP(A:A,USD!A:AU,47,FALSE)*88)/88*20</f>
        <v>#N/A</v>
      </c>
    </row>
    <row r="18" spans="1:50" hidden="1">
      <c r="A18" s="1">
        <v>810538</v>
      </c>
      <c r="B18" s="1" t="s">
        <v>90</v>
      </c>
      <c r="C18" s="1" t="s">
        <v>88</v>
      </c>
      <c r="D18" s="1" t="s">
        <v>71</v>
      </c>
      <c r="E18" s="1" t="str">
        <f>VLOOKUP(A:A,USD!A:E,5,FALSE)</f>
        <v>WTX</v>
      </c>
      <c r="F18" s="1" t="str">
        <f>VLOOKUP(A:A,USD!A:F,6,FALSE)</f>
        <v>WTX</v>
      </c>
      <c r="G18" s="1" t="str">
        <f>VLOOKUP(A:A,'Regions and Ports'!A:G,7,FALSE)</f>
        <v>Dallas</v>
      </c>
      <c r="H18" s="1">
        <f>VLOOKUP(A:A,USD!A:R,8,FALSE)</f>
        <v>2</v>
      </c>
      <c r="I18" s="87">
        <f>(VLOOKUP($A:$A,USD!$A:$AL,9,FALSE)*88)/88*20</f>
        <v>100</v>
      </c>
      <c r="J18" s="87">
        <f>(VLOOKUP($A:$A,USD!$A:$AL,10,FALSE)*88)/88*20</f>
        <v>125</v>
      </c>
      <c r="K18" s="87">
        <f>(VLOOKUP($A:$A,USD!$A:$AL,11,FALSE)*88)/88*20</f>
        <v>205</v>
      </c>
      <c r="L18" s="87">
        <f>(VLOOKUP($A:$A,USD!$A:$AL,12,FALSE)*88)/88*20</f>
        <v>0</v>
      </c>
      <c r="M18" s="87">
        <f>(VLOOKUP($A:$A,USD!$A:$AL,13,FALSE)*88)/88*20</f>
        <v>0</v>
      </c>
      <c r="N18" s="87">
        <f>(VLOOKUP($A:$A,USD!$A:$AL,14,FALSE)*88)/88*20</f>
        <v>48</v>
      </c>
      <c r="O18" s="68">
        <f>(VLOOKUP($A:$A,USD!$A:$AL,15,FALSE)*88)/88*20</f>
        <v>37.916666666666671</v>
      </c>
      <c r="P18" s="87">
        <f>(VLOOKUP($A:$A,USD!$A:$AL,16,FALSE)*88)/88*20</f>
        <v>0</v>
      </c>
      <c r="Q18" s="68">
        <f t="shared" si="0"/>
        <v>515.91666666666663</v>
      </c>
      <c r="R18" s="68">
        <f t="shared" si="1"/>
        <v>290.91666666666669</v>
      </c>
      <c r="S18" s="68">
        <f>(VLOOKUP($A:$A,USD!$A:$AL,19,FALSE)*88)/88*20</f>
        <v>0</v>
      </c>
      <c r="T18" s="68">
        <f>(VLOOKUP($A:$A,USD!$A:$AL,20,FALSE)*88)/88*20</f>
        <v>0</v>
      </c>
      <c r="U18" s="68">
        <f>(VLOOKUP($A:$A,USD!$A:$AL,21,FALSE)*88)/88*20</f>
        <v>202.27272727272725</v>
      </c>
      <c r="V18" s="68"/>
      <c r="W18" s="68">
        <f t="shared" si="2"/>
        <v>202.27272727272725</v>
      </c>
      <c r="X18" s="1">
        <f>(VLOOKUP($A:$A,USD!$A:$AL,24,FALSE)*88)/88*20</f>
        <v>54</v>
      </c>
      <c r="Y18" s="68">
        <f>(VLOOKUP($A:$A,USD!$A:$AL,25,FALSE)*88)/88*20</f>
        <v>50.4</v>
      </c>
      <c r="Z18" s="68">
        <f>(VLOOKUP($A:$A,USD!$A:$AL,26,FALSE)*88)/88*20</f>
        <v>26.25</v>
      </c>
      <c r="AB18" s="68">
        <f t="shared" si="3"/>
        <v>130.65</v>
      </c>
      <c r="AC18" s="68">
        <f>(VLOOKUP($A:$A,USD!$A:$AL,29,FALSE)*88)/88*20</f>
        <v>162.5</v>
      </c>
      <c r="AD18" s="68">
        <f>(VLOOKUP($A:$A,USD!$A:$AL,30,FALSE)*88)/88*20</f>
        <v>268.18181818181819</v>
      </c>
      <c r="AF18" s="68">
        <f t="shared" si="4"/>
        <v>430.68181818181819</v>
      </c>
      <c r="AG18" s="87">
        <f>(VLOOKUP($A:$A,USD!$A:$AL,33,FALSE)*88)/88*20</f>
        <v>28.814300000000003</v>
      </c>
      <c r="AH18" s="68">
        <f>(VLOOKUP($A:$A,USD!$A:$AL,34,FALSE)*88)/88*20</f>
        <v>6.973140495867769</v>
      </c>
      <c r="AI18" s="87">
        <f>(VLOOKUP($A:$A,USD!$A:$AL,35,FALSE)*88)/88*20</f>
        <v>12.587317427197677</v>
      </c>
      <c r="AJ18" s="87">
        <f>(VLOOKUP($A:$A,USD!$A:$AL,36,FALSE)*88)/88*20</f>
        <v>6.7351999999999999</v>
      </c>
      <c r="AL18" s="68">
        <f t="shared" si="5"/>
        <v>55.109957923065444</v>
      </c>
      <c r="AM18" s="87">
        <f>(VLOOKUP($A:$A,USD!$A:$AR,39,FALSE)*88)/88*20</f>
        <v>79.999999999999986</v>
      </c>
      <c r="AN18" s="68">
        <f>(VLOOKUP($A:$A,USD!$A:$AR,40,FALSE)*88)/88*20</f>
        <v>26.17808219178082</v>
      </c>
      <c r="AO18" s="1">
        <f>(VLOOKUP($A:$A,USD!$A:$AR,41,FALSE)*88)/88*20</f>
        <v>0</v>
      </c>
      <c r="AR18" s="1">
        <f t="shared" si="6"/>
        <v>106.1780821917808</v>
      </c>
      <c r="AS18" s="38">
        <f t="shared" si="7"/>
        <v>1215.8092522360582</v>
      </c>
      <c r="AT18" s="38">
        <f t="shared" si="8"/>
        <v>1440.8092522360582</v>
      </c>
      <c r="AW18" s="1">
        <f>(VLOOKUP(A:A,USD!A:AT,46,FALSE)*88)/88*20</f>
        <v>421.5454545454545</v>
      </c>
      <c r="AX18" s="1" t="e">
        <f>(VLOOKUP(A:A,USD!A:AU,47,FALSE)*88)/88*20</f>
        <v>#N/A</v>
      </c>
    </row>
    <row r="19" spans="1:50" hidden="1">
      <c r="A19" s="125">
        <v>810538</v>
      </c>
      <c r="B19" s="1" t="s">
        <v>90</v>
      </c>
      <c r="C19" s="1" t="s">
        <v>88</v>
      </c>
      <c r="D19" s="1" t="s">
        <v>71</v>
      </c>
      <c r="E19" s="1" t="s">
        <v>2067</v>
      </c>
      <c r="F19" s="1" t="str">
        <f>VLOOKUP(A:A,USD!A:F,6,FALSE)</f>
        <v>WTX</v>
      </c>
      <c r="G19" s="1" t="s">
        <v>439</v>
      </c>
      <c r="H19" s="1">
        <f>VLOOKUP(A:A,USD!A:R,8,FALSE)</f>
        <v>2</v>
      </c>
      <c r="I19" s="87">
        <f>(VLOOKUP($A:$A,USD!$A:$AL,9,FALSE)*88)/88*20</f>
        <v>100</v>
      </c>
      <c r="J19" s="87">
        <f>(VLOOKUP($A:$A,USD!$A:$AL,10,FALSE)*88)/88*20</f>
        <v>125</v>
      </c>
      <c r="K19" s="87">
        <f>(VLOOKUP($A:$A,USD!$A:$AL,11,FALSE)*88)/88*20</f>
        <v>205</v>
      </c>
      <c r="L19" s="87">
        <f>(VLOOKUP($A:$A,USD!$A:$AL,12,FALSE)*88)/88*20</f>
        <v>0</v>
      </c>
      <c r="M19" s="87">
        <f>(VLOOKUP($A:$A,USD!$A:$AL,13,FALSE)*88)/88*20</f>
        <v>0</v>
      </c>
      <c r="N19" s="87">
        <f>(VLOOKUP($A:$A,USD!$A:$AL,14,FALSE)*88)/88*20</f>
        <v>48</v>
      </c>
      <c r="O19" s="68">
        <f>(VLOOKUP($A:$A,USD!$A:$AL,15,FALSE)*88)/88*20</f>
        <v>37.916666666666671</v>
      </c>
      <c r="P19" s="87">
        <f>(VLOOKUP($A:$A,USD!$A:$AL,16,FALSE)*88)/88*20</f>
        <v>0</v>
      </c>
      <c r="Q19" s="68">
        <f t="shared" si="0"/>
        <v>515.91666666666663</v>
      </c>
      <c r="R19" s="68">
        <f t="shared" si="1"/>
        <v>290.91666666666669</v>
      </c>
      <c r="S19" s="68">
        <f>(VLOOKUP($A:$A,USD!$A:$AL,19,FALSE)*88)/88*20</f>
        <v>0</v>
      </c>
      <c r="T19" s="68">
        <f>(VLOOKUP($A:$A,USD!$A:$AL,20,FALSE)*88)/88*20</f>
        <v>0</v>
      </c>
      <c r="U19" s="68" cm="1">
        <f t="array" ref="U19">(_xlfn.XLOOKUP(1, (USD!$A:$A=$A19)*(USD!$E:$E=$E19), USD!$U:$U, "", 0)*88)/88*20</f>
        <v>318.18181818181819</v>
      </c>
      <c r="V19" s="68"/>
      <c r="W19" s="68">
        <f t="shared" si="2"/>
        <v>318.18181818181819</v>
      </c>
      <c r="X19" s="1">
        <f>(VLOOKUP($A:$A,USD!$A:$AL,24,FALSE)*88)/88*20</f>
        <v>54</v>
      </c>
      <c r="Y19" s="68">
        <f>(VLOOKUP($A:$A,USD!$A:$AL,25,FALSE)*88)/88*20</f>
        <v>50.4</v>
      </c>
      <c r="Z19" s="68">
        <f>(VLOOKUP($A:$A,USD!$A:$AL,26,FALSE)*88)/88*20</f>
        <v>26.25</v>
      </c>
      <c r="AB19" s="68">
        <f t="shared" si="3"/>
        <v>130.65</v>
      </c>
      <c r="AC19" s="68" cm="1">
        <f t="array" ref="AC19">_xlfn.XLOOKUP(A19&amp;E19, USD!$A:$A&amp;USD!$E:$E, USD!$AC:$AC, "")*20</f>
        <v>132.95454545454544</v>
      </c>
      <c r="AD19" s="68" cm="1">
        <f t="array" ref="AD19">_xlfn.XLOOKUP(A19&amp;E19, USD!$A:$A&amp;USD!$E:$E, USD!$AD:$AD, "")*20</f>
        <v>197.95454545454547</v>
      </c>
      <c r="AF19" s="68">
        <f t="shared" si="4"/>
        <v>330.90909090909088</v>
      </c>
      <c r="AG19" s="87">
        <f>(VLOOKUP($A:$A,USD!$A:$AL,33,FALSE)*88)/88*20</f>
        <v>28.814300000000003</v>
      </c>
      <c r="AH19" s="68">
        <f>(VLOOKUP($A:$A,USD!$A:$AL,34,FALSE)*88)/88*20</f>
        <v>6.973140495867769</v>
      </c>
      <c r="AI19" s="87">
        <f>(VLOOKUP($A:$A,USD!$A:$AL,35,FALSE)*88)/88*20</f>
        <v>12.587317427197677</v>
      </c>
      <c r="AJ19" s="87">
        <f>(VLOOKUP($A:$A,USD!$A:$AL,36,FALSE)*88)/88*20</f>
        <v>6.7351999999999999</v>
      </c>
      <c r="AL19" s="68">
        <f t="shared" si="5"/>
        <v>55.109957923065444</v>
      </c>
      <c r="AM19" s="87">
        <f>(VLOOKUP($A:$A,USD!$A:$AR,39,FALSE)*88)/88*20</f>
        <v>79.999999999999986</v>
      </c>
      <c r="AN19" s="68">
        <f>(VLOOKUP($A:$A,USD!$A:$AR,40,FALSE)*88)/88*20</f>
        <v>26.17808219178082</v>
      </c>
      <c r="AO19" s="1">
        <f>(VLOOKUP($A:$A,USD!$A:$AR,41,FALSE)*88)/88*20</f>
        <v>0</v>
      </c>
      <c r="AR19" s="1">
        <f t="shared" si="6"/>
        <v>106.1780821917808</v>
      </c>
      <c r="AS19" s="38">
        <f t="shared" si="7"/>
        <v>1231.9456158724217</v>
      </c>
      <c r="AT19" s="38">
        <f t="shared" si="8"/>
        <v>1456.9456158724217</v>
      </c>
      <c r="AW19" s="1">
        <f>(VLOOKUP(A:A,USD!A:AT,46,FALSE)*88)/88*20</f>
        <v>421.5454545454545</v>
      </c>
      <c r="AX19" s="1" t="e">
        <f>(VLOOKUP(A:A,USD!A:AU,47,FALSE)*88)/88*20</f>
        <v>#N/A</v>
      </c>
    </row>
    <row r="20" spans="1:50" hidden="1">
      <c r="A20" s="1">
        <v>220586</v>
      </c>
      <c r="B20" s="1" t="s">
        <v>91</v>
      </c>
      <c r="C20" s="1" t="s">
        <v>92</v>
      </c>
      <c r="D20" s="1" t="s">
        <v>76</v>
      </c>
      <c r="E20" s="1" t="str">
        <f>VLOOKUP(A:A,USD!A:E,5,FALSE)</f>
        <v>GA 30 Day</v>
      </c>
      <c r="F20" s="1" t="str">
        <f>VLOOKUP(A:A,USD!A:F,6,FALSE)</f>
        <v>ER5</v>
      </c>
      <c r="G20" s="1" t="str">
        <f>VLOOKUP(A:A,'Regions and Ports'!A:G,7,FALSE)</f>
        <v>Savannah</v>
      </c>
      <c r="H20" s="1">
        <f>VLOOKUP(A:A,USD!A:R,8,FALSE)</f>
        <v>4</v>
      </c>
      <c r="I20" s="87">
        <f>(VLOOKUP($A:$A,USD!$A:$AL,9,FALSE)*88)/88*20</f>
        <v>70</v>
      </c>
      <c r="J20" s="87">
        <f>(VLOOKUP($A:$A,USD!$A:$AL,10,FALSE)*88)/88*20</f>
        <v>100</v>
      </c>
      <c r="K20" s="87">
        <f>(VLOOKUP($A:$A,USD!$A:$AL,11,FALSE)*88)/88*20</f>
        <v>0</v>
      </c>
      <c r="L20" s="87">
        <f>(VLOOKUP($A:$A,USD!$A:$AL,12,FALSE)*88)/88*20</f>
        <v>0</v>
      </c>
      <c r="M20" s="87">
        <f>(VLOOKUP($A:$A,USD!$A:$AL,13,FALSE)*88)/88*20</f>
        <v>10</v>
      </c>
      <c r="N20" s="87">
        <f>(VLOOKUP($A:$A,USD!$A:$AL,14,FALSE)*88)/88*20</f>
        <v>40</v>
      </c>
      <c r="O20" s="68">
        <f>(VLOOKUP($A:$A,USD!$A:$AL,15,FALSE)*88)/88*20</f>
        <v>37.916666666666671</v>
      </c>
      <c r="P20" s="87">
        <f>(VLOOKUP($A:$A,USD!$A:$AL,16,FALSE)*88)/88*20</f>
        <v>0</v>
      </c>
      <c r="Q20" s="68">
        <f t="shared" si="0"/>
        <v>257.91666666666669</v>
      </c>
      <c r="R20" s="68">
        <f t="shared" si="1"/>
        <v>37.916666666666671</v>
      </c>
      <c r="S20" s="68">
        <f>(VLOOKUP($A:$A,USD!$A:$AL,19,FALSE)*88)/88*20</f>
        <v>0</v>
      </c>
      <c r="T20" s="68">
        <f>(VLOOKUP($A:$A,USD!$A:$AL,20,FALSE)*88)/88*20</f>
        <v>0</v>
      </c>
      <c r="U20" s="68">
        <f>(VLOOKUP($A:$A,USD!$A:$AL,21,FALSE)*88)/88*20</f>
        <v>225.95909090909092</v>
      </c>
      <c r="V20" s="68"/>
      <c r="W20" s="68">
        <f t="shared" si="2"/>
        <v>225.95909090909092</v>
      </c>
      <c r="X20" s="1">
        <f>(VLOOKUP($A:$A,USD!$A:$AL,24,FALSE)*88)/88*20</f>
        <v>52</v>
      </c>
      <c r="Y20" s="68">
        <f>(VLOOKUP($A:$A,USD!$A:$AL,25,FALSE)*88)/88*20</f>
        <v>50.4</v>
      </c>
      <c r="Z20" s="68">
        <f>(VLOOKUP($A:$A,USD!$A:$AL,26,FALSE)*88)/88*20</f>
        <v>26.25</v>
      </c>
      <c r="AB20" s="68">
        <f t="shared" si="3"/>
        <v>128.65</v>
      </c>
      <c r="AC20" s="68">
        <f>(VLOOKUP($A:$A,USD!$A:$AL,29,FALSE)*88)/88*20</f>
        <v>110.22727272727273</v>
      </c>
      <c r="AD20" s="68">
        <f>(VLOOKUP($A:$A,USD!$A:$AL,30,FALSE)*88)/88*20</f>
        <v>107.04545454545455</v>
      </c>
      <c r="AF20" s="68">
        <f t="shared" si="4"/>
        <v>217.27272727272728</v>
      </c>
      <c r="AG20" s="87">
        <f>(VLOOKUP($A:$A,USD!$A:$AL,33,FALSE)*88)/88*20</f>
        <v>28.814300000000003</v>
      </c>
      <c r="AH20" s="68">
        <f>(VLOOKUP($A:$A,USD!$A:$AL,34,FALSE)*88)/88*20</f>
        <v>6.973140495867769</v>
      </c>
      <c r="AI20" s="87">
        <f>(VLOOKUP($A:$A,USD!$A:$AL,35,FALSE)*88)/88*20</f>
        <v>12.587317427197677</v>
      </c>
      <c r="AJ20" s="87">
        <f>(VLOOKUP($A:$A,USD!$A:$AL,36,FALSE)*88)/88*20</f>
        <v>6.7351999999999999</v>
      </c>
      <c r="AL20" s="68">
        <f t="shared" si="5"/>
        <v>55.109957923065444</v>
      </c>
      <c r="AM20" s="87">
        <f>(VLOOKUP($A:$A,USD!$A:$AR,39,FALSE)*88)/88*20</f>
        <v>79.999999999999986</v>
      </c>
      <c r="AN20" s="68">
        <f>(VLOOKUP($A:$A,USD!$A:$AR,40,FALSE)*88)/88*20</f>
        <v>26.17808219178082</v>
      </c>
      <c r="AO20" s="1">
        <f>(VLOOKUP($A:$A,USD!$A:$AR,41,FALSE)*88)/88*20</f>
        <v>0</v>
      </c>
      <c r="AR20" s="1">
        <f t="shared" si="6"/>
        <v>106.1780821917808</v>
      </c>
      <c r="AS20" s="38">
        <f t="shared" si="7"/>
        <v>771.08652496333104</v>
      </c>
      <c r="AT20" s="38">
        <f t="shared" si="8"/>
        <v>991.08652496333104</v>
      </c>
      <c r="AW20" s="1" t="e">
        <f>(VLOOKUP(A:A,USD!A:AT,46,FALSE)*88)/88*20</f>
        <v>#N/A</v>
      </c>
      <c r="AX20" s="1">
        <f>(VLOOKUP(A:A,USD!A:AU,47,FALSE)*88)/88*20</f>
        <v>292.61363636363637</v>
      </c>
    </row>
    <row r="21" spans="1:50">
      <c r="A21" s="1">
        <v>4004</v>
      </c>
      <c r="B21" s="1" t="s">
        <v>94</v>
      </c>
      <c r="C21" s="1" t="s">
        <v>95</v>
      </c>
      <c r="D21" s="1" t="s">
        <v>65</v>
      </c>
      <c r="E21" s="1" t="str">
        <f>VLOOKUP(A:A,USD!A:E,5,FALSE)</f>
        <v>Eastern Rule 5</v>
      </c>
      <c r="F21" s="1" t="str">
        <f>VLOOKUP(A:A,USD!A:F,6,FALSE)</f>
        <v>ER5</v>
      </c>
      <c r="G21" s="1" t="str">
        <f>VLOOKUP(A:A,'Regions and Ports'!A:G,7,FALSE)</f>
        <v>Savannah</v>
      </c>
      <c r="H21" s="1">
        <f>VLOOKUP(A:A,USD!A:R,8,FALSE)</f>
        <v>1</v>
      </c>
      <c r="I21" s="87">
        <f>(VLOOKUP($A:$A,USD!$A:$AL,9,FALSE)*88)/88*20</f>
        <v>0</v>
      </c>
      <c r="J21" s="87">
        <f>(VLOOKUP($A:$A,USD!$A:$AL,10,FALSE)*88)/88*20</f>
        <v>0</v>
      </c>
      <c r="K21" s="87">
        <f>(VLOOKUP($A:$A,USD!$A:$AL,11,FALSE)*88)/88*20</f>
        <v>0</v>
      </c>
      <c r="L21" s="87">
        <f>(VLOOKUP($A:$A,USD!$A:$AL,12,FALSE)*88)/88*20</f>
        <v>0</v>
      </c>
      <c r="M21" s="87">
        <f>(VLOOKUP($A:$A,USD!$A:$AL,13,FALSE)*88)/88*20</f>
        <v>0</v>
      </c>
      <c r="N21" s="87">
        <f>(VLOOKUP($A:$A,USD!$A:$AL,14,FALSE)*88)/88*20</f>
        <v>50</v>
      </c>
      <c r="O21" s="68">
        <f>(VLOOKUP($A:$A,USD!$A:$AL,15,FALSE)*88)/88*20</f>
        <v>37.916666666666671</v>
      </c>
      <c r="P21" s="87">
        <f>(VLOOKUP($A:$A,USD!$A:$AL,16,FALSE)*88)/88*20</f>
        <v>0</v>
      </c>
      <c r="Q21" s="68">
        <f t="shared" si="0"/>
        <v>87.916666666666671</v>
      </c>
      <c r="R21" s="68">
        <f t="shared" si="1"/>
        <v>87.916666666666671</v>
      </c>
      <c r="S21" s="68">
        <f>(VLOOKUP($A:$A,USD!$A:$AL,19,FALSE)*88)/88*20</f>
        <v>0</v>
      </c>
      <c r="T21" s="68">
        <f>(VLOOKUP($A:$A,USD!$A:$AL,20,FALSE)*88)/88*20</f>
        <v>0</v>
      </c>
      <c r="U21" s="68">
        <f>(VLOOKUP($A:$A,USD!$A:$AL,21,FALSE)*88)/88*20</f>
        <v>316.69034090909088</v>
      </c>
      <c r="V21" s="68"/>
      <c r="W21" s="68">
        <f t="shared" si="2"/>
        <v>316.69034090909088</v>
      </c>
      <c r="X21" s="1">
        <f>(VLOOKUP($A:$A,USD!$A:$AL,24,FALSE)*88)/88*20</f>
        <v>52</v>
      </c>
      <c r="Y21" s="68">
        <f>(VLOOKUP($A:$A,USD!$A:$AL,25,FALSE)*88)/88*20</f>
        <v>50.4</v>
      </c>
      <c r="Z21" s="68">
        <f>(VLOOKUP($A:$A,USD!$A:$AL,26,FALSE)*88)/88*20</f>
        <v>26.25</v>
      </c>
      <c r="AB21" s="68">
        <f t="shared" si="3"/>
        <v>128.65</v>
      </c>
      <c r="AC21" s="68">
        <f>(VLOOKUP($A:$A,USD!$A:$AL,29,FALSE)*88)/88*20</f>
        <v>110.22727272727273</v>
      </c>
      <c r="AD21" s="68">
        <f>(VLOOKUP($A:$A,USD!$A:$AL,30,FALSE)*88)/88*20</f>
        <v>107.04545454545455</v>
      </c>
      <c r="AF21" s="68">
        <f t="shared" si="4"/>
        <v>217.27272727272728</v>
      </c>
      <c r="AG21" s="87">
        <f>(VLOOKUP($A:$A,USD!$A:$AL,33,FALSE)*88)/88*20</f>
        <v>28.814300000000003</v>
      </c>
      <c r="AH21" s="68">
        <f>(VLOOKUP($A:$A,USD!$A:$AL,34,FALSE)*88)/88*20</f>
        <v>6.973140495867769</v>
      </c>
      <c r="AI21" s="87">
        <f>(VLOOKUP($A:$A,USD!$A:$AL,35,FALSE)*88)/88*20</f>
        <v>12.587317427197677</v>
      </c>
      <c r="AJ21" s="87">
        <f>(VLOOKUP($A:$A,USD!$A:$AL,36,FALSE)*88)/88*20</f>
        <v>6.7351999999999999</v>
      </c>
      <c r="AL21" s="68">
        <f t="shared" si="5"/>
        <v>55.109957923065444</v>
      </c>
      <c r="AM21" s="87">
        <f>(VLOOKUP($A:$A,USD!$A:$AR,39,FALSE)*88)/88*20</f>
        <v>79.999999999999986</v>
      </c>
      <c r="AN21" s="68">
        <f>(VLOOKUP($A:$A,USD!$A:$AR,40,FALSE)*88)/88*20</f>
        <v>26.17808219178082</v>
      </c>
      <c r="AO21" s="1">
        <f>(VLOOKUP($A:$A,USD!$A:$AR,41,FALSE)*88)/88*20</f>
        <v>0</v>
      </c>
      <c r="AR21" s="1">
        <f t="shared" si="6"/>
        <v>106.1780821917808</v>
      </c>
      <c r="AS21" s="38">
        <f t="shared" si="7"/>
        <v>911.81777496333109</v>
      </c>
      <c r="AT21" s="38">
        <f t="shared" si="8"/>
        <v>911.81777496333109</v>
      </c>
      <c r="AW21" s="1" t="e">
        <f>(VLOOKUP(A:A,USD!A:AT,46,FALSE)*88)/88*20</f>
        <v>#N/A</v>
      </c>
      <c r="AX21" s="1">
        <f>(VLOOKUP(A:A,USD!A:AU,47,FALSE)*88)/88*20</f>
        <v>328.40909090909093</v>
      </c>
    </row>
    <row r="22" spans="1:50" hidden="1">
      <c r="A22" s="1">
        <v>217517</v>
      </c>
      <c r="B22" s="1" t="s">
        <v>97</v>
      </c>
      <c r="C22" s="1" t="s">
        <v>98</v>
      </c>
      <c r="D22" s="1" t="s">
        <v>76</v>
      </c>
      <c r="E22" s="1" t="str">
        <f>VLOOKUP(A:A,USD!A:E,5,FALSE)</f>
        <v>GA 30 Day</v>
      </c>
      <c r="F22" s="1" t="str">
        <f>VLOOKUP(A:A,USD!A:F,6,FALSE)</f>
        <v>ER5</v>
      </c>
      <c r="G22" s="1" t="str">
        <f>VLOOKUP(A:A,'Regions and Ports'!A:G,7,FALSE)</f>
        <v>Savannah</v>
      </c>
      <c r="H22" s="1">
        <f>VLOOKUP(A:A,USD!A:R,8,FALSE)</f>
        <v>4</v>
      </c>
      <c r="I22" s="87">
        <f>(VLOOKUP($A:$A,USD!$A:$AL,9,FALSE)*88)/88*20</f>
        <v>65</v>
      </c>
      <c r="J22" s="87">
        <f>(VLOOKUP($A:$A,USD!$A:$AL,10,FALSE)*88)/88*20</f>
        <v>110</v>
      </c>
      <c r="K22" s="87">
        <f>(VLOOKUP($A:$A,USD!$A:$AL,11,FALSE)*88)/88*20</f>
        <v>0</v>
      </c>
      <c r="L22" s="87">
        <f>(VLOOKUP($A:$A,USD!$A:$AL,12,FALSE)*88)/88*20</f>
        <v>0</v>
      </c>
      <c r="M22" s="87">
        <f>(VLOOKUP($A:$A,USD!$A:$AL,13,FALSE)*88)/88*20</f>
        <v>0</v>
      </c>
      <c r="N22" s="87">
        <f>(VLOOKUP($A:$A,USD!$A:$AL,14,FALSE)*88)/88*20</f>
        <v>60</v>
      </c>
      <c r="O22" s="68">
        <f>(VLOOKUP($A:$A,USD!$A:$AL,15,FALSE)*88)/88*20</f>
        <v>37.916666666666671</v>
      </c>
      <c r="P22" s="87">
        <f>(VLOOKUP($A:$A,USD!$A:$AL,16,FALSE)*88)/88*20</f>
        <v>0</v>
      </c>
      <c r="Q22" s="68">
        <f t="shared" si="0"/>
        <v>272.91666666666669</v>
      </c>
      <c r="R22" s="68">
        <f t="shared" si="1"/>
        <v>37.916666666666671</v>
      </c>
      <c r="S22" s="68">
        <f>(VLOOKUP($A:$A,USD!$A:$AL,19,FALSE)*88)/88*20</f>
        <v>0</v>
      </c>
      <c r="T22" s="68">
        <f>(VLOOKUP($A:$A,USD!$A:$AL,20,FALSE)*88)/88*20</f>
        <v>0</v>
      </c>
      <c r="U22" s="68">
        <f>(VLOOKUP($A:$A,USD!$A:$AL,21,FALSE)*88)/88*20</f>
        <v>264.0181818181818</v>
      </c>
      <c r="V22" s="68"/>
      <c r="W22" s="68">
        <f t="shared" si="2"/>
        <v>264.0181818181818</v>
      </c>
      <c r="X22" s="1">
        <f>(VLOOKUP($A:$A,USD!$A:$AL,24,FALSE)*88)/88*20</f>
        <v>52</v>
      </c>
      <c r="Y22" s="68">
        <f>(VLOOKUP($A:$A,USD!$A:$AL,25,FALSE)*88)/88*20</f>
        <v>50.4</v>
      </c>
      <c r="Z22" s="68">
        <f>(VLOOKUP($A:$A,USD!$A:$AL,26,FALSE)*88)/88*20</f>
        <v>26.25</v>
      </c>
      <c r="AB22" s="68">
        <f t="shared" si="3"/>
        <v>128.65</v>
      </c>
      <c r="AC22" s="68">
        <f>(VLOOKUP($A:$A,USD!$A:$AL,29,FALSE)*88)/88*20</f>
        <v>110.22727272727273</v>
      </c>
      <c r="AD22" s="68">
        <f>(VLOOKUP($A:$A,USD!$A:$AL,30,FALSE)*88)/88*20</f>
        <v>107.04545454545455</v>
      </c>
      <c r="AF22" s="68">
        <f t="shared" si="4"/>
        <v>217.27272727272728</v>
      </c>
      <c r="AG22" s="87">
        <f>(VLOOKUP($A:$A,USD!$A:$AL,33,FALSE)*88)/88*20</f>
        <v>28.814300000000003</v>
      </c>
      <c r="AH22" s="68">
        <f>(VLOOKUP($A:$A,USD!$A:$AL,34,FALSE)*88)/88*20</f>
        <v>6.973140495867769</v>
      </c>
      <c r="AI22" s="87">
        <f>(VLOOKUP($A:$A,USD!$A:$AL,35,FALSE)*88)/88*20</f>
        <v>12.587317427197677</v>
      </c>
      <c r="AJ22" s="87">
        <f>(VLOOKUP($A:$A,USD!$A:$AL,36,FALSE)*88)/88*20</f>
        <v>6.7351999999999999</v>
      </c>
      <c r="AL22" s="68">
        <f t="shared" si="5"/>
        <v>55.109957923065444</v>
      </c>
      <c r="AM22" s="87">
        <f>(VLOOKUP($A:$A,USD!$A:$AR,39,FALSE)*88)/88*20</f>
        <v>79.999999999999986</v>
      </c>
      <c r="AN22" s="68">
        <f>(VLOOKUP($A:$A,USD!$A:$AR,40,FALSE)*88)/88*20</f>
        <v>26.17808219178082</v>
      </c>
      <c r="AO22" s="1">
        <f>(VLOOKUP($A:$A,USD!$A:$AR,41,FALSE)*88)/88*20</f>
        <v>0</v>
      </c>
      <c r="AR22" s="1">
        <f t="shared" si="6"/>
        <v>106.1780821917808</v>
      </c>
      <c r="AS22" s="38">
        <f t="shared" si="7"/>
        <v>809.14561587242201</v>
      </c>
      <c r="AT22" s="38">
        <f t="shared" si="8"/>
        <v>1044.145615872422</v>
      </c>
      <c r="AW22" s="1">
        <f>(VLOOKUP(A:A,USD!A:AT,46,FALSE)*88)/88*20</f>
        <v>275.73863636363637</v>
      </c>
      <c r="AX22" s="1">
        <f>(VLOOKUP(A:A,USD!A:AU,47,FALSE)*88)/88*20</f>
        <v>319.88636363636363</v>
      </c>
    </row>
    <row r="23" spans="1:50">
      <c r="A23" s="1">
        <v>1100</v>
      </c>
      <c r="B23" s="1" t="s">
        <v>100</v>
      </c>
      <c r="C23" s="1" t="s">
        <v>101</v>
      </c>
      <c r="D23" s="1" t="s">
        <v>65</v>
      </c>
      <c r="E23" s="1" t="str">
        <f>VLOOKUP(A:A,USD!A:E,5,FALSE)</f>
        <v>Eastern Rule 5</v>
      </c>
      <c r="F23" s="1" t="str">
        <f>VLOOKUP(A:A,USD!A:F,6,FALSE)</f>
        <v>ER5</v>
      </c>
      <c r="G23" s="1" t="str">
        <f>VLOOKUP(A:A,'Regions and Ports'!A:G,7,FALSE)</f>
        <v>Savannah</v>
      </c>
      <c r="H23" s="1">
        <f>VLOOKUP(A:A,USD!A:R,8,FALSE)</f>
        <v>1</v>
      </c>
      <c r="I23" s="87">
        <f>(VLOOKUP($A:$A,USD!$A:$AL,9,FALSE)*88)/88*20</f>
        <v>43</v>
      </c>
      <c r="J23" s="87">
        <f>(VLOOKUP($A:$A,USD!$A:$AL,10,FALSE)*88)/88*20</f>
        <v>120</v>
      </c>
      <c r="K23" s="87">
        <f>(VLOOKUP($A:$A,USD!$A:$AL,11,FALSE)*88)/88*20</f>
        <v>150</v>
      </c>
      <c r="L23" s="87">
        <f>(VLOOKUP($A:$A,USD!$A:$AL,12,FALSE)*88)/88*20</f>
        <v>0</v>
      </c>
      <c r="M23" s="87">
        <f>(VLOOKUP($A:$A,USD!$A:$AL,13,FALSE)*88)/88*20</f>
        <v>10</v>
      </c>
      <c r="N23" s="87">
        <f>(VLOOKUP($A:$A,USD!$A:$AL,14,FALSE)*88)/88*20</f>
        <v>60</v>
      </c>
      <c r="O23" s="68">
        <f>(VLOOKUP($A:$A,USD!$A:$AL,15,FALSE)*88)/88*20</f>
        <v>37.916666666666671</v>
      </c>
      <c r="P23" s="87">
        <f>(VLOOKUP($A:$A,USD!$A:$AL,16,FALSE)*88)/88*20</f>
        <v>0</v>
      </c>
      <c r="Q23" s="68">
        <f t="shared" si="0"/>
        <v>420.91666666666669</v>
      </c>
      <c r="R23" s="68">
        <f t="shared" si="1"/>
        <v>97.916666666666671</v>
      </c>
      <c r="S23" s="68">
        <f>(VLOOKUP($A:$A,USD!$A:$AL,19,FALSE)*88)/88*20</f>
        <v>0</v>
      </c>
      <c r="T23" s="68">
        <f>(VLOOKUP($A:$A,USD!$A:$AL,20,FALSE)*88)/88*20</f>
        <v>0</v>
      </c>
      <c r="U23" s="68">
        <f>(VLOOKUP($A:$A,USD!$A:$AL,21,FALSE)*88)/88*20</f>
        <v>331.92556818181822</v>
      </c>
      <c r="V23" s="68"/>
      <c r="W23" s="68">
        <f t="shared" si="2"/>
        <v>331.92556818181822</v>
      </c>
      <c r="X23" s="1">
        <f>(VLOOKUP($A:$A,USD!$A:$AL,24,FALSE)*88)/88*20</f>
        <v>52</v>
      </c>
      <c r="Y23" s="68">
        <f>(VLOOKUP($A:$A,USD!$A:$AL,25,FALSE)*88)/88*20</f>
        <v>50.4</v>
      </c>
      <c r="Z23" s="68">
        <f>(VLOOKUP($A:$A,USD!$A:$AL,26,FALSE)*88)/88*20</f>
        <v>26.25</v>
      </c>
      <c r="AB23" s="68">
        <f t="shared" si="3"/>
        <v>128.65</v>
      </c>
      <c r="AC23" s="68">
        <f>(VLOOKUP($A:$A,USD!$A:$AL,29,FALSE)*88)/88*20</f>
        <v>110.22727272727273</v>
      </c>
      <c r="AD23" s="68">
        <f>(VLOOKUP($A:$A,USD!$A:$AL,30,FALSE)*88)/88*20</f>
        <v>107.04545454545455</v>
      </c>
      <c r="AF23" s="68">
        <f t="shared" si="4"/>
        <v>217.27272727272728</v>
      </c>
      <c r="AG23" s="87">
        <f>(VLOOKUP($A:$A,USD!$A:$AL,33,FALSE)*88)/88*20</f>
        <v>28.814300000000003</v>
      </c>
      <c r="AH23" s="68">
        <f>(VLOOKUP($A:$A,USD!$A:$AL,34,FALSE)*88)/88*20</f>
        <v>6.973140495867769</v>
      </c>
      <c r="AI23" s="87">
        <f>(VLOOKUP($A:$A,USD!$A:$AL,35,FALSE)*88)/88*20</f>
        <v>12.587317427197677</v>
      </c>
      <c r="AJ23" s="87">
        <f>(VLOOKUP($A:$A,USD!$A:$AL,36,FALSE)*88)/88*20</f>
        <v>6.7351999999999999</v>
      </c>
      <c r="AL23" s="68">
        <f t="shared" si="5"/>
        <v>55.109957923065444</v>
      </c>
      <c r="AM23" s="87">
        <f>(VLOOKUP($A:$A,USD!$A:$AR,39,FALSE)*88)/88*20</f>
        <v>79.999999999999986</v>
      </c>
      <c r="AN23" s="68">
        <f>(VLOOKUP($A:$A,USD!$A:$AR,40,FALSE)*88)/88*20</f>
        <v>26.17808219178082</v>
      </c>
      <c r="AO23" s="1">
        <f>(VLOOKUP($A:$A,USD!$A:$AR,41,FALSE)*88)/88*20</f>
        <v>0</v>
      </c>
      <c r="AR23" s="1">
        <f t="shared" si="6"/>
        <v>106.1780821917808</v>
      </c>
      <c r="AS23" s="38">
        <f t="shared" si="7"/>
        <v>937.05300223605843</v>
      </c>
      <c r="AT23" s="38">
        <f t="shared" si="8"/>
        <v>1260.0530022360583</v>
      </c>
      <c r="AW23" s="1" t="e">
        <f>(VLOOKUP(A:A,USD!A:AT,46,FALSE)*88)/88*20</f>
        <v>#N/A</v>
      </c>
      <c r="AX23" s="1">
        <f>(VLOOKUP(A:A,USD!A:AU,47,FALSE)*88)/88*20</f>
        <v>348.86363636363632</v>
      </c>
    </row>
    <row r="24" spans="1:50" hidden="1">
      <c r="A24" s="1">
        <v>221010</v>
      </c>
      <c r="B24" s="1" t="s">
        <v>103</v>
      </c>
      <c r="C24" s="1" t="s">
        <v>104</v>
      </c>
      <c r="D24" s="1" t="s">
        <v>76</v>
      </c>
      <c r="E24" s="1" t="str">
        <f>VLOOKUP(A:A,USD!A:E,5,FALSE)</f>
        <v>GA 30 Day</v>
      </c>
      <c r="F24" s="1" t="str">
        <f>VLOOKUP(A:A,USD!A:F,6,FALSE)</f>
        <v>ER5</v>
      </c>
      <c r="G24" s="1" t="str">
        <f>VLOOKUP(A:A,'Regions and Ports'!A:G,7,FALSE)</f>
        <v>Savannah</v>
      </c>
      <c r="H24" s="1">
        <f>VLOOKUP(A:A,USD!A:R,8,FALSE)</f>
        <v>4</v>
      </c>
      <c r="I24" s="87">
        <f>(VLOOKUP($A:$A,USD!$A:$AL,9,FALSE)*88)/88*20</f>
        <v>0</v>
      </c>
      <c r="J24" s="87">
        <f>(VLOOKUP($A:$A,USD!$A:$AL,10,FALSE)*88)/88*20</f>
        <v>0</v>
      </c>
      <c r="K24" s="87">
        <f>(VLOOKUP($A:$A,USD!$A:$AL,11,FALSE)*88)/88*20</f>
        <v>0</v>
      </c>
      <c r="L24" s="87">
        <f>(VLOOKUP($A:$A,USD!$A:$AL,12,FALSE)*88)/88*20</f>
        <v>0</v>
      </c>
      <c r="M24" s="87">
        <f>(VLOOKUP($A:$A,USD!$A:$AL,13,FALSE)*88)/88*20</f>
        <v>0</v>
      </c>
      <c r="N24" s="87">
        <f>(VLOOKUP($A:$A,USD!$A:$AL,14,FALSE)*88)/88*20</f>
        <v>50</v>
      </c>
      <c r="O24" s="68">
        <f>(VLOOKUP($A:$A,USD!$A:$AL,15,FALSE)*88)/88*20</f>
        <v>37.916666666666671</v>
      </c>
      <c r="P24" s="87">
        <f>(VLOOKUP($A:$A,USD!$A:$AL,16,FALSE)*88)/88*20</f>
        <v>0</v>
      </c>
      <c r="Q24" s="68">
        <f t="shared" si="0"/>
        <v>87.916666666666671</v>
      </c>
      <c r="R24" s="68">
        <f t="shared" si="1"/>
        <v>37.916666666666671</v>
      </c>
      <c r="S24" s="68">
        <f>(VLOOKUP($A:$A,USD!$A:$AL,19,FALSE)*88)/88*20</f>
        <v>0</v>
      </c>
      <c r="T24" s="68">
        <f>(VLOOKUP($A:$A,USD!$A:$AL,20,FALSE)*88)/88*20</f>
        <v>0</v>
      </c>
      <c r="U24" s="68">
        <f>(VLOOKUP($A:$A,USD!$A:$AL,21,FALSE)*88)/88*20</f>
        <v>263.5977272727273</v>
      </c>
      <c r="V24" s="68"/>
      <c r="W24" s="68">
        <f t="shared" si="2"/>
        <v>263.5977272727273</v>
      </c>
      <c r="X24" s="1">
        <f>(VLOOKUP($A:$A,USD!$A:$AL,24,FALSE)*88)/88*20</f>
        <v>52</v>
      </c>
      <c r="Y24" s="68">
        <f>(VLOOKUP($A:$A,USD!$A:$AL,25,FALSE)*88)/88*20</f>
        <v>50.4</v>
      </c>
      <c r="Z24" s="68">
        <f>(VLOOKUP($A:$A,USD!$A:$AL,26,FALSE)*88)/88*20</f>
        <v>26.25</v>
      </c>
      <c r="AB24" s="68">
        <f t="shared" si="3"/>
        <v>128.65</v>
      </c>
      <c r="AC24" s="68">
        <f>(VLOOKUP($A:$A,USD!$A:$AL,29,FALSE)*88)/88*20</f>
        <v>110.22727272727273</v>
      </c>
      <c r="AD24" s="68">
        <f>(VLOOKUP($A:$A,USD!$A:$AL,30,FALSE)*88)/88*20</f>
        <v>107.04545454545455</v>
      </c>
      <c r="AF24" s="68">
        <f t="shared" si="4"/>
        <v>217.27272727272728</v>
      </c>
      <c r="AG24" s="87">
        <f>(VLOOKUP($A:$A,USD!$A:$AL,33,FALSE)*88)/88*20</f>
        <v>28.814300000000003</v>
      </c>
      <c r="AH24" s="68">
        <f>(VLOOKUP($A:$A,USD!$A:$AL,34,FALSE)*88)/88*20</f>
        <v>6.973140495867769</v>
      </c>
      <c r="AI24" s="87">
        <f>(VLOOKUP($A:$A,USD!$A:$AL,35,FALSE)*88)/88*20</f>
        <v>12.587317427197677</v>
      </c>
      <c r="AJ24" s="87">
        <f>(VLOOKUP($A:$A,USD!$A:$AL,36,FALSE)*88)/88*20</f>
        <v>6.7351999999999999</v>
      </c>
      <c r="AL24" s="68">
        <f t="shared" si="5"/>
        <v>55.109957923065444</v>
      </c>
      <c r="AM24" s="87">
        <f>(VLOOKUP($A:$A,USD!$A:$AR,39,FALSE)*88)/88*20</f>
        <v>79.999999999999986</v>
      </c>
      <c r="AN24" s="68">
        <f>(VLOOKUP($A:$A,USD!$A:$AR,40,FALSE)*88)/88*20</f>
        <v>26.17808219178082</v>
      </c>
      <c r="AO24" s="1">
        <f>(VLOOKUP($A:$A,USD!$A:$AR,41,FALSE)*88)/88*20</f>
        <v>0</v>
      </c>
      <c r="AR24" s="1">
        <f t="shared" si="6"/>
        <v>106.1780821917808</v>
      </c>
      <c r="AS24" s="38">
        <f t="shared" si="7"/>
        <v>808.72516132696751</v>
      </c>
      <c r="AT24" s="38">
        <f t="shared" si="8"/>
        <v>858.72516132696751</v>
      </c>
      <c r="AW24" s="1" t="e">
        <f>(VLOOKUP(A:A,USD!A:AT,46,FALSE)*88)/88*20</f>
        <v>#N/A</v>
      </c>
      <c r="AX24" s="1">
        <f>(VLOOKUP(A:A,USD!A:AU,47,FALSE)*88)/88*20</f>
        <v>340.68181818181819</v>
      </c>
    </row>
    <row r="25" spans="1:50" hidden="1">
      <c r="A25" s="1">
        <v>176000</v>
      </c>
      <c r="B25" s="1" t="s">
        <v>106</v>
      </c>
      <c r="C25" s="1" t="s">
        <v>107</v>
      </c>
      <c r="D25" s="1" t="s">
        <v>108</v>
      </c>
      <c r="E25" s="1" t="str">
        <f>VLOOKUP(A:A,USD!A:E,5,FALSE)</f>
        <v>Southwest</v>
      </c>
      <c r="F25" s="1">
        <f>VLOOKUP(A:A,USD!A:F,6,FALSE)</f>
        <v>0</v>
      </c>
      <c r="G25" s="1" t="str">
        <f>VLOOKUP(A:A,'Regions and Ports'!A:G,7,FALSE)</f>
        <v>Los Angeles</v>
      </c>
      <c r="H25" s="1">
        <f>VLOOKUP(A:A,USD!A:R,8,FALSE)</f>
        <v>5</v>
      </c>
      <c r="I25" s="87">
        <f>(VLOOKUP($A:$A,USD!$A:$AL,9,FALSE)*88)/88*20</f>
        <v>0</v>
      </c>
      <c r="J25" s="87">
        <f>(VLOOKUP($A:$A,USD!$A:$AL,10,FALSE)*88)/88*20</f>
        <v>200</v>
      </c>
      <c r="K25" s="87">
        <f>(VLOOKUP($A:$A,USD!$A:$AL,11,FALSE)*88)/88*20</f>
        <v>0</v>
      </c>
      <c r="L25" s="87">
        <f>(VLOOKUP($A:$A,USD!$A:$AL,12,FALSE)*88)/88*20</f>
        <v>0</v>
      </c>
      <c r="M25" s="87">
        <f>(VLOOKUP($A:$A,USD!$A:$AL,13,FALSE)*88)/88*20</f>
        <v>0</v>
      </c>
      <c r="N25" s="87">
        <f>(VLOOKUP($A:$A,USD!$A:$AL,14,FALSE)*88)/88*20</f>
        <v>102.00000000000001</v>
      </c>
      <c r="O25" s="68">
        <f>(VLOOKUP($A:$A,USD!$A:$AL,15,FALSE)*88)/88*20</f>
        <v>37.916666666666671</v>
      </c>
      <c r="P25" s="87" t="e">
        <f>(VLOOKUP($A:$A,USD!$A:$AL,16,FALSE)*88)/88*20</f>
        <v>#N/A</v>
      </c>
      <c r="Q25" s="68" t="e">
        <f t="shared" si="0"/>
        <v>#N/A</v>
      </c>
      <c r="R25" s="68" t="e">
        <f t="shared" si="1"/>
        <v>#VALUE!</v>
      </c>
      <c r="S25" s="68">
        <f>(VLOOKUP($A:$A,USD!$A:$AL,19,FALSE)*88)/88*20</f>
        <v>0</v>
      </c>
      <c r="T25" s="68">
        <f>(VLOOKUP($A:$A,USD!$A:$AL,20,FALSE)*88)/88*20</f>
        <v>0</v>
      </c>
      <c r="U25" s="68" t="e">
        <f>(VLOOKUP($A:$A,USD!$A:$AL,21,FALSE)*88)/88*20</f>
        <v>#N/A</v>
      </c>
      <c r="V25" s="68"/>
      <c r="W25" s="68" t="e">
        <f t="shared" si="2"/>
        <v>#N/A</v>
      </c>
      <c r="X25" s="1" t="e">
        <f>(VLOOKUP($A:$A,USD!$A:$AL,24,FALSE)*88)/88*20</f>
        <v>#N/A</v>
      </c>
      <c r="Y25" s="68" t="e">
        <f>(VLOOKUP($A:$A,USD!$A:$AL,25,FALSE)*88)/88*20</f>
        <v>#N/A</v>
      </c>
      <c r="Z25" s="68">
        <f>(VLOOKUP($A:$A,USD!$A:$AL,26,FALSE)*88)/88*20</f>
        <v>26.25</v>
      </c>
      <c r="AB25" s="68" t="e">
        <f t="shared" si="3"/>
        <v>#N/A</v>
      </c>
      <c r="AC25" s="68" t="e">
        <f>(VLOOKUP($A:$A,USD!$A:$AL,29,FALSE)*88)/88*20</f>
        <v>#N/A</v>
      </c>
      <c r="AD25" s="68" t="e">
        <f>(VLOOKUP($A:$A,USD!$A:$AL,30,FALSE)*88)/88*20</f>
        <v>#N/A</v>
      </c>
      <c r="AF25" s="68" t="e">
        <f t="shared" si="4"/>
        <v>#N/A</v>
      </c>
      <c r="AG25" s="87">
        <f>(VLOOKUP($A:$A,USD!$A:$AL,33,FALSE)*88)/88*20</f>
        <v>28.814300000000003</v>
      </c>
      <c r="AH25" s="68">
        <f>(VLOOKUP($A:$A,USD!$A:$AL,34,FALSE)*88)/88*20</f>
        <v>6.973140495867769</v>
      </c>
      <c r="AI25" s="87">
        <f>(VLOOKUP($A:$A,USD!$A:$AL,35,FALSE)*88)/88*20</f>
        <v>12.587317427197677</v>
      </c>
      <c r="AJ25" s="87">
        <f>(VLOOKUP($A:$A,USD!$A:$AL,36,FALSE)*88)/88*20</f>
        <v>6.7351999999999999</v>
      </c>
      <c r="AL25" s="68">
        <f t="shared" si="5"/>
        <v>55.109957923065444</v>
      </c>
      <c r="AM25" s="87">
        <f>(VLOOKUP($A:$A,USD!$A:$AR,39,FALSE)*88)/88*20</f>
        <v>79.999999999999986</v>
      </c>
      <c r="AN25" s="68">
        <f>(VLOOKUP($A:$A,USD!$A:$AR,40,FALSE)*88)/88*20</f>
        <v>26.17808219178082</v>
      </c>
      <c r="AO25" s="1">
        <f>(VLOOKUP($A:$A,USD!$A:$AR,41,FALSE)*88)/88*20</f>
        <v>0</v>
      </c>
      <c r="AR25" s="1">
        <f t="shared" si="6"/>
        <v>106.1780821917808</v>
      </c>
      <c r="AS25" s="38" t="e">
        <f t="shared" si="7"/>
        <v>#VALUE!</v>
      </c>
      <c r="AT25" s="38" t="e">
        <f t="shared" si="8"/>
        <v>#N/A</v>
      </c>
      <c r="AW25" s="1" t="e">
        <f>(VLOOKUP(A:A,USD!A:AT,46,FALSE)*88)/88*20</f>
        <v>#N/A</v>
      </c>
      <c r="AX25" s="1" t="e">
        <f>(VLOOKUP(A:A,USD!A:AU,47,FALSE)*88)/88*20</f>
        <v>#N/A</v>
      </c>
    </row>
    <row r="26" spans="1:50" hidden="1">
      <c r="A26" s="1">
        <v>176001</v>
      </c>
      <c r="B26" s="1" t="s">
        <v>110</v>
      </c>
      <c r="C26" s="1" t="s">
        <v>107</v>
      </c>
      <c r="D26" s="1" t="s">
        <v>108</v>
      </c>
      <c r="E26" s="1" t="str">
        <f>VLOOKUP(A:A,USD!A:E,5,FALSE)</f>
        <v>Southwest</v>
      </c>
      <c r="F26" s="1">
        <f>VLOOKUP(A:A,USD!A:F,6,FALSE)</f>
        <v>0</v>
      </c>
      <c r="G26" s="1" t="str">
        <f>VLOOKUP(A:A,'Regions and Ports'!A:G,7,FALSE)</f>
        <v>Los Angeles</v>
      </c>
      <c r="H26" s="1">
        <f>VLOOKUP(A:A,USD!A:R,8,FALSE)</f>
        <v>5</v>
      </c>
      <c r="I26" s="87">
        <f>(VLOOKUP($A:$A,USD!$A:$AL,9,FALSE)*88)/88*20</f>
        <v>80</v>
      </c>
      <c r="J26" s="87">
        <f>(VLOOKUP($A:$A,USD!$A:$AL,10,FALSE)*88)/88*20</f>
        <v>180</v>
      </c>
      <c r="K26" s="87">
        <f>(VLOOKUP($A:$A,USD!$A:$AL,11,FALSE)*88)/88*20</f>
        <v>190</v>
      </c>
      <c r="L26" s="87">
        <f>(VLOOKUP($A:$A,USD!$A:$AL,12,FALSE)*88)/88*20</f>
        <v>0</v>
      </c>
      <c r="M26" s="87">
        <f>(VLOOKUP($A:$A,USD!$A:$AL,13,FALSE)*88)/88*20</f>
        <v>20</v>
      </c>
      <c r="N26" s="87">
        <f>(VLOOKUP($A:$A,USD!$A:$AL,14,FALSE)*88)/88*20</f>
        <v>96</v>
      </c>
      <c r="O26" s="68">
        <f>(VLOOKUP($A:$A,USD!$A:$AL,15,FALSE)*88)/88*20</f>
        <v>37.916666666666671</v>
      </c>
      <c r="P26" s="87" t="e">
        <f>(VLOOKUP($A:$A,USD!$A:$AL,16,FALSE)*88)/88*20</f>
        <v>#N/A</v>
      </c>
      <c r="Q26" s="68" t="e">
        <f t="shared" si="0"/>
        <v>#N/A</v>
      </c>
      <c r="R26" s="68" t="e">
        <f t="shared" si="1"/>
        <v>#VALUE!</v>
      </c>
      <c r="S26" s="68">
        <f>(VLOOKUP($A:$A,USD!$A:$AL,19,FALSE)*88)/88*20</f>
        <v>0</v>
      </c>
      <c r="T26" s="68">
        <f>(VLOOKUP($A:$A,USD!$A:$AL,20,FALSE)*88)/88*20</f>
        <v>0</v>
      </c>
      <c r="U26" s="68" t="e">
        <f>(VLOOKUP($A:$A,USD!$A:$AL,21,FALSE)*88)/88*20</f>
        <v>#N/A</v>
      </c>
      <c r="V26" s="68"/>
      <c r="W26" s="68" t="e">
        <f t="shared" si="2"/>
        <v>#N/A</v>
      </c>
      <c r="X26" s="1" t="e">
        <f>(VLOOKUP($A:$A,USD!$A:$AL,24,FALSE)*88)/88*20</f>
        <v>#N/A</v>
      </c>
      <c r="Y26" s="68" t="e">
        <f>(VLOOKUP($A:$A,USD!$A:$AL,25,FALSE)*88)/88*20</f>
        <v>#N/A</v>
      </c>
      <c r="Z26" s="68">
        <f>(VLOOKUP($A:$A,USD!$A:$AL,26,FALSE)*88)/88*20</f>
        <v>26.25</v>
      </c>
      <c r="AB26" s="68" t="e">
        <f t="shared" si="3"/>
        <v>#N/A</v>
      </c>
      <c r="AC26" s="68" t="e">
        <f>(VLOOKUP($A:$A,USD!$A:$AL,29,FALSE)*88)/88*20</f>
        <v>#N/A</v>
      </c>
      <c r="AD26" s="68" t="e">
        <f>(VLOOKUP($A:$A,USD!$A:$AL,30,FALSE)*88)/88*20</f>
        <v>#N/A</v>
      </c>
      <c r="AF26" s="68" t="e">
        <f t="shared" si="4"/>
        <v>#N/A</v>
      </c>
      <c r="AG26" s="87">
        <f>(VLOOKUP($A:$A,USD!$A:$AL,33,FALSE)*88)/88*20</f>
        <v>28.814300000000003</v>
      </c>
      <c r="AH26" s="68">
        <f>(VLOOKUP($A:$A,USD!$A:$AL,34,FALSE)*88)/88*20</f>
        <v>6.973140495867769</v>
      </c>
      <c r="AI26" s="87">
        <f>(VLOOKUP($A:$A,USD!$A:$AL,35,FALSE)*88)/88*20</f>
        <v>12.587317427197677</v>
      </c>
      <c r="AJ26" s="87">
        <f>(VLOOKUP($A:$A,USD!$A:$AL,36,FALSE)*88)/88*20</f>
        <v>6.7351999999999999</v>
      </c>
      <c r="AL26" s="68">
        <f t="shared" si="5"/>
        <v>55.109957923065444</v>
      </c>
      <c r="AM26" s="87">
        <f>(VLOOKUP($A:$A,USD!$A:$AR,39,FALSE)*88)/88*20</f>
        <v>79.999999999999986</v>
      </c>
      <c r="AN26" s="68">
        <f>(VLOOKUP($A:$A,USD!$A:$AR,40,FALSE)*88)/88*20</f>
        <v>26.17808219178082</v>
      </c>
      <c r="AO26" s="1">
        <f>(VLOOKUP($A:$A,USD!$A:$AR,41,FALSE)*88)/88*20</f>
        <v>0</v>
      </c>
      <c r="AR26" s="1">
        <f t="shared" si="6"/>
        <v>106.1780821917808</v>
      </c>
      <c r="AS26" s="38" t="e">
        <f t="shared" si="7"/>
        <v>#VALUE!</v>
      </c>
      <c r="AT26" s="38" t="e">
        <f t="shared" si="8"/>
        <v>#N/A</v>
      </c>
      <c r="AW26" s="1" t="e">
        <f>(VLOOKUP(A:A,USD!A:AT,46,FALSE)*88)/88*20</f>
        <v>#N/A</v>
      </c>
      <c r="AX26" s="1" t="e">
        <f>(VLOOKUP(A:A,USD!A:AU,47,FALSE)*88)/88*20</f>
        <v>#N/A</v>
      </c>
    </row>
    <row r="27" spans="1:50" hidden="1">
      <c r="A27" s="1">
        <v>176006</v>
      </c>
      <c r="B27" s="1" t="s">
        <v>111</v>
      </c>
      <c r="C27" s="1" t="s">
        <v>107</v>
      </c>
      <c r="D27" s="1" t="s">
        <v>108</v>
      </c>
      <c r="E27" s="1" t="str">
        <f>VLOOKUP(A:A,USD!A:E,5,FALSE)</f>
        <v>Southwest</v>
      </c>
      <c r="F27" s="1">
        <f>VLOOKUP(A:A,USD!A:F,6,FALSE)</f>
        <v>0</v>
      </c>
      <c r="G27" s="1" t="str">
        <f>VLOOKUP(A:A,'Regions and Ports'!A:G,7,FALSE)</f>
        <v>Los Angeles</v>
      </c>
      <c r="H27" s="1">
        <f>VLOOKUP(A:A,USD!A:R,8,FALSE)</f>
        <v>5</v>
      </c>
      <c r="I27" s="87">
        <f>(VLOOKUP($A:$A,USD!$A:$AL,9,FALSE)*88)/88*20</f>
        <v>0</v>
      </c>
      <c r="J27" s="87">
        <f>(VLOOKUP($A:$A,USD!$A:$AL,10,FALSE)*88)/88*20</f>
        <v>190</v>
      </c>
      <c r="K27" s="87">
        <f>(VLOOKUP($A:$A,USD!$A:$AL,11,FALSE)*88)/88*20</f>
        <v>0</v>
      </c>
      <c r="L27" s="87">
        <f>(VLOOKUP($A:$A,USD!$A:$AL,12,FALSE)*88)/88*20</f>
        <v>0</v>
      </c>
      <c r="M27" s="87">
        <f>(VLOOKUP($A:$A,USD!$A:$AL,13,FALSE)*88)/88*20</f>
        <v>10</v>
      </c>
      <c r="N27" s="87">
        <f>(VLOOKUP($A:$A,USD!$A:$AL,14,FALSE)*88)/88*20</f>
        <v>96</v>
      </c>
      <c r="O27" s="68">
        <f>(VLOOKUP($A:$A,USD!$A:$AL,15,FALSE)*88)/88*20</f>
        <v>37.916666666666671</v>
      </c>
      <c r="P27" s="87" t="e">
        <f>(VLOOKUP($A:$A,USD!$A:$AL,16,FALSE)*88)/88*20</f>
        <v>#N/A</v>
      </c>
      <c r="Q27" s="68" t="e">
        <f t="shared" si="0"/>
        <v>#N/A</v>
      </c>
      <c r="R27" s="68" t="e">
        <f t="shared" si="1"/>
        <v>#VALUE!</v>
      </c>
      <c r="S27" s="68">
        <f>(VLOOKUP($A:$A,USD!$A:$AL,19,FALSE)*88)/88*20</f>
        <v>0</v>
      </c>
      <c r="T27" s="68">
        <f>(VLOOKUP($A:$A,USD!$A:$AL,20,FALSE)*88)/88*20</f>
        <v>0</v>
      </c>
      <c r="U27" s="68" t="e">
        <f>(VLOOKUP($A:$A,USD!$A:$AL,21,FALSE)*88)/88*20</f>
        <v>#N/A</v>
      </c>
      <c r="V27" s="68"/>
      <c r="W27" s="68" t="e">
        <f t="shared" si="2"/>
        <v>#N/A</v>
      </c>
      <c r="X27" s="1" t="e">
        <f>(VLOOKUP($A:$A,USD!$A:$AL,24,FALSE)*88)/88*20</f>
        <v>#N/A</v>
      </c>
      <c r="Y27" s="68" t="e">
        <f>(VLOOKUP($A:$A,USD!$A:$AL,25,FALSE)*88)/88*20</f>
        <v>#N/A</v>
      </c>
      <c r="Z27" s="68">
        <f>(VLOOKUP($A:$A,USD!$A:$AL,26,FALSE)*88)/88*20</f>
        <v>26.25</v>
      </c>
      <c r="AB27" s="68" t="e">
        <f t="shared" si="3"/>
        <v>#N/A</v>
      </c>
      <c r="AC27" s="68" t="e">
        <f>(VLOOKUP($A:$A,USD!$A:$AL,29,FALSE)*88)/88*20</f>
        <v>#N/A</v>
      </c>
      <c r="AD27" s="68" t="e">
        <f>(VLOOKUP($A:$A,USD!$A:$AL,30,FALSE)*88)/88*20</f>
        <v>#N/A</v>
      </c>
      <c r="AF27" s="68" t="e">
        <f t="shared" si="4"/>
        <v>#N/A</v>
      </c>
      <c r="AG27" s="87">
        <f>(VLOOKUP($A:$A,USD!$A:$AL,33,FALSE)*88)/88*20</f>
        <v>28.814300000000003</v>
      </c>
      <c r="AH27" s="68">
        <f>(VLOOKUP($A:$A,USD!$A:$AL,34,FALSE)*88)/88*20</f>
        <v>6.973140495867769</v>
      </c>
      <c r="AI27" s="87">
        <f>(VLOOKUP($A:$A,USD!$A:$AL,35,FALSE)*88)/88*20</f>
        <v>12.587317427197677</v>
      </c>
      <c r="AJ27" s="87">
        <f>(VLOOKUP($A:$A,USD!$A:$AL,36,FALSE)*88)/88*20</f>
        <v>6.7351999999999999</v>
      </c>
      <c r="AL27" s="68">
        <f t="shared" si="5"/>
        <v>55.109957923065444</v>
      </c>
      <c r="AM27" s="87">
        <f>(VLOOKUP($A:$A,USD!$A:$AR,39,FALSE)*88)/88*20</f>
        <v>79.999999999999986</v>
      </c>
      <c r="AN27" s="68">
        <f>(VLOOKUP($A:$A,USD!$A:$AR,40,FALSE)*88)/88*20</f>
        <v>26.17808219178082</v>
      </c>
      <c r="AO27" s="1">
        <f>(VLOOKUP($A:$A,USD!$A:$AR,41,FALSE)*88)/88*20</f>
        <v>0</v>
      </c>
      <c r="AR27" s="1">
        <f t="shared" si="6"/>
        <v>106.1780821917808</v>
      </c>
      <c r="AS27" s="38" t="e">
        <f t="shared" si="7"/>
        <v>#VALUE!</v>
      </c>
      <c r="AT27" s="38" t="e">
        <f t="shared" si="8"/>
        <v>#N/A</v>
      </c>
      <c r="AW27" s="1" t="e">
        <f>(VLOOKUP(A:A,USD!A:AT,46,FALSE)*88)/88*20</f>
        <v>#N/A</v>
      </c>
      <c r="AX27" s="1" t="e">
        <f>(VLOOKUP(A:A,USD!A:AU,47,FALSE)*88)/88*20</f>
        <v>#N/A</v>
      </c>
    </row>
    <row r="28" spans="1:50" hidden="1">
      <c r="A28" s="1">
        <v>820010</v>
      </c>
      <c r="B28" s="1" t="s">
        <v>112</v>
      </c>
      <c r="C28" s="1" t="s">
        <v>113</v>
      </c>
      <c r="D28" s="1" t="s">
        <v>71</v>
      </c>
      <c r="E28" s="1" t="str">
        <f>VLOOKUP(A:A,USD!A:E,5,FALSE)</f>
        <v>WTX</v>
      </c>
      <c r="F28" s="1" t="str">
        <f>VLOOKUP(A:A,USD!A:F,6,FALSE)</f>
        <v>WTX</v>
      </c>
      <c r="G28" s="1" t="str">
        <f>VLOOKUP(A:A,'Regions and Ports'!A:G,7,FALSE)</f>
        <v>Dallas</v>
      </c>
      <c r="H28" s="1">
        <f>VLOOKUP(A:A,USD!A:R,8,FALSE)</f>
        <v>2</v>
      </c>
      <c r="I28" s="87">
        <f>(VLOOKUP($A:$A,USD!$A:$AL,9,FALSE)*88)/88*20</f>
        <v>102</v>
      </c>
      <c r="J28" s="87">
        <f>(VLOOKUP($A:$A,USD!$A:$AL,10,FALSE)*88)/88*20</f>
        <v>125</v>
      </c>
      <c r="K28" s="87">
        <f>(VLOOKUP($A:$A,USD!$A:$AL,11,FALSE)*88)/88*20</f>
        <v>240</v>
      </c>
      <c r="L28" s="87">
        <f>(VLOOKUP($A:$A,USD!$A:$AL,12,FALSE)*88)/88*20</f>
        <v>0</v>
      </c>
      <c r="M28" s="87">
        <f>(VLOOKUP($A:$A,USD!$A:$AL,13,FALSE)*88)/88*20</f>
        <v>0</v>
      </c>
      <c r="N28" s="87">
        <f>(VLOOKUP($A:$A,USD!$A:$AL,14,FALSE)*88)/88*20</f>
        <v>57</v>
      </c>
      <c r="O28" s="68">
        <f>(VLOOKUP($A:$A,USD!$A:$AL,15,FALSE)*88)/88*20</f>
        <v>37.916666666666671</v>
      </c>
      <c r="P28" s="87">
        <f>(VLOOKUP($A:$A,USD!$A:$AL,16,FALSE)*88)/88*20</f>
        <v>0</v>
      </c>
      <c r="Q28" s="68">
        <f t="shared" si="0"/>
        <v>561.91666666666663</v>
      </c>
      <c r="R28" s="68">
        <f t="shared" si="1"/>
        <v>334.91666666666669</v>
      </c>
      <c r="S28" s="68">
        <f>(VLOOKUP($A:$A,USD!$A:$AL,19,FALSE)*88)/88*20</f>
        <v>0</v>
      </c>
      <c r="T28" s="68">
        <f>(VLOOKUP($A:$A,USD!$A:$AL,20,FALSE)*88)/88*20</f>
        <v>0</v>
      </c>
      <c r="U28" s="68">
        <f>(VLOOKUP($A:$A,USD!$A:$AL,21,FALSE)*88)/88*20</f>
        <v>176.70454545454547</v>
      </c>
      <c r="V28" s="68"/>
      <c r="W28" s="68">
        <f t="shared" si="2"/>
        <v>176.70454545454547</v>
      </c>
      <c r="X28" s="1">
        <f>(VLOOKUP($A:$A,USD!$A:$AL,24,FALSE)*88)/88*20</f>
        <v>54</v>
      </c>
      <c r="Y28" s="68">
        <f>(VLOOKUP($A:$A,USD!$A:$AL,25,FALSE)*88)/88*20</f>
        <v>50.4</v>
      </c>
      <c r="Z28" s="68">
        <f>(VLOOKUP($A:$A,USD!$A:$AL,26,FALSE)*88)/88*20</f>
        <v>26.25</v>
      </c>
      <c r="AB28" s="68">
        <f t="shared" si="3"/>
        <v>130.65</v>
      </c>
      <c r="AC28" s="68">
        <f>(VLOOKUP($A:$A,USD!$A:$AL,29,FALSE)*88)/88*20</f>
        <v>162.5</v>
      </c>
      <c r="AD28" s="68">
        <f>(VLOOKUP($A:$A,USD!$A:$AL,30,FALSE)*88)/88*20</f>
        <v>268.18181818181819</v>
      </c>
      <c r="AF28" s="68">
        <f t="shared" si="4"/>
        <v>430.68181818181819</v>
      </c>
      <c r="AG28" s="87">
        <f>(VLOOKUP($A:$A,USD!$A:$AL,33,FALSE)*88)/88*20</f>
        <v>28.814300000000003</v>
      </c>
      <c r="AH28" s="68">
        <f>(VLOOKUP($A:$A,USD!$A:$AL,34,FALSE)*88)/88*20</f>
        <v>6.973140495867769</v>
      </c>
      <c r="AI28" s="87">
        <f>(VLOOKUP($A:$A,USD!$A:$AL,35,FALSE)*88)/88*20</f>
        <v>12.587317427197677</v>
      </c>
      <c r="AJ28" s="87">
        <f>(VLOOKUP($A:$A,USD!$A:$AL,36,FALSE)*88)/88*20</f>
        <v>6.7351999999999999</v>
      </c>
      <c r="AL28" s="68">
        <f t="shared" si="5"/>
        <v>55.109957923065444</v>
      </c>
      <c r="AM28" s="87">
        <f>(VLOOKUP($A:$A,USD!$A:$AR,39,FALSE)*88)/88*20</f>
        <v>79.999999999999986</v>
      </c>
      <c r="AN28" s="68">
        <f>(VLOOKUP($A:$A,USD!$A:$AR,40,FALSE)*88)/88*20</f>
        <v>26.17808219178082</v>
      </c>
      <c r="AO28" s="1">
        <f>(VLOOKUP($A:$A,USD!$A:$AR,41,FALSE)*88)/88*20</f>
        <v>0</v>
      </c>
      <c r="AR28" s="1">
        <f t="shared" si="6"/>
        <v>106.1780821917808</v>
      </c>
      <c r="AS28" s="38">
        <f t="shared" si="7"/>
        <v>1234.2410704178765</v>
      </c>
      <c r="AT28" s="38">
        <f t="shared" si="8"/>
        <v>1461.2410704178765</v>
      </c>
      <c r="AW28" s="1">
        <f>(VLOOKUP(A:A,USD!A:AT,46,FALSE)*88)/88*20</f>
        <v>268.68863636363636</v>
      </c>
      <c r="AX28" s="1" t="e">
        <f>(VLOOKUP(A:A,USD!A:AU,47,FALSE)*88)/88*20</f>
        <v>#N/A</v>
      </c>
    </row>
    <row r="29" spans="1:50" hidden="1">
      <c r="A29" s="125">
        <v>820010</v>
      </c>
      <c r="B29" s="1" t="s">
        <v>112</v>
      </c>
      <c r="C29" s="1" t="s">
        <v>113</v>
      </c>
      <c r="D29" s="1" t="s">
        <v>71</v>
      </c>
      <c r="E29" s="1" t="s">
        <v>2067</v>
      </c>
      <c r="F29" s="1" t="str">
        <f>VLOOKUP(A:A,USD!A:F,6,FALSE)</f>
        <v>WTX</v>
      </c>
      <c r="G29" s="1" t="s">
        <v>439</v>
      </c>
      <c r="H29" s="1">
        <f>VLOOKUP(A:A,USD!A:R,8,FALSE)</f>
        <v>2</v>
      </c>
      <c r="I29" s="87">
        <f>(VLOOKUP($A:$A,USD!$A:$AL,9,FALSE)*88)/88*20</f>
        <v>102</v>
      </c>
      <c r="J29" s="87">
        <f>(VLOOKUP($A:$A,USD!$A:$AL,10,FALSE)*88)/88*20</f>
        <v>125</v>
      </c>
      <c r="K29" s="87">
        <f>(VLOOKUP($A:$A,USD!$A:$AL,11,FALSE)*88)/88*20</f>
        <v>240</v>
      </c>
      <c r="L29" s="87">
        <f>(VLOOKUP($A:$A,USD!$A:$AL,12,FALSE)*88)/88*20</f>
        <v>0</v>
      </c>
      <c r="M29" s="87">
        <f>(VLOOKUP($A:$A,USD!$A:$AL,13,FALSE)*88)/88*20</f>
        <v>0</v>
      </c>
      <c r="N29" s="87">
        <f>(VLOOKUP($A:$A,USD!$A:$AL,14,FALSE)*88)/88*20</f>
        <v>57</v>
      </c>
      <c r="O29" s="68">
        <f>(VLOOKUP($A:$A,USD!$A:$AL,15,FALSE)*88)/88*20</f>
        <v>37.916666666666671</v>
      </c>
      <c r="P29" s="87">
        <f>(VLOOKUP($A:$A,USD!$A:$AL,16,FALSE)*88)/88*20</f>
        <v>0</v>
      </c>
      <c r="Q29" s="68">
        <f t="shared" si="0"/>
        <v>561.91666666666663</v>
      </c>
      <c r="R29" s="68">
        <f t="shared" si="1"/>
        <v>334.91666666666669</v>
      </c>
      <c r="S29" s="68">
        <f>(VLOOKUP($A:$A,USD!$A:$AL,19,FALSE)*88)/88*20</f>
        <v>0</v>
      </c>
      <c r="T29" s="68">
        <f>(VLOOKUP($A:$A,USD!$A:$AL,20,FALSE)*88)/88*20</f>
        <v>0</v>
      </c>
      <c r="U29" s="68" cm="1">
        <f t="array" ref="U29">(_xlfn.XLOOKUP(1, (USD!$A:$A=$A29)*(USD!$E:$E=$E29), USD!$U:$U, "", 0)*88)/88*20</f>
        <v>301.13636363636363</v>
      </c>
      <c r="V29" s="68"/>
      <c r="W29" s="68">
        <f t="shared" si="2"/>
        <v>301.13636363636363</v>
      </c>
      <c r="X29" s="1">
        <f>(VLOOKUP($A:$A,USD!$A:$AL,24,FALSE)*88)/88*20</f>
        <v>54</v>
      </c>
      <c r="Y29" s="68">
        <f>(VLOOKUP($A:$A,USD!$A:$AL,25,FALSE)*88)/88*20</f>
        <v>50.4</v>
      </c>
      <c r="Z29" s="68">
        <f>(VLOOKUP($A:$A,USD!$A:$AL,26,FALSE)*88)/88*20</f>
        <v>26.25</v>
      </c>
      <c r="AB29" s="68">
        <f t="shared" si="3"/>
        <v>130.65</v>
      </c>
      <c r="AC29" s="68" cm="1">
        <f t="array" ref="AC29">_xlfn.XLOOKUP(A29&amp;E29, USD!$A:$A&amp;USD!$E:$E, USD!$AC:$AC, "")*20</f>
        <v>132.95454545454544</v>
      </c>
      <c r="AD29" s="68" cm="1">
        <f t="array" ref="AD29">_xlfn.XLOOKUP(A29&amp;E29, USD!$A:$A&amp;USD!$E:$E, USD!$AD:$AD, "")*20</f>
        <v>197.95454545454547</v>
      </c>
      <c r="AF29" s="68">
        <f t="shared" si="4"/>
        <v>330.90909090909088</v>
      </c>
      <c r="AG29" s="87">
        <f>(VLOOKUP($A:$A,USD!$A:$AL,33,FALSE)*88)/88*20</f>
        <v>28.814300000000003</v>
      </c>
      <c r="AH29" s="68">
        <f>(VLOOKUP($A:$A,USD!$A:$AL,34,FALSE)*88)/88*20</f>
        <v>6.973140495867769</v>
      </c>
      <c r="AI29" s="87">
        <f>(VLOOKUP($A:$A,USD!$A:$AL,35,FALSE)*88)/88*20</f>
        <v>12.587317427197677</v>
      </c>
      <c r="AJ29" s="87">
        <f>(VLOOKUP($A:$A,USD!$A:$AL,36,FALSE)*88)/88*20</f>
        <v>6.7351999999999999</v>
      </c>
      <c r="AL29" s="68">
        <f t="shared" si="5"/>
        <v>55.109957923065444</v>
      </c>
      <c r="AM29" s="87">
        <f>(VLOOKUP($A:$A,USD!$A:$AR,39,FALSE)*88)/88*20</f>
        <v>79.999999999999986</v>
      </c>
      <c r="AN29" s="68">
        <f>(VLOOKUP($A:$A,USD!$A:$AR,40,FALSE)*88)/88*20</f>
        <v>26.17808219178082</v>
      </c>
      <c r="AO29" s="1">
        <f>(VLOOKUP($A:$A,USD!$A:$AR,41,FALSE)*88)/88*20</f>
        <v>0</v>
      </c>
      <c r="AR29" s="1">
        <f t="shared" si="6"/>
        <v>106.1780821917808</v>
      </c>
      <c r="AS29" s="38">
        <f t="shared" si="7"/>
        <v>1258.9001613269672</v>
      </c>
      <c r="AT29" s="38">
        <f t="shared" si="8"/>
        <v>1485.9001613269672</v>
      </c>
      <c r="AW29" s="1">
        <f>(VLOOKUP(A:A,USD!A:AT,46,FALSE)*88)/88*20</f>
        <v>268.68863636363636</v>
      </c>
      <c r="AX29" s="1" t="e">
        <f>(VLOOKUP(A:A,USD!A:AU,47,FALSE)*88)/88*20</f>
        <v>#N/A</v>
      </c>
    </row>
    <row r="30" spans="1:50" hidden="1">
      <c r="A30" s="1">
        <v>222010</v>
      </c>
      <c r="B30" s="1" t="s">
        <v>115</v>
      </c>
      <c r="C30" s="1" t="s">
        <v>116</v>
      </c>
      <c r="D30" s="1" t="s">
        <v>76</v>
      </c>
      <c r="E30" s="1" t="str">
        <f>VLOOKUP(A:A,USD!A:E,5,FALSE)</f>
        <v>GA 30 Day</v>
      </c>
      <c r="F30" s="1" t="str">
        <f>VLOOKUP(A:A,USD!A:F,6,FALSE)</f>
        <v>ER5</v>
      </c>
      <c r="G30" s="1" t="str">
        <f>VLOOKUP(A:A,'Regions and Ports'!A:G,7,FALSE)</f>
        <v>Savannah</v>
      </c>
      <c r="H30" s="1">
        <f>VLOOKUP(A:A,USD!A:R,8,FALSE)</f>
        <v>4</v>
      </c>
      <c r="I30" s="87">
        <f>(VLOOKUP($A:$A,USD!$A:$AL,9,FALSE)*88)/88*20</f>
        <v>60</v>
      </c>
      <c r="J30" s="87">
        <f>(VLOOKUP($A:$A,USD!$A:$AL,10,FALSE)*88)/88*20</f>
        <v>90</v>
      </c>
      <c r="K30" s="87">
        <f>(VLOOKUP($A:$A,USD!$A:$AL,11,FALSE)*88)/88*20</f>
        <v>0</v>
      </c>
      <c r="L30" s="87">
        <f>(VLOOKUP($A:$A,USD!$A:$AL,12,FALSE)*88)/88*20</f>
        <v>0</v>
      </c>
      <c r="M30" s="87">
        <f>(VLOOKUP($A:$A,USD!$A:$AL,13,FALSE)*88)/88*20</f>
        <v>0</v>
      </c>
      <c r="N30" s="87">
        <f>(VLOOKUP($A:$A,USD!$A:$AL,14,FALSE)*88)/88*20</f>
        <v>40</v>
      </c>
      <c r="O30" s="68">
        <f>(VLOOKUP($A:$A,USD!$A:$AL,15,FALSE)*88)/88*20</f>
        <v>37.916666666666671</v>
      </c>
      <c r="P30" s="87">
        <f>(VLOOKUP($A:$A,USD!$A:$AL,16,FALSE)*88)/88*20</f>
        <v>0</v>
      </c>
      <c r="Q30" s="68">
        <f t="shared" si="0"/>
        <v>227.91666666666669</v>
      </c>
      <c r="R30" s="68">
        <f t="shared" si="1"/>
        <v>37.916666666666671</v>
      </c>
      <c r="S30" s="68">
        <f>(VLOOKUP($A:$A,USD!$A:$AL,19,FALSE)*88)/88*20</f>
        <v>0</v>
      </c>
      <c r="T30" s="68">
        <f>(VLOOKUP($A:$A,USD!$A:$AL,20,FALSE)*88)/88*20</f>
        <v>0</v>
      </c>
      <c r="U30" s="68">
        <f>(VLOOKUP($A:$A,USD!$A:$AL,21,FALSE)*88)/88*20</f>
        <v>182.74204545454549</v>
      </c>
      <c r="V30" s="68"/>
      <c r="W30" s="68">
        <f t="shared" si="2"/>
        <v>182.74204545454549</v>
      </c>
      <c r="X30" s="1">
        <f>(VLOOKUP($A:$A,USD!$A:$AL,24,FALSE)*88)/88*20</f>
        <v>52</v>
      </c>
      <c r="Y30" s="68">
        <f>(VLOOKUP($A:$A,USD!$A:$AL,25,FALSE)*88)/88*20</f>
        <v>50.4</v>
      </c>
      <c r="Z30" s="68">
        <f>(VLOOKUP($A:$A,USD!$A:$AL,26,FALSE)*88)/88*20</f>
        <v>26.25</v>
      </c>
      <c r="AB30" s="68">
        <f t="shared" si="3"/>
        <v>128.65</v>
      </c>
      <c r="AC30" s="68">
        <f>(VLOOKUP($A:$A,USD!$A:$AL,29,FALSE)*88)/88*20</f>
        <v>110.22727272727273</v>
      </c>
      <c r="AD30" s="68">
        <f>(VLOOKUP($A:$A,USD!$A:$AL,30,FALSE)*88)/88*20</f>
        <v>107.04545454545455</v>
      </c>
      <c r="AF30" s="68">
        <f t="shared" si="4"/>
        <v>217.27272727272728</v>
      </c>
      <c r="AG30" s="87">
        <f>(VLOOKUP($A:$A,USD!$A:$AL,33,FALSE)*88)/88*20</f>
        <v>28.814300000000003</v>
      </c>
      <c r="AH30" s="68">
        <f>(VLOOKUP($A:$A,USD!$A:$AL,34,FALSE)*88)/88*20</f>
        <v>6.973140495867769</v>
      </c>
      <c r="AI30" s="87">
        <f>(VLOOKUP($A:$A,USD!$A:$AL,35,FALSE)*88)/88*20</f>
        <v>12.587317427197677</v>
      </c>
      <c r="AJ30" s="87">
        <f>(VLOOKUP($A:$A,USD!$A:$AL,36,FALSE)*88)/88*20</f>
        <v>6.7351999999999999</v>
      </c>
      <c r="AL30" s="68">
        <f t="shared" si="5"/>
        <v>55.109957923065444</v>
      </c>
      <c r="AM30" s="87">
        <f>(VLOOKUP($A:$A,USD!$A:$AR,39,FALSE)*88)/88*20</f>
        <v>79.999999999999986</v>
      </c>
      <c r="AN30" s="68">
        <f>(VLOOKUP($A:$A,USD!$A:$AR,40,FALSE)*88)/88*20</f>
        <v>26.17808219178082</v>
      </c>
      <c r="AO30" s="1">
        <f>(VLOOKUP($A:$A,USD!$A:$AR,41,FALSE)*88)/88*20</f>
        <v>0</v>
      </c>
      <c r="AR30" s="1">
        <f t="shared" si="6"/>
        <v>106.1780821917808</v>
      </c>
      <c r="AS30" s="38">
        <f t="shared" si="7"/>
        <v>727.86947950878562</v>
      </c>
      <c r="AT30" s="38">
        <f t="shared" si="8"/>
        <v>917.86947950878562</v>
      </c>
      <c r="AW30" s="1">
        <f>(VLOOKUP(A:A,USD!A:AT,46,FALSE)*88)/88*20</f>
        <v>517.36136363636365</v>
      </c>
      <c r="AX30" s="1">
        <f>(VLOOKUP(A:A,USD!A:AU,47,FALSE)*88)/88*20</f>
        <v>258.52272727272725</v>
      </c>
    </row>
    <row r="31" spans="1:50" hidden="1">
      <c r="A31" s="1">
        <v>220900</v>
      </c>
      <c r="B31" s="1" t="s">
        <v>118</v>
      </c>
      <c r="C31" s="1" t="s">
        <v>119</v>
      </c>
      <c r="D31" s="1" t="s">
        <v>76</v>
      </c>
      <c r="E31" s="1" t="str">
        <f>VLOOKUP(A:A,USD!A:E,5,FALSE)</f>
        <v>GA 30 Day</v>
      </c>
      <c r="F31" s="1" t="str">
        <f>VLOOKUP(A:A,USD!A:F,6,FALSE)</f>
        <v>ER5</v>
      </c>
      <c r="G31" s="1" t="str">
        <f>VLOOKUP(A:A,'Regions and Ports'!A:G,7,FALSE)</f>
        <v>Savannah</v>
      </c>
      <c r="H31" s="1">
        <f>VLOOKUP(A:A,USD!A:R,8,FALSE)</f>
        <v>4</v>
      </c>
      <c r="I31" s="87">
        <f>(VLOOKUP($A:$A,USD!$A:$AL,9,FALSE)*88)/88*20</f>
        <v>59</v>
      </c>
      <c r="J31" s="87">
        <f>(VLOOKUP($A:$A,USD!$A:$AL,10,FALSE)*88)/88*20</f>
        <v>100</v>
      </c>
      <c r="K31" s="87">
        <f>(VLOOKUP($A:$A,USD!$A:$AL,11,FALSE)*88)/88*20</f>
        <v>0</v>
      </c>
      <c r="L31" s="87">
        <f>(VLOOKUP($A:$A,USD!$A:$AL,12,FALSE)*88)/88*20</f>
        <v>0</v>
      </c>
      <c r="M31" s="87">
        <f>(VLOOKUP($A:$A,USD!$A:$AL,13,FALSE)*88)/88*20</f>
        <v>0</v>
      </c>
      <c r="N31" s="87">
        <f>(VLOOKUP($A:$A,USD!$A:$AL,14,FALSE)*88)/88*20</f>
        <v>60</v>
      </c>
      <c r="O31" s="68">
        <f>(VLOOKUP($A:$A,USD!$A:$AL,15,FALSE)*88)/88*20</f>
        <v>37.916666666666671</v>
      </c>
      <c r="P31" s="87">
        <f>(VLOOKUP($A:$A,USD!$A:$AL,16,FALSE)*88)/88*20</f>
        <v>0</v>
      </c>
      <c r="Q31" s="68">
        <f t="shared" si="0"/>
        <v>256.91666666666669</v>
      </c>
      <c r="R31" s="68">
        <f t="shared" si="1"/>
        <v>37.916666666666671</v>
      </c>
      <c r="S31" s="68">
        <f>(VLOOKUP($A:$A,USD!$A:$AL,19,FALSE)*88)/88*20</f>
        <v>0</v>
      </c>
      <c r="T31" s="68">
        <f>(VLOOKUP($A:$A,USD!$A:$AL,20,FALSE)*88)/88*20</f>
        <v>0</v>
      </c>
      <c r="U31" s="68">
        <f>(VLOOKUP($A:$A,USD!$A:$AL,21,FALSE)*88)/88*20</f>
        <v>173.79318181818181</v>
      </c>
      <c r="V31" s="68"/>
      <c r="W31" s="68">
        <f t="shared" si="2"/>
        <v>173.79318181818181</v>
      </c>
      <c r="X31" s="1">
        <f>(VLOOKUP($A:$A,USD!$A:$AL,24,FALSE)*88)/88*20</f>
        <v>52</v>
      </c>
      <c r="Y31" s="68">
        <f>(VLOOKUP($A:$A,USD!$A:$AL,25,FALSE)*88)/88*20</f>
        <v>50.4</v>
      </c>
      <c r="Z31" s="68">
        <f>(VLOOKUP($A:$A,USD!$A:$AL,26,FALSE)*88)/88*20</f>
        <v>26.25</v>
      </c>
      <c r="AB31" s="68">
        <f t="shared" si="3"/>
        <v>128.65</v>
      </c>
      <c r="AC31" s="68">
        <f>(VLOOKUP($A:$A,USD!$A:$AL,29,FALSE)*88)/88*20</f>
        <v>110.22727272727273</v>
      </c>
      <c r="AD31" s="68">
        <f>(VLOOKUP($A:$A,USD!$A:$AL,30,FALSE)*88)/88*20</f>
        <v>107.04545454545455</v>
      </c>
      <c r="AF31" s="68">
        <f t="shared" si="4"/>
        <v>217.27272727272728</v>
      </c>
      <c r="AG31" s="87">
        <f>(VLOOKUP($A:$A,USD!$A:$AL,33,FALSE)*88)/88*20</f>
        <v>28.814300000000003</v>
      </c>
      <c r="AH31" s="68">
        <f>(VLOOKUP($A:$A,USD!$A:$AL,34,FALSE)*88)/88*20</f>
        <v>6.973140495867769</v>
      </c>
      <c r="AI31" s="87">
        <f>(VLOOKUP($A:$A,USD!$A:$AL,35,FALSE)*88)/88*20</f>
        <v>12.587317427197677</v>
      </c>
      <c r="AJ31" s="87">
        <f>(VLOOKUP($A:$A,USD!$A:$AL,36,FALSE)*88)/88*20</f>
        <v>6.7351999999999999</v>
      </c>
      <c r="AL31" s="68">
        <f t="shared" si="5"/>
        <v>55.109957923065444</v>
      </c>
      <c r="AM31" s="87">
        <f>(VLOOKUP($A:$A,USD!$A:$AR,39,FALSE)*88)/88*20</f>
        <v>79.999999999999986</v>
      </c>
      <c r="AN31" s="68">
        <f>(VLOOKUP($A:$A,USD!$A:$AR,40,FALSE)*88)/88*20</f>
        <v>26.17808219178082</v>
      </c>
      <c r="AO31" s="1">
        <f>(VLOOKUP($A:$A,USD!$A:$AR,41,FALSE)*88)/88*20</f>
        <v>0</v>
      </c>
      <c r="AR31" s="1">
        <f t="shared" si="6"/>
        <v>106.1780821917808</v>
      </c>
      <c r="AS31" s="38">
        <f t="shared" si="7"/>
        <v>718.92061587242199</v>
      </c>
      <c r="AT31" s="38">
        <f t="shared" si="8"/>
        <v>937.92061587242199</v>
      </c>
      <c r="AW31" s="1">
        <f>(VLOOKUP(A:A,USD!A:AT,46,FALSE)*88)/88*20</f>
        <v>517.04090909090905</v>
      </c>
      <c r="AX31" s="1">
        <f>(VLOOKUP(A:A,USD!A:AU,47,FALSE)*88)/88*20</f>
        <v>292.61363636363637</v>
      </c>
    </row>
    <row r="32" spans="1:50" hidden="1">
      <c r="A32" s="1">
        <v>819202</v>
      </c>
      <c r="B32" s="1" t="s">
        <v>121</v>
      </c>
      <c r="C32" s="1" t="s">
        <v>122</v>
      </c>
      <c r="D32" s="1" t="s">
        <v>71</v>
      </c>
      <c r="E32" s="1" t="str">
        <f>VLOOKUP(A:A,USD!A:E,5,FALSE)</f>
        <v>STEX</v>
      </c>
      <c r="F32" s="1" t="str">
        <f>VLOOKUP(A:A,USD!A:F,6,FALSE)</f>
        <v>STX</v>
      </c>
      <c r="G32" s="1" t="str">
        <f>VLOOKUP(A:A,'Regions and Ports'!A:G,7,FALSE)</f>
        <v>Houston</v>
      </c>
      <c r="H32" s="1">
        <f>VLOOKUP(A:A,USD!A:R,8,FALSE)</f>
        <v>3</v>
      </c>
      <c r="I32" s="87">
        <f>(VLOOKUP($A:$A,USD!$A:$AL,9,FALSE)*88)/88*20</f>
        <v>90</v>
      </c>
      <c r="J32" s="87">
        <f>(VLOOKUP($A:$A,USD!$A:$AL,10,FALSE)*88)/88*20</f>
        <v>150</v>
      </c>
      <c r="K32" s="87">
        <f>(VLOOKUP($A:$A,USD!$A:$AL,11,FALSE)*88)/88*20</f>
        <v>203</v>
      </c>
      <c r="L32" s="87">
        <f>(VLOOKUP($A:$A,USD!$A:$AL,12,FALSE)*88)/88*20</f>
        <v>60</v>
      </c>
      <c r="M32" s="87">
        <f>(VLOOKUP($A:$A,USD!$A:$AL,13,FALSE)*88)/88*20</f>
        <v>0</v>
      </c>
      <c r="N32" s="87">
        <f>(VLOOKUP($A:$A,USD!$A:$AL,14,FALSE)*88)/88*20</f>
        <v>85</v>
      </c>
      <c r="O32" s="68">
        <f>(VLOOKUP($A:$A,USD!$A:$AL,15,FALSE)*88)/88*20</f>
        <v>37.916666666666671</v>
      </c>
      <c r="P32" s="87">
        <f>(VLOOKUP($A:$A,USD!$A:$AL,16,FALSE)*88)/88*20</f>
        <v>0</v>
      </c>
      <c r="Q32" s="68">
        <f t="shared" si="0"/>
        <v>625.91666666666663</v>
      </c>
      <c r="R32" s="68">
        <f t="shared" si="1"/>
        <v>535.91666666666663</v>
      </c>
      <c r="S32" s="68">
        <f>(VLOOKUP($A:$A,USD!$A:$AL,19,FALSE)*88)/88*20</f>
        <v>0</v>
      </c>
      <c r="T32" s="68">
        <f>(VLOOKUP($A:$A,USD!$A:$AL,20,FALSE)*88)/88*20</f>
        <v>0</v>
      </c>
      <c r="U32" s="68" t="e">
        <f>(VLOOKUP($A:$A,USD!$A:$AL,21,FALSE)*88)/88*20</f>
        <v>#N/A</v>
      </c>
      <c r="V32" s="68"/>
      <c r="W32" s="68" t="e">
        <f t="shared" si="2"/>
        <v>#N/A</v>
      </c>
      <c r="X32" s="1">
        <f>(VLOOKUP($A:$A,USD!$A:$AL,24,FALSE)*88)/88*20</f>
        <v>54</v>
      </c>
      <c r="Y32" s="68">
        <f>(VLOOKUP($A:$A,USD!$A:$AL,25,FALSE)*88)/88*20</f>
        <v>50.4</v>
      </c>
      <c r="Z32" s="68">
        <f>(VLOOKUP($A:$A,USD!$A:$AL,26,FALSE)*88)/88*20</f>
        <v>26.25</v>
      </c>
      <c r="AB32" s="68">
        <f t="shared" si="3"/>
        <v>130.65</v>
      </c>
      <c r="AC32" s="68">
        <f>(VLOOKUP($A:$A,USD!$A:$AL,29,FALSE)*88)/88*20</f>
        <v>132.95454545454544</v>
      </c>
      <c r="AD32" s="68">
        <f>(VLOOKUP($A:$A,USD!$A:$AL,30,FALSE)*88)/88*20</f>
        <v>197.95454545454547</v>
      </c>
      <c r="AF32" s="68">
        <f t="shared" si="4"/>
        <v>330.90909090909088</v>
      </c>
      <c r="AG32" s="87">
        <f>(VLOOKUP($A:$A,USD!$A:$AL,33,FALSE)*88)/88*20</f>
        <v>28.814300000000003</v>
      </c>
      <c r="AH32" s="68">
        <f>(VLOOKUP($A:$A,USD!$A:$AL,34,FALSE)*88)/88*20</f>
        <v>6.973140495867769</v>
      </c>
      <c r="AI32" s="87">
        <f>(VLOOKUP($A:$A,USD!$A:$AL,35,FALSE)*88)/88*20</f>
        <v>12.587317427197677</v>
      </c>
      <c r="AJ32" s="87">
        <f>(VLOOKUP($A:$A,USD!$A:$AL,36,FALSE)*88)/88*20</f>
        <v>6.7351999999999999</v>
      </c>
      <c r="AL32" s="68">
        <f t="shared" si="5"/>
        <v>55.109957923065444</v>
      </c>
      <c r="AM32" s="87">
        <f>(VLOOKUP($A:$A,USD!$A:$AR,39,FALSE)*88)/88*20</f>
        <v>79.999999999999986</v>
      </c>
      <c r="AN32" s="68">
        <f>(VLOOKUP($A:$A,USD!$A:$AR,40,FALSE)*88)/88*20</f>
        <v>26.17808219178082</v>
      </c>
      <c r="AO32" s="1">
        <f>(VLOOKUP($A:$A,USD!$A:$AR,41,FALSE)*88)/88*20</f>
        <v>0</v>
      </c>
      <c r="AR32" s="1">
        <f t="shared" si="6"/>
        <v>106.1780821917808</v>
      </c>
      <c r="AS32" s="38" t="e">
        <f t="shared" si="7"/>
        <v>#N/A</v>
      </c>
      <c r="AT32" s="38" t="e">
        <f t="shared" si="8"/>
        <v>#N/A</v>
      </c>
      <c r="AW32" s="1">
        <f>(VLOOKUP(A:A,USD!A:AT,46,FALSE)*88)/88*20</f>
        <v>234.07954545454541</v>
      </c>
      <c r="AX32" s="1" t="e">
        <f>(VLOOKUP(A:A,USD!A:AU,47,FALSE)*88)/88*20</f>
        <v>#N/A</v>
      </c>
    </row>
    <row r="33" spans="1:50">
      <c r="A33" s="1">
        <v>11515</v>
      </c>
      <c r="B33" s="1" t="s">
        <v>124</v>
      </c>
      <c r="C33" s="1" t="s">
        <v>125</v>
      </c>
      <c r="D33" s="1" t="s">
        <v>65</v>
      </c>
      <c r="E33" s="1" t="str">
        <f>VLOOKUP(A:A,USD!A:E,5,FALSE)</f>
        <v>Eastern Rule 5</v>
      </c>
      <c r="F33" s="1" t="str">
        <f>VLOOKUP(A:A,USD!A:F,6,FALSE)</f>
        <v>ER5</v>
      </c>
      <c r="G33" s="1" t="str">
        <f>VLOOKUP(A:A,'Regions and Ports'!A:G,7,FALSE)</f>
        <v>Memphis</v>
      </c>
      <c r="H33" s="1">
        <f>VLOOKUP(A:A,USD!A:R,8,FALSE)</f>
        <v>1</v>
      </c>
      <c r="I33" s="87">
        <f>(VLOOKUP($A:$A,USD!$A:$AL,9,FALSE)*88)/88*20</f>
        <v>80</v>
      </c>
      <c r="J33" s="87">
        <f>(VLOOKUP($A:$A,USD!$A:$AL,10,FALSE)*88)/88*20</f>
        <v>135</v>
      </c>
      <c r="K33" s="87">
        <f>(VLOOKUP($A:$A,USD!$A:$AL,11,FALSE)*88)/88*20</f>
        <v>140</v>
      </c>
      <c r="L33" s="87">
        <f>(VLOOKUP($A:$A,USD!$A:$AL,12,FALSE)*88)/88*20</f>
        <v>0</v>
      </c>
      <c r="M33" s="87">
        <f>(VLOOKUP($A:$A,USD!$A:$AL,13,FALSE)*88)/88*20</f>
        <v>10</v>
      </c>
      <c r="N33" s="87">
        <f>(VLOOKUP($A:$A,USD!$A:$AL,14,FALSE)*88)/88*20</f>
        <v>40</v>
      </c>
      <c r="O33" s="68">
        <f>(VLOOKUP($A:$A,USD!$A:$AL,15,FALSE)*88)/88*20</f>
        <v>37.916666666666671</v>
      </c>
      <c r="P33" s="87">
        <f>(VLOOKUP($A:$A,USD!$A:$AL,16,FALSE)*88)/88*20</f>
        <v>0</v>
      </c>
      <c r="Q33" s="68">
        <f t="shared" si="0"/>
        <v>442.91666666666669</v>
      </c>
      <c r="R33" s="68">
        <f t="shared" si="1"/>
        <v>77.916666666666671</v>
      </c>
      <c r="S33" s="68">
        <f>(VLOOKUP($A:$A,USD!$A:$AL,19,FALSE)*88)/88*20</f>
        <v>0</v>
      </c>
      <c r="T33" s="68">
        <f>(VLOOKUP($A:$A,USD!$A:$AL,20,FALSE)*88)/88*20</f>
        <v>0</v>
      </c>
      <c r="U33" s="68">
        <f>(VLOOKUP($A:$A,USD!$A:$AL,21,FALSE)*88)/88*20</f>
        <v>228.28068181818182</v>
      </c>
      <c r="V33" s="68"/>
      <c r="W33" s="68">
        <f t="shared" si="2"/>
        <v>228.28068181818182</v>
      </c>
      <c r="X33" s="1">
        <f>(VLOOKUP($A:$A,USD!$A:$AL,24,FALSE)*88)/88*20</f>
        <v>50</v>
      </c>
      <c r="Y33" s="68">
        <f>(VLOOKUP($A:$A,USD!$A:$AL,25,FALSE)*88)/88*20</f>
        <v>33.6</v>
      </c>
      <c r="Z33" s="68">
        <f>(VLOOKUP($A:$A,USD!$A:$AL,26,FALSE)*88)/88*20</f>
        <v>26.25</v>
      </c>
      <c r="AB33" s="68">
        <f t="shared" si="3"/>
        <v>109.85</v>
      </c>
      <c r="AC33" s="68">
        <f>(VLOOKUP($A:$A,USD!$A:$AL,29,FALSE)*88)/88*20</f>
        <v>146.02272727272725</v>
      </c>
      <c r="AD33" s="68">
        <f>(VLOOKUP($A:$A,USD!$A:$AL,30,FALSE)*88)/88*20</f>
        <v>182.72727272727275</v>
      </c>
      <c r="AF33" s="68">
        <f t="shared" si="4"/>
        <v>328.75</v>
      </c>
      <c r="AG33" s="87">
        <f>(VLOOKUP($A:$A,USD!$A:$AL,33,FALSE)*88)/88*20</f>
        <v>28.814300000000003</v>
      </c>
      <c r="AH33" s="68">
        <f>(VLOOKUP($A:$A,USD!$A:$AL,34,FALSE)*88)/88*20</f>
        <v>6.973140495867769</v>
      </c>
      <c r="AI33" s="87">
        <f>(VLOOKUP($A:$A,USD!$A:$AL,35,FALSE)*88)/88*20</f>
        <v>12.587317427197677</v>
      </c>
      <c r="AJ33" s="87">
        <f>(VLOOKUP($A:$A,USD!$A:$AL,36,FALSE)*88)/88*20</f>
        <v>6.7351999999999999</v>
      </c>
      <c r="AL33" s="68">
        <f t="shared" si="5"/>
        <v>55.109957923065444</v>
      </c>
      <c r="AM33" s="87">
        <f>(VLOOKUP($A:$A,USD!$A:$AR,39,FALSE)*88)/88*20</f>
        <v>79.999999999999986</v>
      </c>
      <c r="AN33" s="68">
        <f>(VLOOKUP($A:$A,USD!$A:$AR,40,FALSE)*88)/88*20</f>
        <v>26.17808219178082</v>
      </c>
      <c r="AO33" s="1">
        <f>(VLOOKUP($A:$A,USD!$A:$AR,41,FALSE)*88)/88*20</f>
        <v>0</v>
      </c>
      <c r="AR33" s="1">
        <f t="shared" si="6"/>
        <v>106.1780821917808</v>
      </c>
      <c r="AS33" s="38">
        <f t="shared" si="7"/>
        <v>906.08538859969474</v>
      </c>
      <c r="AT33" s="38">
        <f t="shared" si="8"/>
        <v>1271.0853885996946</v>
      </c>
      <c r="AW33" s="1" t="e">
        <f>(VLOOKUP(A:A,USD!A:AT,46,FALSE)*88)/88*20</f>
        <v>#N/A</v>
      </c>
      <c r="AX33" s="1">
        <f>(VLOOKUP(A:A,USD!A:AU,47,FALSE)*88)/88*20</f>
        <v>350.56818181818181</v>
      </c>
    </row>
    <row r="34" spans="1:50" hidden="1">
      <c r="A34" s="1">
        <v>467005</v>
      </c>
      <c r="B34" s="1" t="s">
        <v>126</v>
      </c>
      <c r="C34" s="1" t="s">
        <v>127</v>
      </c>
      <c r="D34" s="1" t="s">
        <v>128</v>
      </c>
      <c r="E34" s="1" t="str">
        <f>VLOOKUP(A:A,USD!A:E,5,FALSE)</f>
        <v>Memphis Rule 5</v>
      </c>
      <c r="F34" s="1" t="str">
        <f>VLOOKUP(A:A,USD!A:F,6,FALSE)</f>
        <v>MR5</v>
      </c>
      <c r="G34" s="1" t="str">
        <f>VLOOKUP(A:A,'Regions and Ports'!A:G,7,FALSE)</f>
        <v>Memphis</v>
      </c>
      <c r="H34" s="1">
        <f>VLOOKUP(A:A,USD!A:R,8,FALSE)</f>
        <v>1</v>
      </c>
      <c r="I34" s="87">
        <f>(VLOOKUP($A:$A,USD!$A:$AL,9,FALSE)*88)/88*20</f>
        <v>30</v>
      </c>
      <c r="J34" s="87">
        <f>(VLOOKUP($A:$A,USD!$A:$AL,10,FALSE)*88)/88*20</f>
        <v>75</v>
      </c>
      <c r="K34" s="87">
        <f>(VLOOKUP($A:$A,USD!$A:$AL,11,FALSE)*88)/88*20</f>
        <v>160</v>
      </c>
      <c r="L34" s="87">
        <f>(VLOOKUP($A:$A,USD!$A:$AL,12,FALSE)*88)/88*20</f>
        <v>61</v>
      </c>
      <c r="M34" s="87">
        <f>(VLOOKUP($A:$A,USD!$A:$AL,13,FALSE)*88)/88*20</f>
        <v>10</v>
      </c>
      <c r="N34" s="87">
        <f>(VLOOKUP($A:$A,USD!$A:$AL,14,FALSE)*88)/88*20</f>
        <v>63</v>
      </c>
      <c r="O34" s="68">
        <f>(VLOOKUP($A:$A,USD!$A:$AL,15,FALSE)*88)/88*20</f>
        <v>37.916666666666671</v>
      </c>
      <c r="P34" s="87">
        <f>(VLOOKUP($A:$A,USD!$A:$AL,16,FALSE)*88)/88*20</f>
        <v>0</v>
      </c>
      <c r="Q34" s="68">
        <f t="shared" si="0"/>
        <v>436.91666666666669</v>
      </c>
      <c r="R34" s="68">
        <f t="shared" si="1"/>
        <v>100.91666666666667</v>
      </c>
      <c r="S34" s="68">
        <f>(VLOOKUP($A:$A,USD!$A:$AL,19,FALSE)*88)/88*20</f>
        <v>0</v>
      </c>
      <c r="T34" s="68">
        <f>(VLOOKUP($A:$A,USD!$A:$AL,20,FALSE)*88)/88*20</f>
        <v>0</v>
      </c>
      <c r="U34" s="68">
        <f>(VLOOKUP($A:$A,USD!$A:$AL,21,FALSE)*88)/88*20</f>
        <v>189.29090909090905</v>
      </c>
      <c r="V34" s="68"/>
      <c r="W34" s="68">
        <f t="shared" si="2"/>
        <v>189.29090909090905</v>
      </c>
      <c r="X34" s="1">
        <f>(VLOOKUP($A:$A,USD!$A:$AL,24,FALSE)*88)/88*20</f>
        <v>50</v>
      </c>
      <c r="Y34" s="68">
        <f>(VLOOKUP($A:$A,USD!$A:$AL,25,FALSE)*88)/88*20</f>
        <v>33.6</v>
      </c>
      <c r="Z34" s="68">
        <f>(VLOOKUP($A:$A,USD!$A:$AL,26,FALSE)*88)/88*20</f>
        <v>26.25</v>
      </c>
      <c r="AB34" s="68">
        <f t="shared" si="3"/>
        <v>109.85</v>
      </c>
      <c r="AC34" s="68">
        <f>(VLOOKUP($A:$A,USD!$A:$AL,29,FALSE)*88)/88*20</f>
        <v>146.02272727272725</v>
      </c>
      <c r="AD34" s="68">
        <f>(VLOOKUP($A:$A,USD!$A:$AL,30,FALSE)*88)/88*20</f>
        <v>182.72727272727275</v>
      </c>
      <c r="AF34" s="68">
        <f t="shared" si="4"/>
        <v>328.75</v>
      </c>
      <c r="AG34" s="87">
        <f>(VLOOKUP($A:$A,USD!$A:$AL,33,FALSE)*88)/88*20</f>
        <v>28.814300000000003</v>
      </c>
      <c r="AH34" s="68">
        <f>(VLOOKUP($A:$A,USD!$A:$AL,34,FALSE)*88)/88*20</f>
        <v>6.973140495867769</v>
      </c>
      <c r="AI34" s="87">
        <f>(VLOOKUP($A:$A,USD!$A:$AL,35,FALSE)*88)/88*20</f>
        <v>12.587317427197677</v>
      </c>
      <c r="AJ34" s="87">
        <f>(VLOOKUP($A:$A,USD!$A:$AL,36,FALSE)*88)/88*20</f>
        <v>6.7351999999999999</v>
      </c>
      <c r="AL34" s="68">
        <f t="shared" si="5"/>
        <v>55.109957923065444</v>
      </c>
      <c r="AM34" s="87">
        <f>(VLOOKUP($A:$A,USD!$A:$AR,39,FALSE)*88)/88*20</f>
        <v>79.999999999999986</v>
      </c>
      <c r="AN34" s="68">
        <f>(VLOOKUP($A:$A,USD!$A:$AR,40,FALSE)*88)/88*20</f>
        <v>26.17808219178082</v>
      </c>
      <c r="AO34" s="1">
        <f>(VLOOKUP($A:$A,USD!$A:$AR,41,FALSE)*88)/88*20</f>
        <v>0</v>
      </c>
      <c r="AR34" s="1">
        <f t="shared" si="6"/>
        <v>106.1780821917808</v>
      </c>
      <c r="AS34" s="38">
        <f t="shared" si="7"/>
        <v>890.09561587242194</v>
      </c>
      <c r="AT34" s="38">
        <f t="shared" si="8"/>
        <v>1226.0956158724218</v>
      </c>
      <c r="AW34" s="1">
        <f>(VLOOKUP(A:A,USD!A:AT,46,FALSE)*88)/88*20</f>
        <v>465.76818181818174</v>
      </c>
      <c r="AX34" s="1" t="e">
        <f>(VLOOKUP(A:A,USD!A:AU,47,FALSE)*88)/88*20</f>
        <v>#N/A</v>
      </c>
    </row>
    <row r="35" spans="1:50" hidden="1">
      <c r="A35" s="1">
        <v>676592</v>
      </c>
      <c r="B35" s="1" t="s">
        <v>130</v>
      </c>
      <c r="C35" s="1" t="s">
        <v>131</v>
      </c>
      <c r="D35" s="1" t="s">
        <v>132</v>
      </c>
      <c r="E35" s="1" t="str">
        <f>VLOOKUP(A:A,USD!A:E,5,FALSE)</f>
        <v>Eastern Rule 5</v>
      </c>
      <c r="F35" s="1" t="str">
        <f>VLOOKUP(A:A,USD!A:F,6,FALSE)</f>
        <v>ER5</v>
      </c>
      <c r="G35" s="1" t="str">
        <f>VLOOKUP(A:A,'Regions and Ports'!A:G,7,FALSE)</f>
        <v>Savannah</v>
      </c>
      <c r="H35" s="1">
        <f>VLOOKUP(A:A,USD!A:R,8,FALSE)</f>
        <v>1</v>
      </c>
      <c r="I35" s="87">
        <f>(VLOOKUP($A:$A,USD!$A:$AL,9,FALSE)*88)/88*20</f>
        <v>80</v>
      </c>
      <c r="J35" s="87">
        <f>(VLOOKUP($A:$A,USD!$A:$AL,10,FALSE)*88)/88*20</f>
        <v>95</v>
      </c>
      <c r="K35" s="87">
        <f>(VLOOKUP($A:$A,USD!$A:$AL,11,FALSE)*88)/88*20</f>
        <v>0</v>
      </c>
      <c r="L35" s="87">
        <f>(VLOOKUP($A:$A,USD!$A:$AL,12,FALSE)*88)/88*20</f>
        <v>0</v>
      </c>
      <c r="M35" s="87">
        <f>(VLOOKUP($A:$A,USD!$A:$AL,13,FALSE)*88)/88*20</f>
        <v>0</v>
      </c>
      <c r="N35" s="87">
        <f>(VLOOKUP($A:$A,USD!$A:$AL,14,FALSE)*88)/88*20</f>
        <v>40</v>
      </c>
      <c r="O35" s="68">
        <f>(VLOOKUP($A:$A,USD!$A:$AL,15,FALSE)*88)/88*20</f>
        <v>37.916666666666671</v>
      </c>
      <c r="P35" s="87">
        <f>(VLOOKUP($A:$A,USD!$A:$AL,16,FALSE)*88)/88*20</f>
        <v>0</v>
      </c>
      <c r="Q35" s="68">
        <f t="shared" si="0"/>
        <v>252.91666666666669</v>
      </c>
      <c r="R35" s="68">
        <f t="shared" si="1"/>
        <v>77.916666666666671</v>
      </c>
      <c r="S35" s="68">
        <f>(VLOOKUP($A:$A,USD!$A:$AL,19,FALSE)*88)/88*20</f>
        <v>0</v>
      </c>
      <c r="T35" s="68">
        <f>(VLOOKUP($A:$A,USD!$A:$AL,20,FALSE)*88)/88*20</f>
        <v>0</v>
      </c>
      <c r="U35" s="68">
        <f>(VLOOKUP($A:$A,USD!$A:$AL,21,FALSE)*88)/88*20</f>
        <v>239.95000000000002</v>
      </c>
      <c r="V35" s="68"/>
      <c r="W35" s="68">
        <f t="shared" si="2"/>
        <v>239.95000000000002</v>
      </c>
      <c r="X35" s="1">
        <f>(VLOOKUP($A:$A,USD!$A:$AL,24,FALSE)*88)/88*20</f>
        <v>52</v>
      </c>
      <c r="Y35" s="68">
        <f>(VLOOKUP($A:$A,USD!$A:$AL,25,FALSE)*88)/88*20</f>
        <v>50.4</v>
      </c>
      <c r="Z35" s="68">
        <f>(VLOOKUP($A:$A,USD!$A:$AL,26,FALSE)*88)/88*20</f>
        <v>26.25</v>
      </c>
      <c r="AB35" s="68">
        <f t="shared" si="3"/>
        <v>128.65</v>
      </c>
      <c r="AC35" s="68">
        <f>(VLOOKUP($A:$A,USD!$A:$AL,29,FALSE)*88)/88*20</f>
        <v>110.22727272727273</v>
      </c>
      <c r="AD35" s="68">
        <f>(VLOOKUP($A:$A,USD!$A:$AL,30,FALSE)*88)/88*20</f>
        <v>107.04545454545455</v>
      </c>
      <c r="AF35" s="68">
        <f t="shared" si="4"/>
        <v>217.27272727272728</v>
      </c>
      <c r="AG35" s="87">
        <f>(VLOOKUP($A:$A,USD!$A:$AL,33,FALSE)*88)/88*20</f>
        <v>28.814300000000003</v>
      </c>
      <c r="AH35" s="68">
        <f>(VLOOKUP($A:$A,USD!$A:$AL,34,FALSE)*88)/88*20</f>
        <v>6.973140495867769</v>
      </c>
      <c r="AI35" s="87">
        <f>(VLOOKUP($A:$A,USD!$A:$AL,35,FALSE)*88)/88*20</f>
        <v>12.587317427197677</v>
      </c>
      <c r="AJ35" s="87">
        <f>(VLOOKUP($A:$A,USD!$A:$AL,36,FALSE)*88)/88*20</f>
        <v>6.7351999999999999</v>
      </c>
      <c r="AL35" s="68">
        <f t="shared" si="5"/>
        <v>55.109957923065444</v>
      </c>
      <c r="AM35" s="87">
        <f>(VLOOKUP($A:$A,USD!$A:$AR,39,FALSE)*88)/88*20</f>
        <v>79.999999999999986</v>
      </c>
      <c r="AN35" s="68">
        <f>(VLOOKUP($A:$A,USD!$A:$AR,40,FALSE)*88)/88*20</f>
        <v>26.17808219178082</v>
      </c>
      <c r="AO35" s="1">
        <f>(VLOOKUP($A:$A,USD!$A:$AR,41,FALSE)*88)/88*20</f>
        <v>0</v>
      </c>
      <c r="AR35" s="1">
        <f t="shared" si="6"/>
        <v>106.1780821917808</v>
      </c>
      <c r="AS35" s="38">
        <f t="shared" si="7"/>
        <v>825.07743405424014</v>
      </c>
      <c r="AT35" s="38">
        <f t="shared" si="8"/>
        <v>1000.0774340542401</v>
      </c>
      <c r="AW35" s="1" t="e">
        <f>(VLOOKUP(A:A,USD!A:AT,46,FALSE)*88)/88*20</f>
        <v>#N/A</v>
      </c>
      <c r="AX35" s="1">
        <f>(VLOOKUP(A:A,USD!A:AU,47,FALSE)*88)/88*20</f>
        <v>181.81818181818184</v>
      </c>
    </row>
    <row r="36" spans="1:50" hidden="1">
      <c r="A36" s="1">
        <v>558070</v>
      </c>
      <c r="B36" s="1" t="s">
        <v>134</v>
      </c>
      <c r="C36" s="1" t="s">
        <v>135</v>
      </c>
      <c r="D36" s="1" t="s">
        <v>136</v>
      </c>
      <c r="E36" s="1" t="str">
        <f>VLOOKUP(A:A,USD!A:E,5,FALSE)</f>
        <v>Eastern Rule 5</v>
      </c>
      <c r="F36" s="1" t="str">
        <f>VLOOKUP(A:A,USD!A:F,6,FALSE)</f>
        <v>ER5</v>
      </c>
      <c r="G36" s="1" t="str">
        <f>VLOOKUP(A:A,'Regions and Ports'!A:G,7,FALSE)</f>
        <v>Savannah</v>
      </c>
      <c r="H36" s="1">
        <f>VLOOKUP(A:A,USD!A:R,8,FALSE)</f>
        <v>1</v>
      </c>
      <c r="I36" s="87">
        <f>(VLOOKUP($A:$A,USD!$A:$AL,9,FALSE)*88)/88*20</f>
        <v>70</v>
      </c>
      <c r="J36" s="87">
        <f>(VLOOKUP($A:$A,USD!$A:$AL,10,FALSE)*88)/88*20</f>
        <v>90</v>
      </c>
      <c r="K36" s="87">
        <f>(VLOOKUP($A:$A,USD!$A:$AL,11,FALSE)*88)/88*20</f>
        <v>0</v>
      </c>
      <c r="L36" s="87">
        <f>(VLOOKUP($A:$A,USD!$A:$AL,12,FALSE)*88)/88*20</f>
        <v>0</v>
      </c>
      <c r="M36" s="87">
        <f>(VLOOKUP($A:$A,USD!$A:$AL,13,FALSE)*88)/88*20</f>
        <v>20</v>
      </c>
      <c r="N36" s="87">
        <f>(VLOOKUP($A:$A,USD!$A:$AL,14,FALSE)*88)/88*20</f>
        <v>40</v>
      </c>
      <c r="O36" s="68">
        <f>(VLOOKUP($A:$A,USD!$A:$AL,15,FALSE)*88)/88*20</f>
        <v>37.916666666666671</v>
      </c>
      <c r="P36" s="87">
        <f>(VLOOKUP($A:$A,USD!$A:$AL,16,FALSE)*88)/88*20</f>
        <v>0</v>
      </c>
      <c r="Q36" s="68">
        <f t="shared" si="0"/>
        <v>257.91666666666669</v>
      </c>
      <c r="R36" s="68">
        <f t="shared" si="1"/>
        <v>77.916666666666671</v>
      </c>
      <c r="S36" s="68">
        <f>(VLOOKUP($A:$A,USD!$A:$AL,19,FALSE)*88)/88*20</f>
        <v>0</v>
      </c>
      <c r="T36" s="68">
        <f>(VLOOKUP($A:$A,USD!$A:$AL,20,FALSE)*88)/88*20</f>
        <v>0</v>
      </c>
      <c r="U36" s="68">
        <f>(VLOOKUP($A:$A,USD!$A:$AL,21,FALSE)*88)/88*20</f>
        <v>264.27556818181819</v>
      </c>
      <c r="V36" s="68"/>
      <c r="W36" s="68">
        <f t="shared" si="2"/>
        <v>264.27556818181819</v>
      </c>
      <c r="X36" s="1">
        <f>(VLOOKUP($A:$A,USD!$A:$AL,24,FALSE)*88)/88*20</f>
        <v>52</v>
      </c>
      <c r="Y36" s="68">
        <f>(VLOOKUP($A:$A,USD!$A:$AL,25,FALSE)*88)/88*20</f>
        <v>50.4</v>
      </c>
      <c r="Z36" s="68">
        <f>(VLOOKUP($A:$A,USD!$A:$AL,26,FALSE)*88)/88*20</f>
        <v>26.25</v>
      </c>
      <c r="AB36" s="68">
        <f t="shared" si="3"/>
        <v>128.65</v>
      </c>
      <c r="AC36" s="68">
        <f>(VLOOKUP($A:$A,USD!$A:$AL,29,FALSE)*88)/88*20</f>
        <v>110.22727272727273</v>
      </c>
      <c r="AD36" s="68">
        <f>(VLOOKUP($A:$A,USD!$A:$AL,30,FALSE)*88)/88*20</f>
        <v>107.04545454545455</v>
      </c>
      <c r="AF36" s="68">
        <f t="shared" si="4"/>
        <v>217.27272727272728</v>
      </c>
      <c r="AG36" s="87">
        <f>(VLOOKUP($A:$A,USD!$A:$AL,33,FALSE)*88)/88*20</f>
        <v>28.814300000000003</v>
      </c>
      <c r="AH36" s="68">
        <f>(VLOOKUP($A:$A,USD!$A:$AL,34,FALSE)*88)/88*20</f>
        <v>6.973140495867769</v>
      </c>
      <c r="AI36" s="87">
        <f>(VLOOKUP($A:$A,USD!$A:$AL,35,FALSE)*88)/88*20</f>
        <v>12.587317427197677</v>
      </c>
      <c r="AJ36" s="87">
        <f>(VLOOKUP($A:$A,USD!$A:$AL,36,FALSE)*88)/88*20</f>
        <v>6.7351999999999999</v>
      </c>
      <c r="AL36" s="68">
        <f t="shared" si="5"/>
        <v>55.109957923065444</v>
      </c>
      <c r="AM36" s="87">
        <f>(VLOOKUP($A:$A,USD!$A:$AR,39,FALSE)*88)/88*20</f>
        <v>79.999999999999986</v>
      </c>
      <c r="AN36" s="68">
        <f>(VLOOKUP($A:$A,USD!$A:$AR,40,FALSE)*88)/88*20</f>
        <v>26.17808219178082</v>
      </c>
      <c r="AO36" s="1">
        <f>(VLOOKUP($A:$A,USD!$A:$AR,41,FALSE)*88)/88*20</f>
        <v>0</v>
      </c>
      <c r="AR36" s="1">
        <f t="shared" si="6"/>
        <v>106.1780821917808</v>
      </c>
      <c r="AS36" s="38">
        <f t="shared" si="7"/>
        <v>849.40300223605834</v>
      </c>
      <c r="AT36" s="38">
        <f t="shared" si="8"/>
        <v>1029.4030022360585</v>
      </c>
      <c r="AW36" s="1" t="e">
        <f>(VLOOKUP(A:A,USD!A:AT,46,FALSE)*88)/88*20</f>
        <v>#N/A</v>
      </c>
      <c r="AX36" s="1">
        <f>(VLOOKUP(A:A,USD!A:AU,47,FALSE)*88)/88*20</f>
        <v>256.81818181818181</v>
      </c>
    </row>
    <row r="37" spans="1:50" hidden="1">
      <c r="A37" s="1">
        <v>829537</v>
      </c>
      <c r="B37" s="1" t="s">
        <v>138</v>
      </c>
      <c r="C37" s="1" t="s">
        <v>2203</v>
      </c>
      <c r="D37" s="1" t="s">
        <v>71</v>
      </c>
      <c r="E37" s="1" t="str">
        <f>VLOOKUP(A:A,USD!A:E,5,FALSE)</f>
        <v>WTX</v>
      </c>
      <c r="F37" s="1" t="str">
        <f>VLOOKUP(A:A,USD!A:F,6,FALSE)</f>
        <v>WTX</v>
      </c>
      <c r="G37" s="1" t="str">
        <f>VLOOKUP(A:A,'Regions and Ports'!A:G,7,FALSE)</f>
        <v>Dallas</v>
      </c>
      <c r="H37" s="1">
        <f>VLOOKUP(A:A,USD!A:R,8,FALSE)</f>
        <v>2</v>
      </c>
      <c r="I37" s="87">
        <f>(VLOOKUP($A:$A,USD!$A:$AL,9,FALSE)*88)/88*20</f>
        <v>103</v>
      </c>
      <c r="J37" s="87">
        <f>(VLOOKUP($A:$A,USD!$A:$AL,10,FALSE)*88)/88*20</f>
        <v>125</v>
      </c>
      <c r="K37" s="87">
        <f>(VLOOKUP($A:$A,USD!$A:$AL,11,FALSE)*88)/88*20</f>
        <v>240</v>
      </c>
      <c r="L37" s="87">
        <f>(VLOOKUP($A:$A,USD!$A:$AL,12,FALSE)*88)/88*20</f>
        <v>0</v>
      </c>
      <c r="M37" s="87">
        <f>(VLOOKUP($A:$A,USD!$A:$AL,13,FALSE)*88)/88*20</f>
        <v>0</v>
      </c>
      <c r="N37" s="87">
        <f>(VLOOKUP($A:$A,USD!$A:$AL,14,FALSE)*88)/88*20</f>
        <v>39</v>
      </c>
      <c r="O37" s="68">
        <f>(VLOOKUP($A:$A,USD!$A:$AL,15,FALSE)*88)/88*20</f>
        <v>37.916666666666671</v>
      </c>
      <c r="P37" s="87">
        <f>(VLOOKUP($A:$A,USD!$A:$AL,16,FALSE)*88)/88*20</f>
        <v>0</v>
      </c>
      <c r="Q37" s="68">
        <f t="shared" si="0"/>
        <v>544.91666666666663</v>
      </c>
      <c r="R37" s="68">
        <f t="shared" si="1"/>
        <v>316.91666666666669</v>
      </c>
      <c r="S37" s="68">
        <f>(VLOOKUP($A:$A,USD!$A:$AL,19,FALSE)*88)/88*20</f>
        <v>20</v>
      </c>
      <c r="T37" s="68">
        <f>(VLOOKUP($A:$A,USD!$A:$AL,20,FALSE)*88)/88*20</f>
        <v>5</v>
      </c>
      <c r="U37" s="68">
        <f>(VLOOKUP($A:$A,USD!$A:$AL,21,FALSE)*88)/88*20</f>
        <v>168.18181818181816</v>
      </c>
      <c r="V37" s="68"/>
      <c r="W37" s="68">
        <f t="shared" si="2"/>
        <v>193.18181818181816</v>
      </c>
      <c r="X37" s="1">
        <f>(VLOOKUP($A:$A,USD!$A:$AL,24,FALSE)*88)/88*20</f>
        <v>54</v>
      </c>
      <c r="Y37" s="68">
        <f>(VLOOKUP($A:$A,USD!$A:$AL,25,FALSE)*88)/88*20</f>
        <v>50.4</v>
      </c>
      <c r="Z37" s="68">
        <f>(VLOOKUP($A:$A,USD!$A:$AL,26,FALSE)*88)/88*20</f>
        <v>26.25</v>
      </c>
      <c r="AB37" s="68">
        <f t="shared" si="3"/>
        <v>130.65</v>
      </c>
      <c r="AC37" s="68">
        <f>(VLOOKUP($A:$A,USD!$A:$AL,29,FALSE)*88)/88*20</f>
        <v>162.5</v>
      </c>
      <c r="AD37" s="68">
        <f>(VLOOKUP($A:$A,USD!$A:$AL,30,FALSE)*88)/88*20</f>
        <v>268.18181818181819</v>
      </c>
      <c r="AF37" s="68">
        <f t="shared" si="4"/>
        <v>430.68181818181819</v>
      </c>
      <c r="AG37" s="87">
        <f>(VLOOKUP($A:$A,USD!$A:$AL,33,FALSE)*88)/88*20</f>
        <v>28.814300000000003</v>
      </c>
      <c r="AH37" s="68">
        <f>(VLOOKUP($A:$A,USD!$A:$AL,34,FALSE)*88)/88*20</f>
        <v>6.973140495867769</v>
      </c>
      <c r="AI37" s="87">
        <f>(VLOOKUP($A:$A,USD!$A:$AL,35,FALSE)*88)/88*20</f>
        <v>12.587317427197677</v>
      </c>
      <c r="AJ37" s="87">
        <f>(VLOOKUP($A:$A,USD!$A:$AL,36,FALSE)*88)/88*20</f>
        <v>6.7351999999999999</v>
      </c>
      <c r="AL37" s="68">
        <f t="shared" si="5"/>
        <v>55.109957923065444</v>
      </c>
      <c r="AM37" s="87">
        <f>(VLOOKUP($A:$A,USD!$A:$AR,39,FALSE)*88)/88*20</f>
        <v>79.999999999999986</v>
      </c>
      <c r="AN37" s="68">
        <f>(VLOOKUP($A:$A,USD!$A:$AR,40,FALSE)*88)/88*20</f>
        <v>26.17808219178082</v>
      </c>
      <c r="AO37" s="1">
        <f>(VLOOKUP($A:$A,USD!$A:$AR,41,FALSE)*88)/88*20</f>
        <v>0</v>
      </c>
      <c r="AR37" s="1">
        <f t="shared" si="6"/>
        <v>106.1780821917808</v>
      </c>
      <c r="AS37" s="38">
        <f t="shared" si="7"/>
        <v>1232.7183431451492</v>
      </c>
      <c r="AT37" s="38">
        <f t="shared" si="8"/>
        <v>1460.718343145149</v>
      </c>
      <c r="AW37" s="1" t="e">
        <f>(VLOOKUP(A:A,USD!A:AT,46,FALSE)*88)/88*20</f>
        <v>#N/A</v>
      </c>
      <c r="AX37" s="1" t="e">
        <f>(VLOOKUP(A:A,USD!A:AU,47,FALSE)*88)/88*20</f>
        <v>#N/A</v>
      </c>
    </row>
    <row r="38" spans="1:50" hidden="1">
      <c r="A38" s="125">
        <v>829537</v>
      </c>
      <c r="B38" s="1" t="s">
        <v>138</v>
      </c>
      <c r="C38" s="1" t="s">
        <v>2203</v>
      </c>
      <c r="D38" s="1" t="s">
        <v>71</v>
      </c>
      <c r="E38" s="1" t="s">
        <v>2067</v>
      </c>
      <c r="F38" s="1" t="str">
        <f>VLOOKUP(A:A,USD!A:F,6,FALSE)</f>
        <v>WTX</v>
      </c>
      <c r="G38" s="1" t="s">
        <v>439</v>
      </c>
      <c r="H38" s="1">
        <f>VLOOKUP(A:A,USD!A:R,8,FALSE)</f>
        <v>2</v>
      </c>
      <c r="I38" s="87">
        <f>(VLOOKUP($A:$A,USD!$A:$AL,9,FALSE)*88)/88*20</f>
        <v>103</v>
      </c>
      <c r="J38" s="87">
        <f>(VLOOKUP($A:$A,USD!$A:$AL,10,FALSE)*88)/88*20</f>
        <v>125</v>
      </c>
      <c r="K38" s="87">
        <f>(VLOOKUP($A:$A,USD!$A:$AL,11,FALSE)*88)/88*20</f>
        <v>240</v>
      </c>
      <c r="L38" s="87">
        <f>(VLOOKUP($A:$A,USD!$A:$AL,12,FALSE)*88)/88*20</f>
        <v>0</v>
      </c>
      <c r="M38" s="87">
        <f>(VLOOKUP($A:$A,USD!$A:$AL,13,FALSE)*88)/88*20</f>
        <v>0</v>
      </c>
      <c r="N38" s="87">
        <f>(VLOOKUP($A:$A,USD!$A:$AL,14,FALSE)*88)/88*20</f>
        <v>39</v>
      </c>
      <c r="O38" s="68">
        <f>(VLOOKUP($A:$A,USD!$A:$AL,15,FALSE)*88)/88*20</f>
        <v>37.916666666666671</v>
      </c>
      <c r="P38" s="87">
        <f>(VLOOKUP($A:$A,USD!$A:$AL,16,FALSE)*88)/88*20</f>
        <v>0</v>
      </c>
      <c r="Q38" s="68">
        <f t="shared" si="0"/>
        <v>544.91666666666663</v>
      </c>
      <c r="R38" s="68">
        <f t="shared" si="1"/>
        <v>316.91666666666669</v>
      </c>
      <c r="S38" s="68">
        <f>(VLOOKUP($A:$A,USD!$A:$AL,19,FALSE)*88)/88*20</f>
        <v>20</v>
      </c>
      <c r="T38" s="68">
        <f>(VLOOKUP($A:$A,USD!$A:$AL,20,FALSE)*88)/88*20</f>
        <v>5</v>
      </c>
      <c r="U38" s="68" cm="1">
        <f t="array" ref="U38">(_xlfn.XLOOKUP(1, (USD!$A:$A=$A38)*(USD!$E:$E=$E38), USD!$U:$U, "", 0)*88)/88*20</f>
        <v>258.52272727272725</v>
      </c>
      <c r="V38" s="68"/>
      <c r="W38" s="68">
        <f t="shared" si="2"/>
        <v>283.52272727272725</v>
      </c>
      <c r="X38" s="1">
        <f>(VLOOKUP($A:$A,USD!$A:$AL,24,FALSE)*88)/88*20</f>
        <v>54</v>
      </c>
      <c r="Y38" s="68">
        <f>(VLOOKUP($A:$A,USD!$A:$AL,25,FALSE)*88)/88*20</f>
        <v>50.4</v>
      </c>
      <c r="Z38" s="68">
        <f>(VLOOKUP($A:$A,USD!$A:$AL,26,FALSE)*88)/88*20</f>
        <v>26.25</v>
      </c>
      <c r="AB38" s="68">
        <f t="shared" si="3"/>
        <v>130.65</v>
      </c>
      <c r="AC38" s="68" cm="1">
        <f t="array" ref="AC38">_xlfn.XLOOKUP(A38&amp;E38, USD!$A:$A&amp;USD!$E:$E, USD!$AC:$AC, "")*20</f>
        <v>132.95454545454544</v>
      </c>
      <c r="AD38" s="68" cm="1">
        <f t="array" ref="AD38">_xlfn.XLOOKUP(A38&amp;E38, USD!$A:$A&amp;USD!$E:$E, USD!$AD:$AD, "")*20</f>
        <v>197.95454545454547</v>
      </c>
      <c r="AF38" s="68">
        <f t="shared" si="4"/>
        <v>330.90909090909088</v>
      </c>
      <c r="AG38" s="87">
        <f>(VLOOKUP($A:$A,USD!$A:$AL,33,FALSE)*88)/88*20</f>
        <v>28.814300000000003</v>
      </c>
      <c r="AH38" s="68">
        <f>(VLOOKUP($A:$A,USD!$A:$AL,34,FALSE)*88)/88*20</f>
        <v>6.973140495867769</v>
      </c>
      <c r="AI38" s="87">
        <f>(VLOOKUP($A:$A,USD!$A:$AL,35,FALSE)*88)/88*20</f>
        <v>12.587317427197677</v>
      </c>
      <c r="AJ38" s="87">
        <f>(VLOOKUP($A:$A,USD!$A:$AL,36,FALSE)*88)/88*20</f>
        <v>6.7351999999999999</v>
      </c>
      <c r="AL38" s="68">
        <f t="shared" si="5"/>
        <v>55.109957923065444</v>
      </c>
      <c r="AM38" s="87">
        <f>(VLOOKUP($A:$A,USD!$A:$AR,39,FALSE)*88)/88*20</f>
        <v>79.999999999999986</v>
      </c>
      <c r="AN38" s="68">
        <f>(VLOOKUP($A:$A,USD!$A:$AR,40,FALSE)*88)/88*20</f>
        <v>26.17808219178082</v>
      </c>
      <c r="AO38" s="1">
        <f>(VLOOKUP($A:$A,USD!$A:$AR,41,FALSE)*88)/88*20</f>
        <v>0</v>
      </c>
      <c r="AR38" s="1">
        <f t="shared" si="6"/>
        <v>106.1780821917808</v>
      </c>
      <c r="AS38" s="38">
        <f t="shared" si="7"/>
        <v>1223.286524963331</v>
      </c>
      <c r="AT38" s="38">
        <f t="shared" si="8"/>
        <v>1451.2865249633307</v>
      </c>
      <c r="AW38" s="1" t="e">
        <f>(VLOOKUP(A:A,USD!A:AT,46,FALSE)*88)/88*20</f>
        <v>#N/A</v>
      </c>
      <c r="AX38" s="1" t="e">
        <f>(VLOOKUP(A:A,USD!A:AU,47,FALSE)*88)/88*20</f>
        <v>#N/A</v>
      </c>
    </row>
    <row r="39" spans="1:50" hidden="1">
      <c r="A39" s="1">
        <v>677503</v>
      </c>
      <c r="B39" s="1" t="s">
        <v>141</v>
      </c>
      <c r="C39" s="1" t="s">
        <v>142</v>
      </c>
      <c r="D39" s="1" t="s">
        <v>132</v>
      </c>
      <c r="E39" s="1" t="str">
        <f>VLOOKUP(A:A,USD!A:E,5,FALSE)</f>
        <v>Eastern Rule 5</v>
      </c>
      <c r="F39" s="1" t="str">
        <f>VLOOKUP(A:A,USD!A:F,6,FALSE)</f>
        <v>ER5</v>
      </c>
      <c r="G39" s="1" t="str">
        <f>VLOOKUP(A:A,'Regions and Ports'!A:G,7,FALSE)</f>
        <v>Savannah</v>
      </c>
      <c r="H39" s="1">
        <f>VLOOKUP(A:A,USD!A:R,8,FALSE)</f>
        <v>1</v>
      </c>
      <c r="I39" s="87">
        <f>(VLOOKUP($A:$A,USD!$A:$AL,9,FALSE)*88)/88*20</f>
        <v>75</v>
      </c>
      <c r="J39" s="87">
        <f>(VLOOKUP($A:$A,USD!$A:$AL,10,FALSE)*88)/88*20</f>
        <v>85</v>
      </c>
      <c r="K39" s="87">
        <f>(VLOOKUP($A:$A,USD!$A:$AL,11,FALSE)*88)/88*20</f>
        <v>0</v>
      </c>
      <c r="L39" s="87">
        <f>(VLOOKUP($A:$A,USD!$A:$AL,12,FALSE)*88)/88*20</f>
        <v>0</v>
      </c>
      <c r="M39" s="87">
        <f>(VLOOKUP($A:$A,USD!$A:$AL,13,FALSE)*88)/88*20</f>
        <v>5</v>
      </c>
      <c r="N39" s="87">
        <f>(VLOOKUP($A:$A,USD!$A:$AL,14,FALSE)*88)/88*20</f>
        <v>50</v>
      </c>
      <c r="O39" s="68">
        <f>(VLOOKUP($A:$A,USD!$A:$AL,15,FALSE)*88)/88*20</f>
        <v>37.916666666666671</v>
      </c>
      <c r="P39" s="87">
        <f>(VLOOKUP($A:$A,USD!$A:$AL,16,FALSE)*88)/88*20</f>
        <v>0</v>
      </c>
      <c r="Q39" s="68">
        <f t="shared" si="0"/>
        <v>252.91666666666669</v>
      </c>
      <c r="R39" s="68">
        <f t="shared" si="1"/>
        <v>87.916666666666671</v>
      </c>
      <c r="S39" s="68">
        <f>(VLOOKUP($A:$A,USD!$A:$AL,19,FALSE)*88)/88*20</f>
        <v>0</v>
      </c>
      <c r="T39" s="68">
        <f>(VLOOKUP($A:$A,USD!$A:$AL,20,FALSE)*88)/88*20</f>
        <v>0</v>
      </c>
      <c r="U39" s="68">
        <f>(VLOOKUP($A:$A,USD!$A:$AL,21,FALSE)*88)/88*20</f>
        <v>223.5443181818182</v>
      </c>
      <c r="V39" s="68"/>
      <c r="W39" s="68">
        <f t="shared" si="2"/>
        <v>223.5443181818182</v>
      </c>
      <c r="X39" s="1">
        <f>(VLOOKUP($A:$A,USD!$A:$AL,24,FALSE)*88)/88*20</f>
        <v>52</v>
      </c>
      <c r="Y39" s="68">
        <f>(VLOOKUP($A:$A,USD!$A:$AL,25,FALSE)*88)/88*20</f>
        <v>50.4</v>
      </c>
      <c r="Z39" s="68">
        <f>(VLOOKUP($A:$A,USD!$A:$AL,26,FALSE)*88)/88*20</f>
        <v>26.25</v>
      </c>
      <c r="AB39" s="68">
        <f t="shared" si="3"/>
        <v>128.65</v>
      </c>
      <c r="AC39" s="68">
        <f>(VLOOKUP($A:$A,USD!$A:$AL,29,FALSE)*88)/88*20</f>
        <v>110.22727272727273</v>
      </c>
      <c r="AD39" s="68">
        <f>(VLOOKUP($A:$A,USD!$A:$AL,30,FALSE)*88)/88*20</f>
        <v>107.04545454545455</v>
      </c>
      <c r="AF39" s="68">
        <f t="shared" si="4"/>
        <v>217.27272727272728</v>
      </c>
      <c r="AG39" s="87">
        <f>(VLOOKUP($A:$A,USD!$A:$AL,33,FALSE)*88)/88*20</f>
        <v>28.814300000000003</v>
      </c>
      <c r="AH39" s="68">
        <f>(VLOOKUP($A:$A,USD!$A:$AL,34,FALSE)*88)/88*20</f>
        <v>6.973140495867769</v>
      </c>
      <c r="AI39" s="87">
        <f>(VLOOKUP($A:$A,USD!$A:$AL,35,FALSE)*88)/88*20</f>
        <v>12.587317427197677</v>
      </c>
      <c r="AJ39" s="87">
        <f>(VLOOKUP($A:$A,USD!$A:$AL,36,FALSE)*88)/88*20</f>
        <v>6.7351999999999999</v>
      </c>
      <c r="AL39" s="68">
        <f t="shared" si="5"/>
        <v>55.109957923065444</v>
      </c>
      <c r="AM39" s="87">
        <f>(VLOOKUP($A:$A,USD!$A:$AR,39,FALSE)*88)/88*20</f>
        <v>79.999999999999986</v>
      </c>
      <c r="AN39" s="68">
        <f>(VLOOKUP($A:$A,USD!$A:$AR,40,FALSE)*88)/88*20</f>
        <v>26.17808219178082</v>
      </c>
      <c r="AO39" s="1">
        <f>(VLOOKUP($A:$A,USD!$A:$AR,41,FALSE)*88)/88*20</f>
        <v>0</v>
      </c>
      <c r="AR39" s="1">
        <f t="shared" si="6"/>
        <v>106.1780821917808</v>
      </c>
      <c r="AS39" s="38">
        <f t="shared" si="7"/>
        <v>818.67175223605841</v>
      </c>
      <c r="AT39" s="38">
        <f t="shared" si="8"/>
        <v>983.67175223605841</v>
      </c>
      <c r="AW39" s="1" t="e">
        <f>(VLOOKUP(A:A,USD!A:AT,46,FALSE)*88)/88*20</f>
        <v>#N/A</v>
      </c>
      <c r="AX39" s="1">
        <f>(VLOOKUP(A:A,USD!A:AU,47,FALSE)*88)/88*20</f>
        <v>181.81818181818184</v>
      </c>
    </row>
    <row r="40" spans="1:50" hidden="1">
      <c r="A40" s="1">
        <v>224505</v>
      </c>
      <c r="B40" s="1" t="s">
        <v>144</v>
      </c>
      <c r="C40" s="1" t="s">
        <v>145</v>
      </c>
      <c r="D40" s="1" t="s">
        <v>76</v>
      </c>
      <c r="E40" s="1" t="str">
        <f>VLOOKUP(A:A,USD!A:E,5,FALSE)</f>
        <v>GA 30 Day</v>
      </c>
      <c r="F40" s="1" t="str">
        <f>VLOOKUP(A:A,USD!A:F,6,FALSE)</f>
        <v>ER5</v>
      </c>
      <c r="G40" s="1" t="str">
        <f>VLOOKUP(A:A,'Regions and Ports'!A:G,7,FALSE)</f>
        <v>Savannah</v>
      </c>
      <c r="H40" s="1">
        <f>VLOOKUP(A:A,USD!A:R,8,FALSE)</f>
        <v>4</v>
      </c>
      <c r="I40" s="87">
        <f>(VLOOKUP($A:$A,USD!$A:$AL,9,FALSE)*88)/88*20</f>
        <v>0</v>
      </c>
      <c r="J40" s="87">
        <f>(VLOOKUP($A:$A,USD!$A:$AL,10,FALSE)*88)/88*20</f>
        <v>0</v>
      </c>
      <c r="K40" s="87">
        <f>(VLOOKUP($A:$A,USD!$A:$AL,11,FALSE)*88)/88*20</f>
        <v>0</v>
      </c>
      <c r="L40" s="87">
        <f>(VLOOKUP($A:$A,USD!$A:$AL,12,FALSE)*88)/88*20</f>
        <v>0</v>
      </c>
      <c r="M40" s="87">
        <f>(VLOOKUP($A:$A,USD!$A:$AL,13,FALSE)*88)/88*20</f>
        <v>0</v>
      </c>
      <c r="N40" s="87">
        <f>(VLOOKUP($A:$A,USD!$A:$AL,14,FALSE)*88)/88*20</f>
        <v>53</v>
      </c>
      <c r="O40" s="68">
        <f>(VLOOKUP($A:$A,USD!$A:$AL,15,FALSE)*88)/88*20</f>
        <v>37.916666666666671</v>
      </c>
      <c r="P40" s="87">
        <f>(VLOOKUP($A:$A,USD!$A:$AL,16,FALSE)*88)/88*20</f>
        <v>0</v>
      </c>
      <c r="Q40" s="68">
        <f t="shared" si="0"/>
        <v>90.916666666666671</v>
      </c>
      <c r="R40" s="68">
        <f t="shared" si="1"/>
        <v>37.916666666666671</v>
      </c>
      <c r="S40" s="68">
        <f>(VLOOKUP($A:$A,USD!$A:$AL,19,FALSE)*88)/88*20</f>
        <v>0</v>
      </c>
      <c r="T40" s="68">
        <f>(VLOOKUP($A:$A,USD!$A:$AL,20,FALSE)*88)/88*20</f>
        <v>0</v>
      </c>
      <c r="U40" s="68">
        <f>(VLOOKUP($A:$A,USD!$A:$AL,21,FALSE)*88)/88*20</f>
        <v>270.64886363636367</v>
      </c>
      <c r="V40" s="68"/>
      <c r="W40" s="68">
        <f t="shared" si="2"/>
        <v>270.64886363636367</v>
      </c>
      <c r="X40" s="1">
        <f>(VLOOKUP($A:$A,USD!$A:$AL,24,FALSE)*88)/88*20</f>
        <v>52</v>
      </c>
      <c r="Y40" s="68">
        <f>(VLOOKUP($A:$A,USD!$A:$AL,25,FALSE)*88)/88*20</f>
        <v>50.4</v>
      </c>
      <c r="Z40" s="68">
        <f>(VLOOKUP($A:$A,USD!$A:$AL,26,FALSE)*88)/88*20</f>
        <v>26.25</v>
      </c>
      <c r="AB40" s="68">
        <f t="shared" si="3"/>
        <v>128.65</v>
      </c>
      <c r="AC40" s="68">
        <f>(VLOOKUP($A:$A,USD!$A:$AL,29,FALSE)*88)/88*20</f>
        <v>110.22727272727273</v>
      </c>
      <c r="AD40" s="68">
        <f>(VLOOKUP($A:$A,USD!$A:$AL,30,FALSE)*88)/88*20</f>
        <v>107.04545454545455</v>
      </c>
      <c r="AF40" s="68">
        <f t="shared" si="4"/>
        <v>217.27272727272728</v>
      </c>
      <c r="AG40" s="87">
        <f>(VLOOKUP($A:$A,USD!$A:$AL,33,FALSE)*88)/88*20</f>
        <v>28.814300000000003</v>
      </c>
      <c r="AH40" s="68">
        <f>(VLOOKUP($A:$A,USD!$A:$AL,34,FALSE)*88)/88*20</f>
        <v>6.973140495867769</v>
      </c>
      <c r="AI40" s="87">
        <f>(VLOOKUP($A:$A,USD!$A:$AL,35,FALSE)*88)/88*20</f>
        <v>12.587317427197677</v>
      </c>
      <c r="AJ40" s="87">
        <f>(VLOOKUP($A:$A,USD!$A:$AL,36,FALSE)*88)/88*20</f>
        <v>6.7351999999999999</v>
      </c>
      <c r="AL40" s="68">
        <f t="shared" si="5"/>
        <v>55.109957923065444</v>
      </c>
      <c r="AM40" s="87">
        <f>(VLOOKUP($A:$A,USD!$A:$AR,39,FALSE)*88)/88*20</f>
        <v>79.999999999999986</v>
      </c>
      <c r="AN40" s="68">
        <f>(VLOOKUP($A:$A,USD!$A:$AR,40,FALSE)*88)/88*20</f>
        <v>26.17808219178082</v>
      </c>
      <c r="AO40" s="1">
        <f>(VLOOKUP($A:$A,USD!$A:$AR,41,FALSE)*88)/88*20</f>
        <v>0</v>
      </c>
      <c r="AR40" s="1">
        <f t="shared" si="6"/>
        <v>106.1780821917808</v>
      </c>
      <c r="AS40" s="38">
        <f t="shared" si="7"/>
        <v>815.77629769060388</v>
      </c>
      <c r="AT40" s="38">
        <f t="shared" si="8"/>
        <v>868.77629769060388</v>
      </c>
      <c r="AW40" s="1">
        <f>(VLOOKUP(A:A,USD!A:AT,46,FALSE)*88)/88*20</f>
        <v>442.375</v>
      </c>
      <c r="AX40" s="1">
        <f>(VLOOKUP(A:A,USD!A:AU,47,FALSE)*88)/88*20</f>
        <v>319.5454545454545</v>
      </c>
    </row>
    <row r="41" spans="1:50" hidden="1">
      <c r="A41" s="1">
        <v>129004</v>
      </c>
      <c r="B41" s="1" t="s">
        <v>147</v>
      </c>
      <c r="C41" s="1" t="s">
        <v>148</v>
      </c>
      <c r="D41" s="1" t="s">
        <v>149</v>
      </c>
      <c r="E41" s="1" t="str">
        <f>VLOOKUP(A:A,USD!A:E,5,FALSE)</f>
        <v>Memphis Rule 5</v>
      </c>
      <c r="F41" s="1" t="str">
        <f>VLOOKUP(A:A,USD!A:F,6,FALSE)</f>
        <v>MR5</v>
      </c>
      <c r="G41" s="1" t="str">
        <f>VLOOKUP(A:A,'Regions and Ports'!A:G,7,FALSE)</f>
        <v>Memphis</v>
      </c>
      <c r="H41" s="1">
        <f>VLOOKUP(A:A,USD!A:R,8,FALSE)</f>
        <v>1</v>
      </c>
      <c r="I41" s="87">
        <f>(VLOOKUP($A:$A,USD!$A:$AL,9,FALSE)*88)/88*20</f>
        <v>60</v>
      </c>
      <c r="J41" s="87">
        <f>(VLOOKUP($A:$A,USD!$A:$AL,10,FALSE)*88)/88*20</f>
        <v>205</v>
      </c>
      <c r="K41" s="87">
        <f>(VLOOKUP($A:$A,USD!$A:$AL,11,FALSE)*88)/88*20</f>
        <v>160</v>
      </c>
      <c r="L41" s="87">
        <f>(VLOOKUP($A:$A,USD!$A:$AL,12,FALSE)*88)/88*20</f>
        <v>0</v>
      </c>
      <c r="M41" s="87">
        <f>(VLOOKUP($A:$A,USD!$A:$AL,13,FALSE)*88)/88*20</f>
        <v>0</v>
      </c>
      <c r="N41" s="87">
        <f>(VLOOKUP($A:$A,USD!$A:$AL,14,FALSE)*88)/88*20</f>
        <v>66</v>
      </c>
      <c r="O41" s="68">
        <f>(VLOOKUP($A:$A,USD!$A:$AL,15,FALSE)*88)/88*20</f>
        <v>37.916666666666671</v>
      </c>
      <c r="P41" s="87">
        <f>(VLOOKUP($A:$A,USD!$A:$AL,16,FALSE)*88)/88*20</f>
        <v>0</v>
      </c>
      <c r="Q41" s="68">
        <f t="shared" si="0"/>
        <v>528.91666666666663</v>
      </c>
      <c r="R41" s="68">
        <f t="shared" si="1"/>
        <v>103.91666666666667</v>
      </c>
      <c r="S41" s="68">
        <f>(VLOOKUP($A:$A,USD!$A:$AL,19,FALSE)*88)/88*20</f>
        <v>0</v>
      </c>
      <c r="T41" s="68">
        <f>(VLOOKUP($A:$A,USD!$A:$AL,20,FALSE)*88)/88*20</f>
        <v>0</v>
      </c>
      <c r="U41" s="68">
        <f>(VLOOKUP($A:$A,USD!$A:$AL,21,FALSE)*88)/88*20</f>
        <v>176.70454545454547</v>
      </c>
      <c r="V41" s="68"/>
      <c r="W41" s="68">
        <f t="shared" si="2"/>
        <v>176.70454545454547</v>
      </c>
      <c r="X41" s="1">
        <f>(VLOOKUP($A:$A,USD!$A:$AL,24,FALSE)*88)/88*20</f>
        <v>50</v>
      </c>
      <c r="Y41" s="68">
        <f>(VLOOKUP($A:$A,USD!$A:$AL,25,FALSE)*88)/88*20</f>
        <v>33.6</v>
      </c>
      <c r="Z41" s="68">
        <f>(VLOOKUP($A:$A,USD!$A:$AL,26,FALSE)*88)/88*20</f>
        <v>26.25</v>
      </c>
      <c r="AB41" s="68">
        <f t="shared" si="3"/>
        <v>109.85</v>
      </c>
      <c r="AC41" s="68">
        <f>(VLOOKUP($A:$A,USD!$A:$AL,29,FALSE)*88)/88*20</f>
        <v>146.02272727272725</v>
      </c>
      <c r="AD41" s="68">
        <f>(VLOOKUP($A:$A,USD!$A:$AL,30,FALSE)*88)/88*20</f>
        <v>182.72727272727275</v>
      </c>
      <c r="AF41" s="68">
        <f t="shared" si="4"/>
        <v>328.75</v>
      </c>
      <c r="AG41" s="87">
        <f>(VLOOKUP($A:$A,USD!$A:$AL,33,FALSE)*88)/88*20</f>
        <v>28.814300000000003</v>
      </c>
      <c r="AH41" s="68">
        <f>(VLOOKUP($A:$A,USD!$A:$AL,34,FALSE)*88)/88*20</f>
        <v>6.973140495867769</v>
      </c>
      <c r="AI41" s="87">
        <f>(VLOOKUP($A:$A,USD!$A:$AL,35,FALSE)*88)/88*20</f>
        <v>12.587317427197677</v>
      </c>
      <c r="AJ41" s="87">
        <f>(VLOOKUP($A:$A,USD!$A:$AL,36,FALSE)*88)/88*20</f>
        <v>6.7351999999999999</v>
      </c>
      <c r="AL41" s="68">
        <f t="shared" si="5"/>
        <v>55.109957923065444</v>
      </c>
      <c r="AM41" s="87">
        <f>(VLOOKUP($A:$A,USD!$A:$AR,39,FALSE)*88)/88*20</f>
        <v>79.999999999999986</v>
      </c>
      <c r="AN41" s="68">
        <f>(VLOOKUP($A:$A,USD!$A:$AR,40,FALSE)*88)/88*20</f>
        <v>26.17808219178082</v>
      </c>
      <c r="AO41" s="1">
        <f>(VLOOKUP($A:$A,USD!$A:$AR,41,FALSE)*88)/88*20</f>
        <v>0</v>
      </c>
      <c r="AR41" s="1">
        <f t="shared" si="6"/>
        <v>106.1780821917808</v>
      </c>
      <c r="AS41" s="38">
        <f t="shared" si="7"/>
        <v>880.50925223605839</v>
      </c>
      <c r="AT41" s="38">
        <f t="shared" si="8"/>
        <v>1305.5092522360583</v>
      </c>
      <c r="AW41" s="1" t="e">
        <f>(VLOOKUP(A:A,USD!A:AT,46,FALSE)*88)/88*20</f>
        <v>#N/A</v>
      </c>
      <c r="AX41" s="1">
        <f>(VLOOKUP(A:A,USD!A:AU,47,FALSE)*88)/88*20</f>
        <v>447.72727272727275</v>
      </c>
    </row>
    <row r="42" spans="1:50" hidden="1">
      <c r="A42" s="1">
        <v>129010</v>
      </c>
      <c r="B42" s="1" t="s">
        <v>151</v>
      </c>
      <c r="C42" s="1" t="s">
        <v>148</v>
      </c>
      <c r="D42" s="1" t="s">
        <v>149</v>
      </c>
      <c r="E42" s="1" t="str">
        <f>VLOOKUP(A:A,USD!A:E,5,FALSE)</f>
        <v>Memphis Rule 5</v>
      </c>
      <c r="F42" s="1" t="str">
        <f>VLOOKUP(A:A,USD!A:F,6,FALSE)</f>
        <v>MR5</v>
      </c>
      <c r="G42" s="1" t="str">
        <f>VLOOKUP(A:A,'Regions and Ports'!A:G,7,FALSE)</f>
        <v>Memphis</v>
      </c>
      <c r="H42" s="1">
        <f>VLOOKUP(A:A,USD!A:R,8,FALSE)</f>
        <v>1</v>
      </c>
      <c r="I42" s="87">
        <f>(VLOOKUP($A:$A,USD!$A:$AL,9,FALSE)*88)/88*20</f>
        <v>42</v>
      </c>
      <c r="J42" s="87">
        <f>(VLOOKUP($A:$A,USD!$A:$AL,10,FALSE)*88)/88*20</f>
        <v>415</v>
      </c>
      <c r="K42" s="87">
        <f>(VLOOKUP($A:$A,USD!$A:$AL,11,FALSE)*88)/88*20</f>
        <v>0</v>
      </c>
      <c r="L42" s="87">
        <f>(VLOOKUP($A:$A,USD!$A:$AL,12,FALSE)*88)/88*20</f>
        <v>0</v>
      </c>
      <c r="M42" s="87">
        <f>(VLOOKUP($A:$A,USD!$A:$AL,13,FALSE)*88)/88*20</f>
        <v>10</v>
      </c>
      <c r="N42" s="87">
        <f>(VLOOKUP($A:$A,USD!$A:$AL,14,FALSE)*88)/88*20</f>
        <v>65</v>
      </c>
      <c r="O42" s="68">
        <f>(VLOOKUP($A:$A,USD!$A:$AL,15,FALSE)*88)/88*20</f>
        <v>37.916666666666671</v>
      </c>
      <c r="P42" s="87">
        <f>(VLOOKUP($A:$A,USD!$A:$AL,16,FALSE)*88)/88*20</f>
        <v>0</v>
      </c>
      <c r="Q42" s="68">
        <f t="shared" si="0"/>
        <v>569.91666666666663</v>
      </c>
      <c r="R42" s="68">
        <f t="shared" si="1"/>
        <v>102.91666666666667</v>
      </c>
      <c r="S42" s="68">
        <f>(VLOOKUP($A:$A,USD!$A:$AL,19,FALSE)*88)/88*20</f>
        <v>0</v>
      </c>
      <c r="T42" s="68">
        <f>(VLOOKUP($A:$A,USD!$A:$AL,20,FALSE)*88)/88*20</f>
        <v>0</v>
      </c>
      <c r="U42" s="68">
        <f>(VLOOKUP($A:$A,USD!$A:$AL,21,FALSE)*88)/88*20</f>
        <v>176.70454545454547</v>
      </c>
      <c r="V42" s="68"/>
      <c r="W42" s="68">
        <f t="shared" si="2"/>
        <v>176.70454545454547</v>
      </c>
      <c r="X42" s="1">
        <f>(VLOOKUP($A:$A,USD!$A:$AL,24,FALSE)*88)/88*20</f>
        <v>50</v>
      </c>
      <c r="Y42" s="68">
        <f>(VLOOKUP($A:$A,USD!$A:$AL,25,FALSE)*88)/88*20</f>
        <v>33.6</v>
      </c>
      <c r="Z42" s="68">
        <f>(VLOOKUP($A:$A,USD!$A:$AL,26,FALSE)*88)/88*20</f>
        <v>26.25</v>
      </c>
      <c r="AB42" s="68">
        <f t="shared" si="3"/>
        <v>109.85</v>
      </c>
      <c r="AC42" s="68">
        <f>(VLOOKUP($A:$A,USD!$A:$AL,29,FALSE)*88)/88*20</f>
        <v>146.02272727272725</v>
      </c>
      <c r="AD42" s="68">
        <f>(VLOOKUP($A:$A,USD!$A:$AL,30,FALSE)*88)/88*20</f>
        <v>182.72727272727275</v>
      </c>
      <c r="AF42" s="68">
        <f t="shared" si="4"/>
        <v>328.75</v>
      </c>
      <c r="AG42" s="87">
        <f>(VLOOKUP($A:$A,USD!$A:$AL,33,FALSE)*88)/88*20</f>
        <v>28.814300000000003</v>
      </c>
      <c r="AH42" s="68">
        <f>(VLOOKUP($A:$A,USD!$A:$AL,34,FALSE)*88)/88*20</f>
        <v>6.973140495867769</v>
      </c>
      <c r="AI42" s="87">
        <f>(VLOOKUP($A:$A,USD!$A:$AL,35,FALSE)*88)/88*20</f>
        <v>12.587317427197677</v>
      </c>
      <c r="AJ42" s="87">
        <f>(VLOOKUP($A:$A,USD!$A:$AL,36,FALSE)*88)/88*20</f>
        <v>6.7351999999999999</v>
      </c>
      <c r="AL42" s="68">
        <f t="shared" si="5"/>
        <v>55.109957923065444</v>
      </c>
      <c r="AM42" s="87">
        <f>(VLOOKUP($A:$A,USD!$A:$AR,39,FALSE)*88)/88*20</f>
        <v>79.999999999999986</v>
      </c>
      <c r="AN42" s="68">
        <f>(VLOOKUP($A:$A,USD!$A:$AR,40,FALSE)*88)/88*20</f>
        <v>26.17808219178082</v>
      </c>
      <c r="AO42" s="1">
        <f>(VLOOKUP($A:$A,USD!$A:$AR,41,FALSE)*88)/88*20</f>
        <v>0</v>
      </c>
      <c r="AR42" s="1">
        <f t="shared" si="6"/>
        <v>106.1780821917808</v>
      </c>
      <c r="AS42" s="38">
        <f t="shared" si="7"/>
        <v>879.50925223605839</v>
      </c>
      <c r="AT42" s="38">
        <f t="shared" si="8"/>
        <v>1346.5092522360583</v>
      </c>
      <c r="AW42" s="1" t="e">
        <f>(VLOOKUP(A:A,USD!A:AT,46,FALSE)*88)/88*20</f>
        <v>#N/A</v>
      </c>
      <c r="AX42" s="1">
        <f>(VLOOKUP(A:A,USD!A:AU,47,FALSE)*88)/88*20</f>
        <v>447.72727272727275</v>
      </c>
    </row>
    <row r="43" spans="1:50" hidden="1">
      <c r="A43" s="1">
        <v>129129</v>
      </c>
      <c r="B43" s="1" t="s">
        <v>152</v>
      </c>
      <c r="C43" s="1" t="s">
        <v>153</v>
      </c>
      <c r="D43" s="1" t="s">
        <v>149</v>
      </c>
      <c r="E43" s="1" t="str">
        <f>VLOOKUP(A:A,USD!A:E,5,FALSE)</f>
        <v>Memphis Rule 5</v>
      </c>
      <c r="F43" s="1" t="str">
        <f>VLOOKUP(A:A,USD!A:F,6,FALSE)</f>
        <v>MR5</v>
      </c>
      <c r="G43" s="1" t="str">
        <f>VLOOKUP(A:A,'Regions and Ports'!A:G,7,FALSE)</f>
        <v>Memphis</v>
      </c>
      <c r="H43" s="1">
        <f>VLOOKUP(A:A,USD!A:R,8,FALSE)</f>
        <v>1</v>
      </c>
      <c r="I43" s="87">
        <f>(VLOOKUP($A:$A,USD!$A:$AL,9,FALSE)*88)/88*20</f>
        <v>37</v>
      </c>
      <c r="J43" s="87">
        <f>(VLOOKUP($A:$A,USD!$A:$AL,10,FALSE)*88)/88*20</f>
        <v>80</v>
      </c>
      <c r="K43" s="87">
        <f>(VLOOKUP($A:$A,USD!$A:$AL,11,FALSE)*88)/88*20</f>
        <v>140</v>
      </c>
      <c r="L43" s="87">
        <f>(VLOOKUP($A:$A,USD!$A:$AL,12,FALSE)*88)/88*20</f>
        <v>61</v>
      </c>
      <c r="M43" s="87">
        <f>(VLOOKUP($A:$A,USD!$A:$AL,13,FALSE)*88)/88*20</f>
        <v>0</v>
      </c>
      <c r="N43" s="87">
        <f>(VLOOKUP($A:$A,USD!$A:$AL,14,FALSE)*88)/88*20</f>
        <v>60</v>
      </c>
      <c r="O43" s="68">
        <f>(VLOOKUP($A:$A,USD!$A:$AL,15,FALSE)*88)/88*20</f>
        <v>37.916666666666671</v>
      </c>
      <c r="P43" s="87">
        <f>(VLOOKUP($A:$A,USD!$A:$AL,16,FALSE)*88)/88*20</f>
        <v>0</v>
      </c>
      <c r="Q43" s="68">
        <f t="shared" si="0"/>
        <v>415.91666666666669</v>
      </c>
      <c r="R43" s="68">
        <f t="shared" si="1"/>
        <v>97.916666666666671</v>
      </c>
      <c r="S43" s="68">
        <f>(VLOOKUP($A:$A,USD!$A:$AL,19,FALSE)*88)/88*20</f>
        <v>0</v>
      </c>
      <c r="T43" s="68">
        <f>(VLOOKUP($A:$A,USD!$A:$AL,20,FALSE)*88)/88*20</f>
        <v>0</v>
      </c>
      <c r="U43" s="68">
        <f>(VLOOKUP($A:$A,USD!$A:$AL,21,FALSE)*88)/88*20</f>
        <v>176.70454545454547</v>
      </c>
      <c r="V43" s="68"/>
      <c r="W43" s="68">
        <f t="shared" si="2"/>
        <v>176.70454545454547</v>
      </c>
      <c r="X43" s="1">
        <f>(VLOOKUP($A:$A,USD!$A:$AL,24,FALSE)*88)/88*20</f>
        <v>50</v>
      </c>
      <c r="Y43" s="68">
        <f>(VLOOKUP($A:$A,USD!$A:$AL,25,FALSE)*88)/88*20</f>
        <v>33.6</v>
      </c>
      <c r="Z43" s="68">
        <f>(VLOOKUP($A:$A,USD!$A:$AL,26,FALSE)*88)/88*20</f>
        <v>26.25</v>
      </c>
      <c r="AB43" s="68">
        <f t="shared" si="3"/>
        <v>109.85</v>
      </c>
      <c r="AC43" s="68">
        <f>(VLOOKUP($A:$A,USD!$A:$AL,29,FALSE)*88)/88*20</f>
        <v>146.02272727272725</v>
      </c>
      <c r="AD43" s="68">
        <f>(VLOOKUP($A:$A,USD!$A:$AL,30,FALSE)*88)/88*20</f>
        <v>182.72727272727275</v>
      </c>
      <c r="AF43" s="68">
        <f t="shared" si="4"/>
        <v>328.75</v>
      </c>
      <c r="AG43" s="87">
        <f>(VLOOKUP($A:$A,USD!$A:$AL,33,FALSE)*88)/88*20</f>
        <v>28.814300000000003</v>
      </c>
      <c r="AH43" s="68">
        <f>(VLOOKUP($A:$A,USD!$A:$AL,34,FALSE)*88)/88*20</f>
        <v>6.973140495867769</v>
      </c>
      <c r="AI43" s="87">
        <f>(VLOOKUP($A:$A,USD!$A:$AL,35,FALSE)*88)/88*20</f>
        <v>12.587317427197677</v>
      </c>
      <c r="AJ43" s="87">
        <f>(VLOOKUP($A:$A,USD!$A:$AL,36,FALSE)*88)/88*20</f>
        <v>6.7351999999999999</v>
      </c>
      <c r="AL43" s="68">
        <f t="shared" si="5"/>
        <v>55.109957923065444</v>
      </c>
      <c r="AM43" s="87">
        <f>(VLOOKUP($A:$A,USD!$A:$AR,39,FALSE)*88)/88*20</f>
        <v>79.999999999999986</v>
      </c>
      <c r="AN43" s="68">
        <f>(VLOOKUP($A:$A,USD!$A:$AR,40,FALSE)*88)/88*20</f>
        <v>26.17808219178082</v>
      </c>
      <c r="AO43" s="1">
        <f>(VLOOKUP($A:$A,USD!$A:$AR,41,FALSE)*88)/88*20</f>
        <v>0</v>
      </c>
      <c r="AR43" s="1">
        <f t="shared" si="6"/>
        <v>106.1780821917808</v>
      </c>
      <c r="AS43" s="38">
        <f t="shared" si="7"/>
        <v>874.50925223605839</v>
      </c>
      <c r="AT43" s="38">
        <f t="shared" si="8"/>
        <v>1192.5092522360583</v>
      </c>
      <c r="AW43" s="1" t="e">
        <f>(VLOOKUP(A:A,USD!A:AT,46,FALSE)*88)/88*20</f>
        <v>#N/A</v>
      </c>
      <c r="AX43" s="1">
        <f>(VLOOKUP(A:A,USD!A:AU,47,FALSE)*88)/88*20</f>
        <v>447.72727272727275</v>
      </c>
    </row>
    <row r="44" spans="1:50" hidden="1">
      <c r="A44" s="1">
        <v>225625</v>
      </c>
      <c r="B44" s="1" t="s">
        <v>154</v>
      </c>
      <c r="C44" s="1" t="s">
        <v>155</v>
      </c>
      <c r="D44" s="1" t="s">
        <v>76</v>
      </c>
      <c r="E44" s="1" t="str">
        <f>VLOOKUP(A:A,USD!A:E,5,FALSE)</f>
        <v>GA 30 Day</v>
      </c>
      <c r="F44" s="1" t="str">
        <f>VLOOKUP(A:A,USD!A:F,6,FALSE)</f>
        <v>ER5</v>
      </c>
      <c r="G44" s="1" t="str">
        <f>VLOOKUP(A:A,'Regions and Ports'!A:G,7,FALSE)</f>
        <v>Savannah</v>
      </c>
      <c r="H44" s="1">
        <f>VLOOKUP(A:A,USD!A:R,8,FALSE)</f>
        <v>4</v>
      </c>
      <c r="I44" s="87">
        <f>(VLOOKUP($A:$A,USD!$A:$AL,9,FALSE)*88)/88*20</f>
        <v>80</v>
      </c>
      <c r="J44" s="87">
        <f>(VLOOKUP($A:$A,USD!$A:$AL,10,FALSE)*88)/88*20</f>
        <v>120</v>
      </c>
      <c r="K44" s="87">
        <f>(VLOOKUP($A:$A,USD!$A:$AL,11,FALSE)*88)/88*20</f>
        <v>0</v>
      </c>
      <c r="L44" s="87">
        <f>(VLOOKUP($A:$A,USD!$A:$AL,12,FALSE)*88)/88*20</f>
        <v>0</v>
      </c>
      <c r="M44" s="87">
        <f>(VLOOKUP($A:$A,USD!$A:$AL,13,FALSE)*88)/88*20</f>
        <v>20</v>
      </c>
      <c r="N44" s="87">
        <f>(VLOOKUP($A:$A,USD!$A:$AL,14,FALSE)*88)/88*20</f>
        <v>50</v>
      </c>
      <c r="O44" s="68">
        <f>(VLOOKUP($A:$A,USD!$A:$AL,15,FALSE)*88)/88*20</f>
        <v>37.916666666666671</v>
      </c>
      <c r="P44" s="87">
        <f>(VLOOKUP($A:$A,USD!$A:$AL,16,FALSE)*88)/88*20</f>
        <v>0</v>
      </c>
      <c r="Q44" s="68">
        <f t="shared" si="0"/>
        <v>307.91666666666669</v>
      </c>
      <c r="R44" s="68">
        <f t="shared" si="1"/>
        <v>37.916666666666671</v>
      </c>
      <c r="S44" s="68">
        <f>(VLOOKUP($A:$A,USD!$A:$AL,19,FALSE)*88)/88*20</f>
        <v>0</v>
      </c>
      <c r="T44" s="68">
        <f>(VLOOKUP($A:$A,USD!$A:$AL,20,FALSE)*88)/88*20</f>
        <v>0</v>
      </c>
      <c r="U44" s="68">
        <f>(VLOOKUP($A:$A,USD!$A:$AL,21,FALSE)*88)/88*20</f>
        <v>225.39090909090908</v>
      </c>
      <c r="V44" s="68"/>
      <c r="W44" s="68">
        <f t="shared" si="2"/>
        <v>225.39090909090908</v>
      </c>
      <c r="X44" s="1">
        <f>(VLOOKUP($A:$A,USD!$A:$AL,24,FALSE)*88)/88*20</f>
        <v>52</v>
      </c>
      <c r="Y44" s="68">
        <f>(VLOOKUP($A:$A,USD!$A:$AL,25,FALSE)*88)/88*20</f>
        <v>50.4</v>
      </c>
      <c r="Z44" s="68">
        <f>(VLOOKUP($A:$A,USD!$A:$AL,26,FALSE)*88)/88*20</f>
        <v>26.25</v>
      </c>
      <c r="AB44" s="68">
        <f t="shared" si="3"/>
        <v>128.65</v>
      </c>
      <c r="AC44" s="68">
        <f>(VLOOKUP($A:$A,USD!$A:$AL,29,FALSE)*88)/88*20</f>
        <v>110.22727272727273</v>
      </c>
      <c r="AD44" s="68">
        <f>(VLOOKUP($A:$A,USD!$A:$AL,30,FALSE)*88)/88*20</f>
        <v>107.04545454545455</v>
      </c>
      <c r="AF44" s="68">
        <f t="shared" si="4"/>
        <v>217.27272727272728</v>
      </c>
      <c r="AG44" s="87">
        <f>(VLOOKUP($A:$A,USD!$A:$AL,33,FALSE)*88)/88*20</f>
        <v>28.814300000000003</v>
      </c>
      <c r="AH44" s="68">
        <f>(VLOOKUP($A:$A,USD!$A:$AL,34,FALSE)*88)/88*20</f>
        <v>6.973140495867769</v>
      </c>
      <c r="AI44" s="87">
        <f>(VLOOKUP($A:$A,USD!$A:$AL,35,FALSE)*88)/88*20</f>
        <v>12.587317427197677</v>
      </c>
      <c r="AJ44" s="87">
        <f>(VLOOKUP($A:$A,USD!$A:$AL,36,FALSE)*88)/88*20</f>
        <v>6.7351999999999999</v>
      </c>
      <c r="AL44" s="68">
        <f t="shared" si="5"/>
        <v>55.109957923065444</v>
      </c>
      <c r="AM44" s="87">
        <f>(VLOOKUP($A:$A,USD!$A:$AR,39,FALSE)*88)/88*20</f>
        <v>79.999999999999986</v>
      </c>
      <c r="AN44" s="68">
        <f>(VLOOKUP($A:$A,USD!$A:$AR,40,FALSE)*88)/88*20</f>
        <v>26.17808219178082</v>
      </c>
      <c r="AO44" s="1">
        <f>(VLOOKUP($A:$A,USD!$A:$AR,41,FALSE)*88)/88*20</f>
        <v>0</v>
      </c>
      <c r="AR44" s="1">
        <f t="shared" si="6"/>
        <v>106.1780821917808</v>
      </c>
      <c r="AS44" s="38">
        <f t="shared" si="7"/>
        <v>770.51834314514929</v>
      </c>
      <c r="AT44" s="38">
        <f t="shared" si="8"/>
        <v>1040.5183431451492</v>
      </c>
      <c r="AW44" s="1">
        <f>(VLOOKUP(A:A,USD!A:AT,46,FALSE)*88)/88*20</f>
        <v>451.98863636363632</v>
      </c>
      <c r="AX44" s="1">
        <f>(VLOOKUP(A:A,USD!A:AU,47,FALSE)*88)/88*20</f>
        <v>343.75</v>
      </c>
    </row>
    <row r="45" spans="1:50" hidden="1">
      <c r="A45" s="1">
        <v>227500</v>
      </c>
      <c r="B45" s="1" t="s">
        <v>157</v>
      </c>
      <c r="C45" s="1" t="s">
        <v>158</v>
      </c>
      <c r="D45" s="1" t="s">
        <v>76</v>
      </c>
      <c r="E45" s="1" t="str">
        <f>VLOOKUP(A:A,USD!A:E,5,FALSE)</f>
        <v>GA 30 Day</v>
      </c>
      <c r="F45" s="1" t="str">
        <f>VLOOKUP(A:A,USD!A:F,6,FALSE)</f>
        <v>ER5</v>
      </c>
      <c r="G45" s="1" t="str">
        <f>VLOOKUP(A:A,'Regions and Ports'!A:G,7,FALSE)</f>
        <v>Savannah</v>
      </c>
      <c r="H45" s="1">
        <f>VLOOKUP(A:A,USD!A:R,8,FALSE)</f>
        <v>4</v>
      </c>
      <c r="I45" s="87">
        <f>(VLOOKUP($A:$A,USD!$A:$AL,9,FALSE)*88)/88*20</f>
        <v>70</v>
      </c>
      <c r="J45" s="87">
        <f>(VLOOKUP($A:$A,USD!$A:$AL,10,FALSE)*88)/88*20</f>
        <v>130</v>
      </c>
      <c r="K45" s="87">
        <f>(VLOOKUP($A:$A,USD!$A:$AL,11,FALSE)*88)/88*20</f>
        <v>0</v>
      </c>
      <c r="L45" s="87">
        <f>(VLOOKUP($A:$A,USD!$A:$AL,12,FALSE)*88)/88*20</f>
        <v>0</v>
      </c>
      <c r="M45" s="87">
        <f>(VLOOKUP($A:$A,USD!$A:$AL,13,FALSE)*88)/88*20</f>
        <v>0</v>
      </c>
      <c r="N45" s="87">
        <f>(VLOOKUP($A:$A,USD!$A:$AL,14,FALSE)*88)/88*20</f>
        <v>55</v>
      </c>
      <c r="O45" s="68">
        <f>(VLOOKUP($A:$A,USD!$A:$AL,15,FALSE)*88)/88*20</f>
        <v>37.916666666666671</v>
      </c>
      <c r="P45" s="87">
        <f>(VLOOKUP($A:$A,USD!$A:$AL,16,FALSE)*88)/88*20</f>
        <v>0</v>
      </c>
      <c r="Q45" s="68">
        <f t="shared" si="0"/>
        <v>292.91666666666669</v>
      </c>
      <c r="R45" s="68">
        <f t="shared" si="1"/>
        <v>37.916666666666671</v>
      </c>
      <c r="S45" s="68">
        <f>(VLOOKUP($A:$A,USD!$A:$AL,19,FALSE)*88)/88*20</f>
        <v>0</v>
      </c>
      <c r="T45" s="68">
        <f>(VLOOKUP($A:$A,USD!$A:$AL,20,FALSE)*88)/88*20</f>
        <v>0</v>
      </c>
      <c r="U45" s="68">
        <f>(VLOOKUP($A:$A,USD!$A:$AL,21,FALSE)*88)/88*20</f>
        <v>184.1090909090909</v>
      </c>
      <c r="V45" s="68"/>
      <c r="W45" s="68">
        <f t="shared" si="2"/>
        <v>184.1090909090909</v>
      </c>
      <c r="X45" s="1">
        <f>(VLOOKUP($A:$A,USD!$A:$AL,24,FALSE)*88)/88*20</f>
        <v>52</v>
      </c>
      <c r="Y45" s="68">
        <f>(VLOOKUP($A:$A,USD!$A:$AL,25,FALSE)*88)/88*20</f>
        <v>50.4</v>
      </c>
      <c r="Z45" s="68">
        <f>(VLOOKUP($A:$A,USD!$A:$AL,26,FALSE)*88)/88*20</f>
        <v>26.25</v>
      </c>
      <c r="AB45" s="68">
        <f t="shared" si="3"/>
        <v>128.65</v>
      </c>
      <c r="AC45" s="68">
        <f>(VLOOKUP($A:$A,USD!$A:$AL,29,FALSE)*88)/88*20</f>
        <v>110.22727272727273</v>
      </c>
      <c r="AD45" s="68">
        <f>(VLOOKUP($A:$A,USD!$A:$AL,30,FALSE)*88)/88*20</f>
        <v>107.04545454545455</v>
      </c>
      <c r="AF45" s="68">
        <f t="shared" si="4"/>
        <v>217.27272727272728</v>
      </c>
      <c r="AG45" s="87">
        <f>(VLOOKUP($A:$A,USD!$A:$AL,33,FALSE)*88)/88*20</f>
        <v>28.814300000000003</v>
      </c>
      <c r="AH45" s="68">
        <f>(VLOOKUP($A:$A,USD!$A:$AL,34,FALSE)*88)/88*20</f>
        <v>6.973140495867769</v>
      </c>
      <c r="AI45" s="87">
        <f>(VLOOKUP($A:$A,USD!$A:$AL,35,FALSE)*88)/88*20</f>
        <v>12.587317427197677</v>
      </c>
      <c r="AJ45" s="87">
        <f>(VLOOKUP($A:$A,USD!$A:$AL,36,FALSE)*88)/88*20</f>
        <v>6.7351999999999999</v>
      </c>
      <c r="AL45" s="68">
        <f t="shared" si="5"/>
        <v>55.109957923065444</v>
      </c>
      <c r="AM45" s="87">
        <f>(VLOOKUP($A:$A,USD!$A:$AR,39,FALSE)*88)/88*20</f>
        <v>79.999999999999986</v>
      </c>
      <c r="AN45" s="68">
        <f>(VLOOKUP($A:$A,USD!$A:$AR,40,FALSE)*88)/88*20</f>
        <v>26.17808219178082</v>
      </c>
      <c r="AO45" s="1">
        <f>(VLOOKUP($A:$A,USD!$A:$AR,41,FALSE)*88)/88*20</f>
        <v>0</v>
      </c>
      <c r="AR45" s="1">
        <f t="shared" si="6"/>
        <v>106.1780821917808</v>
      </c>
      <c r="AS45" s="38">
        <f t="shared" si="7"/>
        <v>729.23652496333102</v>
      </c>
      <c r="AT45" s="38">
        <f t="shared" si="8"/>
        <v>984.23652496333102</v>
      </c>
      <c r="AW45" s="1">
        <f>(VLOOKUP(A:A,USD!A:AT,46,FALSE)*88)/88*20</f>
        <v>462.8840909090909</v>
      </c>
      <c r="AX45" s="1">
        <f>(VLOOKUP(A:A,USD!A:AU,47,FALSE)*88)/88*20</f>
        <v>296.36363636363637</v>
      </c>
    </row>
    <row r="46" spans="1:50" hidden="1">
      <c r="A46" s="1">
        <v>228002</v>
      </c>
      <c r="B46" s="1" t="s">
        <v>160</v>
      </c>
      <c r="C46" s="1" t="s">
        <v>161</v>
      </c>
      <c r="D46" s="1" t="s">
        <v>76</v>
      </c>
      <c r="E46" s="1" t="str">
        <f>VLOOKUP(A:A,USD!A:E,5,FALSE)</f>
        <v>GA 30 Day</v>
      </c>
      <c r="F46" s="1" t="str">
        <f>VLOOKUP(A:A,USD!A:F,6,FALSE)</f>
        <v>ER5</v>
      </c>
      <c r="G46" s="1" t="str">
        <f>VLOOKUP(A:A,'Regions and Ports'!A:G,7,FALSE)</f>
        <v>Savannah</v>
      </c>
      <c r="H46" s="1">
        <f>VLOOKUP(A:A,USD!A:R,8,FALSE)</f>
        <v>4</v>
      </c>
      <c r="I46" s="87">
        <f>(VLOOKUP($A:$A,USD!$A:$AL,9,FALSE)*88)/88*20</f>
        <v>70</v>
      </c>
      <c r="J46" s="87">
        <f>(VLOOKUP($A:$A,USD!$A:$AL,10,FALSE)*88)/88*20</f>
        <v>90</v>
      </c>
      <c r="K46" s="87">
        <f>(VLOOKUP($A:$A,USD!$A:$AL,11,FALSE)*88)/88*20</f>
        <v>0</v>
      </c>
      <c r="L46" s="87">
        <f>(VLOOKUP($A:$A,USD!$A:$AL,12,FALSE)*88)/88*20</f>
        <v>0</v>
      </c>
      <c r="M46" s="87">
        <f>(VLOOKUP($A:$A,USD!$A:$AL,13,FALSE)*88)/88*20</f>
        <v>10</v>
      </c>
      <c r="N46" s="87">
        <f>(VLOOKUP($A:$A,USD!$A:$AL,14,FALSE)*88)/88*20</f>
        <v>60</v>
      </c>
      <c r="O46" s="68">
        <f>(VLOOKUP($A:$A,USD!$A:$AL,15,FALSE)*88)/88*20</f>
        <v>37.916666666666671</v>
      </c>
      <c r="P46" s="87">
        <f>(VLOOKUP($A:$A,USD!$A:$AL,16,FALSE)*88)/88*20</f>
        <v>0</v>
      </c>
      <c r="Q46" s="68">
        <f t="shared" si="0"/>
        <v>267.91666666666669</v>
      </c>
      <c r="R46" s="68">
        <f t="shared" si="1"/>
        <v>37.916666666666671</v>
      </c>
      <c r="S46" s="68">
        <f>(VLOOKUP($A:$A,USD!$A:$AL,19,FALSE)*88)/88*20</f>
        <v>0</v>
      </c>
      <c r="T46" s="68">
        <f>(VLOOKUP($A:$A,USD!$A:$AL,20,FALSE)*88)/88*20</f>
        <v>0</v>
      </c>
      <c r="U46" s="68">
        <f>(VLOOKUP($A:$A,USD!$A:$AL,21,FALSE)*88)/88*20</f>
        <v>135.29886363636365</v>
      </c>
      <c r="V46" s="68"/>
      <c r="W46" s="68">
        <f t="shared" si="2"/>
        <v>135.29886363636365</v>
      </c>
      <c r="X46" s="1">
        <f>(VLOOKUP($A:$A,USD!$A:$AL,24,FALSE)*88)/88*20</f>
        <v>52</v>
      </c>
      <c r="Y46" s="68">
        <f>(VLOOKUP($A:$A,USD!$A:$AL,25,FALSE)*88)/88*20</f>
        <v>50.4</v>
      </c>
      <c r="Z46" s="68">
        <f>(VLOOKUP($A:$A,USD!$A:$AL,26,FALSE)*88)/88*20</f>
        <v>26.25</v>
      </c>
      <c r="AB46" s="68">
        <f t="shared" si="3"/>
        <v>128.65</v>
      </c>
      <c r="AC46" s="68">
        <f>(VLOOKUP($A:$A,USD!$A:$AL,29,FALSE)*88)/88*20</f>
        <v>110.22727272727273</v>
      </c>
      <c r="AD46" s="68">
        <f>(VLOOKUP($A:$A,USD!$A:$AL,30,FALSE)*88)/88*20</f>
        <v>107.04545454545455</v>
      </c>
      <c r="AF46" s="68">
        <f t="shared" si="4"/>
        <v>217.27272727272728</v>
      </c>
      <c r="AG46" s="87">
        <f>(VLOOKUP($A:$A,USD!$A:$AL,33,FALSE)*88)/88*20</f>
        <v>28.814300000000003</v>
      </c>
      <c r="AH46" s="68">
        <f>(VLOOKUP($A:$A,USD!$A:$AL,34,FALSE)*88)/88*20</f>
        <v>6.973140495867769</v>
      </c>
      <c r="AI46" s="87">
        <f>(VLOOKUP($A:$A,USD!$A:$AL,35,FALSE)*88)/88*20</f>
        <v>12.587317427197677</v>
      </c>
      <c r="AJ46" s="87">
        <f>(VLOOKUP($A:$A,USD!$A:$AL,36,FALSE)*88)/88*20</f>
        <v>6.7351999999999999</v>
      </c>
      <c r="AL46" s="68">
        <f t="shared" si="5"/>
        <v>55.109957923065444</v>
      </c>
      <c r="AM46" s="87">
        <f>(VLOOKUP($A:$A,USD!$A:$AR,39,FALSE)*88)/88*20</f>
        <v>79.999999999999986</v>
      </c>
      <c r="AN46" s="68">
        <f>(VLOOKUP($A:$A,USD!$A:$AR,40,FALSE)*88)/88*20</f>
        <v>26.17808219178082</v>
      </c>
      <c r="AO46" s="1">
        <f>(VLOOKUP($A:$A,USD!$A:$AR,41,FALSE)*88)/88*20</f>
        <v>0</v>
      </c>
      <c r="AR46" s="1">
        <f t="shared" si="6"/>
        <v>106.1780821917808</v>
      </c>
      <c r="AS46" s="38">
        <f t="shared" si="7"/>
        <v>680.42629769060386</v>
      </c>
      <c r="AT46" s="38">
        <f t="shared" si="8"/>
        <v>910.42629769060386</v>
      </c>
      <c r="AW46" s="1">
        <f>(VLOOKUP(A:A,USD!A:AT,46,FALSE)*88)/88*20</f>
        <v>542.99772727272716</v>
      </c>
      <c r="AX46" s="1">
        <f>(VLOOKUP(A:A,USD!A:AU,47,FALSE)*88)/88*20</f>
        <v>258.52272727272725</v>
      </c>
    </row>
    <row r="47" spans="1:50" hidden="1">
      <c r="A47" s="1">
        <v>828031</v>
      </c>
      <c r="B47" s="1" t="s">
        <v>163</v>
      </c>
      <c r="C47" s="1" t="s">
        <v>164</v>
      </c>
      <c r="D47" s="1" t="s">
        <v>71</v>
      </c>
      <c r="E47" s="1" t="str">
        <f>VLOOKUP(A:A,USD!A:E,5,FALSE)</f>
        <v>WTX</v>
      </c>
      <c r="F47" s="1" t="str">
        <f>VLOOKUP(A:A,USD!A:F,6,FALSE)</f>
        <v>WTX</v>
      </c>
      <c r="G47" s="1" t="str">
        <f>VLOOKUP(A:A,'Regions and Ports'!A:G,7,FALSE)</f>
        <v>Dallas</v>
      </c>
      <c r="H47" s="1">
        <f>VLOOKUP(A:A,USD!A:R,8,FALSE)</f>
        <v>2</v>
      </c>
      <c r="I47" s="87">
        <f>(VLOOKUP($A:$A,USD!$A:$AL,9,FALSE)*88)/88*20</f>
        <v>95</v>
      </c>
      <c r="J47" s="87">
        <f>(VLOOKUP($A:$A,USD!$A:$AL,10,FALSE)*88)/88*20</f>
        <v>109</v>
      </c>
      <c r="K47" s="87">
        <f>(VLOOKUP($A:$A,USD!$A:$AL,11,FALSE)*88)/88*20</f>
        <v>195</v>
      </c>
      <c r="L47" s="87">
        <f>(VLOOKUP($A:$A,USD!$A:$AL,12,FALSE)*88)/88*20</f>
        <v>0</v>
      </c>
      <c r="M47" s="87">
        <f>(VLOOKUP($A:$A,USD!$A:$AL,13,FALSE)*88)/88*20</f>
        <v>20</v>
      </c>
      <c r="N47" s="87">
        <f>(VLOOKUP($A:$A,USD!$A:$AL,14,FALSE)*88)/88*20</f>
        <v>48</v>
      </c>
      <c r="O47" s="68">
        <f>(VLOOKUP($A:$A,USD!$A:$AL,15,FALSE)*88)/88*20</f>
        <v>37.916666666666671</v>
      </c>
      <c r="P47" s="87">
        <f>(VLOOKUP($A:$A,USD!$A:$AL,16,FALSE)*88)/88*20</f>
        <v>0</v>
      </c>
      <c r="Q47" s="68">
        <f t="shared" si="0"/>
        <v>504.91666666666669</v>
      </c>
      <c r="R47" s="68">
        <f t="shared" si="1"/>
        <v>280.91666666666669</v>
      </c>
      <c r="S47" s="68">
        <f>(VLOOKUP($A:$A,USD!$A:$AL,19,FALSE)*88)/88*20</f>
        <v>0</v>
      </c>
      <c r="T47" s="68">
        <f>(VLOOKUP($A:$A,USD!$A:$AL,20,FALSE)*88)/88*20</f>
        <v>0</v>
      </c>
      <c r="U47" s="68">
        <f>(VLOOKUP($A:$A,USD!$A:$AL,21,FALSE)*88)/88*20</f>
        <v>192.04545454545453</v>
      </c>
      <c r="V47" s="68"/>
      <c r="W47" s="68">
        <f t="shared" si="2"/>
        <v>192.04545454545453</v>
      </c>
      <c r="X47" s="1">
        <f>(VLOOKUP($A:$A,USD!$A:$AL,24,FALSE)*88)/88*20</f>
        <v>54</v>
      </c>
      <c r="Y47" s="68">
        <f>(VLOOKUP($A:$A,USD!$A:$AL,25,FALSE)*88)/88*20</f>
        <v>50.4</v>
      </c>
      <c r="Z47" s="68">
        <f>(VLOOKUP($A:$A,USD!$A:$AL,26,FALSE)*88)/88*20</f>
        <v>26.25</v>
      </c>
      <c r="AB47" s="68">
        <f t="shared" si="3"/>
        <v>130.65</v>
      </c>
      <c r="AC47" s="68">
        <f>(VLOOKUP($A:$A,USD!$A:$AL,29,FALSE)*88)/88*20</f>
        <v>162.5</v>
      </c>
      <c r="AD47" s="68">
        <f>(VLOOKUP($A:$A,USD!$A:$AL,30,FALSE)*88)/88*20</f>
        <v>268.18181818181819</v>
      </c>
      <c r="AF47" s="68">
        <f t="shared" si="4"/>
        <v>430.68181818181819</v>
      </c>
      <c r="AG47" s="87">
        <f>(VLOOKUP($A:$A,USD!$A:$AL,33,FALSE)*88)/88*20</f>
        <v>28.814300000000003</v>
      </c>
      <c r="AH47" s="68">
        <f>(VLOOKUP($A:$A,USD!$A:$AL,34,FALSE)*88)/88*20</f>
        <v>6.973140495867769</v>
      </c>
      <c r="AI47" s="87">
        <f>(VLOOKUP($A:$A,USD!$A:$AL,35,FALSE)*88)/88*20</f>
        <v>12.587317427197677</v>
      </c>
      <c r="AJ47" s="87">
        <f>(VLOOKUP($A:$A,USD!$A:$AL,36,FALSE)*88)/88*20</f>
        <v>6.7351999999999999</v>
      </c>
      <c r="AL47" s="68">
        <f t="shared" si="5"/>
        <v>55.109957923065444</v>
      </c>
      <c r="AM47" s="87">
        <f>(VLOOKUP($A:$A,USD!$A:$AR,39,FALSE)*88)/88*20</f>
        <v>79.999999999999986</v>
      </c>
      <c r="AN47" s="68">
        <f>(VLOOKUP($A:$A,USD!$A:$AR,40,FALSE)*88)/88*20</f>
        <v>26.17808219178082</v>
      </c>
      <c r="AO47" s="1">
        <f>(VLOOKUP($A:$A,USD!$A:$AR,41,FALSE)*88)/88*20</f>
        <v>0</v>
      </c>
      <c r="AR47" s="1">
        <f t="shared" si="6"/>
        <v>106.1780821917808</v>
      </c>
      <c r="AS47" s="38">
        <f t="shared" si="7"/>
        <v>1195.5819795087855</v>
      </c>
      <c r="AT47" s="38">
        <f t="shared" si="8"/>
        <v>1419.5819795087855</v>
      </c>
      <c r="AW47" s="1">
        <f>(VLOOKUP(A:A,USD!A:AT,46,FALSE)*88)/88*20</f>
        <v>347.84090909090907</v>
      </c>
      <c r="AX47" s="1" t="e">
        <f>(VLOOKUP(A:A,USD!A:AU,47,FALSE)*88)/88*20</f>
        <v>#N/A</v>
      </c>
    </row>
    <row r="48" spans="1:50" hidden="1">
      <c r="A48" s="125">
        <v>828031</v>
      </c>
      <c r="B48" s="1" t="s">
        <v>163</v>
      </c>
      <c r="C48" s="1" t="s">
        <v>164</v>
      </c>
      <c r="D48" s="1" t="s">
        <v>71</v>
      </c>
      <c r="E48" s="1" t="s">
        <v>2067</v>
      </c>
      <c r="F48" s="1" t="str">
        <f>VLOOKUP(A:A,USD!A:F,6,FALSE)</f>
        <v>WTX</v>
      </c>
      <c r="G48" s="1" t="s">
        <v>439</v>
      </c>
      <c r="H48" s="1">
        <f>VLOOKUP(A:A,USD!A:R,8,FALSE)</f>
        <v>2</v>
      </c>
      <c r="I48" s="87">
        <f>(VLOOKUP($A:$A,USD!$A:$AL,9,FALSE)*88)/88*20</f>
        <v>95</v>
      </c>
      <c r="J48" s="87">
        <f>(VLOOKUP($A:$A,USD!$A:$AL,10,FALSE)*88)/88*20</f>
        <v>109</v>
      </c>
      <c r="K48" s="87">
        <f>(VLOOKUP($A:$A,USD!$A:$AL,11,FALSE)*88)/88*20</f>
        <v>195</v>
      </c>
      <c r="L48" s="87">
        <f>(VLOOKUP($A:$A,USD!$A:$AL,12,FALSE)*88)/88*20</f>
        <v>0</v>
      </c>
      <c r="M48" s="87">
        <f>(VLOOKUP($A:$A,USD!$A:$AL,13,FALSE)*88)/88*20</f>
        <v>20</v>
      </c>
      <c r="N48" s="87">
        <f>(VLOOKUP($A:$A,USD!$A:$AL,14,FALSE)*88)/88*20</f>
        <v>48</v>
      </c>
      <c r="O48" s="68">
        <f>(VLOOKUP($A:$A,USD!$A:$AL,15,FALSE)*88)/88*20</f>
        <v>37.916666666666671</v>
      </c>
      <c r="P48" s="87">
        <f>(VLOOKUP($A:$A,USD!$A:$AL,16,FALSE)*88)/88*20</f>
        <v>0</v>
      </c>
      <c r="Q48" s="68">
        <f t="shared" si="0"/>
        <v>504.91666666666669</v>
      </c>
      <c r="R48" s="68">
        <f t="shared" si="1"/>
        <v>280.91666666666669</v>
      </c>
      <c r="S48" s="68">
        <f>(VLOOKUP($A:$A,USD!$A:$AL,19,FALSE)*88)/88*20</f>
        <v>0</v>
      </c>
      <c r="T48" s="68">
        <f>(VLOOKUP($A:$A,USD!$A:$AL,20,FALSE)*88)/88*20</f>
        <v>0</v>
      </c>
      <c r="U48" s="68" cm="1">
        <f t="array" ref="U48">(_xlfn.XLOOKUP(1, (USD!$A:$A=$A48)*(USD!$E:$E=$E48), USD!$U:$U, "", 0)*88)/88*20</f>
        <v>267.0454545454545</v>
      </c>
      <c r="V48" s="68"/>
      <c r="W48" s="68">
        <f t="shared" si="2"/>
        <v>267.0454545454545</v>
      </c>
      <c r="X48" s="1">
        <f>(VLOOKUP($A:$A,USD!$A:$AL,24,FALSE)*88)/88*20</f>
        <v>54</v>
      </c>
      <c r="Y48" s="68">
        <f>(VLOOKUP($A:$A,USD!$A:$AL,25,FALSE)*88)/88*20</f>
        <v>50.4</v>
      </c>
      <c r="Z48" s="68">
        <f>(VLOOKUP($A:$A,USD!$A:$AL,26,FALSE)*88)/88*20</f>
        <v>26.25</v>
      </c>
      <c r="AB48" s="68">
        <f t="shared" si="3"/>
        <v>130.65</v>
      </c>
      <c r="AC48" s="68" cm="1">
        <f t="array" ref="AC48">_xlfn.XLOOKUP(A48&amp;E48, USD!$A:$A&amp;USD!$E:$E, USD!$AC:$AC, "")*20</f>
        <v>132.95454545454544</v>
      </c>
      <c r="AD48" s="68" cm="1">
        <f t="array" ref="AD48">_xlfn.XLOOKUP(A48&amp;E48, USD!$A:$A&amp;USD!$E:$E, USD!$AD:$AD, "")*20</f>
        <v>197.95454545454547</v>
      </c>
      <c r="AF48" s="68">
        <f t="shared" si="4"/>
        <v>330.90909090909088</v>
      </c>
      <c r="AG48" s="87">
        <f>(VLOOKUP($A:$A,USD!$A:$AL,33,FALSE)*88)/88*20</f>
        <v>28.814300000000003</v>
      </c>
      <c r="AH48" s="68">
        <f>(VLOOKUP($A:$A,USD!$A:$AL,34,FALSE)*88)/88*20</f>
        <v>6.973140495867769</v>
      </c>
      <c r="AI48" s="87">
        <f>(VLOOKUP($A:$A,USD!$A:$AL,35,FALSE)*88)/88*20</f>
        <v>12.587317427197677</v>
      </c>
      <c r="AJ48" s="87">
        <f>(VLOOKUP($A:$A,USD!$A:$AL,36,FALSE)*88)/88*20</f>
        <v>6.7351999999999999</v>
      </c>
      <c r="AL48" s="68">
        <f t="shared" si="5"/>
        <v>55.109957923065444</v>
      </c>
      <c r="AM48" s="87">
        <f>(VLOOKUP($A:$A,USD!$A:$AR,39,FALSE)*88)/88*20</f>
        <v>79.999999999999986</v>
      </c>
      <c r="AN48" s="68">
        <f>(VLOOKUP($A:$A,USD!$A:$AR,40,FALSE)*88)/88*20</f>
        <v>26.17808219178082</v>
      </c>
      <c r="AO48" s="1">
        <f>(VLOOKUP($A:$A,USD!$A:$AR,41,FALSE)*88)/88*20</f>
        <v>0</v>
      </c>
      <c r="AR48" s="1">
        <f t="shared" si="6"/>
        <v>106.1780821917808</v>
      </c>
      <c r="AS48" s="38">
        <f t="shared" si="7"/>
        <v>1170.8092522360582</v>
      </c>
      <c r="AT48" s="38">
        <f t="shared" si="8"/>
        <v>1394.8092522360582</v>
      </c>
      <c r="AW48" s="1">
        <f>(VLOOKUP(A:A,USD!A:AT,46,FALSE)*88)/88*20</f>
        <v>347.84090909090907</v>
      </c>
      <c r="AX48" s="1" t="e">
        <f>(VLOOKUP(A:A,USD!A:AU,47,FALSE)*88)/88*20</f>
        <v>#N/A</v>
      </c>
    </row>
    <row r="49" spans="1:50" hidden="1">
      <c r="A49" s="1">
        <v>787005</v>
      </c>
      <c r="B49" s="1" t="s">
        <v>166</v>
      </c>
      <c r="C49" s="1" t="s">
        <v>167</v>
      </c>
      <c r="D49" s="1" t="s">
        <v>168</v>
      </c>
      <c r="E49" s="1" t="str">
        <f>VLOOKUP(A:A,USD!A:E,5,FALSE)</f>
        <v>Memphis Rule 5</v>
      </c>
      <c r="F49" s="1" t="str">
        <f>VLOOKUP(A:A,USD!A:F,6,FALSE)</f>
        <v>MR5</v>
      </c>
      <c r="G49" s="1" t="str">
        <f>VLOOKUP(A:A,'Regions and Ports'!A:G,7,FALSE)</f>
        <v>Memphis</v>
      </c>
      <c r="H49" s="1">
        <f>VLOOKUP(A:A,USD!A:R,8,FALSE)</f>
        <v>1</v>
      </c>
      <c r="I49" s="87">
        <f>(VLOOKUP($A:$A,USD!$A:$AL,9,FALSE)*88)/88*20</f>
        <v>50</v>
      </c>
      <c r="J49" s="87">
        <f>(VLOOKUP($A:$A,USD!$A:$AL,10,FALSE)*88)/88*20</f>
        <v>250</v>
      </c>
      <c r="K49" s="87">
        <f>(VLOOKUP($A:$A,USD!$A:$AL,11,FALSE)*88)/88*20</f>
        <v>0</v>
      </c>
      <c r="L49" s="87">
        <f>(VLOOKUP($A:$A,USD!$A:$AL,12,FALSE)*88)/88*20</f>
        <v>60</v>
      </c>
      <c r="M49" s="87">
        <f>(VLOOKUP($A:$A,USD!$A:$AL,13,FALSE)*88)/88*20</f>
        <v>10</v>
      </c>
      <c r="N49" s="87">
        <f>(VLOOKUP($A:$A,USD!$A:$AL,14,FALSE)*88)/88*20</f>
        <v>78</v>
      </c>
      <c r="O49" s="68">
        <f>(VLOOKUP($A:$A,USD!$A:$AL,15,FALSE)*88)/88*20</f>
        <v>37.916666666666671</v>
      </c>
      <c r="P49" s="87">
        <f>(VLOOKUP($A:$A,USD!$A:$AL,16,FALSE)*88)/88*20</f>
        <v>0</v>
      </c>
      <c r="Q49" s="68">
        <f t="shared" si="0"/>
        <v>485.91666666666669</v>
      </c>
      <c r="R49" s="68">
        <f t="shared" si="1"/>
        <v>115.91666666666667</v>
      </c>
      <c r="S49" s="68">
        <f>(VLOOKUP($A:$A,USD!$A:$AL,19,FALSE)*88)/88*20</f>
        <v>0</v>
      </c>
      <c r="T49" s="68">
        <f>(VLOOKUP($A:$A,USD!$A:$AL,20,FALSE)*88)/88*20</f>
        <v>0</v>
      </c>
      <c r="U49" s="68">
        <f>(VLOOKUP($A:$A,USD!$A:$AL,21,FALSE)*88)/88*20</f>
        <v>169.88636363636363</v>
      </c>
      <c r="V49" s="68"/>
      <c r="W49" s="68">
        <f t="shared" si="2"/>
        <v>169.88636363636363</v>
      </c>
      <c r="X49" s="1">
        <f>(VLOOKUP($A:$A,USD!$A:$AL,24,FALSE)*88)/88*20</f>
        <v>50</v>
      </c>
      <c r="Y49" s="68">
        <f>(VLOOKUP($A:$A,USD!$A:$AL,25,FALSE)*88)/88*20</f>
        <v>33.6</v>
      </c>
      <c r="Z49" s="68">
        <f>(VLOOKUP($A:$A,USD!$A:$AL,26,FALSE)*88)/88*20</f>
        <v>26.25</v>
      </c>
      <c r="AB49" s="68">
        <f t="shared" si="3"/>
        <v>109.85</v>
      </c>
      <c r="AC49" s="68">
        <f>(VLOOKUP($A:$A,USD!$A:$AL,29,FALSE)*88)/88*20</f>
        <v>146.02272727272725</v>
      </c>
      <c r="AD49" s="68">
        <f>(VLOOKUP($A:$A,USD!$A:$AL,30,FALSE)*88)/88*20</f>
        <v>182.72727272727275</v>
      </c>
      <c r="AF49" s="68">
        <f t="shared" si="4"/>
        <v>328.75</v>
      </c>
      <c r="AG49" s="87">
        <f>(VLOOKUP($A:$A,USD!$A:$AL,33,FALSE)*88)/88*20</f>
        <v>28.814300000000003</v>
      </c>
      <c r="AH49" s="68">
        <f>(VLOOKUP($A:$A,USD!$A:$AL,34,FALSE)*88)/88*20</f>
        <v>6.973140495867769</v>
      </c>
      <c r="AI49" s="87">
        <f>(VLOOKUP($A:$A,USD!$A:$AL,35,FALSE)*88)/88*20</f>
        <v>12.587317427197677</v>
      </c>
      <c r="AJ49" s="87">
        <f>(VLOOKUP($A:$A,USD!$A:$AL,36,FALSE)*88)/88*20</f>
        <v>6.7351999999999999</v>
      </c>
      <c r="AL49" s="68">
        <f t="shared" si="5"/>
        <v>55.109957923065444</v>
      </c>
      <c r="AM49" s="87">
        <f>(VLOOKUP($A:$A,USD!$A:$AR,39,FALSE)*88)/88*20</f>
        <v>79.999999999999986</v>
      </c>
      <c r="AN49" s="68">
        <f>(VLOOKUP($A:$A,USD!$A:$AR,40,FALSE)*88)/88*20</f>
        <v>26.17808219178082</v>
      </c>
      <c r="AO49" s="1">
        <f>(VLOOKUP($A:$A,USD!$A:$AR,41,FALSE)*88)/88*20</f>
        <v>0</v>
      </c>
      <c r="AR49" s="1">
        <f t="shared" si="6"/>
        <v>106.1780821917808</v>
      </c>
      <c r="AS49" s="38">
        <f t="shared" si="7"/>
        <v>885.69107041787652</v>
      </c>
      <c r="AT49" s="38">
        <f t="shared" si="8"/>
        <v>1255.6910704178765</v>
      </c>
      <c r="AW49" s="1">
        <f>(VLOOKUP(A:A,USD!A:AT,46,FALSE)*88)/88*20</f>
        <v>541.07500000000005</v>
      </c>
      <c r="AX49" s="1">
        <f>(VLOOKUP(A:A,USD!A:AU,47,FALSE)*88)/88*20</f>
        <v>417.0454545454545</v>
      </c>
    </row>
    <row r="50" spans="1:50" hidden="1">
      <c r="A50" s="1">
        <v>787010</v>
      </c>
      <c r="B50" s="1" t="s">
        <v>170</v>
      </c>
      <c r="C50" s="1" t="s">
        <v>167</v>
      </c>
      <c r="D50" s="1" t="s">
        <v>168</v>
      </c>
      <c r="E50" s="1" t="str">
        <f>VLOOKUP(A:A,USD!A:E,5,FALSE)</f>
        <v>Memphis Rule 5</v>
      </c>
      <c r="F50" s="1" t="str">
        <f>VLOOKUP(A:A,USD!A:F,6,FALSE)</f>
        <v>MR5</v>
      </c>
      <c r="G50" s="1" t="str">
        <f>VLOOKUP(A:A,'Regions and Ports'!A:G,7,FALSE)</f>
        <v>Memphis</v>
      </c>
      <c r="H50" s="1">
        <f>VLOOKUP(A:A,USD!A:R,8,FALSE)</f>
        <v>1</v>
      </c>
      <c r="I50" s="87">
        <f>(VLOOKUP($A:$A,USD!$A:$AL,9,FALSE)*88)/88*20</f>
        <v>42</v>
      </c>
      <c r="J50" s="87">
        <f>(VLOOKUP($A:$A,USD!$A:$AL,10,FALSE)*88)/88*20</f>
        <v>105</v>
      </c>
      <c r="K50" s="87">
        <f>(VLOOKUP($A:$A,USD!$A:$AL,11,FALSE)*88)/88*20</f>
        <v>167</v>
      </c>
      <c r="L50" s="87">
        <f>(VLOOKUP($A:$A,USD!$A:$AL,12,FALSE)*88)/88*20</f>
        <v>61</v>
      </c>
      <c r="M50" s="87">
        <f>(VLOOKUP($A:$A,USD!$A:$AL,13,FALSE)*88)/88*20</f>
        <v>0</v>
      </c>
      <c r="N50" s="87">
        <f>(VLOOKUP($A:$A,USD!$A:$AL,14,FALSE)*88)/88*20</f>
        <v>73</v>
      </c>
      <c r="O50" s="68">
        <f>(VLOOKUP($A:$A,USD!$A:$AL,15,FALSE)*88)/88*20</f>
        <v>37.916666666666671</v>
      </c>
      <c r="P50" s="87">
        <f>(VLOOKUP($A:$A,USD!$A:$AL,16,FALSE)*88)/88*20</f>
        <v>0</v>
      </c>
      <c r="Q50" s="68">
        <f t="shared" si="0"/>
        <v>485.91666666666669</v>
      </c>
      <c r="R50" s="68">
        <f t="shared" si="1"/>
        <v>110.91666666666667</v>
      </c>
      <c r="S50" s="68">
        <f>(VLOOKUP($A:$A,USD!$A:$AL,19,FALSE)*88)/88*20</f>
        <v>0</v>
      </c>
      <c r="T50" s="68">
        <f>(VLOOKUP($A:$A,USD!$A:$AL,20,FALSE)*88)/88*20</f>
        <v>0</v>
      </c>
      <c r="U50" s="68">
        <f>(VLOOKUP($A:$A,USD!$A:$AL,21,FALSE)*88)/88*20</f>
        <v>169.88636363636363</v>
      </c>
      <c r="V50" s="68"/>
      <c r="W50" s="68">
        <f t="shared" si="2"/>
        <v>169.88636363636363</v>
      </c>
      <c r="X50" s="1">
        <f>(VLOOKUP($A:$A,USD!$A:$AL,24,FALSE)*88)/88*20</f>
        <v>50</v>
      </c>
      <c r="Y50" s="68">
        <f>(VLOOKUP($A:$A,USD!$A:$AL,25,FALSE)*88)/88*20</f>
        <v>33.6</v>
      </c>
      <c r="Z50" s="68">
        <f>(VLOOKUP($A:$A,USD!$A:$AL,26,FALSE)*88)/88*20</f>
        <v>26.25</v>
      </c>
      <c r="AB50" s="68">
        <f t="shared" si="3"/>
        <v>109.85</v>
      </c>
      <c r="AC50" s="68">
        <f>(VLOOKUP($A:$A,USD!$A:$AL,29,FALSE)*88)/88*20</f>
        <v>146.02272727272725</v>
      </c>
      <c r="AD50" s="68">
        <f>(VLOOKUP($A:$A,USD!$A:$AL,30,FALSE)*88)/88*20</f>
        <v>182.72727272727275</v>
      </c>
      <c r="AF50" s="68">
        <f t="shared" si="4"/>
        <v>328.75</v>
      </c>
      <c r="AG50" s="87">
        <f>(VLOOKUP($A:$A,USD!$A:$AL,33,FALSE)*88)/88*20</f>
        <v>28.814300000000003</v>
      </c>
      <c r="AH50" s="68">
        <f>(VLOOKUP($A:$A,USD!$A:$AL,34,FALSE)*88)/88*20</f>
        <v>6.973140495867769</v>
      </c>
      <c r="AI50" s="87">
        <f>(VLOOKUP($A:$A,USD!$A:$AL,35,FALSE)*88)/88*20</f>
        <v>12.587317427197677</v>
      </c>
      <c r="AJ50" s="87">
        <f>(VLOOKUP($A:$A,USD!$A:$AL,36,FALSE)*88)/88*20</f>
        <v>6.7351999999999999</v>
      </c>
      <c r="AL50" s="68">
        <f t="shared" si="5"/>
        <v>55.109957923065444</v>
      </c>
      <c r="AM50" s="87">
        <f>(VLOOKUP($A:$A,USD!$A:$AR,39,FALSE)*88)/88*20</f>
        <v>79.999999999999986</v>
      </c>
      <c r="AN50" s="68">
        <f>(VLOOKUP($A:$A,USD!$A:$AR,40,FALSE)*88)/88*20</f>
        <v>26.17808219178082</v>
      </c>
      <c r="AO50" s="1">
        <f>(VLOOKUP($A:$A,USD!$A:$AR,41,FALSE)*88)/88*20</f>
        <v>0</v>
      </c>
      <c r="AR50" s="1">
        <f t="shared" si="6"/>
        <v>106.1780821917808</v>
      </c>
      <c r="AS50" s="38">
        <f t="shared" si="7"/>
        <v>880.69107041787652</v>
      </c>
      <c r="AT50" s="38">
        <f t="shared" si="8"/>
        <v>1255.6910704178765</v>
      </c>
      <c r="AW50" s="1">
        <f>(VLOOKUP(A:A,USD!A:AT,46,FALSE)*88)/88*20</f>
        <v>541.07500000000005</v>
      </c>
      <c r="AX50" s="1">
        <f>(VLOOKUP(A:A,USD!A:AU,47,FALSE)*88)/88*20</f>
        <v>417.0454545454545</v>
      </c>
    </row>
    <row r="51" spans="1:50" hidden="1">
      <c r="A51" s="1">
        <v>787097</v>
      </c>
      <c r="B51" s="1" t="s">
        <v>171</v>
      </c>
      <c r="C51" s="1" t="s">
        <v>167</v>
      </c>
      <c r="D51" s="1" t="s">
        <v>168</v>
      </c>
      <c r="E51" s="1" t="str">
        <f>VLOOKUP(A:A,USD!A:E,5,FALSE)</f>
        <v>Memphis Rule 5</v>
      </c>
      <c r="F51" s="1" t="str">
        <f>VLOOKUP(A:A,USD!A:F,6,FALSE)</f>
        <v>MR5</v>
      </c>
      <c r="G51" s="1" t="str">
        <f>VLOOKUP(A:A,'Regions and Ports'!A:G,7,FALSE)</f>
        <v>Memphis</v>
      </c>
      <c r="H51" s="1">
        <f>VLOOKUP(A:A,USD!A:R,8,FALSE)</f>
        <v>1</v>
      </c>
      <c r="I51" s="87">
        <f>(VLOOKUP($A:$A,USD!$A:$AL,9,FALSE)*88)/88*20</f>
        <v>55</v>
      </c>
      <c r="J51" s="87">
        <f>(VLOOKUP($A:$A,USD!$A:$AL,10,FALSE)*88)/88*20</f>
        <v>224</v>
      </c>
      <c r="K51" s="87">
        <f>(VLOOKUP($A:$A,USD!$A:$AL,11,FALSE)*88)/88*20</f>
        <v>0</v>
      </c>
      <c r="L51" s="87">
        <f>(VLOOKUP($A:$A,USD!$A:$AL,12,FALSE)*88)/88*20</f>
        <v>61</v>
      </c>
      <c r="M51" s="87">
        <f>(VLOOKUP($A:$A,USD!$A:$AL,13,FALSE)*88)/88*20</f>
        <v>0</v>
      </c>
      <c r="N51" s="87">
        <f>(VLOOKUP($A:$A,USD!$A:$AL,14,FALSE)*88)/88*20</f>
        <v>74</v>
      </c>
      <c r="O51" s="68">
        <f>(VLOOKUP($A:$A,USD!$A:$AL,15,FALSE)*88)/88*20</f>
        <v>37.916666666666671</v>
      </c>
      <c r="P51" s="87">
        <f>(VLOOKUP($A:$A,USD!$A:$AL,16,FALSE)*88)/88*20</f>
        <v>0</v>
      </c>
      <c r="Q51" s="68">
        <f t="shared" si="0"/>
        <v>451.91666666666669</v>
      </c>
      <c r="R51" s="68">
        <f t="shared" si="1"/>
        <v>111.91666666666667</v>
      </c>
      <c r="S51" s="68">
        <f>(VLOOKUP($A:$A,USD!$A:$AL,19,FALSE)*88)/88*20</f>
        <v>0</v>
      </c>
      <c r="T51" s="68">
        <f>(VLOOKUP($A:$A,USD!$A:$AL,20,FALSE)*88)/88*20</f>
        <v>0</v>
      </c>
      <c r="U51" s="68">
        <f>(VLOOKUP($A:$A,USD!$A:$AL,21,FALSE)*88)/88*20</f>
        <v>169.88636363636363</v>
      </c>
      <c r="V51" s="68"/>
      <c r="W51" s="68">
        <f t="shared" si="2"/>
        <v>169.88636363636363</v>
      </c>
      <c r="X51" s="1">
        <f>(VLOOKUP($A:$A,USD!$A:$AL,24,FALSE)*88)/88*20</f>
        <v>50</v>
      </c>
      <c r="Y51" s="68">
        <f>(VLOOKUP($A:$A,USD!$A:$AL,25,FALSE)*88)/88*20</f>
        <v>33.6</v>
      </c>
      <c r="Z51" s="68">
        <f>(VLOOKUP($A:$A,USD!$A:$AL,26,FALSE)*88)/88*20</f>
        <v>26.25</v>
      </c>
      <c r="AB51" s="68">
        <f t="shared" si="3"/>
        <v>109.85</v>
      </c>
      <c r="AC51" s="68">
        <f>(VLOOKUP($A:$A,USD!$A:$AL,29,FALSE)*88)/88*20</f>
        <v>146.02272727272725</v>
      </c>
      <c r="AD51" s="68">
        <f>(VLOOKUP($A:$A,USD!$A:$AL,30,FALSE)*88)/88*20</f>
        <v>182.72727272727275</v>
      </c>
      <c r="AF51" s="68">
        <f t="shared" si="4"/>
        <v>328.75</v>
      </c>
      <c r="AG51" s="87">
        <f>(VLOOKUP($A:$A,USD!$A:$AL,33,FALSE)*88)/88*20</f>
        <v>28.814300000000003</v>
      </c>
      <c r="AH51" s="68">
        <f>(VLOOKUP($A:$A,USD!$A:$AL,34,FALSE)*88)/88*20</f>
        <v>6.973140495867769</v>
      </c>
      <c r="AI51" s="87">
        <f>(VLOOKUP($A:$A,USD!$A:$AL,35,FALSE)*88)/88*20</f>
        <v>12.587317427197677</v>
      </c>
      <c r="AJ51" s="87">
        <f>(VLOOKUP($A:$A,USD!$A:$AL,36,FALSE)*88)/88*20</f>
        <v>6.7351999999999999</v>
      </c>
      <c r="AL51" s="68">
        <f t="shared" si="5"/>
        <v>55.109957923065444</v>
      </c>
      <c r="AM51" s="87">
        <f>(VLOOKUP($A:$A,USD!$A:$AR,39,FALSE)*88)/88*20</f>
        <v>79.999999999999986</v>
      </c>
      <c r="AN51" s="68">
        <f>(VLOOKUP($A:$A,USD!$A:$AR,40,FALSE)*88)/88*20</f>
        <v>26.17808219178082</v>
      </c>
      <c r="AO51" s="1">
        <f>(VLOOKUP($A:$A,USD!$A:$AR,41,FALSE)*88)/88*20</f>
        <v>0</v>
      </c>
      <c r="AR51" s="1">
        <f t="shared" si="6"/>
        <v>106.1780821917808</v>
      </c>
      <c r="AS51" s="38">
        <f t="shared" si="7"/>
        <v>881.69107041787652</v>
      </c>
      <c r="AT51" s="38">
        <f t="shared" si="8"/>
        <v>1221.6910704178765</v>
      </c>
      <c r="AW51" s="1">
        <f>(VLOOKUP(A:A,USD!A:AT,46,FALSE)*88)/88*20</f>
        <v>541.07500000000005</v>
      </c>
      <c r="AX51" s="1">
        <f>(VLOOKUP(A:A,USD!A:AU,47,FALSE)*88)/88*20</f>
        <v>417.0454545454545</v>
      </c>
    </row>
    <row r="52" spans="1:50" hidden="1">
      <c r="A52" s="1">
        <v>829535</v>
      </c>
      <c r="B52" s="1" t="s">
        <v>172</v>
      </c>
      <c r="C52" s="1" t="s">
        <v>173</v>
      </c>
      <c r="D52" s="1" t="s">
        <v>71</v>
      </c>
      <c r="E52" s="1" t="str">
        <f>VLOOKUP(A:A,USD!A:E,5,FALSE)</f>
        <v>STEX</v>
      </c>
      <c r="F52" s="1" t="str">
        <f>VLOOKUP(A:A,USD!A:F,6,FALSE)</f>
        <v>STX</v>
      </c>
      <c r="G52" s="1" t="str">
        <f>VLOOKUP(A:A,'Regions and Ports'!A:G,7,FALSE)</f>
        <v>Houston</v>
      </c>
      <c r="H52" s="1">
        <f>VLOOKUP(A:A,USD!A:R,8,FALSE)</f>
        <v>3</v>
      </c>
      <c r="I52" s="87">
        <f>(VLOOKUP($A:$A,USD!$A:$AL,9,FALSE)*88)/88*20</f>
        <v>90</v>
      </c>
      <c r="J52" s="87">
        <f>(VLOOKUP($A:$A,USD!$A:$AL,10,FALSE)*88)/88*20</f>
        <v>135</v>
      </c>
      <c r="K52" s="87">
        <f>(VLOOKUP($A:$A,USD!$A:$AL,11,FALSE)*88)/88*20</f>
        <v>240</v>
      </c>
      <c r="L52" s="87">
        <f>(VLOOKUP($A:$A,USD!$A:$AL,12,FALSE)*88)/88*20</f>
        <v>0</v>
      </c>
      <c r="M52" s="87">
        <f>(VLOOKUP($A:$A,USD!$A:$AL,13,FALSE)*88)/88*20</f>
        <v>0</v>
      </c>
      <c r="N52" s="87">
        <f>(VLOOKUP($A:$A,USD!$A:$AL,14,FALSE)*88)/88*20</f>
        <v>70</v>
      </c>
      <c r="O52" s="68">
        <f>(VLOOKUP($A:$A,USD!$A:$AL,15,FALSE)*88)/88*20</f>
        <v>37.916666666666671</v>
      </c>
      <c r="P52" s="87">
        <f>(VLOOKUP($A:$A,USD!$A:$AL,16,FALSE)*88)/88*20</f>
        <v>0</v>
      </c>
      <c r="Q52" s="68">
        <f t="shared" si="0"/>
        <v>572.91666666666663</v>
      </c>
      <c r="R52" s="68">
        <f t="shared" si="1"/>
        <v>482.91666666666669</v>
      </c>
      <c r="S52" s="68">
        <f>(VLOOKUP($A:$A,USD!$A:$AL,19,FALSE)*88)/88*20</f>
        <v>0</v>
      </c>
      <c r="T52" s="68">
        <f>(VLOOKUP($A:$A,USD!$A:$AL,20,FALSE)*88)/88*20</f>
        <v>0</v>
      </c>
      <c r="U52" s="68">
        <f>(VLOOKUP($A:$A,USD!$A:$AL,21,FALSE)*88)/88*20</f>
        <v>207.38636363636363</v>
      </c>
      <c r="V52" s="68"/>
      <c r="W52" s="68">
        <f t="shared" si="2"/>
        <v>207.38636363636363</v>
      </c>
      <c r="X52" s="1">
        <f>(VLOOKUP($A:$A,USD!$A:$AL,24,FALSE)*88)/88*20</f>
        <v>54</v>
      </c>
      <c r="Y52" s="68">
        <f>(VLOOKUP($A:$A,USD!$A:$AL,25,FALSE)*88)/88*20</f>
        <v>50.4</v>
      </c>
      <c r="Z52" s="68">
        <f>(VLOOKUP($A:$A,USD!$A:$AL,26,FALSE)*88)/88*20</f>
        <v>26.25</v>
      </c>
      <c r="AB52" s="68">
        <f t="shared" si="3"/>
        <v>130.65</v>
      </c>
      <c r="AC52" s="68">
        <f>(VLOOKUP($A:$A,USD!$A:$AL,29,FALSE)*88)/88*20</f>
        <v>132.95454545454544</v>
      </c>
      <c r="AD52" s="68">
        <f>(VLOOKUP($A:$A,USD!$A:$AL,30,FALSE)*88)/88*20</f>
        <v>197.95454545454547</v>
      </c>
      <c r="AF52" s="68">
        <f t="shared" si="4"/>
        <v>330.90909090909088</v>
      </c>
      <c r="AG52" s="87">
        <f>(VLOOKUP($A:$A,USD!$A:$AL,33,FALSE)*88)/88*20</f>
        <v>28.814300000000003</v>
      </c>
      <c r="AH52" s="68">
        <f>(VLOOKUP($A:$A,USD!$A:$AL,34,FALSE)*88)/88*20</f>
        <v>6.973140495867769</v>
      </c>
      <c r="AI52" s="87">
        <f>(VLOOKUP($A:$A,USD!$A:$AL,35,FALSE)*88)/88*20</f>
        <v>12.587317427197677</v>
      </c>
      <c r="AJ52" s="87">
        <f>(VLOOKUP($A:$A,USD!$A:$AL,36,FALSE)*88)/88*20</f>
        <v>6.7351999999999999</v>
      </c>
      <c r="AL52" s="68">
        <f t="shared" si="5"/>
        <v>55.109957923065444</v>
      </c>
      <c r="AM52" s="87">
        <f>(VLOOKUP($A:$A,USD!$A:$AR,39,FALSE)*88)/88*20</f>
        <v>79.999999999999986</v>
      </c>
      <c r="AN52" s="68">
        <f>(VLOOKUP($A:$A,USD!$A:$AR,40,FALSE)*88)/88*20</f>
        <v>26.17808219178082</v>
      </c>
      <c r="AO52" s="1">
        <f>(VLOOKUP($A:$A,USD!$A:$AR,41,FALSE)*88)/88*20</f>
        <v>0</v>
      </c>
      <c r="AR52" s="1">
        <f t="shared" si="6"/>
        <v>106.1780821917808</v>
      </c>
      <c r="AS52" s="38">
        <f t="shared" si="7"/>
        <v>1313.1501613269672</v>
      </c>
      <c r="AT52" s="38">
        <f t="shared" si="8"/>
        <v>1403.1501613269672</v>
      </c>
      <c r="AW52" s="1">
        <f>(VLOOKUP(A:A,USD!A:AT,46,FALSE)*88)/88*20</f>
        <v>232.47727272727272</v>
      </c>
      <c r="AX52" s="1" t="e">
        <f>(VLOOKUP(A:A,USD!A:AU,47,FALSE)*88)/88*20</f>
        <v>#N/A</v>
      </c>
    </row>
    <row r="53" spans="1:50" hidden="1">
      <c r="A53" s="1">
        <v>282100</v>
      </c>
      <c r="B53" s="1" t="s">
        <v>175</v>
      </c>
      <c r="C53" s="1" t="s">
        <v>176</v>
      </c>
      <c r="D53" s="1" t="s">
        <v>76</v>
      </c>
      <c r="E53" s="1" t="str">
        <f>VLOOKUP(A:A,USD!A:E,5,FALSE)</f>
        <v>GA 30 Day</v>
      </c>
      <c r="F53" s="1" t="str">
        <f>VLOOKUP(A:A,USD!A:F,6,FALSE)</f>
        <v>ER5</v>
      </c>
      <c r="G53" s="1" t="str">
        <f>VLOOKUP(A:A,'Regions and Ports'!A:G,7,FALSE)</f>
        <v>Savannah</v>
      </c>
      <c r="H53" s="1">
        <f>VLOOKUP(A:A,USD!A:R,8,FALSE)</f>
        <v>4</v>
      </c>
      <c r="I53" s="87">
        <f>(VLOOKUP($A:$A,USD!$A:$AL,9,FALSE)*88)/88*20</f>
        <v>60</v>
      </c>
      <c r="J53" s="87">
        <f>(VLOOKUP($A:$A,USD!$A:$AL,10,FALSE)*88)/88*20</f>
        <v>110</v>
      </c>
      <c r="K53" s="87">
        <f>(VLOOKUP($A:$A,USD!$A:$AL,11,FALSE)*88)/88*20</f>
        <v>100</v>
      </c>
      <c r="L53" s="87">
        <f>(VLOOKUP($A:$A,USD!$A:$AL,12,FALSE)*88)/88*20</f>
        <v>0</v>
      </c>
      <c r="M53" s="87">
        <f>(VLOOKUP($A:$A,USD!$A:$AL,13,FALSE)*88)/88*20</f>
        <v>30</v>
      </c>
      <c r="N53" s="87">
        <f>(VLOOKUP($A:$A,USD!$A:$AL,14,FALSE)*88)/88*20</f>
        <v>80</v>
      </c>
      <c r="O53" s="68">
        <f>(VLOOKUP($A:$A,USD!$A:$AL,15,FALSE)*88)/88*20</f>
        <v>37.916666666666671</v>
      </c>
      <c r="P53" s="87">
        <f>(VLOOKUP($A:$A,USD!$A:$AL,16,FALSE)*88)/88*20</f>
        <v>0</v>
      </c>
      <c r="Q53" s="68">
        <f t="shared" si="0"/>
        <v>417.91666666666669</v>
      </c>
      <c r="R53" s="68">
        <f t="shared" si="1"/>
        <v>37.916666666666671</v>
      </c>
      <c r="S53" s="68">
        <f>(VLOOKUP($A:$A,USD!$A:$AL,19,FALSE)*88)/88*20</f>
        <v>0</v>
      </c>
      <c r="T53" s="68">
        <f>(VLOOKUP($A:$A,USD!$A:$AL,20,FALSE)*88)/88*20</f>
        <v>0</v>
      </c>
      <c r="U53" s="68">
        <f>(VLOOKUP($A:$A,USD!$A:$AL,21,FALSE)*88)/88*20</f>
        <v>231.07272727272729</v>
      </c>
      <c r="V53" s="68"/>
      <c r="W53" s="68">
        <f t="shared" si="2"/>
        <v>231.07272727272729</v>
      </c>
      <c r="X53" s="1">
        <f>(VLOOKUP($A:$A,USD!$A:$AL,24,FALSE)*88)/88*20</f>
        <v>52</v>
      </c>
      <c r="Y53" s="68">
        <f>(VLOOKUP($A:$A,USD!$A:$AL,25,FALSE)*88)/88*20</f>
        <v>50.4</v>
      </c>
      <c r="Z53" s="68">
        <f>(VLOOKUP($A:$A,USD!$A:$AL,26,FALSE)*88)/88*20</f>
        <v>26.25</v>
      </c>
      <c r="AB53" s="68">
        <f t="shared" si="3"/>
        <v>128.65</v>
      </c>
      <c r="AC53" s="68">
        <f>(VLOOKUP($A:$A,USD!$A:$AL,29,FALSE)*88)/88*20</f>
        <v>110.22727272727273</v>
      </c>
      <c r="AD53" s="68">
        <f>(VLOOKUP($A:$A,USD!$A:$AL,30,FALSE)*88)/88*20</f>
        <v>107.04545454545455</v>
      </c>
      <c r="AF53" s="68">
        <f t="shared" si="4"/>
        <v>217.27272727272728</v>
      </c>
      <c r="AG53" s="87">
        <f>(VLOOKUP($A:$A,USD!$A:$AL,33,FALSE)*88)/88*20</f>
        <v>28.814300000000003</v>
      </c>
      <c r="AH53" s="68">
        <f>(VLOOKUP($A:$A,USD!$A:$AL,34,FALSE)*88)/88*20</f>
        <v>6.973140495867769</v>
      </c>
      <c r="AI53" s="87">
        <f>(VLOOKUP($A:$A,USD!$A:$AL,35,FALSE)*88)/88*20</f>
        <v>12.587317427197677</v>
      </c>
      <c r="AJ53" s="87">
        <f>(VLOOKUP($A:$A,USD!$A:$AL,36,FALSE)*88)/88*20</f>
        <v>6.7351999999999999</v>
      </c>
      <c r="AL53" s="68">
        <f t="shared" si="5"/>
        <v>55.109957923065444</v>
      </c>
      <c r="AM53" s="87">
        <f>(VLOOKUP($A:$A,USD!$A:$AR,39,FALSE)*88)/88*20</f>
        <v>79.999999999999986</v>
      </c>
      <c r="AN53" s="68">
        <f>(VLOOKUP($A:$A,USD!$A:$AR,40,FALSE)*88)/88*20</f>
        <v>26.17808219178082</v>
      </c>
      <c r="AO53" s="1">
        <f>(VLOOKUP($A:$A,USD!$A:$AR,41,FALSE)*88)/88*20</f>
        <v>0</v>
      </c>
      <c r="AR53" s="1">
        <f t="shared" si="6"/>
        <v>106.1780821917808</v>
      </c>
      <c r="AS53" s="38">
        <f t="shared" si="7"/>
        <v>776.20016132696742</v>
      </c>
      <c r="AT53" s="38">
        <f t="shared" si="8"/>
        <v>1156.2001613269674</v>
      </c>
      <c r="AW53" s="1">
        <f>(VLOOKUP(A:A,USD!A:AT,46,FALSE)*88)/88*20</f>
        <v>469.29318181818184</v>
      </c>
      <c r="AX53" s="1">
        <f>(VLOOKUP(A:A,USD!A:AU,47,FALSE)*88)/88*20</f>
        <v>297.72727272727275</v>
      </c>
    </row>
    <row r="54" spans="1:50" hidden="1">
      <c r="A54" s="1">
        <v>349529</v>
      </c>
      <c r="B54" s="1" t="s">
        <v>178</v>
      </c>
      <c r="C54" s="1" t="s">
        <v>179</v>
      </c>
      <c r="D54" s="1" t="s">
        <v>76</v>
      </c>
      <c r="E54" s="1" t="str">
        <f>VLOOKUP(A:A,USD!A:E,5,FALSE)</f>
        <v>GA 30 Day</v>
      </c>
      <c r="F54" s="1" t="str">
        <f>VLOOKUP(A:A,USD!A:F,6,FALSE)</f>
        <v>ER5</v>
      </c>
      <c r="G54" s="1" t="str">
        <f>VLOOKUP(A:A,'Regions and Ports'!A:G,7,FALSE)</f>
        <v>Savannah</v>
      </c>
      <c r="H54" s="1">
        <f>VLOOKUP(A:A,USD!A:R,8,FALSE)</f>
        <v>4</v>
      </c>
      <c r="I54" s="87">
        <f>(VLOOKUP($A:$A,USD!$A:$AL,9,FALSE)*88)/88*20</f>
        <v>70</v>
      </c>
      <c r="J54" s="87">
        <f>(VLOOKUP($A:$A,USD!$A:$AL,10,FALSE)*88)/88*20</f>
        <v>100</v>
      </c>
      <c r="K54" s="87">
        <f>(VLOOKUP($A:$A,USD!$A:$AL,11,FALSE)*88)/88*20</f>
        <v>0</v>
      </c>
      <c r="L54" s="87">
        <f>(VLOOKUP($A:$A,USD!$A:$AL,12,FALSE)*88)/88*20</f>
        <v>0</v>
      </c>
      <c r="M54" s="87">
        <f>(VLOOKUP($A:$A,USD!$A:$AL,13,FALSE)*88)/88*20</f>
        <v>40</v>
      </c>
      <c r="N54" s="87">
        <f>(VLOOKUP($A:$A,USD!$A:$AL,14,FALSE)*88)/88*20</f>
        <v>40</v>
      </c>
      <c r="O54" s="68">
        <f>(VLOOKUP($A:$A,USD!$A:$AL,15,FALSE)*88)/88*20</f>
        <v>37.916666666666671</v>
      </c>
      <c r="P54" s="87">
        <f>(VLOOKUP($A:$A,USD!$A:$AL,16,FALSE)*88)/88*20</f>
        <v>0</v>
      </c>
      <c r="Q54" s="68">
        <f t="shared" si="0"/>
        <v>287.91666666666669</v>
      </c>
      <c r="R54" s="68">
        <f t="shared" si="1"/>
        <v>37.916666666666671</v>
      </c>
      <c r="S54" s="68">
        <f>(VLOOKUP($A:$A,USD!$A:$AL,19,FALSE)*88)/88*20</f>
        <v>0</v>
      </c>
      <c r="T54" s="68">
        <f>(VLOOKUP($A:$A,USD!$A:$AL,20,FALSE)*88)/88*20</f>
        <v>0</v>
      </c>
      <c r="U54" s="68">
        <f>(VLOOKUP($A:$A,USD!$A:$AL,21,FALSE)*88)/88*20</f>
        <v>201.68636363636364</v>
      </c>
      <c r="V54" s="68"/>
      <c r="W54" s="68">
        <f t="shared" si="2"/>
        <v>201.68636363636364</v>
      </c>
      <c r="X54" s="1">
        <f>(VLOOKUP($A:$A,USD!$A:$AL,24,FALSE)*88)/88*20</f>
        <v>52</v>
      </c>
      <c r="Y54" s="68">
        <f>(VLOOKUP($A:$A,USD!$A:$AL,25,FALSE)*88)/88*20</f>
        <v>50.4</v>
      </c>
      <c r="Z54" s="68">
        <f>(VLOOKUP($A:$A,USD!$A:$AL,26,FALSE)*88)/88*20</f>
        <v>26.25</v>
      </c>
      <c r="AB54" s="68">
        <f t="shared" si="3"/>
        <v>128.65</v>
      </c>
      <c r="AC54" s="68">
        <f>(VLOOKUP($A:$A,USD!$A:$AL,29,FALSE)*88)/88*20</f>
        <v>110.22727272727273</v>
      </c>
      <c r="AD54" s="68">
        <f>(VLOOKUP($A:$A,USD!$A:$AL,30,FALSE)*88)/88*20</f>
        <v>107.04545454545455</v>
      </c>
      <c r="AF54" s="68">
        <f t="shared" si="4"/>
        <v>217.27272727272728</v>
      </c>
      <c r="AG54" s="87">
        <f>(VLOOKUP($A:$A,USD!$A:$AL,33,FALSE)*88)/88*20</f>
        <v>28.814300000000003</v>
      </c>
      <c r="AH54" s="68">
        <f>(VLOOKUP($A:$A,USD!$A:$AL,34,FALSE)*88)/88*20</f>
        <v>6.973140495867769</v>
      </c>
      <c r="AI54" s="87">
        <f>(VLOOKUP($A:$A,USD!$A:$AL,35,FALSE)*88)/88*20</f>
        <v>12.587317427197677</v>
      </c>
      <c r="AJ54" s="87">
        <f>(VLOOKUP($A:$A,USD!$A:$AL,36,FALSE)*88)/88*20</f>
        <v>6.7351999999999999</v>
      </c>
      <c r="AL54" s="68">
        <f t="shared" si="5"/>
        <v>55.109957923065444</v>
      </c>
      <c r="AM54" s="87">
        <f>(VLOOKUP($A:$A,USD!$A:$AR,39,FALSE)*88)/88*20</f>
        <v>79.999999999999986</v>
      </c>
      <c r="AN54" s="68">
        <f>(VLOOKUP($A:$A,USD!$A:$AR,40,FALSE)*88)/88*20</f>
        <v>26.17808219178082</v>
      </c>
      <c r="AO54" s="1">
        <f>(VLOOKUP($A:$A,USD!$A:$AR,41,FALSE)*88)/88*20</f>
        <v>0</v>
      </c>
      <c r="AR54" s="1">
        <f t="shared" si="6"/>
        <v>106.1780821917808</v>
      </c>
      <c r="AS54" s="38">
        <f t="shared" si="7"/>
        <v>746.81379769060379</v>
      </c>
      <c r="AT54" s="38">
        <f t="shared" si="8"/>
        <v>996.81379769060379</v>
      </c>
      <c r="AW54" s="1" t="e">
        <f>(VLOOKUP(A:A,USD!A:AT,46,FALSE)*88)/88*20</f>
        <v>#N/A</v>
      </c>
      <c r="AX54" s="1" t="e">
        <f>(VLOOKUP(A:A,USD!A:AU,47,FALSE)*88)/88*20</f>
        <v>#N/A</v>
      </c>
    </row>
    <row r="55" spans="1:50" hidden="1">
      <c r="A55" s="1">
        <v>140300</v>
      </c>
      <c r="B55" s="1" t="s">
        <v>181</v>
      </c>
      <c r="C55" s="1" t="s">
        <v>182</v>
      </c>
      <c r="D55" s="1" t="s">
        <v>149</v>
      </c>
      <c r="E55" s="1" t="str">
        <f>VLOOKUP(A:A,USD!A:E,5,FALSE)</f>
        <v>Memphis Rule 5</v>
      </c>
      <c r="F55" s="1" t="str">
        <f>VLOOKUP(A:A,USD!A:F,6,FALSE)</f>
        <v>MR5</v>
      </c>
      <c r="G55" s="1" t="str">
        <f>VLOOKUP(A:A,'Regions and Ports'!A:G,7,FALSE)</f>
        <v>Memphis</v>
      </c>
      <c r="H55" s="1">
        <f>VLOOKUP(A:A,USD!A:R,8,FALSE)</f>
        <v>1</v>
      </c>
      <c r="I55" s="87">
        <f>(VLOOKUP($A:$A,USD!$A:$AL,9,FALSE)*88)/88*20</f>
        <v>35</v>
      </c>
      <c r="J55" s="87">
        <f>(VLOOKUP($A:$A,USD!$A:$AL,10,FALSE)*88)/88*20</f>
        <v>365</v>
      </c>
      <c r="K55" s="87">
        <f>(VLOOKUP($A:$A,USD!$A:$AL,11,FALSE)*88)/88*20</f>
        <v>0</v>
      </c>
      <c r="L55" s="87">
        <f>(VLOOKUP($A:$A,USD!$A:$AL,12,FALSE)*88)/88*20</f>
        <v>61</v>
      </c>
      <c r="M55" s="87">
        <f>(VLOOKUP($A:$A,USD!$A:$AL,13,FALSE)*88)/88*20</f>
        <v>0</v>
      </c>
      <c r="N55" s="87">
        <f>(VLOOKUP($A:$A,USD!$A:$AL,14,FALSE)*88)/88*20</f>
        <v>70</v>
      </c>
      <c r="O55" s="68">
        <f>(VLOOKUP($A:$A,USD!$A:$AL,15,FALSE)*88)/88*20</f>
        <v>37.916666666666671</v>
      </c>
      <c r="P55" s="87">
        <f>(VLOOKUP($A:$A,USD!$A:$AL,16,FALSE)*88)/88*20</f>
        <v>0</v>
      </c>
      <c r="Q55" s="68">
        <f t="shared" si="0"/>
        <v>568.91666666666663</v>
      </c>
      <c r="R55" s="68">
        <f t="shared" si="1"/>
        <v>107.91666666666667</v>
      </c>
      <c r="S55" s="68">
        <f>(VLOOKUP($A:$A,USD!$A:$AL,19,FALSE)*88)/88*20</f>
        <v>0</v>
      </c>
      <c r="T55" s="68">
        <f>(VLOOKUP($A:$A,USD!$A:$AL,20,FALSE)*88)/88*20</f>
        <v>0</v>
      </c>
      <c r="U55" s="68">
        <f>(VLOOKUP($A:$A,USD!$A:$AL,21,FALSE)*88)/88*20</f>
        <v>137.15909090909091</v>
      </c>
      <c r="V55" s="68"/>
      <c r="W55" s="68">
        <f t="shared" si="2"/>
        <v>137.15909090909091</v>
      </c>
      <c r="X55" s="1">
        <f>(VLOOKUP($A:$A,USD!$A:$AL,24,FALSE)*88)/88*20</f>
        <v>50</v>
      </c>
      <c r="Y55" s="68">
        <f>(VLOOKUP($A:$A,USD!$A:$AL,25,FALSE)*88)/88*20</f>
        <v>33.6</v>
      </c>
      <c r="Z55" s="68">
        <f>(VLOOKUP($A:$A,USD!$A:$AL,26,FALSE)*88)/88*20</f>
        <v>26.25</v>
      </c>
      <c r="AB55" s="68">
        <f t="shared" si="3"/>
        <v>109.85</v>
      </c>
      <c r="AC55" s="68">
        <f>(VLOOKUP($A:$A,USD!$A:$AL,29,FALSE)*88)/88*20</f>
        <v>146.02272727272725</v>
      </c>
      <c r="AD55" s="68">
        <f>(VLOOKUP($A:$A,USD!$A:$AL,30,FALSE)*88)/88*20</f>
        <v>182.72727272727275</v>
      </c>
      <c r="AF55" s="68">
        <f t="shared" si="4"/>
        <v>328.75</v>
      </c>
      <c r="AG55" s="87">
        <f>(VLOOKUP($A:$A,USD!$A:$AL,33,FALSE)*88)/88*20</f>
        <v>28.814300000000003</v>
      </c>
      <c r="AH55" s="68">
        <f>(VLOOKUP($A:$A,USD!$A:$AL,34,FALSE)*88)/88*20</f>
        <v>6.973140495867769</v>
      </c>
      <c r="AI55" s="87">
        <f>(VLOOKUP($A:$A,USD!$A:$AL,35,FALSE)*88)/88*20</f>
        <v>12.587317427197677</v>
      </c>
      <c r="AJ55" s="87">
        <f>(VLOOKUP($A:$A,USD!$A:$AL,36,FALSE)*88)/88*20</f>
        <v>6.7351999999999999</v>
      </c>
      <c r="AL55" s="68">
        <f t="shared" si="5"/>
        <v>55.109957923065444</v>
      </c>
      <c r="AM55" s="87">
        <f>(VLOOKUP($A:$A,USD!$A:$AR,39,FALSE)*88)/88*20</f>
        <v>79.999999999999986</v>
      </c>
      <c r="AN55" s="68">
        <f>(VLOOKUP($A:$A,USD!$A:$AR,40,FALSE)*88)/88*20</f>
        <v>26.17808219178082</v>
      </c>
      <c r="AO55" s="1">
        <f>(VLOOKUP($A:$A,USD!$A:$AR,41,FALSE)*88)/88*20</f>
        <v>0</v>
      </c>
      <c r="AR55" s="1">
        <f t="shared" si="6"/>
        <v>106.1780821917808</v>
      </c>
      <c r="AS55" s="38">
        <f t="shared" si="7"/>
        <v>844.96379769060377</v>
      </c>
      <c r="AT55" s="38">
        <f t="shared" si="8"/>
        <v>1305.9637976906035</v>
      </c>
      <c r="AW55" s="1" t="e">
        <f>(VLOOKUP(A:A,USD!A:AT,46,FALSE)*88)/88*20</f>
        <v>#N/A</v>
      </c>
      <c r="AX55" s="1" t="e">
        <f>(VLOOKUP(A:A,USD!A:AU,47,FALSE)*88)/88*20</f>
        <v>#N/A</v>
      </c>
    </row>
    <row r="56" spans="1:50" hidden="1">
      <c r="A56" s="1">
        <v>682505</v>
      </c>
      <c r="B56" s="1" t="s">
        <v>184</v>
      </c>
      <c r="C56" s="1" t="s">
        <v>2205</v>
      </c>
      <c r="D56" s="1" t="s">
        <v>132</v>
      </c>
      <c r="E56" s="1" t="str">
        <f>VLOOKUP(A:A,USD!A:E,5,FALSE)</f>
        <v>Eastern Rule 5</v>
      </c>
      <c r="F56" s="1" t="str">
        <f>VLOOKUP(A:A,USD!A:F,6,FALSE)</f>
        <v>ER5</v>
      </c>
      <c r="G56" s="1" t="str">
        <f>VLOOKUP(A:A,'Regions and Ports'!A:G,7,FALSE)</f>
        <v>Savannah</v>
      </c>
      <c r="H56" s="1">
        <f>VLOOKUP(A:A,USD!A:R,8,FALSE)</f>
        <v>1</v>
      </c>
      <c r="I56" s="87">
        <f>(VLOOKUP($A:$A,USD!$A:$AL,9,FALSE)*88)/88*20</f>
        <v>60</v>
      </c>
      <c r="J56" s="87">
        <f>(VLOOKUP($A:$A,USD!$A:$AL,10,FALSE)*88)/88*20</f>
        <v>110</v>
      </c>
      <c r="K56" s="87">
        <f>(VLOOKUP($A:$A,USD!$A:$AL,11,FALSE)*88)/88*20</f>
        <v>0</v>
      </c>
      <c r="L56" s="87">
        <f>(VLOOKUP($A:$A,USD!$A:$AL,12,FALSE)*88)/88*20</f>
        <v>0</v>
      </c>
      <c r="M56" s="87">
        <f>(VLOOKUP($A:$A,USD!$A:$AL,13,FALSE)*88)/88*20</f>
        <v>12</v>
      </c>
      <c r="N56" s="87">
        <f>(VLOOKUP($A:$A,USD!$A:$AL,14,FALSE)*88)/88*20</f>
        <v>60</v>
      </c>
      <c r="O56" s="68">
        <f>(VLOOKUP($A:$A,USD!$A:$AL,15,FALSE)*88)/88*20</f>
        <v>37.916666666666671</v>
      </c>
      <c r="P56" s="87">
        <f>(VLOOKUP($A:$A,USD!$A:$AL,16,FALSE)*88)/88*20</f>
        <v>0</v>
      </c>
      <c r="Q56" s="68">
        <f t="shared" si="0"/>
        <v>279.91666666666669</v>
      </c>
      <c r="R56" s="68">
        <f t="shared" si="1"/>
        <v>97.916666666666671</v>
      </c>
      <c r="S56" s="68">
        <f>(VLOOKUP($A:$A,USD!$A:$AL,19,FALSE)*88)/88*20</f>
        <v>0</v>
      </c>
      <c r="T56" s="68">
        <f>(VLOOKUP($A:$A,USD!$A:$AL,20,FALSE)*88)/88*20</f>
        <v>0</v>
      </c>
      <c r="U56" s="68">
        <f>(VLOOKUP($A:$A,USD!$A:$AL,21,FALSE)*88)/88*20</f>
        <v>177.13068181818184</v>
      </c>
      <c r="V56" s="68"/>
      <c r="W56" s="68">
        <f t="shared" si="2"/>
        <v>177.13068181818184</v>
      </c>
      <c r="X56" s="1">
        <f>(VLOOKUP($A:$A,USD!$A:$AL,24,FALSE)*88)/88*20</f>
        <v>52</v>
      </c>
      <c r="Y56" s="68">
        <f>(VLOOKUP($A:$A,USD!$A:$AL,25,FALSE)*88)/88*20</f>
        <v>50.4</v>
      </c>
      <c r="Z56" s="68">
        <f>(VLOOKUP($A:$A,USD!$A:$AL,26,FALSE)*88)/88*20</f>
        <v>26.25</v>
      </c>
      <c r="AB56" s="68">
        <f t="shared" si="3"/>
        <v>128.65</v>
      </c>
      <c r="AC56" s="68">
        <f>(VLOOKUP($A:$A,USD!$A:$AL,29,FALSE)*88)/88*20</f>
        <v>110.22727272727273</v>
      </c>
      <c r="AD56" s="68">
        <f>(VLOOKUP($A:$A,USD!$A:$AL,30,FALSE)*88)/88*20</f>
        <v>107.04545454545455</v>
      </c>
      <c r="AF56" s="68">
        <f t="shared" si="4"/>
        <v>217.27272727272728</v>
      </c>
      <c r="AG56" s="87">
        <f>(VLOOKUP($A:$A,USD!$A:$AL,33,FALSE)*88)/88*20</f>
        <v>28.814300000000003</v>
      </c>
      <c r="AH56" s="68">
        <f>(VLOOKUP($A:$A,USD!$A:$AL,34,FALSE)*88)/88*20</f>
        <v>6.973140495867769</v>
      </c>
      <c r="AI56" s="87">
        <f>(VLOOKUP($A:$A,USD!$A:$AL,35,FALSE)*88)/88*20</f>
        <v>12.587317427197677</v>
      </c>
      <c r="AJ56" s="87">
        <f>(VLOOKUP($A:$A,USD!$A:$AL,36,FALSE)*88)/88*20</f>
        <v>6.7351999999999999</v>
      </c>
      <c r="AL56" s="68">
        <f t="shared" si="5"/>
        <v>55.109957923065444</v>
      </c>
      <c r="AM56" s="87">
        <f>(VLOOKUP($A:$A,USD!$A:$AR,39,FALSE)*88)/88*20</f>
        <v>79.999999999999986</v>
      </c>
      <c r="AN56" s="68">
        <f>(VLOOKUP($A:$A,USD!$A:$AR,40,FALSE)*88)/88*20</f>
        <v>26.17808219178082</v>
      </c>
      <c r="AO56" s="1">
        <f>(VLOOKUP($A:$A,USD!$A:$AR,41,FALSE)*88)/88*20</f>
        <v>0</v>
      </c>
      <c r="AR56" s="1">
        <f t="shared" si="6"/>
        <v>106.1780821917808</v>
      </c>
      <c r="AS56" s="38">
        <f t="shared" si="7"/>
        <v>782.25811587242197</v>
      </c>
      <c r="AT56" s="38">
        <f t="shared" si="8"/>
        <v>964.25811587242197</v>
      </c>
      <c r="AW56" s="1" t="e">
        <f>(VLOOKUP(A:A,USD!A:AT,46,FALSE)*88)/88*20</f>
        <v>#N/A</v>
      </c>
      <c r="AX56" s="1">
        <f>(VLOOKUP(A:A,USD!A:AU,47,FALSE)*88)/88*20</f>
        <v>195.45454545454547</v>
      </c>
    </row>
    <row r="57" spans="1:50" hidden="1">
      <c r="A57" s="1">
        <v>313010</v>
      </c>
      <c r="B57" s="1" t="s">
        <v>186</v>
      </c>
      <c r="C57" s="1" t="s">
        <v>187</v>
      </c>
      <c r="D57" s="1" t="s">
        <v>76</v>
      </c>
      <c r="E57" s="1" t="str">
        <f>VLOOKUP(A:A,USD!A:E,5,FALSE)</f>
        <v>GA 30 Day</v>
      </c>
      <c r="F57" s="1" t="str">
        <f>VLOOKUP(A:A,USD!A:F,6,FALSE)</f>
        <v>ER5</v>
      </c>
      <c r="G57" s="1" t="str">
        <f>VLOOKUP(A:A,'Regions and Ports'!A:G,7,FALSE)</f>
        <v>Savannah</v>
      </c>
      <c r="H57" s="1">
        <f>VLOOKUP(A:A,USD!A:R,8,FALSE)</f>
        <v>4</v>
      </c>
      <c r="I57" s="87">
        <f>(VLOOKUP($A:$A,USD!$A:$AL,9,FALSE)*88)/88*20</f>
        <v>70</v>
      </c>
      <c r="J57" s="87">
        <f>(VLOOKUP($A:$A,USD!$A:$AL,10,FALSE)*88)/88*20</f>
        <v>110</v>
      </c>
      <c r="K57" s="87">
        <f>(VLOOKUP($A:$A,USD!$A:$AL,11,FALSE)*88)/88*20</f>
        <v>0</v>
      </c>
      <c r="L57" s="87">
        <f>(VLOOKUP($A:$A,USD!$A:$AL,12,FALSE)*88)/88*20</f>
        <v>0</v>
      </c>
      <c r="M57" s="87">
        <f>(VLOOKUP($A:$A,USD!$A:$AL,13,FALSE)*88)/88*20</f>
        <v>20</v>
      </c>
      <c r="N57" s="87">
        <f>(VLOOKUP($A:$A,USD!$A:$AL,14,FALSE)*88)/88*20</f>
        <v>50</v>
      </c>
      <c r="O57" s="68">
        <f>(VLOOKUP($A:$A,USD!$A:$AL,15,FALSE)*88)/88*20</f>
        <v>37.916666666666671</v>
      </c>
      <c r="P57" s="87">
        <f>(VLOOKUP($A:$A,USD!$A:$AL,16,FALSE)*88)/88*20</f>
        <v>0</v>
      </c>
      <c r="Q57" s="68">
        <f t="shared" si="0"/>
        <v>287.91666666666669</v>
      </c>
      <c r="R57" s="68">
        <f t="shared" si="1"/>
        <v>37.916666666666671</v>
      </c>
      <c r="S57" s="68">
        <f>(VLOOKUP($A:$A,USD!$A:$AL,19,FALSE)*88)/88*20</f>
        <v>0</v>
      </c>
      <c r="T57" s="68">
        <f>(VLOOKUP($A:$A,USD!$A:$AL,20,FALSE)*88)/88*20</f>
        <v>0</v>
      </c>
      <c r="U57" s="68">
        <f>(VLOOKUP($A:$A,USD!$A:$AL,21,FALSE)*88)/88*20</f>
        <v>184.1090909090909</v>
      </c>
      <c r="V57" s="68"/>
      <c r="W57" s="68">
        <f t="shared" si="2"/>
        <v>184.1090909090909</v>
      </c>
      <c r="X57" s="1">
        <f>(VLOOKUP($A:$A,USD!$A:$AL,24,FALSE)*88)/88*20</f>
        <v>52</v>
      </c>
      <c r="Y57" s="68">
        <f>(VLOOKUP($A:$A,USD!$A:$AL,25,FALSE)*88)/88*20</f>
        <v>50.4</v>
      </c>
      <c r="Z57" s="68">
        <f>(VLOOKUP($A:$A,USD!$A:$AL,26,FALSE)*88)/88*20</f>
        <v>26.25</v>
      </c>
      <c r="AB57" s="68">
        <f t="shared" si="3"/>
        <v>128.65</v>
      </c>
      <c r="AC57" s="68">
        <f>(VLOOKUP($A:$A,USD!$A:$AL,29,FALSE)*88)/88*20</f>
        <v>110.22727272727273</v>
      </c>
      <c r="AD57" s="68">
        <f>(VLOOKUP($A:$A,USD!$A:$AL,30,FALSE)*88)/88*20</f>
        <v>107.04545454545455</v>
      </c>
      <c r="AF57" s="68">
        <f t="shared" si="4"/>
        <v>217.27272727272728</v>
      </c>
      <c r="AG57" s="87">
        <f>(VLOOKUP($A:$A,USD!$A:$AL,33,FALSE)*88)/88*20</f>
        <v>28.814300000000003</v>
      </c>
      <c r="AH57" s="68">
        <f>(VLOOKUP($A:$A,USD!$A:$AL,34,FALSE)*88)/88*20</f>
        <v>6.973140495867769</v>
      </c>
      <c r="AI57" s="87">
        <f>(VLOOKUP($A:$A,USD!$A:$AL,35,FALSE)*88)/88*20</f>
        <v>12.587317427197677</v>
      </c>
      <c r="AJ57" s="87">
        <f>(VLOOKUP($A:$A,USD!$A:$AL,36,FALSE)*88)/88*20</f>
        <v>6.7351999999999999</v>
      </c>
      <c r="AL57" s="68">
        <f t="shared" si="5"/>
        <v>55.109957923065444</v>
      </c>
      <c r="AM57" s="87">
        <f>(VLOOKUP($A:$A,USD!$A:$AR,39,FALSE)*88)/88*20</f>
        <v>79.999999999999986</v>
      </c>
      <c r="AN57" s="68">
        <f>(VLOOKUP($A:$A,USD!$A:$AR,40,FALSE)*88)/88*20</f>
        <v>26.17808219178082</v>
      </c>
      <c r="AO57" s="1">
        <f>(VLOOKUP($A:$A,USD!$A:$AR,41,FALSE)*88)/88*20</f>
        <v>0</v>
      </c>
      <c r="AR57" s="1">
        <f t="shared" si="6"/>
        <v>106.1780821917808</v>
      </c>
      <c r="AS57" s="38">
        <f t="shared" si="7"/>
        <v>729.23652496333102</v>
      </c>
      <c r="AT57" s="38">
        <f t="shared" si="8"/>
        <v>979.23652496333102</v>
      </c>
      <c r="AW57" s="1">
        <f>(VLOOKUP(A:A,USD!A:AT,46,FALSE)*88)/88*20</f>
        <v>456.79545454545456</v>
      </c>
      <c r="AX57" s="1" t="e">
        <f>(VLOOKUP(A:A,USD!A:AU,47,FALSE)*88)/88*20</f>
        <v>#N/A</v>
      </c>
    </row>
    <row r="58" spans="1:50" hidden="1">
      <c r="A58" s="1">
        <v>516004</v>
      </c>
      <c r="B58" s="1" t="s">
        <v>147</v>
      </c>
      <c r="C58" s="1" t="s">
        <v>189</v>
      </c>
      <c r="D58" s="1" t="s">
        <v>190</v>
      </c>
      <c r="E58" s="1" t="str">
        <f>VLOOKUP(A:A,USD!A:E,5,FALSE)</f>
        <v>Memphis Rule 5</v>
      </c>
      <c r="F58" s="1" t="str">
        <f>VLOOKUP(A:A,USD!A:F,6,FALSE)</f>
        <v>MR5</v>
      </c>
      <c r="G58" s="1" t="str">
        <f>VLOOKUP(A:A,'Regions and Ports'!A:G,7,FALSE)</f>
        <v>Memphis</v>
      </c>
      <c r="H58" s="1">
        <f>VLOOKUP(A:A,USD!A:R,8,FALSE)</f>
        <v>1</v>
      </c>
      <c r="I58" s="87">
        <f>(VLOOKUP($A:$A,USD!$A:$AL,9,FALSE)*88)/88*20</f>
        <v>60</v>
      </c>
      <c r="J58" s="87">
        <f>(VLOOKUP($A:$A,USD!$A:$AL,10,FALSE)*88)/88*20</f>
        <v>205</v>
      </c>
      <c r="K58" s="87">
        <f>(VLOOKUP($A:$A,USD!$A:$AL,11,FALSE)*88)/88*20</f>
        <v>160</v>
      </c>
      <c r="L58" s="87">
        <f>(VLOOKUP($A:$A,USD!$A:$AL,12,FALSE)*88)/88*20</f>
        <v>0</v>
      </c>
      <c r="M58" s="87">
        <f>(VLOOKUP($A:$A,USD!$A:$AL,13,FALSE)*88)/88*20</f>
        <v>0</v>
      </c>
      <c r="N58" s="87">
        <f>(VLOOKUP($A:$A,USD!$A:$AL,14,FALSE)*88)/88*20</f>
        <v>66</v>
      </c>
      <c r="O58" s="68">
        <f>(VLOOKUP($A:$A,USD!$A:$AL,15,FALSE)*88)/88*20</f>
        <v>37.916666666666671</v>
      </c>
      <c r="P58" s="87">
        <f>(VLOOKUP($A:$A,USD!$A:$AL,16,FALSE)*88)/88*20</f>
        <v>0</v>
      </c>
      <c r="Q58" s="68">
        <f t="shared" si="0"/>
        <v>528.91666666666663</v>
      </c>
      <c r="R58" s="68">
        <f t="shared" si="1"/>
        <v>103.91666666666667</v>
      </c>
      <c r="S58" s="68">
        <f>(VLOOKUP($A:$A,USD!$A:$AL,19,FALSE)*88)/88*20</f>
        <v>0</v>
      </c>
      <c r="T58" s="68">
        <f>(VLOOKUP($A:$A,USD!$A:$AL,20,FALSE)*88)/88*20</f>
        <v>0</v>
      </c>
      <c r="U58" s="68">
        <f>(VLOOKUP($A:$A,USD!$A:$AL,21,FALSE)*88)/88*20</f>
        <v>200.56818181818184</v>
      </c>
      <c r="V58" s="68"/>
      <c r="W58" s="68">
        <f t="shared" si="2"/>
        <v>200.56818181818184</v>
      </c>
      <c r="X58" s="1">
        <f>(VLOOKUP($A:$A,USD!$A:$AL,24,FALSE)*88)/88*20</f>
        <v>50</v>
      </c>
      <c r="Y58" s="68">
        <f>(VLOOKUP($A:$A,USD!$A:$AL,25,FALSE)*88)/88*20</f>
        <v>33.6</v>
      </c>
      <c r="Z58" s="68">
        <f>(VLOOKUP($A:$A,USD!$A:$AL,26,FALSE)*88)/88*20</f>
        <v>26.25</v>
      </c>
      <c r="AB58" s="68">
        <f t="shared" si="3"/>
        <v>109.85</v>
      </c>
      <c r="AC58" s="68">
        <f>(VLOOKUP($A:$A,USD!$A:$AL,29,FALSE)*88)/88*20</f>
        <v>146.02272727272725</v>
      </c>
      <c r="AD58" s="68">
        <f>(VLOOKUP($A:$A,USD!$A:$AL,30,FALSE)*88)/88*20</f>
        <v>182.72727272727275</v>
      </c>
      <c r="AF58" s="68">
        <f t="shared" si="4"/>
        <v>328.75</v>
      </c>
      <c r="AG58" s="87">
        <f>(VLOOKUP($A:$A,USD!$A:$AL,33,FALSE)*88)/88*20</f>
        <v>28.814300000000003</v>
      </c>
      <c r="AH58" s="68">
        <f>(VLOOKUP($A:$A,USD!$A:$AL,34,FALSE)*88)/88*20</f>
        <v>6.973140495867769</v>
      </c>
      <c r="AI58" s="87">
        <f>(VLOOKUP($A:$A,USD!$A:$AL,35,FALSE)*88)/88*20</f>
        <v>12.587317427197677</v>
      </c>
      <c r="AJ58" s="87">
        <f>(VLOOKUP($A:$A,USD!$A:$AL,36,FALSE)*88)/88*20</f>
        <v>6.7351999999999999</v>
      </c>
      <c r="AL58" s="68">
        <f t="shared" si="5"/>
        <v>55.109957923065444</v>
      </c>
      <c r="AM58" s="87">
        <f>(VLOOKUP($A:$A,USD!$A:$AR,39,FALSE)*88)/88*20</f>
        <v>79.999999999999986</v>
      </c>
      <c r="AN58" s="68">
        <f>(VLOOKUP($A:$A,USD!$A:$AR,40,FALSE)*88)/88*20</f>
        <v>26.17808219178082</v>
      </c>
      <c r="AO58" s="1">
        <f>(VLOOKUP($A:$A,USD!$A:$AR,41,FALSE)*88)/88*20</f>
        <v>0</v>
      </c>
      <c r="AR58" s="1">
        <f t="shared" si="6"/>
        <v>106.1780821917808</v>
      </c>
      <c r="AS58" s="38">
        <f t="shared" si="7"/>
        <v>904.37288859969476</v>
      </c>
      <c r="AT58" s="38">
        <f t="shared" si="8"/>
        <v>1329.3728885996945</v>
      </c>
      <c r="AW58" s="1">
        <f>(VLOOKUP(A:A,USD!A:AT,46,FALSE)*88)/88*20</f>
        <v>566.71136363636356</v>
      </c>
      <c r="AX58" s="1">
        <f>(VLOOKUP(A:A,USD!A:AU,47,FALSE)*88)/88*20</f>
        <v>502.27272727272725</v>
      </c>
    </row>
    <row r="59" spans="1:50">
      <c r="A59" s="1">
        <v>22715</v>
      </c>
      <c r="B59" s="1" t="s">
        <v>192</v>
      </c>
      <c r="C59" s="1" t="s">
        <v>193</v>
      </c>
      <c r="D59" s="1" t="s">
        <v>65</v>
      </c>
      <c r="E59" s="1" t="str">
        <f>VLOOKUP(A:A,USD!A:E,5,FALSE)</f>
        <v>Eastern Rule 5</v>
      </c>
      <c r="F59" s="1" t="str">
        <f>VLOOKUP(A:A,USD!A:F,6,FALSE)</f>
        <v>ER5</v>
      </c>
      <c r="G59" s="1" t="str">
        <f>VLOOKUP(A:A,'Regions and Ports'!A:G,7,FALSE)</f>
        <v>Savannah</v>
      </c>
      <c r="H59" s="1">
        <f>VLOOKUP(A:A,USD!A:R,8,FALSE)</f>
        <v>1</v>
      </c>
      <c r="I59" s="87">
        <f>(VLOOKUP($A:$A,USD!$A:$AL,9,FALSE)*88)/88*20</f>
        <v>65</v>
      </c>
      <c r="J59" s="87">
        <f>(VLOOKUP($A:$A,USD!$A:$AL,10,FALSE)*88)/88*20</f>
        <v>100</v>
      </c>
      <c r="K59" s="87">
        <f>(VLOOKUP($A:$A,USD!$A:$AL,11,FALSE)*88)/88*20</f>
        <v>0</v>
      </c>
      <c r="L59" s="87">
        <f>(VLOOKUP($A:$A,USD!$A:$AL,12,FALSE)*88)/88*20</f>
        <v>0</v>
      </c>
      <c r="M59" s="87">
        <f>(VLOOKUP($A:$A,USD!$A:$AL,13,FALSE)*88)/88*20</f>
        <v>20</v>
      </c>
      <c r="N59" s="87">
        <f>(VLOOKUP($A:$A,USD!$A:$AL,14,FALSE)*88)/88*20</f>
        <v>54</v>
      </c>
      <c r="O59" s="68">
        <f>(VLOOKUP($A:$A,USD!$A:$AL,15,FALSE)*88)/88*20</f>
        <v>37.916666666666671</v>
      </c>
      <c r="P59" s="87">
        <f>(VLOOKUP($A:$A,USD!$A:$AL,16,FALSE)*88)/88*20</f>
        <v>0</v>
      </c>
      <c r="Q59" s="68">
        <f t="shared" si="0"/>
        <v>276.91666666666669</v>
      </c>
      <c r="R59" s="68">
        <f t="shared" si="1"/>
        <v>91.916666666666671</v>
      </c>
      <c r="S59" s="68">
        <f>(VLOOKUP($A:$A,USD!$A:$AL,19,FALSE)*88)/88*20</f>
        <v>0</v>
      </c>
      <c r="T59" s="68">
        <f>(VLOOKUP($A:$A,USD!$A:$AL,20,FALSE)*88)/88*20</f>
        <v>0</v>
      </c>
      <c r="U59" s="68">
        <f>(VLOOKUP($A:$A,USD!$A:$AL,21,FALSE)*88)/88*20</f>
        <v>291.3880681818182</v>
      </c>
      <c r="V59" s="68"/>
      <c r="W59" s="68">
        <f t="shared" si="2"/>
        <v>291.3880681818182</v>
      </c>
      <c r="X59" s="1">
        <f>(VLOOKUP($A:$A,USD!$A:$AL,24,FALSE)*88)/88*20</f>
        <v>52</v>
      </c>
      <c r="Y59" s="68">
        <f>(VLOOKUP($A:$A,USD!$A:$AL,25,FALSE)*88)/88*20</f>
        <v>50.4</v>
      </c>
      <c r="Z59" s="68">
        <f>(VLOOKUP($A:$A,USD!$A:$AL,26,FALSE)*88)/88*20</f>
        <v>26.25</v>
      </c>
      <c r="AB59" s="68">
        <f t="shared" si="3"/>
        <v>128.65</v>
      </c>
      <c r="AC59" s="68">
        <f>(VLOOKUP($A:$A,USD!$A:$AL,29,FALSE)*88)/88*20</f>
        <v>110.22727272727273</v>
      </c>
      <c r="AD59" s="68">
        <f>(VLOOKUP($A:$A,USD!$A:$AL,30,FALSE)*88)/88*20</f>
        <v>107.04545454545455</v>
      </c>
      <c r="AF59" s="68">
        <f t="shared" si="4"/>
        <v>217.27272727272728</v>
      </c>
      <c r="AG59" s="87">
        <f>(VLOOKUP($A:$A,USD!$A:$AL,33,FALSE)*88)/88*20</f>
        <v>28.814300000000003</v>
      </c>
      <c r="AH59" s="68">
        <f>(VLOOKUP($A:$A,USD!$A:$AL,34,FALSE)*88)/88*20</f>
        <v>6.973140495867769</v>
      </c>
      <c r="AI59" s="87">
        <f>(VLOOKUP($A:$A,USD!$A:$AL,35,FALSE)*88)/88*20</f>
        <v>12.587317427197677</v>
      </c>
      <c r="AJ59" s="87">
        <f>(VLOOKUP($A:$A,USD!$A:$AL,36,FALSE)*88)/88*20</f>
        <v>6.7351999999999999</v>
      </c>
      <c r="AL59" s="68">
        <f t="shared" si="5"/>
        <v>55.109957923065444</v>
      </c>
      <c r="AM59" s="87">
        <f>(VLOOKUP($A:$A,USD!$A:$AR,39,FALSE)*88)/88*20</f>
        <v>79.999999999999986</v>
      </c>
      <c r="AN59" s="68">
        <f>(VLOOKUP($A:$A,USD!$A:$AR,40,FALSE)*88)/88*20</f>
        <v>26.17808219178082</v>
      </c>
      <c r="AO59" s="1">
        <f>(VLOOKUP($A:$A,USD!$A:$AR,41,FALSE)*88)/88*20</f>
        <v>0</v>
      </c>
      <c r="AR59" s="1">
        <f t="shared" si="6"/>
        <v>106.1780821917808</v>
      </c>
      <c r="AS59" s="38">
        <f t="shared" si="7"/>
        <v>890.51550223605841</v>
      </c>
      <c r="AT59" s="38">
        <f t="shared" si="8"/>
        <v>1075.5155022360584</v>
      </c>
      <c r="AW59" s="1" t="e">
        <f>(VLOOKUP(A:A,USD!A:AT,46,FALSE)*88)/88*20</f>
        <v>#N/A</v>
      </c>
      <c r="AX59" s="1">
        <f>(VLOOKUP(A:A,USD!A:AU,47,FALSE)*88)/88*20</f>
        <v>277.27272727272725</v>
      </c>
    </row>
    <row r="60" spans="1:50" hidden="1">
      <c r="A60" s="1">
        <v>562665</v>
      </c>
      <c r="B60" s="1" t="s">
        <v>195</v>
      </c>
      <c r="C60" s="1" t="s">
        <v>196</v>
      </c>
      <c r="D60" s="1" t="s">
        <v>136</v>
      </c>
      <c r="E60" s="1" t="str">
        <f>VLOOKUP(A:A,USD!A:E,5,FALSE)</f>
        <v>Eastern Rule 5</v>
      </c>
      <c r="F60" s="1" t="str">
        <f>VLOOKUP(A:A,USD!A:F,6,FALSE)</f>
        <v>ER5</v>
      </c>
      <c r="G60" s="1" t="str">
        <f>VLOOKUP(A:A,'Regions and Ports'!A:G,7,FALSE)</f>
        <v>Savannah</v>
      </c>
      <c r="H60" s="1">
        <f>VLOOKUP(A:A,USD!A:R,8,FALSE)</f>
        <v>1</v>
      </c>
      <c r="I60" s="87">
        <f>(VLOOKUP($A:$A,USD!$A:$AL,9,FALSE)*88)/88*20</f>
        <v>75</v>
      </c>
      <c r="J60" s="87">
        <f>(VLOOKUP($A:$A,USD!$A:$AL,10,FALSE)*88)/88*20</f>
        <v>85</v>
      </c>
      <c r="K60" s="87">
        <f>(VLOOKUP($A:$A,USD!$A:$AL,11,FALSE)*88)/88*20</f>
        <v>0</v>
      </c>
      <c r="L60" s="87">
        <f>(VLOOKUP($A:$A,USD!$A:$AL,12,FALSE)*88)/88*20</f>
        <v>0</v>
      </c>
      <c r="M60" s="87">
        <f>(VLOOKUP($A:$A,USD!$A:$AL,13,FALSE)*88)/88*20</f>
        <v>5</v>
      </c>
      <c r="N60" s="87">
        <f>(VLOOKUP($A:$A,USD!$A:$AL,14,FALSE)*88)/88*20</f>
        <v>50</v>
      </c>
      <c r="O60" s="68">
        <f>(VLOOKUP($A:$A,USD!$A:$AL,15,FALSE)*88)/88*20</f>
        <v>37.916666666666671</v>
      </c>
      <c r="P60" s="87">
        <f>(VLOOKUP($A:$A,USD!$A:$AL,16,FALSE)*88)/88*20</f>
        <v>0</v>
      </c>
      <c r="Q60" s="68">
        <f t="shared" si="0"/>
        <v>252.91666666666669</v>
      </c>
      <c r="R60" s="68">
        <f t="shared" si="1"/>
        <v>87.916666666666671</v>
      </c>
      <c r="S60" s="68">
        <f>(VLOOKUP($A:$A,USD!$A:$AL,19,FALSE)*88)/88*20</f>
        <v>0</v>
      </c>
      <c r="T60" s="68">
        <f>(VLOOKUP($A:$A,USD!$A:$AL,20,FALSE)*88)/88*20</f>
        <v>0</v>
      </c>
      <c r="U60" s="68">
        <f>(VLOOKUP($A:$A,USD!$A:$AL,21,FALSE)*88)/88*20</f>
        <v>264.27556818181819</v>
      </c>
      <c r="V60" s="68"/>
      <c r="W60" s="68">
        <f t="shared" si="2"/>
        <v>264.27556818181819</v>
      </c>
      <c r="X60" s="1">
        <f>(VLOOKUP($A:$A,USD!$A:$AL,24,FALSE)*88)/88*20</f>
        <v>52</v>
      </c>
      <c r="Y60" s="68">
        <f>(VLOOKUP($A:$A,USD!$A:$AL,25,FALSE)*88)/88*20</f>
        <v>50.4</v>
      </c>
      <c r="Z60" s="68">
        <f>(VLOOKUP($A:$A,USD!$A:$AL,26,FALSE)*88)/88*20</f>
        <v>26.25</v>
      </c>
      <c r="AB60" s="68">
        <f t="shared" si="3"/>
        <v>128.65</v>
      </c>
      <c r="AC60" s="68">
        <f>(VLOOKUP($A:$A,USD!$A:$AL,29,FALSE)*88)/88*20</f>
        <v>110.22727272727273</v>
      </c>
      <c r="AD60" s="68">
        <f>(VLOOKUP($A:$A,USD!$A:$AL,30,FALSE)*88)/88*20</f>
        <v>107.04545454545455</v>
      </c>
      <c r="AF60" s="68">
        <f t="shared" si="4"/>
        <v>217.27272727272728</v>
      </c>
      <c r="AG60" s="87">
        <f>(VLOOKUP($A:$A,USD!$A:$AL,33,FALSE)*88)/88*20</f>
        <v>28.814300000000003</v>
      </c>
      <c r="AH60" s="68">
        <f>(VLOOKUP($A:$A,USD!$A:$AL,34,FALSE)*88)/88*20</f>
        <v>6.973140495867769</v>
      </c>
      <c r="AI60" s="87">
        <f>(VLOOKUP($A:$A,USD!$A:$AL,35,FALSE)*88)/88*20</f>
        <v>12.587317427197677</v>
      </c>
      <c r="AJ60" s="87">
        <f>(VLOOKUP($A:$A,USD!$A:$AL,36,FALSE)*88)/88*20</f>
        <v>6.7351999999999999</v>
      </c>
      <c r="AL60" s="68">
        <f t="shared" si="5"/>
        <v>55.109957923065444</v>
      </c>
      <c r="AM60" s="87">
        <f>(VLOOKUP($A:$A,USD!$A:$AR,39,FALSE)*88)/88*20</f>
        <v>79.999999999999986</v>
      </c>
      <c r="AN60" s="68">
        <f>(VLOOKUP($A:$A,USD!$A:$AR,40,FALSE)*88)/88*20</f>
        <v>26.17808219178082</v>
      </c>
      <c r="AO60" s="1">
        <f>(VLOOKUP($A:$A,USD!$A:$AR,41,FALSE)*88)/88*20</f>
        <v>0</v>
      </c>
      <c r="AR60" s="1">
        <f t="shared" si="6"/>
        <v>106.1780821917808</v>
      </c>
      <c r="AS60" s="38">
        <f t="shared" si="7"/>
        <v>859.40300223605834</v>
      </c>
      <c r="AT60" s="38">
        <f t="shared" si="8"/>
        <v>1024.4030022360585</v>
      </c>
      <c r="AW60" s="1" t="e">
        <f>(VLOOKUP(A:A,USD!A:AT,46,FALSE)*88)/88*20</f>
        <v>#N/A</v>
      </c>
      <c r="AX60" s="1">
        <f>(VLOOKUP(A:A,USD!A:AU,47,FALSE)*88)/88*20</f>
        <v>270.4545454545455</v>
      </c>
    </row>
    <row r="61" spans="1:50" hidden="1">
      <c r="A61" s="1">
        <v>470012</v>
      </c>
      <c r="B61" s="1" t="s">
        <v>198</v>
      </c>
      <c r="C61" s="1" t="s">
        <v>199</v>
      </c>
      <c r="D61" s="1" t="s">
        <v>128</v>
      </c>
      <c r="E61" s="1" t="str">
        <f>VLOOKUP(A:A,USD!A:E,5,FALSE)</f>
        <v>Memphis Rule 5</v>
      </c>
      <c r="F61" s="1" t="str">
        <f>VLOOKUP(A:A,USD!A:F,6,FALSE)</f>
        <v>MR5</v>
      </c>
      <c r="G61" s="1" t="str">
        <f>VLOOKUP(A:A,'Regions and Ports'!A:G,7,FALSE)</f>
        <v>Memphis</v>
      </c>
      <c r="H61" s="1">
        <f>VLOOKUP(A:A,USD!A:R,8,FALSE)</f>
        <v>1</v>
      </c>
      <c r="I61" s="87">
        <f>(VLOOKUP($A:$A,USD!$A:$AL,9,FALSE)*88)/88*20</f>
        <v>37</v>
      </c>
      <c r="J61" s="87">
        <f>(VLOOKUP($A:$A,USD!$A:$AL,10,FALSE)*88)/88*20</f>
        <v>156</v>
      </c>
      <c r="K61" s="87">
        <f>(VLOOKUP($A:$A,USD!$A:$AL,11,FALSE)*88)/88*20</f>
        <v>160</v>
      </c>
      <c r="L61" s="87">
        <f>(VLOOKUP($A:$A,USD!$A:$AL,12,FALSE)*88)/88*20</f>
        <v>61</v>
      </c>
      <c r="M61" s="87">
        <f>(VLOOKUP($A:$A,USD!$A:$AL,13,FALSE)*88)/88*20</f>
        <v>0</v>
      </c>
      <c r="N61" s="87">
        <f>(VLOOKUP($A:$A,USD!$A:$AL,14,FALSE)*88)/88*20</f>
        <v>64</v>
      </c>
      <c r="O61" s="68">
        <f>(VLOOKUP($A:$A,USD!$A:$AL,15,FALSE)*88)/88*20</f>
        <v>37.916666666666671</v>
      </c>
      <c r="P61" s="87">
        <f>(VLOOKUP($A:$A,USD!$A:$AL,16,FALSE)*88)/88*20</f>
        <v>0</v>
      </c>
      <c r="Q61" s="68">
        <f t="shared" si="0"/>
        <v>515.91666666666663</v>
      </c>
      <c r="R61" s="68">
        <f t="shared" si="1"/>
        <v>101.91666666666667</v>
      </c>
      <c r="S61" s="68">
        <f>(VLOOKUP($A:$A,USD!$A:$AL,19,FALSE)*88)/88*20</f>
        <v>0</v>
      </c>
      <c r="T61" s="68">
        <f>(VLOOKUP($A:$A,USD!$A:$AL,20,FALSE)*88)/88*20</f>
        <v>0</v>
      </c>
      <c r="U61" s="68">
        <f>(VLOOKUP($A:$A,USD!$A:$AL,21,FALSE)*88)/88*20</f>
        <v>183.52272727272725</v>
      </c>
      <c r="V61" s="68"/>
      <c r="W61" s="68">
        <f t="shared" si="2"/>
        <v>183.52272727272725</v>
      </c>
      <c r="X61" s="1">
        <f>(VLOOKUP($A:$A,USD!$A:$AL,24,FALSE)*88)/88*20</f>
        <v>50</v>
      </c>
      <c r="Y61" s="68">
        <f>(VLOOKUP($A:$A,USD!$A:$AL,25,FALSE)*88)/88*20</f>
        <v>33.6</v>
      </c>
      <c r="Z61" s="68">
        <f>(VLOOKUP($A:$A,USD!$A:$AL,26,FALSE)*88)/88*20</f>
        <v>26.25</v>
      </c>
      <c r="AB61" s="68">
        <f t="shared" si="3"/>
        <v>109.85</v>
      </c>
      <c r="AC61" s="68">
        <f>(VLOOKUP($A:$A,USD!$A:$AL,29,FALSE)*88)/88*20</f>
        <v>146.02272727272725</v>
      </c>
      <c r="AD61" s="68">
        <f>(VLOOKUP($A:$A,USD!$A:$AL,30,FALSE)*88)/88*20</f>
        <v>182.72727272727275</v>
      </c>
      <c r="AF61" s="68">
        <f t="shared" si="4"/>
        <v>328.75</v>
      </c>
      <c r="AG61" s="87">
        <f>(VLOOKUP($A:$A,USD!$A:$AL,33,FALSE)*88)/88*20</f>
        <v>28.814300000000003</v>
      </c>
      <c r="AH61" s="68">
        <f>(VLOOKUP($A:$A,USD!$A:$AL,34,FALSE)*88)/88*20</f>
        <v>6.973140495867769</v>
      </c>
      <c r="AI61" s="87">
        <f>(VLOOKUP($A:$A,USD!$A:$AL,35,FALSE)*88)/88*20</f>
        <v>12.587317427197677</v>
      </c>
      <c r="AJ61" s="87">
        <f>(VLOOKUP($A:$A,USD!$A:$AL,36,FALSE)*88)/88*20</f>
        <v>6.7351999999999999</v>
      </c>
      <c r="AL61" s="68">
        <f t="shared" si="5"/>
        <v>55.109957923065444</v>
      </c>
      <c r="AM61" s="87">
        <f>(VLOOKUP($A:$A,USD!$A:$AR,39,FALSE)*88)/88*20</f>
        <v>79.999999999999986</v>
      </c>
      <c r="AN61" s="68">
        <f>(VLOOKUP($A:$A,USD!$A:$AR,40,FALSE)*88)/88*20</f>
        <v>26.17808219178082</v>
      </c>
      <c r="AO61" s="1">
        <f>(VLOOKUP($A:$A,USD!$A:$AR,41,FALSE)*88)/88*20</f>
        <v>0</v>
      </c>
      <c r="AR61" s="1">
        <f t="shared" si="6"/>
        <v>106.1780821917808</v>
      </c>
      <c r="AS61" s="38">
        <f t="shared" si="7"/>
        <v>885.32743405424014</v>
      </c>
      <c r="AT61" s="38">
        <f t="shared" si="8"/>
        <v>1299.32743405424</v>
      </c>
      <c r="AW61" s="1">
        <f>(VLOOKUP(A:A,USD!A:AT,46,FALSE)*88)/88*20</f>
        <v>457.75681818181806</v>
      </c>
      <c r="AX61" s="1">
        <f>(VLOOKUP(A:A,USD!A:AU,47,FALSE)*88)/88*20</f>
        <v>488.63636363636368</v>
      </c>
    </row>
    <row r="62" spans="1:50" hidden="1">
      <c r="A62" s="1">
        <v>562865</v>
      </c>
      <c r="B62" s="1" t="s">
        <v>201</v>
      </c>
      <c r="C62" s="1" t="s">
        <v>202</v>
      </c>
      <c r="D62" s="1" t="s">
        <v>136</v>
      </c>
      <c r="E62" s="1" t="str">
        <f>VLOOKUP(A:A,USD!A:E,5,FALSE)</f>
        <v>Eastern Rule 5</v>
      </c>
      <c r="F62" s="1" t="str">
        <f>VLOOKUP(A:A,USD!A:F,6,FALSE)</f>
        <v>ER5</v>
      </c>
      <c r="G62" s="1" t="str">
        <f>VLOOKUP(A:A,'Regions and Ports'!A:G,7,FALSE)</f>
        <v>Savannah</v>
      </c>
      <c r="H62" s="1">
        <f>VLOOKUP(A:A,USD!A:R,8,FALSE)</f>
        <v>1</v>
      </c>
      <c r="I62" s="87">
        <f>(VLOOKUP($A:$A,USD!$A:$AL,9,FALSE)*88)/88*20</f>
        <v>100</v>
      </c>
      <c r="J62" s="87">
        <f>(VLOOKUP($A:$A,USD!$A:$AL,10,FALSE)*88)/88*20</f>
        <v>100</v>
      </c>
      <c r="K62" s="87">
        <f>(VLOOKUP($A:$A,USD!$A:$AL,11,FALSE)*88)/88*20</f>
        <v>0</v>
      </c>
      <c r="L62" s="87">
        <f>(VLOOKUP($A:$A,USD!$A:$AL,12,FALSE)*88)/88*20</f>
        <v>60</v>
      </c>
      <c r="M62" s="87">
        <f>(VLOOKUP($A:$A,USD!$A:$AL,13,FALSE)*88)/88*20</f>
        <v>20</v>
      </c>
      <c r="N62" s="87">
        <f>(VLOOKUP($A:$A,USD!$A:$AL,14,FALSE)*88)/88*20</f>
        <v>60</v>
      </c>
      <c r="O62" s="68">
        <f>(VLOOKUP($A:$A,USD!$A:$AL,15,FALSE)*88)/88*20</f>
        <v>37.916666666666671</v>
      </c>
      <c r="P62" s="87">
        <f>(VLOOKUP($A:$A,USD!$A:$AL,16,FALSE)*88)/88*20</f>
        <v>0</v>
      </c>
      <c r="Q62" s="68">
        <f t="shared" si="0"/>
        <v>377.91666666666669</v>
      </c>
      <c r="R62" s="68">
        <f t="shared" si="1"/>
        <v>97.916666666666671</v>
      </c>
      <c r="S62" s="68">
        <f>(VLOOKUP($A:$A,USD!$A:$AL,19,FALSE)*88)/88*20</f>
        <v>0</v>
      </c>
      <c r="T62" s="68">
        <f>(VLOOKUP($A:$A,USD!$A:$AL,20,FALSE)*88)/88*20</f>
        <v>0</v>
      </c>
      <c r="U62" s="68">
        <f>(VLOOKUP($A:$A,USD!$A:$AL,21,FALSE)*88)/88*20</f>
        <v>221.28863636363636</v>
      </c>
      <c r="V62" s="68"/>
      <c r="W62" s="68">
        <f t="shared" si="2"/>
        <v>221.28863636363636</v>
      </c>
      <c r="X62" s="1">
        <f>(VLOOKUP($A:$A,USD!$A:$AL,24,FALSE)*88)/88*20</f>
        <v>52</v>
      </c>
      <c r="Y62" s="68">
        <f>(VLOOKUP($A:$A,USD!$A:$AL,25,FALSE)*88)/88*20</f>
        <v>50.4</v>
      </c>
      <c r="Z62" s="68">
        <f>(VLOOKUP($A:$A,USD!$A:$AL,26,FALSE)*88)/88*20</f>
        <v>26.25</v>
      </c>
      <c r="AB62" s="68">
        <f t="shared" si="3"/>
        <v>128.65</v>
      </c>
      <c r="AC62" s="68">
        <f>(VLOOKUP($A:$A,USD!$A:$AL,29,FALSE)*88)/88*20</f>
        <v>110.22727272727273</v>
      </c>
      <c r="AD62" s="68">
        <f>(VLOOKUP($A:$A,USD!$A:$AL,30,FALSE)*88)/88*20</f>
        <v>107.04545454545455</v>
      </c>
      <c r="AF62" s="68">
        <f t="shared" si="4"/>
        <v>217.27272727272728</v>
      </c>
      <c r="AG62" s="87">
        <f>(VLOOKUP($A:$A,USD!$A:$AL,33,FALSE)*88)/88*20</f>
        <v>28.814300000000003</v>
      </c>
      <c r="AH62" s="68">
        <f>(VLOOKUP($A:$A,USD!$A:$AL,34,FALSE)*88)/88*20</f>
        <v>6.973140495867769</v>
      </c>
      <c r="AI62" s="87">
        <f>(VLOOKUP($A:$A,USD!$A:$AL,35,FALSE)*88)/88*20</f>
        <v>12.587317427197677</v>
      </c>
      <c r="AJ62" s="87">
        <f>(VLOOKUP($A:$A,USD!$A:$AL,36,FALSE)*88)/88*20</f>
        <v>6.7351999999999999</v>
      </c>
      <c r="AL62" s="68">
        <f t="shared" si="5"/>
        <v>55.109957923065444</v>
      </c>
      <c r="AM62" s="87">
        <f>(VLOOKUP($A:$A,USD!$A:$AR,39,FALSE)*88)/88*20</f>
        <v>79.999999999999986</v>
      </c>
      <c r="AN62" s="68">
        <f>(VLOOKUP($A:$A,USD!$A:$AR,40,FALSE)*88)/88*20</f>
        <v>26.17808219178082</v>
      </c>
      <c r="AO62" s="1">
        <f>(VLOOKUP($A:$A,USD!$A:$AR,41,FALSE)*88)/88*20</f>
        <v>0</v>
      </c>
      <c r="AR62" s="1">
        <f t="shared" si="6"/>
        <v>106.1780821917808</v>
      </c>
      <c r="AS62" s="38">
        <f t="shared" si="7"/>
        <v>826.41607041787654</v>
      </c>
      <c r="AT62" s="38">
        <f t="shared" si="8"/>
        <v>1106.4160704178764</v>
      </c>
      <c r="AW62" s="1" t="e">
        <f>(VLOOKUP(A:A,USD!A:AT,46,FALSE)*88)/88*20</f>
        <v>#N/A</v>
      </c>
      <c r="AX62" s="1">
        <f>(VLOOKUP(A:A,USD!A:AU,47,FALSE)*88)/88*20</f>
        <v>215.90909090909091</v>
      </c>
    </row>
    <row r="63" spans="1:50" hidden="1">
      <c r="A63" s="1">
        <v>385001</v>
      </c>
      <c r="B63" s="1" t="s">
        <v>83</v>
      </c>
      <c r="C63" s="1" t="s">
        <v>204</v>
      </c>
      <c r="D63" s="1" t="s">
        <v>205</v>
      </c>
      <c r="E63" s="1" t="str">
        <f>VLOOKUP(A:A,USD!A:E,5,FALSE)</f>
        <v>WTX</v>
      </c>
      <c r="F63" s="1" t="str">
        <f>VLOOKUP(A:A,USD!A:F,6,FALSE)</f>
        <v>WTX</v>
      </c>
      <c r="G63" s="1" t="str">
        <f>VLOOKUP(A:A,'Regions and Ports'!A:G,7,FALSE)</f>
        <v>Dallas</v>
      </c>
      <c r="H63" s="1">
        <f>VLOOKUP(A:A,USD!A:R,8,FALSE)</f>
        <v>2</v>
      </c>
      <c r="I63" s="87">
        <f>(VLOOKUP($A:$A,USD!$A:$AL,9,FALSE)*88)/88*20</f>
        <v>103</v>
      </c>
      <c r="J63" s="87">
        <f>(VLOOKUP($A:$A,USD!$A:$AL,10,FALSE)*88)/88*20</f>
        <v>125</v>
      </c>
      <c r="K63" s="87">
        <f>(VLOOKUP($A:$A,USD!$A:$AL,11,FALSE)*88)/88*20</f>
        <v>240</v>
      </c>
      <c r="L63" s="87">
        <f>(VLOOKUP($A:$A,USD!$A:$AL,12,FALSE)*88)/88*20</f>
        <v>0</v>
      </c>
      <c r="M63" s="87">
        <f>(VLOOKUP($A:$A,USD!$A:$AL,13,FALSE)*88)/88*20</f>
        <v>0</v>
      </c>
      <c r="N63" s="87">
        <f>(VLOOKUP($A:$A,USD!$A:$AL,14,FALSE)*88)/88*20</f>
        <v>39</v>
      </c>
      <c r="O63" s="68">
        <f>(VLOOKUP($A:$A,USD!$A:$AL,15,FALSE)*88)/88*20</f>
        <v>37.916666666666671</v>
      </c>
      <c r="P63" s="87">
        <f>(VLOOKUP($A:$A,USD!$A:$AL,16,FALSE)*88)/88*20</f>
        <v>0</v>
      </c>
      <c r="Q63" s="68">
        <f t="shared" si="0"/>
        <v>544.91666666666663</v>
      </c>
      <c r="R63" s="68">
        <f t="shared" si="1"/>
        <v>316.91666666666669</v>
      </c>
      <c r="S63" s="68">
        <f>(VLOOKUP($A:$A,USD!$A:$AL,19,FALSE)*88)/88*20</f>
        <v>20</v>
      </c>
      <c r="T63" s="68">
        <f>(VLOOKUP($A:$A,USD!$A:$AL,20,FALSE)*88)/88*20</f>
        <v>5</v>
      </c>
      <c r="U63" s="68">
        <f>(VLOOKUP($A:$A,USD!$A:$AL,21,FALSE)*88)/88*20</f>
        <v>284.09090909090912</v>
      </c>
      <c r="V63" s="68"/>
      <c r="W63" s="68">
        <f t="shared" si="2"/>
        <v>309.09090909090912</v>
      </c>
      <c r="X63" s="1">
        <f>(VLOOKUP($A:$A,USD!$A:$AL,24,FALSE)*88)/88*20</f>
        <v>54</v>
      </c>
      <c r="Y63" s="68">
        <f>(VLOOKUP($A:$A,USD!$A:$AL,25,FALSE)*88)/88*20</f>
        <v>50.4</v>
      </c>
      <c r="Z63" s="68">
        <f>(VLOOKUP($A:$A,USD!$A:$AL,26,FALSE)*88)/88*20</f>
        <v>26.25</v>
      </c>
      <c r="AB63" s="68">
        <f t="shared" si="3"/>
        <v>130.65</v>
      </c>
      <c r="AC63" s="68">
        <f>(VLOOKUP($A:$A,USD!$A:$AL,29,FALSE)*88)/88*20</f>
        <v>162.5</v>
      </c>
      <c r="AD63" s="68">
        <f>(VLOOKUP($A:$A,USD!$A:$AL,30,FALSE)*88)/88*20</f>
        <v>268.18181818181819</v>
      </c>
      <c r="AF63" s="68">
        <f t="shared" si="4"/>
        <v>430.68181818181819</v>
      </c>
      <c r="AG63" s="87">
        <f>(VLOOKUP($A:$A,USD!$A:$AL,33,FALSE)*88)/88*20</f>
        <v>28.814300000000003</v>
      </c>
      <c r="AH63" s="68">
        <f>(VLOOKUP($A:$A,USD!$A:$AL,34,FALSE)*88)/88*20</f>
        <v>6.973140495867769</v>
      </c>
      <c r="AI63" s="87">
        <f>(VLOOKUP($A:$A,USD!$A:$AL,35,FALSE)*88)/88*20</f>
        <v>12.587317427197677</v>
      </c>
      <c r="AJ63" s="87">
        <f>(VLOOKUP($A:$A,USD!$A:$AL,36,FALSE)*88)/88*20</f>
        <v>6.7351999999999999</v>
      </c>
      <c r="AL63" s="68">
        <f t="shared" si="5"/>
        <v>55.109957923065444</v>
      </c>
      <c r="AM63" s="87">
        <f>(VLOOKUP($A:$A,USD!$A:$AR,39,FALSE)*88)/88*20</f>
        <v>79.999999999999986</v>
      </c>
      <c r="AN63" s="68">
        <f>(VLOOKUP($A:$A,USD!$A:$AR,40,FALSE)*88)/88*20</f>
        <v>26.17808219178082</v>
      </c>
      <c r="AO63" s="1">
        <f>(VLOOKUP($A:$A,USD!$A:$AR,41,FALSE)*88)/88*20</f>
        <v>0</v>
      </c>
      <c r="AR63" s="1">
        <f t="shared" si="6"/>
        <v>106.1780821917808</v>
      </c>
      <c r="AS63" s="38">
        <f t="shared" si="7"/>
        <v>1348.62743405424</v>
      </c>
      <c r="AT63" s="38">
        <f t="shared" si="8"/>
        <v>1576.62743405424</v>
      </c>
      <c r="AW63" s="1" t="e">
        <f>(VLOOKUP(A:A,USD!A:AT,46,FALSE)*88)/88*20</f>
        <v>#N/A</v>
      </c>
      <c r="AX63" s="1" t="e">
        <f>(VLOOKUP(A:A,USD!A:AU,47,FALSE)*88)/88*20</f>
        <v>#N/A</v>
      </c>
    </row>
    <row r="64" spans="1:50" hidden="1">
      <c r="A64" s="125">
        <v>385001</v>
      </c>
      <c r="B64" s="1" t="s">
        <v>83</v>
      </c>
      <c r="C64" s="1" t="s">
        <v>204</v>
      </c>
      <c r="D64" s="1" t="s">
        <v>205</v>
      </c>
      <c r="E64" s="1" t="s">
        <v>2067</v>
      </c>
      <c r="F64" s="1" t="str">
        <f>VLOOKUP(A:A,USD!A:F,6,FALSE)</f>
        <v>WTX</v>
      </c>
      <c r="G64" s="1" t="s">
        <v>439</v>
      </c>
      <c r="H64" s="1">
        <f>VLOOKUP(A:A,USD!A:R,8,FALSE)</f>
        <v>2</v>
      </c>
      <c r="I64" s="87">
        <f>(VLOOKUP($A:$A,USD!$A:$AL,9,FALSE)*88)/88*20</f>
        <v>103</v>
      </c>
      <c r="J64" s="87">
        <f>(VLOOKUP($A:$A,USD!$A:$AL,10,FALSE)*88)/88*20</f>
        <v>125</v>
      </c>
      <c r="K64" s="87">
        <f>(VLOOKUP($A:$A,USD!$A:$AL,11,FALSE)*88)/88*20</f>
        <v>240</v>
      </c>
      <c r="L64" s="87">
        <f>(VLOOKUP($A:$A,USD!$A:$AL,12,FALSE)*88)/88*20</f>
        <v>0</v>
      </c>
      <c r="M64" s="87">
        <f>(VLOOKUP($A:$A,USD!$A:$AL,13,FALSE)*88)/88*20</f>
        <v>0</v>
      </c>
      <c r="N64" s="87">
        <f>(VLOOKUP($A:$A,USD!$A:$AL,14,FALSE)*88)/88*20</f>
        <v>39</v>
      </c>
      <c r="O64" s="68">
        <f>(VLOOKUP($A:$A,USD!$A:$AL,15,FALSE)*88)/88*20</f>
        <v>37.916666666666671</v>
      </c>
      <c r="P64" s="87">
        <f>(VLOOKUP($A:$A,USD!$A:$AL,16,FALSE)*88)/88*20</f>
        <v>0</v>
      </c>
      <c r="Q64" s="68">
        <f t="shared" si="0"/>
        <v>544.91666666666663</v>
      </c>
      <c r="R64" s="68">
        <f t="shared" si="1"/>
        <v>316.91666666666669</v>
      </c>
      <c r="S64" s="68">
        <f>(VLOOKUP($A:$A,USD!$A:$AL,19,FALSE)*88)/88*20</f>
        <v>20</v>
      </c>
      <c r="T64" s="68">
        <f>(VLOOKUP($A:$A,USD!$A:$AL,20,FALSE)*88)/88*20</f>
        <v>5</v>
      </c>
      <c r="U64" s="68" cm="1">
        <f t="array" ref="U64">(_xlfn.XLOOKUP(1, (USD!$A:$A=$A64)*(USD!$E:$E=$E64), USD!$U:$U, "", 0)*88)/88*20</f>
        <v>386.36363636363632</v>
      </c>
      <c r="V64" s="68"/>
      <c r="W64" s="68">
        <f t="shared" si="2"/>
        <v>411.36363636363632</v>
      </c>
      <c r="X64" s="1">
        <f>(VLOOKUP($A:$A,USD!$A:$AL,24,FALSE)*88)/88*20</f>
        <v>54</v>
      </c>
      <c r="Y64" s="68">
        <f>(VLOOKUP($A:$A,USD!$A:$AL,25,FALSE)*88)/88*20</f>
        <v>50.4</v>
      </c>
      <c r="Z64" s="68">
        <f>(VLOOKUP($A:$A,USD!$A:$AL,26,FALSE)*88)/88*20</f>
        <v>26.25</v>
      </c>
      <c r="AB64" s="68">
        <f t="shared" si="3"/>
        <v>130.65</v>
      </c>
      <c r="AC64" s="68" cm="1">
        <f t="array" ref="AC64">_xlfn.XLOOKUP(A64&amp;E64, USD!$A:$A&amp;USD!$E:$E, USD!$AC:$AC, "")*20</f>
        <v>132.95454545454544</v>
      </c>
      <c r="AD64" s="68" cm="1">
        <f t="array" ref="AD64">_xlfn.XLOOKUP(A64&amp;E64, USD!$A:$A&amp;USD!$E:$E, USD!$AD:$AD, "")*20</f>
        <v>197.95454545454547</v>
      </c>
      <c r="AF64" s="68">
        <f t="shared" si="4"/>
        <v>330.90909090909088</v>
      </c>
      <c r="AG64" s="87">
        <f>(VLOOKUP($A:$A,USD!$A:$AL,33,FALSE)*88)/88*20</f>
        <v>28.814300000000003</v>
      </c>
      <c r="AH64" s="68">
        <f>(VLOOKUP($A:$A,USD!$A:$AL,34,FALSE)*88)/88*20</f>
        <v>6.973140495867769</v>
      </c>
      <c r="AI64" s="87">
        <f>(VLOOKUP($A:$A,USD!$A:$AL,35,FALSE)*88)/88*20</f>
        <v>12.587317427197677</v>
      </c>
      <c r="AJ64" s="87">
        <f>(VLOOKUP($A:$A,USD!$A:$AL,36,FALSE)*88)/88*20</f>
        <v>6.7351999999999999</v>
      </c>
      <c r="AL64" s="68">
        <f t="shared" si="5"/>
        <v>55.109957923065444</v>
      </c>
      <c r="AM64" s="87">
        <f>(VLOOKUP($A:$A,USD!$A:$AR,39,FALSE)*88)/88*20</f>
        <v>79.999999999999986</v>
      </c>
      <c r="AN64" s="68">
        <f>(VLOOKUP($A:$A,USD!$A:$AR,40,FALSE)*88)/88*20</f>
        <v>26.17808219178082</v>
      </c>
      <c r="AO64" s="1">
        <f>(VLOOKUP($A:$A,USD!$A:$AR,41,FALSE)*88)/88*20</f>
        <v>0</v>
      </c>
      <c r="AR64" s="1">
        <f t="shared" si="6"/>
        <v>106.1780821917808</v>
      </c>
      <c r="AS64" s="38">
        <f t="shared" si="7"/>
        <v>1351.12743405424</v>
      </c>
      <c r="AT64" s="38">
        <f t="shared" si="8"/>
        <v>1579.1274340542402</v>
      </c>
      <c r="AW64" s="1" t="e">
        <f>(VLOOKUP(A:A,USD!A:AT,46,FALSE)*88)/88*20</f>
        <v>#N/A</v>
      </c>
      <c r="AX64" s="1" t="e">
        <f>(VLOOKUP(A:A,USD!A:AU,47,FALSE)*88)/88*20</f>
        <v>#N/A</v>
      </c>
    </row>
    <row r="65" spans="1:50" hidden="1">
      <c r="A65" s="1">
        <v>240124</v>
      </c>
      <c r="B65" s="1" t="s">
        <v>207</v>
      </c>
      <c r="C65" s="1" t="s">
        <v>208</v>
      </c>
      <c r="D65" s="1" t="s">
        <v>76</v>
      </c>
      <c r="E65" s="1" t="str">
        <f>VLOOKUP(A:A,USD!A:E,5,FALSE)</f>
        <v>GA 30 Day</v>
      </c>
      <c r="F65" s="1" t="str">
        <f>VLOOKUP(A:A,USD!A:F,6,FALSE)</f>
        <v>ER5</v>
      </c>
      <c r="G65" s="1" t="str">
        <f>VLOOKUP(A:A,'Regions and Ports'!A:G,7,FALSE)</f>
        <v>Savannah</v>
      </c>
      <c r="H65" s="1">
        <f>VLOOKUP(A:A,USD!A:R,8,FALSE)</f>
        <v>4</v>
      </c>
      <c r="I65" s="87">
        <f>(VLOOKUP($A:$A,USD!$A:$AL,9,FALSE)*88)/88*20</f>
        <v>0</v>
      </c>
      <c r="J65" s="87">
        <f>(VLOOKUP($A:$A,USD!$A:$AL,10,FALSE)*88)/88*20</f>
        <v>0</v>
      </c>
      <c r="K65" s="87">
        <f>(VLOOKUP($A:$A,USD!$A:$AL,11,FALSE)*88)/88*20</f>
        <v>0</v>
      </c>
      <c r="L65" s="87">
        <f>(VLOOKUP($A:$A,USD!$A:$AL,12,FALSE)*88)/88*20</f>
        <v>0</v>
      </c>
      <c r="M65" s="87">
        <f>(VLOOKUP($A:$A,USD!$A:$AL,13,FALSE)*88)/88*20</f>
        <v>0</v>
      </c>
      <c r="N65" s="87">
        <f>(VLOOKUP($A:$A,USD!$A:$AL,14,FALSE)*88)/88*20</f>
        <v>60</v>
      </c>
      <c r="O65" s="68">
        <f>(VLOOKUP($A:$A,USD!$A:$AL,15,FALSE)*88)/88*20</f>
        <v>37.916666666666671</v>
      </c>
      <c r="P65" s="87">
        <f>(VLOOKUP($A:$A,USD!$A:$AL,16,FALSE)*88)/88*20</f>
        <v>0</v>
      </c>
      <c r="Q65" s="68">
        <f t="shared" si="0"/>
        <v>97.916666666666671</v>
      </c>
      <c r="R65" s="68">
        <f t="shared" si="1"/>
        <v>37.916666666666671</v>
      </c>
      <c r="S65" s="68">
        <f>(VLOOKUP($A:$A,USD!$A:$AL,19,FALSE)*88)/88*20</f>
        <v>0</v>
      </c>
      <c r="T65" s="68">
        <f>(VLOOKUP($A:$A,USD!$A:$AL,20,FALSE)*88)/88*20</f>
        <v>0</v>
      </c>
      <c r="U65" s="68">
        <f>(VLOOKUP($A:$A,USD!$A:$AL,21,FALSE)*88)/88*20</f>
        <v>252.98636363636362</v>
      </c>
      <c r="V65" s="68"/>
      <c r="W65" s="68">
        <f t="shared" si="2"/>
        <v>252.98636363636362</v>
      </c>
      <c r="X65" s="1">
        <f>(VLOOKUP($A:$A,USD!$A:$AL,24,FALSE)*88)/88*20</f>
        <v>52</v>
      </c>
      <c r="Y65" s="68">
        <f>(VLOOKUP($A:$A,USD!$A:$AL,25,FALSE)*88)/88*20</f>
        <v>50.4</v>
      </c>
      <c r="Z65" s="68">
        <f>(VLOOKUP($A:$A,USD!$A:$AL,26,FALSE)*88)/88*20</f>
        <v>26.25</v>
      </c>
      <c r="AB65" s="68">
        <f t="shared" si="3"/>
        <v>128.65</v>
      </c>
      <c r="AC65" s="68">
        <f>(VLOOKUP($A:$A,USD!$A:$AL,29,FALSE)*88)/88*20</f>
        <v>110.22727272727273</v>
      </c>
      <c r="AD65" s="68">
        <f>(VLOOKUP($A:$A,USD!$A:$AL,30,FALSE)*88)/88*20</f>
        <v>107.04545454545455</v>
      </c>
      <c r="AF65" s="68">
        <f t="shared" si="4"/>
        <v>217.27272727272728</v>
      </c>
      <c r="AG65" s="87">
        <f>(VLOOKUP($A:$A,USD!$A:$AL,33,FALSE)*88)/88*20</f>
        <v>28.814300000000003</v>
      </c>
      <c r="AH65" s="68">
        <f>(VLOOKUP($A:$A,USD!$A:$AL,34,FALSE)*88)/88*20</f>
        <v>6.973140495867769</v>
      </c>
      <c r="AI65" s="87">
        <f>(VLOOKUP($A:$A,USD!$A:$AL,35,FALSE)*88)/88*20</f>
        <v>12.587317427197677</v>
      </c>
      <c r="AJ65" s="87">
        <f>(VLOOKUP($A:$A,USD!$A:$AL,36,FALSE)*88)/88*20</f>
        <v>6.7351999999999999</v>
      </c>
      <c r="AL65" s="68">
        <f t="shared" si="5"/>
        <v>55.109957923065444</v>
      </c>
      <c r="AM65" s="87">
        <f>(VLOOKUP($A:$A,USD!$A:$AR,39,FALSE)*88)/88*20</f>
        <v>79.999999999999986</v>
      </c>
      <c r="AN65" s="68">
        <f>(VLOOKUP($A:$A,USD!$A:$AR,40,FALSE)*88)/88*20</f>
        <v>26.17808219178082</v>
      </c>
      <c r="AO65" s="1">
        <f>(VLOOKUP($A:$A,USD!$A:$AR,41,FALSE)*88)/88*20</f>
        <v>0</v>
      </c>
      <c r="AR65" s="1">
        <f t="shared" si="6"/>
        <v>106.1780821917808</v>
      </c>
      <c r="AS65" s="38">
        <f t="shared" si="7"/>
        <v>798.11379769060375</v>
      </c>
      <c r="AT65" s="38">
        <f t="shared" si="8"/>
        <v>858.11379769060375</v>
      </c>
      <c r="AW65" s="1">
        <f>(VLOOKUP(A:A,USD!A:AT,46,FALSE)*88)/88*20</f>
        <v>448.78409090909088</v>
      </c>
      <c r="AX65" s="1">
        <f>(VLOOKUP(A:A,USD!A:AU,47,FALSE)*88)/88*20</f>
        <v>360.7954545454545</v>
      </c>
    </row>
    <row r="66" spans="1:50" hidden="1">
      <c r="A66" s="1">
        <v>689560</v>
      </c>
      <c r="B66" s="1" t="s">
        <v>209</v>
      </c>
      <c r="C66" s="1" t="s">
        <v>210</v>
      </c>
      <c r="D66" s="1" t="s">
        <v>132</v>
      </c>
      <c r="E66" s="1" t="str">
        <f>VLOOKUP(A:A,USD!A:E,5,FALSE)</f>
        <v>Eastern Rule 5</v>
      </c>
      <c r="F66" s="1" t="str">
        <f>VLOOKUP(A:A,USD!A:F,6,FALSE)</f>
        <v>ER5</v>
      </c>
      <c r="G66" s="1" t="str">
        <f>VLOOKUP(A:A,'Regions and Ports'!A:G,7,FALSE)</f>
        <v>Savannah</v>
      </c>
      <c r="H66" s="1">
        <f>VLOOKUP(A:A,USD!A:R,8,FALSE)</f>
        <v>1</v>
      </c>
      <c r="I66" s="87">
        <f>(VLOOKUP($A:$A,USD!$A:$AL,9,FALSE)*88)/88*20</f>
        <v>100</v>
      </c>
      <c r="J66" s="87">
        <f>(VLOOKUP($A:$A,USD!$A:$AL,10,FALSE)*88)/88*20</f>
        <v>115</v>
      </c>
      <c r="K66" s="87">
        <f>(VLOOKUP($A:$A,USD!$A:$AL,11,FALSE)*88)/88*20</f>
        <v>0</v>
      </c>
      <c r="L66" s="87">
        <f>(VLOOKUP($A:$A,USD!$A:$AL,12,FALSE)*88)/88*20</f>
        <v>0</v>
      </c>
      <c r="M66" s="87">
        <f>(VLOOKUP($A:$A,USD!$A:$AL,13,FALSE)*88)/88*20</f>
        <v>0</v>
      </c>
      <c r="N66" s="87">
        <f>(VLOOKUP($A:$A,USD!$A:$AL,14,FALSE)*88)/88*20</f>
        <v>50</v>
      </c>
      <c r="O66" s="68">
        <f>(VLOOKUP($A:$A,USD!$A:$AL,15,FALSE)*88)/88*20</f>
        <v>37.916666666666671</v>
      </c>
      <c r="P66" s="87">
        <f>(VLOOKUP($A:$A,USD!$A:$AL,16,FALSE)*88)/88*20</f>
        <v>0</v>
      </c>
      <c r="Q66" s="68">
        <f t="shared" si="0"/>
        <v>302.91666666666669</v>
      </c>
      <c r="R66" s="68">
        <f t="shared" si="1"/>
        <v>87.916666666666671</v>
      </c>
      <c r="S66" s="68">
        <f>(VLOOKUP($A:$A,USD!$A:$AL,19,FALSE)*88)/88*20</f>
        <v>0</v>
      </c>
      <c r="T66" s="68">
        <f>(VLOOKUP($A:$A,USD!$A:$AL,20,FALSE)*88)/88*20</f>
        <v>0</v>
      </c>
      <c r="U66" s="68">
        <f>(VLOOKUP($A:$A,USD!$A:$AL,21,FALSE)*88)/88*20</f>
        <v>242.22272727272727</v>
      </c>
      <c r="V66" s="68"/>
      <c r="W66" s="68">
        <f t="shared" si="2"/>
        <v>242.22272727272727</v>
      </c>
      <c r="X66" s="1">
        <f>(VLOOKUP($A:$A,USD!$A:$AL,24,FALSE)*88)/88*20</f>
        <v>52</v>
      </c>
      <c r="Y66" s="68">
        <f>(VLOOKUP($A:$A,USD!$A:$AL,25,FALSE)*88)/88*20</f>
        <v>50.4</v>
      </c>
      <c r="Z66" s="68">
        <f>(VLOOKUP($A:$A,USD!$A:$AL,26,FALSE)*88)/88*20</f>
        <v>26.25</v>
      </c>
      <c r="AB66" s="68">
        <f t="shared" si="3"/>
        <v>128.65</v>
      </c>
      <c r="AC66" s="68">
        <f>(VLOOKUP($A:$A,USD!$A:$AL,29,FALSE)*88)/88*20</f>
        <v>110.22727272727273</v>
      </c>
      <c r="AD66" s="68">
        <f>(VLOOKUP($A:$A,USD!$A:$AL,30,FALSE)*88)/88*20</f>
        <v>107.04545454545455</v>
      </c>
      <c r="AF66" s="68">
        <f t="shared" si="4"/>
        <v>217.27272727272728</v>
      </c>
      <c r="AG66" s="87">
        <f>(VLOOKUP($A:$A,USD!$A:$AL,33,FALSE)*88)/88*20</f>
        <v>28.814300000000003</v>
      </c>
      <c r="AH66" s="68">
        <f>(VLOOKUP($A:$A,USD!$A:$AL,34,FALSE)*88)/88*20</f>
        <v>6.973140495867769</v>
      </c>
      <c r="AI66" s="87">
        <f>(VLOOKUP($A:$A,USD!$A:$AL,35,FALSE)*88)/88*20</f>
        <v>12.587317427197677</v>
      </c>
      <c r="AJ66" s="87">
        <f>(VLOOKUP($A:$A,USD!$A:$AL,36,FALSE)*88)/88*20</f>
        <v>6.7351999999999999</v>
      </c>
      <c r="AL66" s="68">
        <f t="shared" si="5"/>
        <v>55.109957923065444</v>
      </c>
      <c r="AM66" s="87">
        <f>(VLOOKUP($A:$A,USD!$A:$AR,39,FALSE)*88)/88*20</f>
        <v>79.999999999999986</v>
      </c>
      <c r="AN66" s="68">
        <f>(VLOOKUP($A:$A,USD!$A:$AR,40,FALSE)*88)/88*20</f>
        <v>26.17808219178082</v>
      </c>
      <c r="AO66" s="1">
        <f>(VLOOKUP($A:$A,USD!$A:$AR,41,FALSE)*88)/88*20</f>
        <v>0</v>
      </c>
      <c r="AR66" s="1">
        <f t="shared" si="6"/>
        <v>106.1780821917808</v>
      </c>
      <c r="AS66" s="38">
        <f t="shared" si="7"/>
        <v>837.3501613269674</v>
      </c>
      <c r="AT66" s="38">
        <f t="shared" si="8"/>
        <v>1052.3501613269675</v>
      </c>
      <c r="AW66" s="1" t="e">
        <f>(VLOOKUP(A:A,USD!A:AT,46,FALSE)*88)/88*20</f>
        <v>#N/A</v>
      </c>
      <c r="AX66" s="1">
        <f>(VLOOKUP(A:A,USD!A:AU,47,FALSE)*88)/88*20</f>
        <v>183.52272727272725</v>
      </c>
    </row>
    <row r="67" spans="1:50" hidden="1">
      <c r="A67" s="1">
        <v>242020</v>
      </c>
      <c r="B67" s="1" t="s">
        <v>211</v>
      </c>
      <c r="C67" s="1" t="s">
        <v>212</v>
      </c>
      <c r="D67" s="1" t="s">
        <v>76</v>
      </c>
      <c r="E67" s="1" t="str">
        <f>VLOOKUP(A:A,USD!A:E,5,FALSE)</f>
        <v>GA 30 Day</v>
      </c>
      <c r="F67" s="1" t="str">
        <f>VLOOKUP(A:A,USD!A:F,6,FALSE)</f>
        <v>ER5</v>
      </c>
      <c r="G67" s="1" t="str">
        <f>VLOOKUP(A:A,'Regions and Ports'!A:G,7,FALSE)</f>
        <v>Savannah</v>
      </c>
      <c r="H67" s="1">
        <f>VLOOKUP(A:A,USD!A:R,8,FALSE)</f>
        <v>4</v>
      </c>
      <c r="I67" s="87">
        <f>(VLOOKUP($A:$A,USD!$A:$AL,9,FALSE)*88)/88*20</f>
        <v>0</v>
      </c>
      <c r="J67" s="87">
        <f>(VLOOKUP($A:$A,USD!$A:$AL,10,FALSE)*88)/88*20</f>
        <v>0</v>
      </c>
      <c r="K67" s="87">
        <f>(VLOOKUP($A:$A,USD!$A:$AL,11,FALSE)*88)/88*20</f>
        <v>0</v>
      </c>
      <c r="L67" s="87">
        <f>(VLOOKUP($A:$A,USD!$A:$AL,12,FALSE)*88)/88*20</f>
        <v>0</v>
      </c>
      <c r="M67" s="87">
        <f>(VLOOKUP($A:$A,USD!$A:$AL,13,FALSE)*88)/88*20</f>
        <v>0</v>
      </c>
      <c r="N67" s="87">
        <f>(VLOOKUP($A:$A,USD!$A:$AL,14,FALSE)*88)/88*20</f>
        <v>53</v>
      </c>
      <c r="O67" s="68">
        <f>(VLOOKUP($A:$A,USD!$A:$AL,15,FALSE)*88)/88*20</f>
        <v>37.916666666666671</v>
      </c>
      <c r="P67" s="87">
        <f>(VLOOKUP($A:$A,USD!$A:$AL,16,FALSE)*88)/88*20</f>
        <v>0</v>
      </c>
      <c r="Q67" s="68">
        <f t="shared" ref="Q67:Q130" si="9">I67+J67+K67+L67+M67+N67+O67+P67</f>
        <v>90.916666666666671</v>
      </c>
      <c r="R67" s="68">
        <f t="shared" ref="R67:R130" si="10">IF(H67=1,SUM(N67),IF(H67=2,SUM(K67,N67),IF(H67=3,SUM(J67,K67,L67,N67),IF(H67=4,SUM(L67),"ERROR"))))+O67</f>
        <v>37.916666666666671</v>
      </c>
      <c r="S67" s="68">
        <f>(VLOOKUP($A:$A,USD!$A:$AL,19,FALSE)*88)/88*20</f>
        <v>0</v>
      </c>
      <c r="T67" s="68">
        <f>(VLOOKUP($A:$A,USD!$A:$AL,20,FALSE)*88)/88*20</f>
        <v>0</v>
      </c>
      <c r="U67" s="68">
        <f>(VLOOKUP($A:$A,USD!$A:$AL,21,FALSE)*88)/88*20</f>
        <v>265.09204545454543</v>
      </c>
      <c r="V67" s="68"/>
      <c r="W67" s="68">
        <f t="shared" ref="W67:W130" si="11">S67+T67+U67+V67</f>
        <v>265.09204545454543</v>
      </c>
      <c r="X67" s="1">
        <f>(VLOOKUP($A:$A,USD!$A:$AL,24,FALSE)*88)/88*20</f>
        <v>52</v>
      </c>
      <c r="Y67" s="68">
        <f>(VLOOKUP($A:$A,USD!$A:$AL,25,FALSE)*88)/88*20</f>
        <v>50.4</v>
      </c>
      <c r="Z67" s="68">
        <f>(VLOOKUP($A:$A,USD!$A:$AL,26,FALSE)*88)/88*20</f>
        <v>26.25</v>
      </c>
      <c r="AB67" s="68">
        <f t="shared" ref="AB67:AB130" si="12">X67+Y67+Z67+AA67</f>
        <v>128.65</v>
      </c>
      <c r="AC67" s="68">
        <f>(VLOOKUP($A:$A,USD!$A:$AL,29,FALSE)*88)/88*20</f>
        <v>110.22727272727273</v>
      </c>
      <c r="AD67" s="68">
        <f>(VLOOKUP($A:$A,USD!$A:$AL,30,FALSE)*88)/88*20</f>
        <v>107.04545454545455</v>
      </c>
      <c r="AF67" s="68">
        <f t="shared" ref="AF67:AF130" si="13">AC67+AD67+AE67</f>
        <v>217.27272727272728</v>
      </c>
      <c r="AG67" s="87">
        <f>(VLOOKUP($A:$A,USD!$A:$AL,33,FALSE)*88)/88*20</f>
        <v>28.814300000000003</v>
      </c>
      <c r="AH67" s="68">
        <f>(VLOOKUP($A:$A,USD!$A:$AL,34,FALSE)*88)/88*20</f>
        <v>6.973140495867769</v>
      </c>
      <c r="AI67" s="87">
        <f>(VLOOKUP($A:$A,USD!$A:$AL,35,FALSE)*88)/88*20</f>
        <v>12.587317427197677</v>
      </c>
      <c r="AJ67" s="87">
        <f>(VLOOKUP($A:$A,USD!$A:$AL,36,FALSE)*88)/88*20</f>
        <v>6.7351999999999999</v>
      </c>
      <c r="AL67" s="68">
        <f t="shared" ref="AL67:AL130" si="14">AG67+AH67+AI67+AJ67</f>
        <v>55.109957923065444</v>
      </c>
      <c r="AM67" s="87">
        <f>(VLOOKUP($A:$A,USD!$A:$AR,39,FALSE)*88)/88*20</f>
        <v>79.999999999999986</v>
      </c>
      <c r="AN67" s="68">
        <f>(VLOOKUP($A:$A,USD!$A:$AR,40,FALSE)*88)/88*20</f>
        <v>26.17808219178082</v>
      </c>
      <c r="AO67" s="1">
        <f>(VLOOKUP($A:$A,USD!$A:$AR,41,FALSE)*88)/88*20</f>
        <v>0</v>
      </c>
      <c r="AR67" s="1">
        <f t="shared" ref="AR67:AR130" si="15">AM67+AN67+AO67+AP67+AQ67</f>
        <v>106.1780821917808</v>
      </c>
      <c r="AS67" s="38">
        <f t="shared" ref="AS67:AS130" si="16">R67+W67+AB67+AF67+AL67+AR67</f>
        <v>810.21947950878564</v>
      </c>
      <c r="AT67" s="38">
        <f t="shared" ref="AT67:AT130" si="17">Q67+W67+AB67+AF67+AR67+AL67</f>
        <v>863.21947950878564</v>
      </c>
      <c r="AW67" s="1">
        <f>(VLOOKUP(A:A,USD!A:AT,46,FALSE)*88)/88*20</f>
        <v>445.57954545454544</v>
      </c>
      <c r="AX67" s="1">
        <f>(VLOOKUP(A:A,USD!A:AU,47,FALSE)*88)/88*20</f>
        <v>335.22727272727275</v>
      </c>
    </row>
    <row r="68" spans="1:50" hidden="1">
      <c r="A68" s="1">
        <v>840515</v>
      </c>
      <c r="B68" s="1" t="s">
        <v>214</v>
      </c>
      <c r="C68" s="1" t="s">
        <v>215</v>
      </c>
      <c r="D68" s="1" t="s">
        <v>71</v>
      </c>
      <c r="E68" s="1" t="str">
        <f>VLOOKUP(A:A,USD!A:E,5,FALSE)</f>
        <v>WTX</v>
      </c>
      <c r="F68" s="1" t="str">
        <f>VLOOKUP(A:A,USD!A:F,6,FALSE)</f>
        <v>WTX</v>
      </c>
      <c r="G68" s="1" t="str">
        <f>VLOOKUP(A:A,'Regions and Ports'!A:G,7,FALSE)</f>
        <v>Dallas</v>
      </c>
      <c r="H68" s="1">
        <f>VLOOKUP(A:A,USD!A:R,8,FALSE)</f>
        <v>3</v>
      </c>
      <c r="I68" s="87">
        <f>(VLOOKUP($A:$A,USD!$A:$AL,9,FALSE)*88)/88*20</f>
        <v>95</v>
      </c>
      <c r="J68" s="87">
        <f>(VLOOKUP($A:$A,USD!$A:$AL,10,FALSE)*88)/88*20</f>
        <v>140</v>
      </c>
      <c r="K68" s="87">
        <f>(VLOOKUP($A:$A,USD!$A:$AL,11,FALSE)*88)/88*20</f>
        <v>199</v>
      </c>
      <c r="L68" s="87">
        <f>(VLOOKUP($A:$A,USD!$A:$AL,12,FALSE)*88)/88*20</f>
        <v>0</v>
      </c>
      <c r="M68" s="87">
        <f>(VLOOKUP($A:$A,USD!$A:$AL,13,FALSE)*88)/88*20</f>
        <v>26</v>
      </c>
      <c r="N68" s="87">
        <f>(VLOOKUP($A:$A,USD!$A:$AL,14,FALSE)*88)/88*20</f>
        <v>75</v>
      </c>
      <c r="O68" s="68">
        <f>(VLOOKUP($A:$A,USD!$A:$AL,15,FALSE)*88)/88*20</f>
        <v>37.916666666666671</v>
      </c>
      <c r="P68" s="87">
        <f>(VLOOKUP($A:$A,USD!$A:$AL,16,FALSE)*88)/88*20</f>
        <v>0</v>
      </c>
      <c r="Q68" s="68">
        <f t="shared" si="9"/>
        <v>572.91666666666663</v>
      </c>
      <c r="R68" s="68">
        <f t="shared" si="10"/>
        <v>451.91666666666669</v>
      </c>
      <c r="S68" s="68">
        <f>(VLOOKUP($A:$A,USD!$A:$AL,19,FALSE)*88)/88*20</f>
        <v>0</v>
      </c>
      <c r="T68" s="68">
        <f>(VLOOKUP($A:$A,USD!$A:$AL,20,FALSE)*88)/88*20</f>
        <v>0</v>
      </c>
      <c r="U68" s="68">
        <f>(VLOOKUP($A:$A,USD!$A:$AL,21,FALSE)*88)/88*20</f>
        <v>130.68181818181819</v>
      </c>
      <c r="V68" s="68"/>
      <c r="W68" s="68">
        <f t="shared" si="11"/>
        <v>130.68181818181819</v>
      </c>
      <c r="X68" s="1">
        <f>(VLOOKUP($A:$A,USD!$A:$AL,24,FALSE)*88)/88*20</f>
        <v>54</v>
      </c>
      <c r="Y68" s="68">
        <f>(VLOOKUP($A:$A,USD!$A:$AL,25,FALSE)*88)/88*20</f>
        <v>50.4</v>
      </c>
      <c r="Z68" s="68">
        <f>(VLOOKUP($A:$A,USD!$A:$AL,26,FALSE)*88)/88*20</f>
        <v>26.25</v>
      </c>
      <c r="AB68" s="68">
        <f t="shared" si="12"/>
        <v>130.65</v>
      </c>
      <c r="AC68" s="68">
        <f>(VLOOKUP($A:$A,USD!$A:$AL,29,FALSE)*88)/88*20</f>
        <v>162.5</v>
      </c>
      <c r="AD68" s="68">
        <f>(VLOOKUP($A:$A,USD!$A:$AL,30,FALSE)*88)/88*20</f>
        <v>268.18181818181819</v>
      </c>
      <c r="AF68" s="68">
        <f t="shared" si="13"/>
        <v>430.68181818181819</v>
      </c>
      <c r="AG68" s="87">
        <f>(VLOOKUP($A:$A,USD!$A:$AL,33,FALSE)*88)/88*20</f>
        <v>28.814300000000003</v>
      </c>
      <c r="AH68" s="68">
        <f>(VLOOKUP($A:$A,USD!$A:$AL,34,FALSE)*88)/88*20</f>
        <v>6.973140495867769</v>
      </c>
      <c r="AI68" s="87">
        <f>(VLOOKUP($A:$A,USD!$A:$AL,35,FALSE)*88)/88*20</f>
        <v>12.587317427197677</v>
      </c>
      <c r="AJ68" s="87">
        <f>(VLOOKUP($A:$A,USD!$A:$AL,36,FALSE)*88)/88*20</f>
        <v>6.7351999999999999</v>
      </c>
      <c r="AL68" s="68">
        <f t="shared" si="14"/>
        <v>55.109957923065444</v>
      </c>
      <c r="AM68" s="87">
        <f>(VLOOKUP($A:$A,USD!$A:$AR,39,FALSE)*88)/88*20</f>
        <v>79.999999999999986</v>
      </c>
      <c r="AN68" s="68">
        <f>(VLOOKUP($A:$A,USD!$A:$AR,40,FALSE)*88)/88*20</f>
        <v>26.17808219178082</v>
      </c>
      <c r="AO68" s="1">
        <f>(VLOOKUP($A:$A,USD!$A:$AR,41,FALSE)*88)/88*20</f>
        <v>0</v>
      </c>
      <c r="AR68" s="1">
        <f t="shared" si="15"/>
        <v>106.1780821917808</v>
      </c>
      <c r="AS68" s="38">
        <f t="shared" si="16"/>
        <v>1305.2183431451492</v>
      </c>
      <c r="AT68" s="38">
        <f t="shared" si="17"/>
        <v>1426.218343145149</v>
      </c>
      <c r="AW68" s="1" t="e">
        <f>(VLOOKUP(A:A,USD!A:AT,46,FALSE)*88)/88*20</f>
        <v>#N/A</v>
      </c>
      <c r="AX68" s="1" t="e">
        <f>(VLOOKUP(A:A,USD!A:AU,47,FALSE)*88)/88*20</f>
        <v>#N/A</v>
      </c>
    </row>
    <row r="69" spans="1:50" hidden="1">
      <c r="A69" s="125">
        <v>840515</v>
      </c>
      <c r="B69" s="1" t="s">
        <v>214</v>
      </c>
      <c r="C69" s="1" t="s">
        <v>215</v>
      </c>
      <c r="D69" s="1" t="s">
        <v>71</v>
      </c>
      <c r="E69" s="1" t="s">
        <v>2067</v>
      </c>
      <c r="F69" s="1" t="str">
        <f>VLOOKUP(A:A,USD!A:F,6,FALSE)</f>
        <v>WTX</v>
      </c>
      <c r="G69" s="1" t="s">
        <v>439</v>
      </c>
      <c r="H69" s="1">
        <f>VLOOKUP(A:A,USD!A:R,8,FALSE)</f>
        <v>3</v>
      </c>
      <c r="I69" s="87">
        <f>(VLOOKUP($A:$A,USD!$A:$AL,9,FALSE)*88)/88*20</f>
        <v>95</v>
      </c>
      <c r="J69" s="87">
        <f>(VLOOKUP($A:$A,USD!$A:$AL,10,FALSE)*88)/88*20</f>
        <v>140</v>
      </c>
      <c r="K69" s="87">
        <f>(VLOOKUP($A:$A,USD!$A:$AL,11,FALSE)*88)/88*20</f>
        <v>199</v>
      </c>
      <c r="L69" s="87">
        <f>(VLOOKUP($A:$A,USD!$A:$AL,12,FALSE)*88)/88*20</f>
        <v>0</v>
      </c>
      <c r="M69" s="87">
        <f>(VLOOKUP($A:$A,USD!$A:$AL,13,FALSE)*88)/88*20</f>
        <v>26</v>
      </c>
      <c r="N69" s="87">
        <f>(VLOOKUP($A:$A,USD!$A:$AL,14,FALSE)*88)/88*20</f>
        <v>75</v>
      </c>
      <c r="O69" s="68">
        <f>(VLOOKUP($A:$A,USD!$A:$AL,15,FALSE)*88)/88*20</f>
        <v>37.916666666666671</v>
      </c>
      <c r="P69" s="87">
        <f>(VLOOKUP($A:$A,USD!$A:$AL,16,FALSE)*88)/88*20</f>
        <v>0</v>
      </c>
      <c r="Q69" s="68">
        <f t="shared" si="9"/>
        <v>572.91666666666663</v>
      </c>
      <c r="R69" s="68">
        <f t="shared" si="10"/>
        <v>451.91666666666669</v>
      </c>
      <c r="S69" s="68">
        <f>(VLOOKUP($A:$A,USD!$A:$AL,19,FALSE)*88)/88*20</f>
        <v>0</v>
      </c>
      <c r="T69" s="68">
        <f>(VLOOKUP($A:$A,USD!$A:$AL,20,FALSE)*88)/88*20</f>
        <v>0</v>
      </c>
      <c r="U69" s="68" t="e" cm="1">
        <f t="array" ref="U69">(_xlfn.XLOOKUP(1, (USD!$A:$A=$A69)*(USD!$E:$E=$E69), USD!$U:$U, "", 0)*88)/88*20</f>
        <v>#N/A</v>
      </c>
      <c r="V69" s="68"/>
      <c r="W69" s="68" t="e">
        <f t="shared" si="11"/>
        <v>#N/A</v>
      </c>
      <c r="X69" s="1">
        <f>(VLOOKUP($A:$A,USD!$A:$AL,24,FALSE)*88)/88*20</f>
        <v>54</v>
      </c>
      <c r="Y69" s="68">
        <f>(VLOOKUP($A:$A,USD!$A:$AL,25,FALSE)*88)/88*20</f>
        <v>50.4</v>
      </c>
      <c r="Z69" s="68">
        <f>(VLOOKUP($A:$A,USD!$A:$AL,26,FALSE)*88)/88*20</f>
        <v>26.25</v>
      </c>
      <c r="AB69" s="68">
        <f t="shared" si="12"/>
        <v>130.65</v>
      </c>
      <c r="AC69" s="68" cm="1">
        <f t="array" ref="AC69">_xlfn.XLOOKUP(A69&amp;E69, USD!$A:$A&amp;USD!$E:$E, USD!$AC:$AC, "")*20</f>
        <v>132.95454545454544</v>
      </c>
      <c r="AD69" s="68" cm="1">
        <f t="array" ref="AD69">_xlfn.XLOOKUP(A69&amp;E69, USD!$A:$A&amp;USD!$E:$E, USD!$AD:$AD, "")*20</f>
        <v>197.95454545454547</v>
      </c>
      <c r="AF69" s="68">
        <f t="shared" si="13"/>
        <v>330.90909090909088</v>
      </c>
      <c r="AG69" s="87">
        <f>(VLOOKUP($A:$A,USD!$A:$AL,33,FALSE)*88)/88*20</f>
        <v>28.814300000000003</v>
      </c>
      <c r="AH69" s="68">
        <f>(VLOOKUP($A:$A,USD!$A:$AL,34,FALSE)*88)/88*20</f>
        <v>6.973140495867769</v>
      </c>
      <c r="AI69" s="87">
        <f>(VLOOKUP($A:$A,USD!$A:$AL,35,FALSE)*88)/88*20</f>
        <v>12.587317427197677</v>
      </c>
      <c r="AJ69" s="87">
        <f>(VLOOKUP($A:$A,USD!$A:$AL,36,FALSE)*88)/88*20</f>
        <v>6.7351999999999999</v>
      </c>
      <c r="AL69" s="68">
        <f t="shared" si="14"/>
        <v>55.109957923065444</v>
      </c>
      <c r="AM69" s="87">
        <f>(VLOOKUP($A:$A,USD!$A:$AR,39,FALSE)*88)/88*20</f>
        <v>79.999999999999986</v>
      </c>
      <c r="AN69" s="68">
        <f>(VLOOKUP($A:$A,USD!$A:$AR,40,FALSE)*88)/88*20</f>
        <v>26.17808219178082</v>
      </c>
      <c r="AO69" s="1">
        <f>(VLOOKUP($A:$A,USD!$A:$AR,41,FALSE)*88)/88*20</f>
        <v>0</v>
      </c>
      <c r="AR69" s="1">
        <f t="shared" si="15"/>
        <v>106.1780821917808</v>
      </c>
      <c r="AS69" s="38" t="e">
        <f t="shared" si="16"/>
        <v>#N/A</v>
      </c>
      <c r="AT69" s="38" t="e">
        <f t="shared" si="17"/>
        <v>#N/A</v>
      </c>
      <c r="AW69" s="1" t="e">
        <f>(VLOOKUP(A:A,USD!A:AT,46,FALSE)*88)/88*20</f>
        <v>#N/A</v>
      </c>
      <c r="AX69" s="1" t="e">
        <f>(VLOOKUP(A:A,USD!A:AU,47,FALSE)*88)/88*20</f>
        <v>#N/A</v>
      </c>
    </row>
    <row r="70" spans="1:50" hidden="1">
      <c r="A70" s="1">
        <v>245509</v>
      </c>
      <c r="B70" s="1" t="s">
        <v>217</v>
      </c>
      <c r="C70" s="1" t="s">
        <v>218</v>
      </c>
      <c r="D70" s="1" t="s">
        <v>76</v>
      </c>
      <c r="E70" s="1" t="str">
        <f>VLOOKUP(A:A,USD!A:E,5,FALSE)</f>
        <v>GA 30 Day</v>
      </c>
      <c r="F70" s="1" t="str">
        <f>VLOOKUP(A:A,USD!A:F,6,FALSE)</f>
        <v>ER5</v>
      </c>
      <c r="G70" s="1" t="str">
        <f>VLOOKUP(A:A,'Regions and Ports'!A:G,7,FALSE)</f>
        <v>Savannah</v>
      </c>
      <c r="H70" s="1">
        <f>VLOOKUP(A:A,USD!A:R,8,FALSE)</f>
        <v>4</v>
      </c>
      <c r="I70" s="87">
        <f>(VLOOKUP($A:$A,USD!$A:$AL,9,FALSE)*88)/88*20</f>
        <v>60</v>
      </c>
      <c r="J70" s="87">
        <f>(VLOOKUP($A:$A,USD!$A:$AL,10,FALSE)*88)/88*20</f>
        <v>100</v>
      </c>
      <c r="K70" s="87">
        <f>(VLOOKUP($A:$A,USD!$A:$AL,11,FALSE)*88)/88*20</f>
        <v>160</v>
      </c>
      <c r="L70" s="87">
        <f>(VLOOKUP($A:$A,USD!$A:$AL,12,FALSE)*88)/88*20</f>
        <v>0</v>
      </c>
      <c r="M70" s="87">
        <f>(VLOOKUP($A:$A,USD!$A:$AL,13,FALSE)*88)/88*20</f>
        <v>20</v>
      </c>
      <c r="N70" s="87">
        <f>(VLOOKUP($A:$A,USD!$A:$AL,14,FALSE)*88)/88*20</f>
        <v>50</v>
      </c>
      <c r="O70" s="68">
        <f>(VLOOKUP($A:$A,USD!$A:$AL,15,FALSE)*88)/88*20</f>
        <v>37.916666666666671</v>
      </c>
      <c r="P70" s="87">
        <f>(VLOOKUP($A:$A,USD!$A:$AL,16,FALSE)*88)/88*20</f>
        <v>0</v>
      </c>
      <c r="Q70" s="68">
        <f t="shared" si="9"/>
        <v>427.91666666666669</v>
      </c>
      <c r="R70" s="68">
        <f t="shared" si="10"/>
        <v>37.916666666666671</v>
      </c>
      <c r="S70" s="68">
        <f>(VLOOKUP($A:$A,USD!$A:$AL,19,FALSE)*88)/88*20</f>
        <v>0</v>
      </c>
      <c r="T70" s="68">
        <f>(VLOOKUP($A:$A,USD!$A:$AL,20,FALSE)*88)/88*20</f>
        <v>0</v>
      </c>
      <c r="U70" s="68">
        <f>(VLOOKUP($A:$A,USD!$A:$AL,21,FALSE)*88)/88*20</f>
        <v>228.58636363636364</v>
      </c>
      <c r="V70" s="68"/>
      <c r="W70" s="68">
        <f t="shared" si="11"/>
        <v>228.58636363636364</v>
      </c>
      <c r="X70" s="1">
        <f>(VLOOKUP($A:$A,USD!$A:$AL,24,FALSE)*88)/88*20</f>
        <v>52</v>
      </c>
      <c r="Y70" s="68">
        <f>(VLOOKUP($A:$A,USD!$A:$AL,25,FALSE)*88)/88*20</f>
        <v>50.4</v>
      </c>
      <c r="Z70" s="68">
        <f>(VLOOKUP($A:$A,USD!$A:$AL,26,FALSE)*88)/88*20</f>
        <v>26.25</v>
      </c>
      <c r="AB70" s="68">
        <f t="shared" si="12"/>
        <v>128.65</v>
      </c>
      <c r="AC70" s="68">
        <f>(VLOOKUP($A:$A,USD!$A:$AL,29,FALSE)*88)/88*20</f>
        <v>110.22727272727273</v>
      </c>
      <c r="AD70" s="68">
        <f>(VLOOKUP($A:$A,USD!$A:$AL,30,FALSE)*88)/88*20</f>
        <v>107.04545454545455</v>
      </c>
      <c r="AF70" s="68">
        <f t="shared" si="13"/>
        <v>217.27272727272728</v>
      </c>
      <c r="AG70" s="87">
        <f>(VLOOKUP($A:$A,USD!$A:$AL,33,FALSE)*88)/88*20</f>
        <v>28.814300000000003</v>
      </c>
      <c r="AH70" s="68">
        <f>(VLOOKUP($A:$A,USD!$A:$AL,34,FALSE)*88)/88*20</f>
        <v>6.973140495867769</v>
      </c>
      <c r="AI70" s="87">
        <f>(VLOOKUP($A:$A,USD!$A:$AL,35,FALSE)*88)/88*20</f>
        <v>12.587317427197677</v>
      </c>
      <c r="AJ70" s="87">
        <f>(VLOOKUP($A:$A,USD!$A:$AL,36,FALSE)*88)/88*20</f>
        <v>6.7351999999999999</v>
      </c>
      <c r="AL70" s="68">
        <f t="shared" si="14"/>
        <v>55.109957923065444</v>
      </c>
      <c r="AM70" s="87">
        <f>(VLOOKUP($A:$A,USD!$A:$AR,39,FALSE)*88)/88*20</f>
        <v>79.999999999999986</v>
      </c>
      <c r="AN70" s="68">
        <f>(VLOOKUP($A:$A,USD!$A:$AR,40,FALSE)*88)/88*20</f>
        <v>26.17808219178082</v>
      </c>
      <c r="AO70" s="1">
        <f>(VLOOKUP($A:$A,USD!$A:$AR,41,FALSE)*88)/88*20</f>
        <v>0</v>
      </c>
      <c r="AR70" s="1">
        <f t="shared" si="15"/>
        <v>106.1780821917808</v>
      </c>
      <c r="AS70" s="38">
        <f t="shared" si="16"/>
        <v>773.71379769060377</v>
      </c>
      <c r="AT70" s="38">
        <f t="shared" si="17"/>
        <v>1163.7137976906038</v>
      </c>
      <c r="AW70" s="1">
        <f>(VLOOKUP(A:A,USD!A:AT,46,FALSE)*88)/88*20</f>
        <v>521.84772727272718</v>
      </c>
      <c r="AX70" s="1">
        <f>(VLOOKUP(A:A,USD!A:AU,47,FALSE)*88)/88*20</f>
        <v>318.18181818181819</v>
      </c>
    </row>
    <row r="71" spans="1:50" hidden="1">
      <c r="A71" s="1">
        <v>245545</v>
      </c>
      <c r="B71" s="1" t="s">
        <v>220</v>
      </c>
      <c r="C71" s="1" t="s">
        <v>218</v>
      </c>
      <c r="D71" s="1" t="s">
        <v>76</v>
      </c>
      <c r="E71" s="1" t="str">
        <f>VLOOKUP(A:A,USD!A:E,5,FALSE)</f>
        <v>GA 30 Day</v>
      </c>
      <c r="F71" s="1" t="str">
        <f>VLOOKUP(A:A,USD!A:F,6,FALSE)</f>
        <v>ER5</v>
      </c>
      <c r="G71" s="1" t="str">
        <f>VLOOKUP(A:A,'Regions and Ports'!A:G,7,FALSE)</f>
        <v>Savannah</v>
      </c>
      <c r="H71" s="1">
        <f>VLOOKUP(A:A,USD!A:R,8,FALSE)</f>
        <v>4</v>
      </c>
      <c r="I71" s="87">
        <f>(VLOOKUP($A:$A,USD!$A:$AL,9,FALSE)*88)/88*20</f>
        <v>77</v>
      </c>
      <c r="J71" s="87">
        <f>(VLOOKUP($A:$A,USD!$A:$AL,10,FALSE)*88)/88*20</f>
        <v>100</v>
      </c>
      <c r="K71" s="87">
        <f>(VLOOKUP($A:$A,USD!$A:$AL,11,FALSE)*88)/88*20</f>
        <v>0</v>
      </c>
      <c r="L71" s="87">
        <f>(VLOOKUP($A:$A,USD!$A:$AL,12,FALSE)*88)/88*20</f>
        <v>0</v>
      </c>
      <c r="M71" s="87">
        <f>(VLOOKUP($A:$A,USD!$A:$AL,13,FALSE)*88)/88*20</f>
        <v>20</v>
      </c>
      <c r="N71" s="87">
        <f>(VLOOKUP($A:$A,USD!$A:$AL,14,FALSE)*88)/88*20</f>
        <v>75</v>
      </c>
      <c r="O71" s="68">
        <f>(VLOOKUP($A:$A,USD!$A:$AL,15,FALSE)*88)/88*20</f>
        <v>37.916666666666671</v>
      </c>
      <c r="P71" s="87">
        <f>(VLOOKUP($A:$A,USD!$A:$AL,16,FALSE)*88)/88*20</f>
        <v>0</v>
      </c>
      <c r="Q71" s="68">
        <f t="shared" si="9"/>
        <v>309.91666666666669</v>
      </c>
      <c r="R71" s="68">
        <f t="shared" si="10"/>
        <v>37.916666666666671</v>
      </c>
      <c r="S71" s="68">
        <f>(VLOOKUP($A:$A,USD!$A:$AL,19,FALSE)*88)/88*20</f>
        <v>0</v>
      </c>
      <c r="T71" s="68">
        <f>(VLOOKUP($A:$A,USD!$A:$AL,20,FALSE)*88)/88*20</f>
        <v>0</v>
      </c>
      <c r="U71" s="68">
        <f>(VLOOKUP($A:$A,USD!$A:$AL,21,FALSE)*88)/88*20</f>
        <v>228.58636363636364</v>
      </c>
      <c r="V71" s="68"/>
      <c r="W71" s="68">
        <f t="shared" si="11"/>
        <v>228.58636363636364</v>
      </c>
      <c r="X71" s="1">
        <f>(VLOOKUP($A:$A,USD!$A:$AL,24,FALSE)*88)/88*20</f>
        <v>52</v>
      </c>
      <c r="Y71" s="68">
        <f>(VLOOKUP($A:$A,USD!$A:$AL,25,FALSE)*88)/88*20</f>
        <v>50.4</v>
      </c>
      <c r="Z71" s="68">
        <f>(VLOOKUP($A:$A,USD!$A:$AL,26,FALSE)*88)/88*20</f>
        <v>26.25</v>
      </c>
      <c r="AB71" s="68">
        <f t="shared" si="12"/>
        <v>128.65</v>
      </c>
      <c r="AC71" s="68">
        <f>(VLOOKUP($A:$A,USD!$A:$AL,29,FALSE)*88)/88*20</f>
        <v>110.22727272727273</v>
      </c>
      <c r="AD71" s="68">
        <f>(VLOOKUP($A:$A,USD!$A:$AL,30,FALSE)*88)/88*20</f>
        <v>107.04545454545455</v>
      </c>
      <c r="AF71" s="68">
        <f t="shared" si="13"/>
        <v>217.27272727272728</v>
      </c>
      <c r="AG71" s="87">
        <f>(VLOOKUP($A:$A,USD!$A:$AL,33,FALSE)*88)/88*20</f>
        <v>28.814300000000003</v>
      </c>
      <c r="AH71" s="68">
        <f>(VLOOKUP($A:$A,USD!$A:$AL,34,FALSE)*88)/88*20</f>
        <v>6.973140495867769</v>
      </c>
      <c r="AI71" s="87">
        <f>(VLOOKUP($A:$A,USD!$A:$AL,35,FALSE)*88)/88*20</f>
        <v>12.587317427197677</v>
      </c>
      <c r="AJ71" s="87">
        <f>(VLOOKUP($A:$A,USD!$A:$AL,36,FALSE)*88)/88*20</f>
        <v>6.7351999999999999</v>
      </c>
      <c r="AL71" s="68">
        <f t="shared" si="14"/>
        <v>55.109957923065444</v>
      </c>
      <c r="AM71" s="87">
        <f>(VLOOKUP($A:$A,USD!$A:$AR,39,FALSE)*88)/88*20</f>
        <v>79.999999999999986</v>
      </c>
      <c r="AN71" s="68">
        <f>(VLOOKUP($A:$A,USD!$A:$AR,40,FALSE)*88)/88*20</f>
        <v>26.17808219178082</v>
      </c>
      <c r="AO71" s="1">
        <f>(VLOOKUP($A:$A,USD!$A:$AR,41,FALSE)*88)/88*20</f>
        <v>0</v>
      </c>
      <c r="AR71" s="1">
        <f t="shared" si="15"/>
        <v>106.1780821917808</v>
      </c>
      <c r="AS71" s="38">
        <f t="shared" si="16"/>
        <v>773.71379769060377</v>
      </c>
      <c r="AT71" s="38">
        <f t="shared" si="17"/>
        <v>1045.7137976906038</v>
      </c>
      <c r="AW71" s="1">
        <f>(VLOOKUP(A:A,USD!A:AT,46,FALSE)*88)/88*20</f>
        <v>521.84772727272718</v>
      </c>
      <c r="AX71" s="1">
        <f>(VLOOKUP(A:A,USD!A:AU,47,FALSE)*88)/88*20</f>
        <v>318.18181818181819</v>
      </c>
    </row>
    <row r="72" spans="1:50" hidden="1">
      <c r="A72" s="1">
        <v>840512</v>
      </c>
      <c r="B72" s="1" t="s">
        <v>221</v>
      </c>
      <c r="C72" s="1" t="s">
        <v>222</v>
      </c>
      <c r="D72" s="1" t="s">
        <v>71</v>
      </c>
      <c r="E72" s="1" t="str">
        <f>VLOOKUP(A:A,USD!A:E,5,FALSE)</f>
        <v>STEX</v>
      </c>
      <c r="F72" s="1" t="str">
        <f>VLOOKUP(A:A,USD!A:F,6,FALSE)</f>
        <v>STX</v>
      </c>
      <c r="G72" s="1" t="str">
        <f>VLOOKUP(A:A,'Regions and Ports'!A:G,7,FALSE)</f>
        <v>Houston</v>
      </c>
      <c r="H72" s="1">
        <f>VLOOKUP(A:A,USD!A:R,8,FALSE)</f>
        <v>3</v>
      </c>
      <c r="I72" s="87">
        <f>(VLOOKUP($A:$A,USD!$A:$AL,9,FALSE)*88)/88*20</f>
        <v>110</v>
      </c>
      <c r="J72" s="87">
        <f>(VLOOKUP($A:$A,USD!$A:$AL,10,FALSE)*88)/88*20</f>
        <v>350</v>
      </c>
      <c r="K72" s="87">
        <f>(VLOOKUP($A:$A,USD!$A:$AL,11,FALSE)*88)/88*20</f>
        <v>0</v>
      </c>
      <c r="L72" s="87">
        <f>(VLOOKUP($A:$A,USD!$A:$AL,12,FALSE)*88)/88*20</f>
        <v>0</v>
      </c>
      <c r="M72" s="87">
        <f>(VLOOKUP($A:$A,USD!$A:$AL,13,FALSE)*88)/88*20</f>
        <v>0</v>
      </c>
      <c r="N72" s="87">
        <f>(VLOOKUP($A:$A,USD!$A:$AL,14,FALSE)*88)/88*20</f>
        <v>80</v>
      </c>
      <c r="O72" s="68">
        <f>(VLOOKUP($A:$A,USD!$A:$AL,15,FALSE)*88)/88*20</f>
        <v>37.916666666666671</v>
      </c>
      <c r="P72" s="87">
        <f>(VLOOKUP($A:$A,USD!$A:$AL,16,FALSE)*88)/88*20</f>
        <v>0</v>
      </c>
      <c r="Q72" s="68">
        <f t="shared" si="9"/>
        <v>577.91666666666663</v>
      </c>
      <c r="R72" s="68">
        <f t="shared" si="10"/>
        <v>467.91666666666669</v>
      </c>
      <c r="S72" s="68">
        <f>(VLOOKUP($A:$A,USD!$A:$AL,19,FALSE)*88)/88*20</f>
        <v>20</v>
      </c>
      <c r="T72" s="68">
        <f>(VLOOKUP($A:$A,USD!$A:$AL,20,FALSE)*88)/88*20</f>
        <v>0</v>
      </c>
      <c r="U72" s="68">
        <f>(VLOOKUP($A:$A,USD!$A:$AL,21,FALSE)*88)/88*20</f>
        <v>207.38636363636363</v>
      </c>
      <c r="V72" s="68"/>
      <c r="W72" s="68">
        <f t="shared" si="11"/>
        <v>227.38636363636363</v>
      </c>
      <c r="X72" s="1">
        <f>(VLOOKUP($A:$A,USD!$A:$AL,24,FALSE)*88)/88*20</f>
        <v>54</v>
      </c>
      <c r="Y72" s="68">
        <f>(VLOOKUP($A:$A,USD!$A:$AL,25,FALSE)*88)/88*20</f>
        <v>50.4</v>
      </c>
      <c r="Z72" s="68">
        <f>(VLOOKUP($A:$A,USD!$A:$AL,26,FALSE)*88)/88*20</f>
        <v>26.25</v>
      </c>
      <c r="AB72" s="68">
        <f t="shared" si="12"/>
        <v>130.65</v>
      </c>
      <c r="AC72" s="68">
        <f>(VLOOKUP($A:$A,USD!$A:$AL,29,FALSE)*88)/88*20</f>
        <v>132.95454545454544</v>
      </c>
      <c r="AD72" s="68">
        <f>(VLOOKUP($A:$A,USD!$A:$AL,30,FALSE)*88)/88*20</f>
        <v>197.95454545454547</v>
      </c>
      <c r="AF72" s="68">
        <f t="shared" si="13"/>
        <v>330.90909090909088</v>
      </c>
      <c r="AG72" s="87">
        <f>(VLOOKUP($A:$A,USD!$A:$AL,33,FALSE)*88)/88*20</f>
        <v>28.814300000000003</v>
      </c>
      <c r="AH72" s="68">
        <f>(VLOOKUP($A:$A,USD!$A:$AL,34,FALSE)*88)/88*20</f>
        <v>6.973140495867769</v>
      </c>
      <c r="AI72" s="87">
        <f>(VLOOKUP($A:$A,USD!$A:$AL,35,FALSE)*88)/88*20</f>
        <v>12.587317427197677</v>
      </c>
      <c r="AJ72" s="87">
        <f>(VLOOKUP($A:$A,USD!$A:$AL,36,FALSE)*88)/88*20</f>
        <v>6.7351999999999999</v>
      </c>
      <c r="AL72" s="68">
        <f t="shared" si="14"/>
        <v>55.109957923065444</v>
      </c>
      <c r="AM72" s="87">
        <f>(VLOOKUP($A:$A,USD!$A:$AR,39,FALSE)*88)/88*20</f>
        <v>79.999999999999986</v>
      </c>
      <c r="AN72" s="68">
        <f>(VLOOKUP($A:$A,USD!$A:$AR,40,FALSE)*88)/88*20</f>
        <v>26.17808219178082</v>
      </c>
      <c r="AO72" s="1">
        <f>(VLOOKUP($A:$A,USD!$A:$AR,41,FALSE)*88)/88*20</f>
        <v>0</v>
      </c>
      <c r="AR72" s="1">
        <f t="shared" si="15"/>
        <v>106.1780821917808</v>
      </c>
      <c r="AS72" s="38">
        <f t="shared" si="16"/>
        <v>1318.1501613269672</v>
      </c>
      <c r="AT72" s="38">
        <f t="shared" si="17"/>
        <v>1428.1501613269672</v>
      </c>
      <c r="AW72" s="1">
        <f>(VLOOKUP(A:A,USD!A:AT,46,FALSE)*88)/88*20</f>
        <v>237.28409090909088</v>
      </c>
      <c r="AX72" s="1" t="e">
        <f>(VLOOKUP(A:A,USD!A:AU,47,FALSE)*88)/88*20</f>
        <v>#N/A</v>
      </c>
    </row>
    <row r="73" spans="1:50" hidden="1">
      <c r="A73" s="1">
        <v>840513</v>
      </c>
      <c r="B73" s="1" t="s">
        <v>224</v>
      </c>
      <c r="C73" s="1" t="s">
        <v>222</v>
      </c>
      <c r="D73" s="1" t="s">
        <v>71</v>
      </c>
      <c r="E73" s="1" t="str">
        <f>VLOOKUP(A:A,USD!A:E,5,FALSE)</f>
        <v>STEX</v>
      </c>
      <c r="F73" s="1" t="str">
        <f>VLOOKUP(A:A,USD!A:F,6,FALSE)</f>
        <v>STX</v>
      </c>
      <c r="G73" s="1" t="str">
        <f>VLOOKUP(A:A,'Regions and Ports'!A:G,7,FALSE)</f>
        <v>Houston</v>
      </c>
      <c r="H73" s="1">
        <f>VLOOKUP(A:A,USD!A:R,8,FALSE)</f>
        <v>3</v>
      </c>
      <c r="I73" s="87">
        <f>(VLOOKUP($A:$A,USD!$A:$AL,9,FALSE)*88)/88*20</f>
        <v>110</v>
      </c>
      <c r="J73" s="87">
        <f>(VLOOKUP($A:$A,USD!$A:$AL,10,FALSE)*88)/88*20</f>
        <v>350</v>
      </c>
      <c r="K73" s="87">
        <f>(VLOOKUP($A:$A,USD!$A:$AL,11,FALSE)*88)/88*20</f>
        <v>0</v>
      </c>
      <c r="L73" s="87">
        <f>(VLOOKUP($A:$A,USD!$A:$AL,12,FALSE)*88)/88*20</f>
        <v>0</v>
      </c>
      <c r="M73" s="87">
        <f>(VLOOKUP($A:$A,USD!$A:$AL,13,FALSE)*88)/88*20</f>
        <v>0</v>
      </c>
      <c r="N73" s="87">
        <f>(VLOOKUP($A:$A,USD!$A:$AL,14,FALSE)*88)/88*20</f>
        <v>80</v>
      </c>
      <c r="O73" s="68">
        <f>(VLOOKUP($A:$A,USD!$A:$AL,15,FALSE)*88)/88*20</f>
        <v>37.916666666666671</v>
      </c>
      <c r="P73" s="87">
        <f>(VLOOKUP($A:$A,USD!$A:$AL,16,FALSE)*88)/88*20</f>
        <v>0</v>
      </c>
      <c r="Q73" s="68">
        <f t="shared" si="9"/>
        <v>577.91666666666663</v>
      </c>
      <c r="R73" s="68">
        <f t="shared" si="10"/>
        <v>467.91666666666669</v>
      </c>
      <c r="S73" s="68">
        <f>(VLOOKUP($A:$A,USD!$A:$AL,19,FALSE)*88)/88*20</f>
        <v>20</v>
      </c>
      <c r="T73" s="68">
        <f>(VLOOKUP($A:$A,USD!$A:$AL,20,FALSE)*88)/88*20</f>
        <v>0</v>
      </c>
      <c r="U73" s="68">
        <f>(VLOOKUP($A:$A,USD!$A:$AL,21,FALSE)*88)/88*20</f>
        <v>207.38636363636363</v>
      </c>
      <c r="V73" s="68"/>
      <c r="W73" s="68">
        <f t="shared" si="11"/>
        <v>227.38636363636363</v>
      </c>
      <c r="X73" s="1">
        <f>(VLOOKUP($A:$A,USD!$A:$AL,24,FALSE)*88)/88*20</f>
        <v>54</v>
      </c>
      <c r="Y73" s="68">
        <f>(VLOOKUP($A:$A,USD!$A:$AL,25,FALSE)*88)/88*20</f>
        <v>50.4</v>
      </c>
      <c r="Z73" s="68">
        <f>(VLOOKUP($A:$A,USD!$A:$AL,26,FALSE)*88)/88*20</f>
        <v>26.25</v>
      </c>
      <c r="AB73" s="68">
        <f t="shared" si="12"/>
        <v>130.65</v>
      </c>
      <c r="AC73" s="68">
        <f>(VLOOKUP($A:$A,USD!$A:$AL,29,FALSE)*88)/88*20</f>
        <v>132.95454545454544</v>
      </c>
      <c r="AD73" s="68">
        <f>(VLOOKUP($A:$A,USD!$A:$AL,30,FALSE)*88)/88*20</f>
        <v>197.95454545454547</v>
      </c>
      <c r="AF73" s="68">
        <f t="shared" si="13"/>
        <v>330.90909090909088</v>
      </c>
      <c r="AG73" s="87">
        <f>(VLOOKUP($A:$A,USD!$A:$AL,33,FALSE)*88)/88*20</f>
        <v>28.814300000000003</v>
      </c>
      <c r="AH73" s="68">
        <f>(VLOOKUP($A:$A,USD!$A:$AL,34,FALSE)*88)/88*20</f>
        <v>6.973140495867769</v>
      </c>
      <c r="AI73" s="87">
        <f>(VLOOKUP($A:$A,USD!$A:$AL,35,FALSE)*88)/88*20</f>
        <v>12.587317427197677</v>
      </c>
      <c r="AJ73" s="87">
        <f>(VLOOKUP($A:$A,USD!$A:$AL,36,FALSE)*88)/88*20</f>
        <v>6.7351999999999999</v>
      </c>
      <c r="AL73" s="68">
        <f t="shared" si="14"/>
        <v>55.109957923065444</v>
      </c>
      <c r="AM73" s="87">
        <f>(VLOOKUP($A:$A,USD!$A:$AR,39,FALSE)*88)/88*20</f>
        <v>79.999999999999986</v>
      </c>
      <c r="AN73" s="68">
        <f>(VLOOKUP($A:$A,USD!$A:$AR,40,FALSE)*88)/88*20</f>
        <v>26.17808219178082</v>
      </c>
      <c r="AO73" s="1">
        <f>(VLOOKUP($A:$A,USD!$A:$AR,41,FALSE)*88)/88*20</f>
        <v>0</v>
      </c>
      <c r="AR73" s="1">
        <f t="shared" si="15"/>
        <v>106.1780821917808</v>
      </c>
      <c r="AS73" s="38">
        <f t="shared" si="16"/>
        <v>1318.1501613269672</v>
      </c>
      <c r="AT73" s="38">
        <f t="shared" si="17"/>
        <v>1428.1501613269672</v>
      </c>
      <c r="AW73" s="1">
        <f>(VLOOKUP(A:A,USD!A:AT,46,FALSE)*88)/88*20</f>
        <v>237.28409090909088</v>
      </c>
      <c r="AX73" s="1" t="e">
        <f>(VLOOKUP(A:A,USD!A:AU,47,FALSE)*88)/88*20</f>
        <v>#N/A</v>
      </c>
    </row>
    <row r="74" spans="1:50">
      <c r="A74" s="1">
        <v>29010</v>
      </c>
      <c r="B74" s="1" t="s">
        <v>225</v>
      </c>
      <c r="C74" s="1" t="s">
        <v>226</v>
      </c>
      <c r="D74" s="1" t="s">
        <v>65</v>
      </c>
      <c r="E74" s="1" t="str">
        <f>VLOOKUP(A:A,USD!A:E,5,FALSE)</f>
        <v>Eastern Rule 5</v>
      </c>
      <c r="F74" s="1" t="str">
        <f>VLOOKUP(A:A,USD!A:F,6,FALSE)</f>
        <v>ER5</v>
      </c>
      <c r="G74" s="1" t="str">
        <f>VLOOKUP(A:A,'Regions and Ports'!A:G,7,FALSE)</f>
        <v>Memphis</v>
      </c>
      <c r="H74" s="1">
        <f>VLOOKUP(A:A,USD!A:R,8,FALSE)</f>
        <v>1</v>
      </c>
      <c r="I74" s="87">
        <f>(VLOOKUP($A:$A,USD!$A:$AL,9,FALSE)*88)/88*20</f>
        <v>80</v>
      </c>
      <c r="J74" s="87">
        <f>(VLOOKUP($A:$A,USD!$A:$AL,10,FALSE)*88)/88*20</f>
        <v>134</v>
      </c>
      <c r="K74" s="87">
        <f>(VLOOKUP($A:$A,USD!$A:$AL,11,FALSE)*88)/88*20</f>
        <v>150</v>
      </c>
      <c r="L74" s="87">
        <f>(VLOOKUP($A:$A,USD!$A:$AL,12,FALSE)*88)/88*20</f>
        <v>0</v>
      </c>
      <c r="M74" s="87">
        <f>(VLOOKUP($A:$A,USD!$A:$AL,13,FALSE)*88)/88*20</f>
        <v>10</v>
      </c>
      <c r="N74" s="87">
        <f>(VLOOKUP($A:$A,USD!$A:$AL,14,FALSE)*88)/88*20</f>
        <v>50</v>
      </c>
      <c r="O74" s="68">
        <f>(VLOOKUP($A:$A,USD!$A:$AL,15,FALSE)*88)/88*20</f>
        <v>37.916666666666671</v>
      </c>
      <c r="P74" s="87">
        <f>(VLOOKUP($A:$A,USD!$A:$AL,16,FALSE)*88)/88*20</f>
        <v>0</v>
      </c>
      <c r="Q74" s="68">
        <f t="shared" si="9"/>
        <v>461.91666666666669</v>
      </c>
      <c r="R74" s="68">
        <f t="shared" si="10"/>
        <v>87.916666666666671</v>
      </c>
      <c r="S74" s="68">
        <f>(VLOOKUP($A:$A,USD!$A:$AL,19,FALSE)*88)/88*20</f>
        <v>0</v>
      </c>
      <c r="T74" s="68">
        <f>(VLOOKUP($A:$A,USD!$A:$AL,20,FALSE)*88)/88*20</f>
        <v>0</v>
      </c>
      <c r="U74" s="68">
        <f>(VLOOKUP($A:$A,USD!$A:$AL,21,FALSE)*88)/88*20</f>
        <v>224.68409090909091</v>
      </c>
      <c r="V74" s="68"/>
      <c r="W74" s="68">
        <f t="shared" si="11"/>
        <v>224.68409090909091</v>
      </c>
      <c r="X74" s="1">
        <f>(VLOOKUP($A:$A,USD!$A:$AL,24,FALSE)*88)/88*20</f>
        <v>50</v>
      </c>
      <c r="Y74" s="68">
        <f>(VLOOKUP($A:$A,USD!$A:$AL,25,FALSE)*88)/88*20</f>
        <v>33.6</v>
      </c>
      <c r="Z74" s="68">
        <f>(VLOOKUP($A:$A,USD!$A:$AL,26,FALSE)*88)/88*20</f>
        <v>26.25</v>
      </c>
      <c r="AB74" s="68">
        <f t="shared" si="12"/>
        <v>109.85</v>
      </c>
      <c r="AC74" s="68">
        <f>(VLOOKUP($A:$A,USD!$A:$AL,29,FALSE)*88)/88*20</f>
        <v>146.02272727272725</v>
      </c>
      <c r="AD74" s="68">
        <f>(VLOOKUP($A:$A,USD!$A:$AL,30,FALSE)*88)/88*20</f>
        <v>182.72727272727275</v>
      </c>
      <c r="AF74" s="68">
        <f t="shared" si="13"/>
        <v>328.75</v>
      </c>
      <c r="AG74" s="87">
        <f>(VLOOKUP($A:$A,USD!$A:$AL,33,FALSE)*88)/88*20</f>
        <v>28.814300000000003</v>
      </c>
      <c r="AH74" s="68">
        <f>(VLOOKUP($A:$A,USD!$A:$AL,34,FALSE)*88)/88*20</f>
        <v>6.973140495867769</v>
      </c>
      <c r="AI74" s="87">
        <f>(VLOOKUP($A:$A,USD!$A:$AL,35,FALSE)*88)/88*20</f>
        <v>12.587317427197677</v>
      </c>
      <c r="AJ74" s="87">
        <f>(VLOOKUP($A:$A,USD!$A:$AL,36,FALSE)*88)/88*20</f>
        <v>6.7351999999999999</v>
      </c>
      <c r="AL74" s="68">
        <f t="shared" si="14"/>
        <v>55.109957923065444</v>
      </c>
      <c r="AM74" s="87">
        <f>(VLOOKUP($A:$A,USD!$A:$AR,39,FALSE)*88)/88*20</f>
        <v>79.999999999999986</v>
      </c>
      <c r="AN74" s="68">
        <f>(VLOOKUP($A:$A,USD!$A:$AR,40,FALSE)*88)/88*20</f>
        <v>26.17808219178082</v>
      </c>
      <c r="AO74" s="1">
        <f>(VLOOKUP($A:$A,USD!$A:$AR,41,FALSE)*88)/88*20</f>
        <v>0</v>
      </c>
      <c r="AR74" s="1">
        <f t="shared" si="15"/>
        <v>106.1780821917808</v>
      </c>
      <c r="AS74" s="38">
        <f t="shared" si="16"/>
        <v>912.48879769060386</v>
      </c>
      <c r="AT74" s="38">
        <f t="shared" si="17"/>
        <v>1286.4887976906036</v>
      </c>
      <c r="AW74" s="1" t="e">
        <f>(VLOOKUP(A:A,USD!A:AT,46,FALSE)*88)/88*20</f>
        <v>#N/A</v>
      </c>
      <c r="AX74" s="1">
        <f>(VLOOKUP(A:A,USD!A:AU,47,FALSE)*88)/88*20</f>
        <v>360.7954545454545</v>
      </c>
    </row>
    <row r="75" spans="1:50" hidden="1">
      <c r="A75" s="1">
        <v>788008</v>
      </c>
      <c r="B75" s="1" t="s">
        <v>228</v>
      </c>
      <c r="C75" s="1" t="s">
        <v>229</v>
      </c>
      <c r="D75" s="1" t="s">
        <v>168</v>
      </c>
      <c r="E75" s="1" t="str">
        <f>VLOOKUP(A:A,USD!A:E,5,FALSE)</f>
        <v>Memphis Rule 5</v>
      </c>
      <c r="F75" s="1" t="str">
        <f>VLOOKUP(A:A,USD!A:F,6,FALSE)</f>
        <v>MR5</v>
      </c>
      <c r="G75" s="1" t="str">
        <f>VLOOKUP(A:A,'Regions and Ports'!A:G,7,FALSE)</f>
        <v>Memphis</v>
      </c>
      <c r="H75" s="1">
        <f>VLOOKUP(A:A,USD!A:R,8,FALSE)</f>
        <v>1</v>
      </c>
      <c r="I75" s="87">
        <f>(VLOOKUP($A:$A,USD!$A:$AL,9,FALSE)*88)/88*20</f>
        <v>61</v>
      </c>
      <c r="J75" s="87">
        <f>(VLOOKUP($A:$A,USD!$A:$AL,10,FALSE)*88)/88*20</f>
        <v>170</v>
      </c>
      <c r="K75" s="87">
        <f>(VLOOKUP($A:$A,USD!$A:$AL,11,FALSE)*88)/88*20</f>
        <v>120</v>
      </c>
      <c r="L75" s="87">
        <f>(VLOOKUP($A:$A,USD!$A:$AL,12,FALSE)*88)/88*20</f>
        <v>0</v>
      </c>
      <c r="M75" s="87">
        <f>(VLOOKUP($A:$A,USD!$A:$AL,13,FALSE)*88)/88*20</f>
        <v>0</v>
      </c>
      <c r="N75" s="87">
        <f>(VLOOKUP($A:$A,USD!$A:$AL,14,FALSE)*88)/88*20</f>
        <v>71</v>
      </c>
      <c r="O75" s="68">
        <f>(VLOOKUP($A:$A,USD!$A:$AL,15,FALSE)*88)/88*20</f>
        <v>37.916666666666671</v>
      </c>
      <c r="P75" s="87">
        <f>(VLOOKUP($A:$A,USD!$A:$AL,16,FALSE)*88)/88*20</f>
        <v>0</v>
      </c>
      <c r="Q75" s="68">
        <f t="shared" si="9"/>
        <v>459.91666666666669</v>
      </c>
      <c r="R75" s="68">
        <f t="shared" si="10"/>
        <v>108.91666666666667</v>
      </c>
      <c r="S75" s="68">
        <f>(VLOOKUP($A:$A,USD!$A:$AL,19,FALSE)*88)/88*20</f>
        <v>0</v>
      </c>
      <c r="T75" s="68">
        <f>(VLOOKUP($A:$A,USD!$A:$AL,20,FALSE)*88)/88*20</f>
        <v>0</v>
      </c>
      <c r="U75" s="68">
        <f>(VLOOKUP($A:$A,USD!$A:$AL,21,FALSE)*88)/88*20</f>
        <v>190</v>
      </c>
      <c r="V75" s="68"/>
      <c r="W75" s="68">
        <f t="shared" si="11"/>
        <v>190</v>
      </c>
      <c r="X75" s="1">
        <f>(VLOOKUP($A:$A,USD!$A:$AL,24,FALSE)*88)/88*20</f>
        <v>50</v>
      </c>
      <c r="Y75" s="68">
        <f>(VLOOKUP($A:$A,USD!$A:$AL,25,FALSE)*88)/88*20</f>
        <v>33.6</v>
      </c>
      <c r="Z75" s="68">
        <f>(VLOOKUP($A:$A,USD!$A:$AL,26,FALSE)*88)/88*20</f>
        <v>26.25</v>
      </c>
      <c r="AB75" s="68">
        <f t="shared" si="12"/>
        <v>109.85</v>
      </c>
      <c r="AC75" s="68">
        <f>(VLOOKUP($A:$A,USD!$A:$AL,29,FALSE)*88)/88*20</f>
        <v>146.02272727272725</v>
      </c>
      <c r="AD75" s="68">
        <f>(VLOOKUP($A:$A,USD!$A:$AL,30,FALSE)*88)/88*20</f>
        <v>182.72727272727275</v>
      </c>
      <c r="AF75" s="68">
        <f t="shared" si="13"/>
        <v>328.75</v>
      </c>
      <c r="AG75" s="87">
        <f>(VLOOKUP($A:$A,USD!$A:$AL,33,FALSE)*88)/88*20</f>
        <v>28.814300000000003</v>
      </c>
      <c r="AH75" s="68">
        <f>(VLOOKUP($A:$A,USD!$A:$AL,34,FALSE)*88)/88*20</f>
        <v>6.973140495867769</v>
      </c>
      <c r="AI75" s="87">
        <f>(VLOOKUP($A:$A,USD!$A:$AL,35,FALSE)*88)/88*20</f>
        <v>12.587317427197677</v>
      </c>
      <c r="AJ75" s="87">
        <f>(VLOOKUP($A:$A,USD!$A:$AL,36,FALSE)*88)/88*20</f>
        <v>6.7351999999999999</v>
      </c>
      <c r="AL75" s="68">
        <f t="shared" si="14"/>
        <v>55.109957923065444</v>
      </c>
      <c r="AM75" s="87">
        <f>(VLOOKUP($A:$A,USD!$A:$AR,39,FALSE)*88)/88*20</f>
        <v>79.999999999999986</v>
      </c>
      <c r="AN75" s="68">
        <f>(VLOOKUP($A:$A,USD!$A:$AR,40,FALSE)*88)/88*20</f>
        <v>26.17808219178082</v>
      </c>
      <c r="AO75" s="1">
        <f>(VLOOKUP($A:$A,USD!$A:$AR,41,FALSE)*88)/88*20</f>
        <v>0</v>
      </c>
      <c r="AR75" s="1">
        <f t="shared" si="15"/>
        <v>106.1780821917808</v>
      </c>
      <c r="AS75" s="38">
        <f t="shared" si="16"/>
        <v>898.80470678151289</v>
      </c>
      <c r="AT75" s="38">
        <f t="shared" si="17"/>
        <v>1249.804706781513</v>
      </c>
      <c r="AW75" s="1">
        <f>(VLOOKUP(A:A,USD!A:AT,46,FALSE)*88)/88*20</f>
        <v>540.75454545454545</v>
      </c>
      <c r="AX75" s="1">
        <f>(VLOOKUP(A:A,USD!A:AU,47,FALSE)*88)/88*20</f>
        <v>420.11363636363632</v>
      </c>
    </row>
    <row r="76" spans="1:50" hidden="1">
      <c r="A76" s="1">
        <v>788020</v>
      </c>
      <c r="B76" s="1" t="s">
        <v>231</v>
      </c>
      <c r="C76" s="1" t="s">
        <v>229</v>
      </c>
      <c r="D76" s="1" t="s">
        <v>168</v>
      </c>
      <c r="E76" s="1" t="str">
        <f>VLOOKUP(A:A,USD!A:E,5,FALSE)</f>
        <v>Memphis Rule 5</v>
      </c>
      <c r="F76" s="1" t="str">
        <f>VLOOKUP(A:A,USD!A:F,6,FALSE)</f>
        <v>MR5</v>
      </c>
      <c r="G76" s="1" t="str">
        <f>VLOOKUP(A:A,'Regions and Ports'!A:G,7,FALSE)</f>
        <v>Memphis</v>
      </c>
      <c r="H76" s="1">
        <f>VLOOKUP(A:A,USD!A:R,8,FALSE)</f>
        <v>1</v>
      </c>
      <c r="I76" s="87">
        <f>(VLOOKUP($A:$A,USD!$A:$AL,9,FALSE)*88)/88*20</f>
        <v>40</v>
      </c>
      <c r="J76" s="87">
        <f>(VLOOKUP($A:$A,USD!$A:$AL,10,FALSE)*88)/88*20</f>
        <v>280</v>
      </c>
      <c r="K76" s="87">
        <f>(VLOOKUP($A:$A,USD!$A:$AL,11,FALSE)*88)/88*20</f>
        <v>0</v>
      </c>
      <c r="L76" s="87">
        <f>(VLOOKUP($A:$A,USD!$A:$AL,12,FALSE)*88)/88*20</f>
        <v>6</v>
      </c>
      <c r="M76" s="87">
        <f>(VLOOKUP($A:$A,USD!$A:$AL,13,FALSE)*88)/88*20</f>
        <v>0</v>
      </c>
      <c r="N76" s="87">
        <f>(VLOOKUP($A:$A,USD!$A:$AL,14,FALSE)*88)/88*20</f>
        <v>65</v>
      </c>
      <c r="O76" s="68">
        <f>(VLOOKUP($A:$A,USD!$A:$AL,15,FALSE)*88)/88*20</f>
        <v>37.916666666666671</v>
      </c>
      <c r="P76" s="87">
        <f>(VLOOKUP($A:$A,USD!$A:$AL,16,FALSE)*88)/88*20</f>
        <v>0</v>
      </c>
      <c r="Q76" s="68">
        <f t="shared" si="9"/>
        <v>428.91666666666669</v>
      </c>
      <c r="R76" s="68">
        <f t="shared" si="10"/>
        <v>102.91666666666667</v>
      </c>
      <c r="S76" s="68">
        <f>(VLOOKUP($A:$A,USD!$A:$AL,19,FALSE)*88)/88*20</f>
        <v>0</v>
      </c>
      <c r="T76" s="68">
        <f>(VLOOKUP($A:$A,USD!$A:$AL,20,FALSE)*88)/88*20</f>
        <v>0</v>
      </c>
      <c r="U76" s="68">
        <f>(VLOOKUP($A:$A,USD!$A:$AL,21,FALSE)*88)/88*20</f>
        <v>190</v>
      </c>
      <c r="V76" s="68"/>
      <c r="W76" s="68">
        <f t="shared" si="11"/>
        <v>190</v>
      </c>
      <c r="X76" s="1">
        <f>(VLOOKUP($A:$A,USD!$A:$AL,24,FALSE)*88)/88*20</f>
        <v>50</v>
      </c>
      <c r="Y76" s="68">
        <f>(VLOOKUP($A:$A,USD!$A:$AL,25,FALSE)*88)/88*20</f>
        <v>33.6</v>
      </c>
      <c r="Z76" s="68">
        <f>(VLOOKUP($A:$A,USD!$A:$AL,26,FALSE)*88)/88*20</f>
        <v>26.25</v>
      </c>
      <c r="AB76" s="68">
        <f t="shared" si="12"/>
        <v>109.85</v>
      </c>
      <c r="AC76" s="68">
        <f>(VLOOKUP($A:$A,USD!$A:$AL,29,FALSE)*88)/88*20</f>
        <v>146.02272727272725</v>
      </c>
      <c r="AD76" s="68">
        <f>(VLOOKUP($A:$A,USD!$A:$AL,30,FALSE)*88)/88*20</f>
        <v>182.72727272727275</v>
      </c>
      <c r="AF76" s="68">
        <f t="shared" si="13"/>
        <v>328.75</v>
      </c>
      <c r="AG76" s="87">
        <f>(VLOOKUP($A:$A,USD!$A:$AL,33,FALSE)*88)/88*20</f>
        <v>28.814300000000003</v>
      </c>
      <c r="AH76" s="68">
        <f>(VLOOKUP($A:$A,USD!$A:$AL,34,FALSE)*88)/88*20</f>
        <v>6.973140495867769</v>
      </c>
      <c r="AI76" s="87">
        <f>(VLOOKUP($A:$A,USD!$A:$AL,35,FALSE)*88)/88*20</f>
        <v>12.587317427197677</v>
      </c>
      <c r="AJ76" s="87">
        <f>(VLOOKUP($A:$A,USD!$A:$AL,36,FALSE)*88)/88*20</f>
        <v>6.7351999999999999</v>
      </c>
      <c r="AL76" s="68">
        <f t="shared" si="14"/>
        <v>55.109957923065444</v>
      </c>
      <c r="AM76" s="87">
        <f>(VLOOKUP($A:$A,USD!$A:$AR,39,FALSE)*88)/88*20</f>
        <v>79.999999999999986</v>
      </c>
      <c r="AN76" s="68">
        <f>(VLOOKUP($A:$A,USD!$A:$AR,40,FALSE)*88)/88*20</f>
        <v>26.17808219178082</v>
      </c>
      <c r="AO76" s="1">
        <f>(VLOOKUP($A:$A,USD!$A:$AR,41,FALSE)*88)/88*20</f>
        <v>0</v>
      </c>
      <c r="AR76" s="1">
        <f t="shared" si="15"/>
        <v>106.1780821917808</v>
      </c>
      <c r="AS76" s="38">
        <f t="shared" si="16"/>
        <v>892.80470678151289</v>
      </c>
      <c r="AT76" s="38">
        <f t="shared" si="17"/>
        <v>1218.804706781513</v>
      </c>
      <c r="AW76" s="1">
        <f>(VLOOKUP(A:A,USD!A:AT,46,FALSE)*88)/88*20</f>
        <v>540.75454545454545</v>
      </c>
      <c r="AX76" s="1">
        <f>(VLOOKUP(A:A,USD!A:AU,47,FALSE)*88)/88*20</f>
        <v>420.11363636363632</v>
      </c>
    </row>
    <row r="77" spans="1:50" hidden="1">
      <c r="A77" s="1">
        <v>153505</v>
      </c>
      <c r="B77" s="1" t="s">
        <v>232</v>
      </c>
      <c r="C77" s="1" t="s">
        <v>233</v>
      </c>
      <c r="D77" s="1" t="s">
        <v>149</v>
      </c>
      <c r="E77" s="1" t="str">
        <f>VLOOKUP(A:A,USD!A:E,5,FALSE)</f>
        <v>Memphis Rule 5</v>
      </c>
      <c r="F77" s="1" t="str">
        <f>VLOOKUP(A:A,USD!A:F,6,FALSE)</f>
        <v>MR5</v>
      </c>
      <c r="G77" s="1" t="str">
        <f>VLOOKUP(A:A,'Regions and Ports'!A:G,7,FALSE)</f>
        <v>Memphis</v>
      </c>
      <c r="H77" s="1">
        <f>VLOOKUP(A:A,USD!A:R,8,FALSE)</f>
        <v>1</v>
      </c>
      <c r="I77" s="87">
        <f>(VLOOKUP($A:$A,USD!$A:$AL,9,FALSE)*88)/88*20</f>
        <v>101</v>
      </c>
      <c r="J77" s="87">
        <f>(VLOOKUP($A:$A,USD!$A:$AL,10,FALSE)*88)/88*20</f>
        <v>200</v>
      </c>
      <c r="K77" s="87">
        <f>(VLOOKUP($A:$A,USD!$A:$AL,11,FALSE)*88)/88*20</f>
        <v>160</v>
      </c>
      <c r="L77" s="87">
        <f>(VLOOKUP($A:$A,USD!$A:$AL,12,FALSE)*88)/88*20</f>
        <v>0</v>
      </c>
      <c r="M77" s="87">
        <f>(VLOOKUP($A:$A,USD!$A:$AL,13,FALSE)*88)/88*20</f>
        <v>0</v>
      </c>
      <c r="N77" s="87">
        <f>(VLOOKUP($A:$A,USD!$A:$AL,14,FALSE)*88)/88*20</f>
        <v>80</v>
      </c>
      <c r="O77" s="68">
        <f>(VLOOKUP($A:$A,USD!$A:$AL,15,FALSE)*88)/88*20</f>
        <v>37.916666666666671</v>
      </c>
      <c r="P77" s="87">
        <f>(VLOOKUP($A:$A,USD!$A:$AL,16,FALSE)*88)/88*20</f>
        <v>0</v>
      </c>
      <c r="Q77" s="68">
        <f t="shared" si="9"/>
        <v>578.91666666666663</v>
      </c>
      <c r="R77" s="68">
        <f t="shared" si="10"/>
        <v>117.91666666666667</v>
      </c>
      <c r="S77" s="68">
        <f>(VLOOKUP($A:$A,USD!$A:$AL,19,FALSE)*88)/88*20</f>
        <v>0</v>
      </c>
      <c r="T77" s="68">
        <f>(VLOOKUP($A:$A,USD!$A:$AL,20,FALSE)*88)/88*20</f>
        <v>0</v>
      </c>
      <c r="U77" s="68">
        <f>(VLOOKUP($A:$A,USD!$A:$AL,21,FALSE)*88)/88*20</f>
        <v>141.59090909090909</v>
      </c>
      <c r="V77" s="68"/>
      <c r="W77" s="68">
        <f t="shared" si="11"/>
        <v>141.59090909090909</v>
      </c>
      <c r="X77" s="1">
        <f>(VLOOKUP($A:$A,USD!$A:$AL,24,FALSE)*88)/88*20</f>
        <v>50</v>
      </c>
      <c r="Y77" s="68">
        <f>(VLOOKUP($A:$A,USD!$A:$AL,25,FALSE)*88)/88*20</f>
        <v>33.6</v>
      </c>
      <c r="Z77" s="68">
        <f>(VLOOKUP($A:$A,USD!$A:$AL,26,FALSE)*88)/88*20</f>
        <v>26.25</v>
      </c>
      <c r="AB77" s="68">
        <f t="shared" si="12"/>
        <v>109.85</v>
      </c>
      <c r="AC77" s="68">
        <f>(VLOOKUP($A:$A,USD!$A:$AL,29,FALSE)*88)/88*20</f>
        <v>146.02272727272725</v>
      </c>
      <c r="AD77" s="68">
        <f>(VLOOKUP($A:$A,USD!$A:$AL,30,FALSE)*88)/88*20</f>
        <v>182.72727272727275</v>
      </c>
      <c r="AF77" s="68">
        <f t="shared" si="13"/>
        <v>328.75</v>
      </c>
      <c r="AG77" s="87">
        <f>(VLOOKUP($A:$A,USD!$A:$AL,33,FALSE)*88)/88*20</f>
        <v>28.814300000000003</v>
      </c>
      <c r="AH77" s="68">
        <f>(VLOOKUP($A:$A,USD!$A:$AL,34,FALSE)*88)/88*20</f>
        <v>6.973140495867769</v>
      </c>
      <c r="AI77" s="87">
        <f>(VLOOKUP($A:$A,USD!$A:$AL,35,FALSE)*88)/88*20</f>
        <v>12.587317427197677</v>
      </c>
      <c r="AJ77" s="87">
        <f>(VLOOKUP($A:$A,USD!$A:$AL,36,FALSE)*88)/88*20</f>
        <v>6.7351999999999999</v>
      </c>
      <c r="AL77" s="68">
        <f t="shared" si="14"/>
        <v>55.109957923065444</v>
      </c>
      <c r="AM77" s="87">
        <f>(VLOOKUP($A:$A,USD!$A:$AR,39,FALSE)*88)/88*20</f>
        <v>79.999999999999986</v>
      </c>
      <c r="AN77" s="68">
        <f>(VLOOKUP($A:$A,USD!$A:$AR,40,FALSE)*88)/88*20</f>
        <v>26.17808219178082</v>
      </c>
      <c r="AO77" s="1">
        <f>(VLOOKUP($A:$A,USD!$A:$AR,41,FALSE)*88)/88*20</f>
        <v>0</v>
      </c>
      <c r="AR77" s="1">
        <f t="shared" si="15"/>
        <v>106.1780821917808</v>
      </c>
      <c r="AS77" s="38">
        <f t="shared" si="16"/>
        <v>859.39561587242201</v>
      </c>
      <c r="AT77" s="38">
        <f t="shared" si="17"/>
        <v>1320.395615872422</v>
      </c>
      <c r="AW77" s="1" t="e">
        <f>(VLOOKUP(A:A,USD!A:AT,46,FALSE)*88)/88*20</f>
        <v>#N/A</v>
      </c>
      <c r="AX77" s="1">
        <f>(VLOOKUP(A:A,USD!A:AU,47,FALSE)*88)/88*20</f>
        <v>461.36363636363632</v>
      </c>
    </row>
    <row r="78" spans="1:50" hidden="1">
      <c r="A78" s="1">
        <v>232400</v>
      </c>
      <c r="B78" s="1" t="s">
        <v>236</v>
      </c>
      <c r="C78" s="1" t="s">
        <v>237</v>
      </c>
      <c r="D78" s="1" t="s">
        <v>76</v>
      </c>
      <c r="E78" s="1" t="str">
        <f>VLOOKUP(A:A,USD!A:E,5,FALSE)</f>
        <v>GA 30 Day</v>
      </c>
      <c r="F78" s="1" t="str">
        <f>VLOOKUP(A:A,USD!A:F,6,FALSE)</f>
        <v>ER5</v>
      </c>
      <c r="G78" s="1" t="str">
        <f>VLOOKUP(A:A,'Regions and Ports'!A:G,7,FALSE)</f>
        <v>Savannah</v>
      </c>
      <c r="H78" s="1">
        <f>VLOOKUP(A:A,USD!A:R,8,FALSE)</f>
        <v>4</v>
      </c>
      <c r="I78" s="87">
        <f>(VLOOKUP($A:$A,USD!$A:$AL,9,FALSE)*88)/88*20</f>
        <v>80</v>
      </c>
      <c r="J78" s="87">
        <f>(VLOOKUP($A:$A,USD!$A:$AL,10,FALSE)*88)/88*20</f>
        <v>120</v>
      </c>
      <c r="K78" s="87">
        <f>(VLOOKUP($A:$A,USD!$A:$AL,11,FALSE)*88)/88*20</f>
        <v>0</v>
      </c>
      <c r="L78" s="87">
        <f>(VLOOKUP($A:$A,USD!$A:$AL,12,FALSE)*88)/88*20</f>
        <v>0</v>
      </c>
      <c r="M78" s="87">
        <f>(VLOOKUP($A:$A,USD!$A:$AL,13,FALSE)*88)/88*20</f>
        <v>20</v>
      </c>
      <c r="N78" s="87">
        <f>(VLOOKUP($A:$A,USD!$A:$AL,14,FALSE)*88)/88*20</f>
        <v>60</v>
      </c>
      <c r="O78" s="68">
        <f>(VLOOKUP($A:$A,USD!$A:$AL,15,FALSE)*88)/88*20</f>
        <v>37.916666666666671</v>
      </c>
      <c r="P78" s="87">
        <f>(VLOOKUP($A:$A,USD!$A:$AL,16,FALSE)*88)/88*20</f>
        <v>0</v>
      </c>
      <c r="Q78" s="68">
        <f t="shared" si="9"/>
        <v>317.91666666666669</v>
      </c>
      <c r="R78" s="68">
        <f t="shared" si="10"/>
        <v>37.916666666666671</v>
      </c>
      <c r="S78" s="68">
        <f>(VLOOKUP($A:$A,USD!$A:$AL,19,FALSE)*88)/88*20</f>
        <v>0</v>
      </c>
      <c r="T78" s="68">
        <f>(VLOOKUP($A:$A,USD!$A:$AL,20,FALSE)*88)/88*20</f>
        <v>0</v>
      </c>
      <c r="U78" s="68">
        <f>(VLOOKUP($A:$A,USD!$A:$AL,21,FALSE)*88)/88*20</f>
        <v>202.26249999999999</v>
      </c>
      <c r="V78" s="68"/>
      <c r="W78" s="68">
        <f t="shared" si="11"/>
        <v>202.26249999999999</v>
      </c>
      <c r="X78" s="1">
        <f>(VLOOKUP($A:$A,USD!$A:$AL,24,FALSE)*88)/88*20</f>
        <v>52</v>
      </c>
      <c r="Y78" s="68">
        <f>(VLOOKUP($A:$A,USD!$A:$AL,25,FALSE)*88)/88*20</f>
        <v>50.4</v>
      </c>
      <c r="Z78" s="68">
        <f>(VLOOKUP($A:$A,USD!$A:$AL,26,FALSE)*88)/88*20</f>
        <v>26.25</v>
      </c>
      <c r="AB78" s="68">
        <f t="shared" si="12"/>
        <v>128.65</v>
      </c>
      <c r="AC78" s="68">
        <f>(VLOOKUP($A:$A,USD!$A:$AL,29,FALSE)*88)/88*20</f>
        <v>110.22727272727273</v>
      </c>
      <c r="AD78" s="68">
        <f>(VLOOKUP($A:$A,USD!$A:$AL,30,FALSE)*88)/88*20</f>
        <v>107.04545454545455</v>
      </c>
      <c r="AF78" s="68">
        <f t="shared" si="13"/>
        <v>217.27272727272728</v>
      </c>
      <c r="AG78" s="87">
        <f>(VLOOKUP($A:$A,USD!$A:$AL,33,FALSE)*88)/88*20</f>
        <v>28.814300000000003</v>
      </c>
      <c r="AH78" s="68">
        <f>(VLOOKUP($A:$A,USD!$A:$AL,34,FALSE)*88)/88*20</f>
        <v>6.973140495867769</v>
      </c>
      <c r="AI78" s="87">
        <f>(VLOOKUP($A:$A,USD!$A:$AL,35,FALSE)*88)/88*20</f>
        <v>12.587317427197677</v>
      </c>
      <c r="AJ78" s="87">
        <f>(VLOOKUP($A:$A,USD!$A:$AL,36,FALSE)*88)/88*20</f>
        <v>6.7351999999999999</v>
      </c>
      <c r="AL78" s="68">
        <f t="shared" si="14"/>
        <v>55.109957923065444</v>
      </c>
      <c r="AM78" s="87">
        <f>(VLOOKUP($A:$A,USD!$A:$AR,39,FALSE)*88)/88*20</f>
        <v>79.999999999999986</v>
      </c>
      <c r="AN78" s="68">
        <f>(VLOOKUP($A:$A,USD!$A:$AR,40,FALSE)*88)/88*20</f>
        <v>26.17808219178082</v>
      </c>
      <c r="AO78" s="1">
        <f>(VLOOKUP($A:$A,USD!$A:$AR,41,FALSE)*88)/88*20</f>
        <v>0</v>
      </c>
      <c r="AR78" s="1">
        <f t="shared" si="15"/>
        <v>106.1780821917808</v>
      </c>
      <c r="AS78" s="38">
        <f t="shared" si="16"/>
        <v>747.38993405424014</v>
      </c>
      <c r="AT78" s="38">
        <f t="shared" si="17"/>
        <v>1027.3899340542403</v>
      </c>
      <c r="AW78" s="1" t="e">
        <f>(VLOOKUP(A:A,USD!A:AT,46,FALSE)*88)/88*20</f>
        <v>#N/A</v>
      </c>
      <c r="AX78" s="1">
        <f>(VLOOKUP(A:A,USD!A:AU,47,FALSE)*88)/88*20</f>
        <v>322.61363636363632</v>
      </c>
    </row>
    <row r="79" spans="1:50" hidden="1">
      <c r="A79" s="1">
        <v>232401</v>
      </c>
      <c r="B79" s="1" t="s">
        <v>239</v>
      </c>
      <c r="C79" s="1" t="s">
        <v>237</v>
      </c>
      <c r="D79" s="1" t="s">
        <v>76</v>
      </c>
      <c r="E79" s="1" t="str">
        <f>VLOOKUP(A:A,USD!A:E,5,FALSE)</f>
        <v>GA 30 Day</v>
      </c>
      <c r="F79" s="1" t="str">
        <f>VLOOKUP(A:A,USD!A:F,6,FALSE)</f>
        <v>ER5</v>
      </c>
      <c r="G79" s="1" t="str">
        <f>VLOOKUP(A:A,'Regions and Ports'!A:G,7,FALSE)</f>
        <v>Savannah</v>
      </c>
      <c r="H79" s="1">
        <f>VLOOKUP(A:A,USD!A:R,8,FALSE)</f>
        <v>4</v>
      </c>
      <c r="I79" s="87">
        <f>(VLOOKUP($A:$A,USD!$A:$AL,9,FALSE)*88)/88*20</f>
        <v>100</v>
      </c>
      <c r="J79" s="87">
        <f>(VLOOKUP($A:$A,USD!$A:$AL,10,FALSE)*88)/88*20</f>
        <v>100</v>
      </c>
      <c r="K79" s="87">
        <f>(VLOOKUP($A:$A,USD!$A:$AL,11,FALSE)*88)/88*20</f>
        <v>0</v>
      </c>
      <c r="L79" s="87">
        <f>(VLOOKUP($A:$A,USD!$A:$AL,12,FALSE)*88)/88*20</f>
        <v>0</v>
      </c>
      <c r="M79" s="87">
        <f>(VLOOKUP($A:$A,USD!$A:$AL,13,FALSE)*88)/88*20</f>
        <v>0</v>
      </c>
      <c r="N79" s="87">
        <f>(VLOOKUP($A:$A,USD!$A:$AL,14,FALSE)*88)/88*20</f>
        <v>50</v>
      </c>
      <c r="O79" s="68">
        <f>(VLOOKUP($A:$A,USD!$A:$AL,15,FALSE)*88)/88*20</f>
        <v>37.916666666666671</v>
      </c>
      <c r="P79" s="87">
        <f>(VLOOKUP($A:$A,USD!$A:$AL,16,FALSE)*88)/88*20</f>
        <v>0</v>
      </c>
      <c r="Q79" s="68">
        <f t="shared" si="9"/>
        <v>287.91666666666669</v>
      </c>
      <c r="R79" s="68">
        <f t="shared" si="10"/>
        <v>37.916666666666671</v>
      </c>
      <c r="S79" s="68">
        <f>(VLOOKUP($A:$A,USD!$A:$AL,19,FALSE)*88)/88*20</f>
        <v>0</v>
      </c>
      <c r="T79" s="68">
        <f>(VLOOKUP($A:$A,USD!$A:$AL,20,FALSE)*88)/88*20</f>
        <v>0</v>
      </c>
      <c r="U79" s="68">
        <f>(VLOOKUP($A:$A,USD!$A:$AL,21,FALSE)*88)/88*20</f>
        <v>202.26249999999999</v>
      </c>
      <c r="V79" s="68"/>
      <c r="W79" s="68">
        <f t="shared" si="11"/>
        <v>202.26249999999999</v>
      </c>
      <c r="X79" s="1">
        <f>(VLOOKUP($A:$A,USD!$A:$AL,24,FALSE)*88)/88*20</f>
        <v>52</v>
      </c>
      <c r="Y79" s="68">
        <f>(VLOOKUP($A:$A,USD!$A:$AL,25,FALSE)*88)/88*20</f>
        <v>50.4</v>
      </c>
      <c r="Z79" s="68">
        <f>(VLOOKUP($A:$A,USD!$A:$AL,26,FALSE)*88)/88*20</f>
        <v>26.25</v>
      </c>
      <c r="AB79" s="68">
        <f t="shared" si="12"/>
        <v>128.65</v>
      </c>
      <c r="AC79" s="68">
        <f>(VLOOKUP($A:$A,USD!$A:$AL,29,FALSE)*88)/88*20</f>
        <v>110.22727272727273</v>
      </c>
      <c r="AD79" s="68">
        <f>(VLOOKUP($A:$A,USD!$A:$AL,30,FALSE)*88)/88*20</f>
        <v>107.04545454545455</v>
      </c>
      <c r="AF79" s="68">
        <f t="shared" si="13"/>
        <v>217.27272727272728</v>
      </c>
      <c r="AG79" s="87">
        <f>(VLOOKUP($A:$A,USD!$A:$AL,33,FALSE)*88)/88*20</f>
        <v>28.814300000000003</v>
      </c>
      <c r="AH79" s="68">
        <f>(VLOOKUP($A:$A,USD!$A:$AL,34,FALSE)*88)/88*20</f>
        <v>6.973140495867769</v>
      </c>
      <c r="AI79" s="87">
        <f>(VLOOKUP($A:$A,USD!$A:$AL,35,FALSE)*88)/88*20</f>
        <v>12.587317427197677</v>
      </c>
      <c r="AJ79" s="87">
        <f>(VLOOKUP($A:$A,USD!$A:$AL,36,FALSE)*88)/88*20</f>
        <v>6.7351999999999999</v>
      </c>
      <c r="AL79" s="68">
        <f t="shared" si="14"/>
        <v>55.109957923065444</v>
      </c>
      <c r="AM79" s="87">
        <f>(VLOOKUP($A:$A,USD!$A:$AR,39,FALSE)*88)/88*20</f>
        <v>79.999999999999986</v>
      </c>
      <c r="AN79" s="68">
        <f>(VLOOKUP($A:$A,USD!$A:$AR,40,FALSE)*88)/88*20</f>
        <v>26.17808219178082</v>
      </c>
      <c r="AO79" s="1">
        <f>(VLOOKUP($A:$A,USD!$A:$AR,41,FALSE)*88)/88*20</f>
        <v>0</v>
      </c>
      <c r="AR79" s="1">
        <f t="shared" si="15"/>
        <v>106.1780821917808</v>
      </c>
      <c r="AS79" s="38">
        <f t="shared" si="16"/>
        <v>747.38993405424014</v>
      </c>
      <c r="AT79" s="38">
        <f t="shared" si="17"/>
        <v>997.38993405424014</v>
      </c>
      <c r="AW79" s="1" t="e">
        <f>(VLOOKUP(A:A,USD!A:AT,46,FALSE)*88)/88*20</f>
        <v>#N/A</v>
      </c>
      <c r="AX79" s="1">
        <f>(VLOOKUP(A:A,USD!A:AU,47,FALSE)*88)/88*20</f>
        <v>322.61363636363632</v>
      </c>
    </row>
    <row r="80" spans="1:50" hidden="1">
      <c r="A80" s="1">
        <v>846847</v>
      </c>
      <c r="B80" s="1" t="s">
        <v>240</v>
      </c>
      <c r="C80" s="1" t="s">
        <v>241</v>
      </c>
      <c r="D80" s="1" t="s">
        <v>71</v>
      </c>
      <c r="E80" s="1" t="str">
        <f>VLOOKUP(A:A,USD!A:E,5,FALSE)</f>
        <v>WTX</v>
      </c>
      <c r="F80" s="1" t="str">
        <f>VLOOKUP(A:A,USD!A:F,6,FALSE)</f>
        <v>WTX</v>
      </c>
      <c r="G80" s="1" t="str">
        <f>VLOOKUP(A:A,'Regions and Ports'!A:G,7,FALSE)</f>
        <v>Dallas</v>
      </c>
      <c r="H80" s="1">
        <f>VLOOKUP(A:A,USD!A:R,8,FALSE)</f>
        <v>3</v>
      </c>
      <c r="I80" s="87">
        <f>(VLOOKUP($A:$A,USD!$A:$AL,9,FALSE)*88)/88*20</f>
        <v>140</v>
      </c>
      <c r="J80" s="87">
        <f>(VLOOKUP($A:$A,USD!$A:$AL,10,FALSE)*88)/88*20</f>
        <v>160</v>
      </c>
      <c r="K80" s="87">
        <f>(VLOOKUP($A:$A,USD!$A:$AL,11,FALSE)*88)/88*20</f>
        <v>160</v>
      </c>
      <c r="L80" s="87">
        <f>(VLOOKUP($A:$A,USD!$A:$AL,12,FALSE)*88)/88*20</f>
        <v>0</v>
      </c>
      <c r="M80" s="87">
        <f>(VLOOKUP($A:$A,USD!$A:$AL,13,FALSE)*88)/88*20</f>
        <v>0</v>
      </c>
      <c r="N80" s="87">
        <f>(VLOOKUP($A:$A,USD!$A:$AL,14,FALSE)*88)/88*20</f>
        <v>80</v>
      </c>
      <c r="O80" s="68">
        <f>(VLOOKUP($A:$A,USD!$A:$AL,15,FALSE)*88)/88*20</f>
        <v>37.916666666666671</v>
      </c>
      <c r="P80" s="87">
        <f>(VLOOKUP($A:$A,USD!$A:$AL,16,FALSE)*88)/88*20</f>
        <v>0</v>
      </c>
      <c r="Q80" s="68">
        <f t="shared" si="9"/>
        <v>577.91666666666663</v>
      </c>
      <c r="R80" s="68">
        <f t="shared" si="10"/>
        <v>437.91666666666669</v>
      </c>
      <c r="S80" s="68">
        <f>(VLOOKUP($A:$A,USD!$A:$AL,19,FALSE)*88)/88*20</f>
        <v>0</v>
      </c>
      <c r="T80" s="68">
        <f>(VLOOKUP($A:$A,USD!$A:$AL,20,FALSE)*88)/88*20</f>
        <v>0</v>
      </c>
      <c r="U80" s="68">
        <f>(VLOOKUP($A:$A,USD!$A:$AL,21,FALSE)*88)/88*20</f>
        <v>98.295454545454547</v>
      </c>
      <c r="V80" s="68"/>
      <c r="W80" s="68">
        <f t="shared" si="11"/>
        <v>98.295454545454547</v>
      </c>
      <c r="X80" s="1">
        <f>(VLOOKUP($A:$A,USD!$A:$AL,24,FALSE)*88)/88*20</f>
        <v>54</v>
      </c>
      <c r="Y80" s="68">
        <f>(VLOOKUP($A:$A,USD!$A:$AL,25,FALSE)*88)/88*20</f>
        <v>50.4</v>
      </c>
      <c r="Z80" s="68">
        <f>(VLOOKUP($A:$A,USD!$A:$AL,26,FALSE)*88)/88*20</f>
        <v>26.25</v>
      </c>
      <c r="AB80" s="68">
        <f t="shared" si="12"/>
        <v>130.65</v>
      </c>
      <c r="AC80" s="68">
        <f>(VLOOKUP($A:$A,USD!$A:$AL,29,FALSE)*88)/88*20</f>
        <v>162.5</v>
      </c>
      <c r="AD80" s="68">
        <f>(VLOOKUP($A:$A,USD!$A:$AL,30,FALSE)*88)/88*20</f>
        <v>268.18181818181819</v>
      </c>
      <c r="AF80" s="68">
        <f t="shared" si="13"/>
        <v>430.68181818181819</v>
      </c>
      <c r="AG80" s="87">
        <f>(VLOOKUP($A:$A,USD!$A:$AL,33,FALSE)*88)/88*20</f>
        <v>28.814300000000003</v>
      </c>
      <c r="AH80" s="68">
        <f>(VLOOKUP($A:$A,USD!$A:$AL,34,FALSE)*88)/88*20</f>
        <v>6.973140495867769</v>
      </c>
      <c r="AI80" s="87">
        <f>(VLOOKUP($A:$A,USD!$A:$AL,35,FALSE)*88)/88*20</f>
        <v>12.587317427197677</v>
      </c>
      <c r="AJ80" s="87">
        <f>(VLOOKUP($A:$A,USD!$A:$AL,36,FALSE)*88)/88*20</f>
        <v>6.7351999999999999</v>
      </c>
      <c r="AL80" s="68">
        <f t="shared" si="14"/>
        <v>55.109957923065444</v>
      </c>
      <c r="AM80" s="87">
        <f>(VLOOKUP($A:$A,USD!$A:$AR,39,FALSE)*88)/88*20</f>
        <v>79.999999999999986</v>
      </c>
      <c r="AN80" s="68">
        <f>(VLOOKUP($A:$A,USD!$A:$AR,40,FALSE)*88)/88*20</f>
        <v>26.17808219178082</v>
      </c>
      <c r="AO80" s="1">
        <f>(VLOOKUP($A:$A,USD!$A:$AR,41,FALSE)*88)/88*20</f>
        <v>0</v>
      </c>
      <c r="AR80" s="1">
        <f t="shared" si="15"/>
        <v>106.1780821917808</v>
      </c>
      <c r="AS80" s="38">
        <f t="shared" si="16"/>
        <v>1258.8319795087855</v>
      </c>
      <c r="AT80" s="38">
        <f t="shared" si="17"/>
        <v>1398.8319795087855</v>
      </c>
      <c r="AW80" s="1">
        <f>(VLOOKUP(A:A,USD!A:AT,46,FALSE)*88)/88*20</f>
        <v>299.45227272727271</v>
      </c>
      <c r="AX80" s="1" t="e">
        <f>(VLOOKUP(A:A,USD!A:AU,47,FALSE)*88)/88*20</f>
        <v>#N/A</v>
      </c>
    </row>
    <row r="81" spans="1:50" hidden="1">
      <c r="A81" s="125">
        <v>846847</v>
      </c>
      <c r="B81" s="1" t="s">
        <v>240</v>
      </c>
      <c r="C81" s="1" t="s">
        <v>241</v>
      </c>
      <c r="D81" s="1" t="s">
        <v>71</v>
      </c>
      <c r="E81" s="1" t="s">
        <v>2067</v>
      </c>
      <c r="F81" s="1" t="str">
        <f>VLOOKUP(A:A,USD!A:F,6,FALSE)</f>
        <v>WTX</v>
      </c>
      <c r="G81" s="1" t="s">
        <v>439</v>
      </c>
      <c r="H81" s="1">
        <f>VLOOKUP(A:A,USD!A:R,8,FALSE)</f>
        <v>3</v>
      </c>
      <c r="I81" s="87">
        <f>(VLOOKUP($A:$A,USD!$A:$AL,9,FALSE)*88)/88*20</f>
        <v>140</v>
      </c>
      <c r="J81" s="87">
        <f>(VLOOKUP($A:$A,USD!$A:$AL,10,FALSE)*88)/88*20</f>
        <v>160</v>
      </c>
      <c r="K81" s="87">
        <f>(VLOOKUP($A:$A,USD!$A:$AL,11,FALSE)*88)/88*20</f>
        <v>160</v>
      </c>
      <c r="L81" s="87">
        <f>(VLOOKUP($A:$A,USD!$A:$AL,12,FALSE)*88)/88*20</f>
        <v>0</v>
      </c>
      <c r="M81" s="87">
        <f>(VLOOKUP($A:$A,USD!$A:$AL,13,FALSE)*88)/88*20</f>
        <v>0</v>
      </c>
      <c r="N81" s="87">
        <f>(VLOOKUP($A:$A,USD!$A:$AL,14,FALSE)*88)/88*20</f>
        <v>80</v>
      </c>
      <c r="O81" s="68">
        <f>(VLOOKUP($A:$A,USD!$A:$AL,15,FALSE)*88)/88*20</f>
        <v>37.916666666666671</v>
      </c>
      <c r="P81" s="87">
        <f>(VLOOKUP($A:$A,USD!$A:$AL,16,FALSE)*88)/88*20</f>
        <v>0</v>
      </c>
      <c r="Q81" s="68">
        <f t="shared" si="9"/>
        <v>577.91666666666663</v>
      </c>
      <c r="R81" s="68">
        <f t="shared" si="10"/>
        <v>437.91666666666669</v>
      </c>
      <c r="S81" s="68">
        <f>(VLOOKUP($A:$A,USD!$A:$AL,19,FALSE)*88)/88*20</f>
        <v>0</v>
      </c>
      <c r="T81" s="68">
        <f>(VLOOKUP($A:$A,USD!$A:$AL,20,FALSE)*88)/88*20</f>
        <v>0</v>
      </c>
      <c r="U81" s="68" cm="1">
        <f t="array" ref="U81">(_xlfn.XLOOKUP(1, (USD!$A:$A=$A81)*(USD!$E:$E=$E81), USD!$U:$U, "", 0)*88)/88*20</f>
        <v>207.38636363636363</v>
      </c>
      <c r="V81" s="68"/>
      <c r="W81" s="68">
        <f t="shared" si="11"/>
        <v>207.38636363636363</v>
      </c>
      <c r="X81" s="1">
        <f>(VLOOKUP($A:$A,USD!$A:$AL,24,FALSE)*88)/88*20</f>
        <v>54</v>
      </c>
      <c r="Y81" s="68">
        <f>(VLOOKUP($A:$A,USD!$A:$AL,25,FALSE)*88)/88*20</f>
        <v>50.4</v>
      </c>
      <c r="Z81" s="68">
        <f>(VLOOKUP($A:$A,USD!$A:$AL,26,FALSE)*88)/88*20</f>
        <v>26.25</v>
      </c>
      <c r="AB81" s="68">
        <f t="shared" si="12"/>
        <v>130.65</v>
      </c>
      <c r="AC81" s="68" cm="1">
        <f t="array" ref="AC81">_xlfn.XLOOKUP(A81&amp;E81, USD!$A:$A&amp;USD!$E:$E, USD!$AC:$AC, "")*20</f>
        <v>132.95454545454544</v>
      </c>
      <c r="AD81" s="68" cm="1">
        <f t="array" ref="AD81">_xlfn.XLOOKUP(A81&amp;E81, USD!$A:$A&amp;USD!$E:$E, USD!$AD:$AD, "")*20</f>
        <v>197.95454545454547</v>
      </c>
      <c r="AF81" s="68">
        <f t="shared" si="13"/>
        <v>330.90909090909088</v>
      </c>
      <c r="AG81" s="87">
        <f>(VLOOKUP($A:$A,USD!$A:$AL,33,FALSE)*88)/88*20</f>
        <v>28.814300000000003</v>
      </c>
      <c r="AH81" s="68">
        <f>(VLOOKUP($A:$A,USD!$A:$AL,34,FALSE)*88)/88*20</f>
        <v>6.973140495867769</v>
      </c>
      <c r="AI81" s="87">
        <f>(VLOOKUP($A:$A,USD!$A:$AL,35,FALSE)*88)/88*20</f>
        <v>12.587317427197677</v>
      </c>
      <c r="AJ81" s="87">
        <f>(VLOOKUP($A:$A,USD!$A:$AL,36,FALSE)*88)/88*20</f>
        <v>6.7351999999999999</v>
      </c>
      <c r="AL81" s="68">
        <f t="shared" si="14"/>
        <v>55.109957923065444</v>
      </c>
      <c r="AM81" s="87">
        <f>(VLOOKUP($A:$A,USD!$A:$AR,39,FALSE)*88)/88*20</f>
        <v>79.999999999999986</v>
      </c>
      <c r="AN81" s="68">
        <f>(VLOOKUP($A:$A,USD!$A:$AR,40,FALSE)*88)/88*20</f>
        <v>26.17808219178082</v>
      </c>
      <c r="AO81" s="1">
        <f>(VLOOKUP($A:$A,USD!$A:$AR,41,FALSE)*88)/88*20</f>
        <v>0</v>
      </c>
      <c r="AR81" s="1">
        <f t="shared" si="15"/>
        <v>106.1780821917808</v>
      </c>
      <c r="AS81" s="38">
        <f t="shared" si="16"/>
        <v>1268.1501613269672</v>
      </c>
      <c r="AT81" s="38">
        <f t="shared" si="17"/>
        <v>1408.1501613269672</v>
      </c>
      <c r="AW81" s="1">
        <f>(VLOOKUP(A:A,USD!A:AT,46,FALSE)*88)/88*20</f>
        <v>299.45227272727271</v>
      </c>
      <c r="AX81" s="1" t="e">
        <f>(VLOOKUP(A:A,USD!A:AU,47,FALSE)*88)/88*20</f>
        <v>#N/A</v>
      </c>
    </row>
    <row r="82" spans="1:50">
      <c r="A82" s="1">
        <v>54205</v>
      </c>
      <c r="B82" s="1" t="s">
        <v>243</v>
      </c>
      <c r="C82" s="1" t="s">
        <v>244</v>
      </c>
      <c r="D82" s="1" t="s">
        <v>65</v>
      </c>
      <c r="E82" s="1" t="str">
        <f>VLOOKUP(A:A,USD!A:E,5,FALSE)</f>
        <v>Eastern Rule 5</v>
      </c>
      <c r="F82" s="1" t="str">
        <f>VLOOKUP(A:A,USD!A:F,6,FALSE)</f>
        <v>ER5</v>
      </c>
      <c r="G82" s="1" t="str">
        <f>VLOOKUP(A:A,'Regions and Ports'!A:G,7,FALSE)</f>
        <v>Savannah</v>
      </c>
      <c r="H82" s="1">
        <f>VLOOKUP(A:A,USD!A:R,8,FALSE)</f>
        <v>1</v>
      </c>
      <c r="I82" s="87">
        <f>(VLOOKUP($A:$A,USD!$A:$AL,9,FALSE)*88)/88*20</f>
        <v>60</v>
      </c>
      <c r="J82" s="87">
        <f>(VLOOKUP($A:$A,USD!$A:$AL,10,FALSE)*88)/88*20</f>
        <v>120</v>
      </c>
      <c r="K82" s="87">
        <f>(VLOOKUP($A:$A,USD!$A:$AL,11,FALSE)*88)/88*20</f>
        <v>0</v>
      </c>
      <c r="L82" s="87">
        <f>(VLOOKUP($A:$A,USD!$A:$AL,12,FALSE)*88)/88*20</f>
        <v>0</v>
      </c>
      <c r="M82" s="87">
        <f>(VLOOKUP($A:$A,USD!$A:$AL,13,FALSE)*88)/88*20</f>
        <v>0</v>
      </c>
      <c r="N82" s="87">
        <f>(VLOOKUP($A:$A,USD!$A:$AL,14,FALSE)*88)/88*20</f>
        <v>40</v>
      </c>
      <c r="O82" s="68">
        <f>(VLOOKUP($A:$A,USD!$A:$AL,15,FALSE)*88)/88*20</f>
        <v>37.916666666666671</v>
      </c>
      <c r="P82" s="87">
        <f>(VLOOKUP($A:$A,USD!$A:$AL,16,FALSE)*88)/88*20</f>
        <v>0</v>
      </c>
      <c r="Q82" s="68">
        <f t="shared" si="9"/>
        <v>257.91666666666669</v>
      </c>
      <c r="R82" s="68">
        <f t="shared" si="10"/>
        <v>77.916666666666671</v>
      </c>
      <c r="S82" s="68">
        <f>(VLOOKUP($A:$A,USD!$A:$AL,19,FALSE)*88)/88*20</f>
        <v>0</v>
      </c>
      <c r="T82" s="68">
        <f>(VLOOKUP($A:$A,USD!$A:$AL,20,FALSE)*88)/88*20</f>
        <v>0</v>
      </c>
      <c r="U82" s="68">
        <f>(VLOOKUP($A:$A,USD!$A:$AL,21,FALSE)*88)/88*20</f>
        <v>316.69034090909088</v>
      </c>
      <c r="V82" s="68"/>
      <c r="W82" s="68">
        <f t="shared" si="11"/>
        <v>316.69034090909088</v>
      </c>
      <c r="X82" s="1">
        <f>(VLOOKUP($A:$A,USD!$A:$AL,24,FALSE)*88)/88*20</f>
        <v>52</v>
      </c>
      <c r="Y82" s="68">
        <f>(VLOOKUP($A:$A,USD!$A:$AL,25,FALSE)*88)/88*20</f>
        <v>50.4</v>
      </c>
      <c r="Z82" s="68">
        <f>(VLOOKUP($A:$A,USD!$A:$AL,26,FALSE)*88)/88*20</f>
        <v>26.25</v>
      </c>
      <c r="AB82" s="68">
        <f t="shared" si="12"/>
        <v>128.65</v>
      </c>
      <c r="AC82" s="68">
        <f>(VLOOKUP($A:$A,USD!$A:$AL,29,FALSE)*88)/88*20</f>
        <v>110.22727272727273</v>
      </c>
      <c r="AD82" s="68">
        <f>(VLOOKUP($A:$A,USD!$A:$AL,30,FALSE)*88)/88*20</f>
        <v>107.04545454545455</v>
      </c>
      <c r="AF82" s="68">
        <f t="shared" si="13"/>
        <v>217.27272727272728</v>
      </c>
      <c r="AG82" s="87">
        <f>(VLOOKUP($A:$A,USD!$A:$AL,33,FALSE)*88)/88*20</f>
        <v>28.814300000000003</v>
      </c>
      <c r="AH82" s="68">
        <f>(VLOOKUP($A:$A,USD!$A:$AL,34,FALSE)*88)/88*20</f>
        <v>6.973140495867769</v>
      </c>
      <c r="AI82" s="87">
        <f>(VLOOKUP($A:$A,USD!$A:$AL,35,FALSE)*88)/88*20</f>
        <v>12.587317427197677</v>
      </c>
      <c r="AJ82" s="87">
        <f>(VLOOKUP($A:$A,USD!$A:$AL,36,FALSE)*88)/88*20</f>
        <v>6.7351999999999999</v>
      </c>
      <c r="AL82" s="68">
        <f t="shared" si="14"/>
        <v>55.109957923065444</v>
      </c>
      <c r="AM82" s="87">
        <f>(VLOOKUP($A:$A,USD!$A:$AR,39,FALSE)*88)/88*20</f>
        <v>79.999999999999986</v>
      </c>
      <c r="AN82" s="68">
        <f>(VLOOKUP($A:$A,USD!$A:$AR,40,FALSE)*88)/88*20</f>
        <v>26.17808219178082</v>
      </c>
      <c r="AO82" s="1">
        <f>(VLOOKUP($A:$A,USD!$A:$AR,41,FALSE)*88)/88*20</f>
        <v>0</v>
      </c>
      <c r="AR82" s="1">
        <f t="shared" si="15"/>
        <v>106.1780821917808</v>
      </c>
      <c r="AS82" s="38">
        <f t="shared" si="16"/>
        <v>901.81777496333109</v>
      </c>
      <c r="AT82" s="38">
        <f t="shared" si="17"/>
        <v>1081.817774963331</v>
      </c>
      <c r="AW82" s="1" t="e">
        <f>(VLOOKUP(A:A,USD!A:AT,46,FALSE)*88)/88*20</f>
        <v>#N/A</v>
      </c>
      <c r="AX82" s="1">
        <f>(VLOOKUP(A:A,USD!A:AU,47,FALSE)*88)/88*20</f>
        <v>316.47727272727275</v>
      </c>
    </row>
    <row r="83" spans="1:50">
      <c r="A83" s="1">
        <v>32035</v>
      </c>
      <c r="B83" s="1" t="s">
        <v>246</v>
      </c>
      <c r="C83" s="1" t="s">
        <v>247</v>
      </c>
      <c r="D83" s="1" t="s">
        <v>65</v>
      </c>
      <c r="E83" s="1" t="str">
        <f>VLOOKUP(A:A,USD!A:E,5,FALSE)</f>
        <v>Eastern Rule 5</v>
      </c>
      <c r="F83" s="1" t="str">
        <f>VLOOKUP(A:A,USD!A:F,6,FALSE)</f>
        <v>ER5</v>
      </c>
      <c r="G83" s="1" t="str">
        <f>VLOOKUP(A:A,'Regions and Ports'!A:G,7,FALSE)</f>
        <v>Memphis</v>
      </c>
      <c r="H83" s="1">
        <f>VLOOKUP(A:A,USD!A:R,8,FALSE)</f>
        <v>1</v>
      </c>
      <c r="I83" s="87">
        <f>(VLOOKUP($A:$A,USD!$A:$AL,9,FALSE)*88)/88*20</f>
        <v>43</v>
      </c>
      <c r="J83" s="87">
        <f>(VLOOKUP($A:$A,USD!$A:$AL,10,FALSE)*88)/88*20</f>
        <v>120</v>
      </c>
      <c r="K83" s="87">
        <f>(VLOOKUP($A:$A,USD!$A:$AL,11,FALSE)*88)/88*20</f>
        <v>150</v>
      </c>
      <c r="L83" s="87">
        <f>(VLOOKUP($A:$A,USD!$A:$AL,12,FALSE)*88)/88*20</f>
        <v>0</v>
      </c>
      <c r="M83" s="87">
        <f>(VLOOKUP($A:$A,USD!$A:$AL,13,FALSE)*88)/88*20</f>
        <v>10</v>
      </c>
      <c r="N83" s="87">
        <f>(VLOOKUP($A:$A,USD!$A:$AL,14,FALSE)*88)/88*20</f>
        <v>60</v>
      </c>
      <c r="O83" s="68">
        <f>(VLOOKUP($A:$A,USD!$A:$AL,15,FALSE)*88)/88*20</f>
        <v>37.916666666666671</v>
      </c>
      <c r="P83" s="87">
        <f>(VLOOKUP($A:$A,USD!$A:$AL,16,FALSE)*88)/88*20</f>
        <v>0</v>
      </c>
      <c r="Q83" s="68">
        <f t="shared" si="9"/>
        <v>420.91666666666669</v>
      </c>
      <c r="R83" s="68">
        <f t="shared" si="10"/>
        <v>97.916666666666671</v>
      </c>
      <c r="S83" s="68">
        <f>(VLOOKUP($A:$A,USD!$A:$AL,19,FALSE)*88)/88*20</f>
        <v>0</v>
      </c>
      <c r="T83" s="68">
        <f>(VLOOKUP($A:$A,USD!$A:$AL,20,FALSE)*88)/88*20</f>
        <v>0</v>
      </c>
      <c r="U83" s="68">
        <f>(VLOOKUP($A:$A,USD!$A:$AL,21,FALSE)*88)/88*20</f>
        <v>227.13181818181818</v>
      </c>
      <c r="V83" s="68"/>
      <c r="W83" s="68">
        <f t="shared" si="11"/>
        <v>227.13181818181818</v>
      </c>
      <c r="X83" s="1">
        <f>(VLOOKUP($A:$A,USD!$A:$AL,24,FALSE)*88)/88*20</f>
        <v>50</v>
      </c>
      <c r="Y83" s="68">
        <f>(VLOOKUP($A:$A,USD!$A:$AL,25,FALSE)*88)/88*20</f>
        <v>33.6</v>
      </c>
      <c r="Z83" s="68">
        <f>(VLOOKUP($A:$A,USD!$A:$AL,26,FALSE)*88)/88*20</f>
        <v>26.25</v>
      </c>
      <c r="AB83" s="68">
        <f t="shared" si="12"/>
        <v>109.85</v>
      </c>
      <c r="AC83" s="68">
        <f>(VLOOKUP($A:$A,USD!$A:$AL,29,FALSE)*88)/88*20</f>
        <v>146.02272727272725</v>
      </c>
      <c r="AD83" s="68">
        <f>(VLOOKUP($A:$A,USD!$A:$AL,30,FALSE)*88)/88*20</f>
        <v>182.72727272727275</v>
      </c>
      <c r="AF83" s="68">
        <f t="shared" si="13"/>
        <v>328.75</v>
      </c>
      <c r="AG83" s="87">
        <f>(VLOOKUP($A:$A,USD!$A:$AL,33,FALSE)*88)/88*20</f>
        <v>28.814300000000003</v>
      </c>
      <c r="AH83" s="68">
        <f>(VLOOKUP($A:$A,USD!$A:$AL,34,FALSE)*88)/88*20</f>
        <v>6.973140495867769</v>
      </c>
      <c r="AI83" s="87">
        <f>(VLOOKUP($A:$A,USD!$A:$AL,35,FALSE)*88)/88*20</f>
        <v>12.587317427197677</v>
      </c>
      <c r="AJ83" s="87">
        <f>(VLOOKUP($A:$A,USD!$A:$AL,36,FALSE)*88)/88*20</f>
        <v>6.7351999999999999</v>
      </c>
      <c r="AL83" s="68">
        <f t="shared" si="14"/>
        <v>55.109957923065444</v>
      </c>
      <c r="AM83" s="87">
        <f>(VLOOKUP($A:$A,USD!$A:$AR,39,FALSE)*88)/88*20</f>
        <v>79.999999999999986</v>
      </c>
      <c r="AN83" s="68">
        <f>(VLOOKUP($A:$A,USD!$A:$AR,40,FALSE)*88)/88*20</f>
        <v>26.17808219178082</v>
      </c>
      <c r="AO83" s="1">
        <f>(VLOOKUP($A:$A,USD!$A:$AR,41,FALSE)*88)/88*20</f>
        <v>0</v>
      </c>
      <c r="AR83" s="1">
        <f t="shared" si="15"/>
        <v>106.1780821917808</v>
      </c>
      <c r="AS83" s="38">
        <f t="shared" si="16"/>
        <v>924.93652496333107</v>
      </c>
      <c r="AT83" s="38">
        <f t="shared" si="17"/>
        <v>1247.9365249633308</v>
      </c>
      <c r="AW83" s="1" t="e">
        <f>(VLOOKUP(A:A,USD!A:AT,46,FALSE)*88)/88*20</f>
        <v>#N/A</v>
      </c>
      <c r="AX83" s="1">
        <f>(VLOOKUP(A:A,USD!A:AU,47,FALSE)*88)/88*20</f>
        <v>359.09090909090907</v>
      </c>
    </row>
    <row r="84" spans="1:50" hidden="1">
      <c r="A84" s="1">
        <v>136015</v>
      </c>
      <c r="B84" s="1" t="s">
        <v>249</v>
      </c>
      <c r="C84" s="1" t="s">
        <v>250</v>
      </c>
      <c r="D84" s="1" t="s">
        <v>149</v>
      </c>
      <c r="E84" s="1" t="str">
        <f>VLOOKUP(A:A,USD!A:E,5,FALSE)</f>
        <v>Memphis Rule 5</v>
      </c>
      <c r="F84" s="1" t="str">
        <f>VLOOKUP(A:A,USD!A:F,6,FALSE)</f>
        <v>MR5</v>
      </c>
      <c r="G84" s="1" t="str">
        <f>VLOOKUP(A:A,'Regions and Ports'!A:G,7,FALSE)</f>
        <v>Memphis</v>
      </c>
      <c r="H84" s="1">
        <f>VLOOKUP(A:A,USD!A:R,8,FALSE)</f>
        <v>1</v>
      </c>
      <c r="I84" s="87">
        <f>(VLOOKUP($A:$A,USD!$A:$AL,9,FALSE)*88)/88*20</f>
        <v>65</v>
      </c>
      <c r="J84" s="87">
        <f>(VLOOKUP($A:$A,USD!$A:$AL,10,FALSE)*88)/88*20</f>
        <v>365</v>
      </c>
      <c r="K84" s="87">
        <f>(VLOOKUP($A:$A,USD!$A:$AL,11,FALSE)*88)/88*20</f>
        <v>0</v>
      </c>
      <c r="L84" s="87">
        <f>(VLOOKUP($A:$A,USD!$A:$AL,12,FALSE)*88)/88*20</f>
        <v>0</v>
      </c>
      <c r="M84" s="87">
        <f>(VLOOKUP($A:$A,USD!$A:$AL,13,FALSE)*88)/88*20</f>
        <v>0</v>
      </c>
      <c r="N84" s="87">
        <f>(VLOOKUP($A:$A,USD!$A:$AL,14,FALSE)*88)/88*20</f>
        <v>65</v>
      </c>
      <c r="O84" s="68">
        <f>(VLOOKUP($A:$A,USD!$A:$AL,15,FALSE)*88)/88*20</f>
        <v>37.916666666666671</v>
      </c>
      <c r="P84" s="87">
        <f>(VLOOKUP($A:$A,USD!$A:$AL,16,FALSE)*88)/88*20</f>
        <v>0</v>
      </c>
      <c r="Q84" s="68">
        <f t="shared" si="9"/>
        <v>532.91666666666663</v>
      </c>
      <c r="R84" s="68">
        <f t="shared" si="10"/>
        <v>102.91666666666667</v>
      </c>
      <c r="S84" s="68">
        <f>(VLOOKUP($A:$A,USD!$A:$AL,19,FALSE)*88)/88*20</f>
        <v>20</v>
      </c>
      <c r="T84" s="68">
        <f>(VLOOKUP($A:$A,USD!$A:$AL,20,FALSE)*88)/88*20</f>
        <v>5</v>
      </c>
      <c r="U84" s="68">
        <f>(VLOOKUP($A:$A,USD!$A:$AL,21,FALSE)*88)/88*20</f>
        <v>169.88636363636363</v>
      </c>
      <c r="V84" s="68"/>
      <c r="W84" s="68">
        <f t="shared" si="11"/>
        <v>194.88636363636363</v>
      </c>
      <c r="X84" s="1">
        <f>(VLOOKUP($A:$A,USD!$A:$AL,24,FALSE)*88)/88*20</f>
        <v>50</v>
      </c>
      <c r="Y84" s="68">
        <f>(VLOOKUP($A:$A,USD!$A:$AL,25,FALSE)*88)/88*20</f>
        <v>33.6</v>
      </c>
      <c r="Z84" s="68">
        <f>(VLOOKUP($A:$A,USD!$A:$AL,26,FALSE)*88)/88*20</f>
        <v>26.25</v>
      </c>
      <c r="AB84" s="68">
        <f t="shared" si="12"/>
        <v>109.85</v>
      </c>
      <c r="AC84" s="68">
        <f>(VLOOKUP($A:$A,USD!$A:$AL,29,FALSE)*88)/88*20</f>
        <v>146.02272727272725</v>
      </c>
      <c r="AD84" s="68">
        <f>(VLOOKUP($A:$A,USD!$A:$AL,30,FALSE)*88)/88*20</f>
        <v>182.72727272727275</v>
      </c>
      <c r="AF84" s="68">
        <f t="shared" si="13"/>
        <v>328.75</v>
      </c>
      <c r="AG84" s="87">
        <f>(VLOOKUP($A:$A,USD!$A:$AL,33,FALSE)*88)/88*20</f>
        <v>28.814300000000003</v>
      </c>
      <c r="AH84" s="68">
        <f>(VLOOKUP($A:$A,USD!$A:$AL,34,FALSE)*88)/88*20</f>
        <v>6.973140495867769</v>
      </c>
      <c r="AI84" s="87">
        <f>(VLOOKUP($A:$A,USD!$A:$AL,35,FALSE)*88)/88*20</f>
        <v>12.587317427197677</v>
      </c>
      <c r="AJ84" s="87">
        <f>(VLOOKUP($A:$A,USD!$A:$AL,36,FALSE)*88)/88*20</f>
        <v>6.7351999999999999</v>
      </c>
      <c r="AL84" s="68">
        <f t="shared" si="14"/>
        <v>55.109957923065444</v>
      </c>
      <c r="AM84" s="87">
        <f>(VLOOKUP($A:$A,USD!$A:$AR,39,FALSE)*88)/88*20</f>
        <v>79.999999999999986</v>
      </c>
      <c r="AN84" s="68">
        <f>(VLOOKUP($A:$A,USD!$A:$AR,40,FALSE)*88)/88*20</f>
        <v>26.17808219178082</v>
      </c>
      <c r="AO84" s="1">
        <f>(VLOOKUP($A:$A,USD!$A:$AR,41,FALSE)*88)/88*20</f>
        <v>0</v>
      </c>
      <c r="AR84" s="1">
        <f t="shared" si="15"/>
        <v>106.1780821917808</v>
      </c>
      <c r="AS84" s="38">
        <f t="shared" si="16"/>
        <v>897.69107041787652</v>
      </c>
      <c r="AT84" s="38">
        <f t="shared" si="17"/>
        <v>1327.6910704178765</v>
      </c>
      <c r="AW84" s="1" t="e">
        <f>(VLOOKUP(A:A,USD!A:AT,46,FALSE)*88)/88*20</f>
        <v>#N/A</v>
      </c>
      <c r="AX84" s="1">
        <f>(VLOOKUP(A:A,USD!A:AU,47,FALSE)*88)/88*20</f>
        <v>461.7045454545455</v>
      </c>
    </row>
    <row r="85" spans="1:50" hidden="1">
      <c r="A85" s="1">
        <v>536304</v>
      </c>
      <c r="B85" s="1" t="s">
        <v>251</v>
      </c>
      <c r="C85" s="1" t="s">
        <v>252</v>
      </c>
      <c r="D85" s="1" t="s">
        <v>253</v>
      </c>
      <c r="E85" s="1" t="str">
        <f>VLOOKUP(A:A,USD!A:E,5,FALSE)</f>
        <v>WTX</v>
      </c>
      <c r="F85" s="1" t="str">
        <f>VLOOKUP(A:A,USD!A:F,6,FALSE)</f>
        <v>WTX</v>
      </c>
      <c r="G85" s="1" t="str">
        <f>VLOOKUP(A:A,'Regions and Ports'!A:G,7,FALSE)</f>
        <v>Los Angeles</v>
      </c>
      <c r="H85" s="1">
        <f>VLOOKUP(A:A,USD!A:R,8,FALSE)</f>
        <v>1</v>
      </c>
      <c r="I85" s="87">
        <f>(VLOOKUP($A:$A,USD!$A:$AL,9,FALSE)*88)/88*20</f>
        <v>70</v>
      </c>
      <c r="J85" s="87">
        <f>(VLOOKUP($A:$A,USD!$A:$AL,10,FALSE)*88)/88*20</f>
        <v>130</v>
      </c>
      <c r="K85" s="87">
        <f>(VLOOKUP($A:$A,USD!$A:$AL,11,FALSE)*88)/88*20</f>
        <v>200</v>
      </c>
      <c r="L85" s="87">
        <f>(VLOOKUP($A:$A,USD!$A:$AL,12,FALSE)*88)/88*20</f>
        <v>0</v>
      </c>
      <c r="M85" s="87">
        <f>(VLOOKUP($A:$A,USD!$A:$AL,13,FALSE)*88)/88*20</f>
        <v>0</v>
      </c>
      <c r="N85" s="87">
        <f>(VLOOKUP($A:$A,USD!$A:$AL,14,FALSE)*88)/88*20</f>
        <v>66</v>
      </c>
      <c r="O85" s="68">
        <f>(VLOOKUP($A:$A,USD!$A:$AL,15,FALSE)*88)/88*20</f>
        <v>37.916666666666671</v>
      </c>
      <c r="P85" s="87" t="e">
        <f>(VLOOKUP($A:$A,USD!$A:$AL,16,FALSE)*88)/88*20</f>
        <v>#N/A</v>
      </c>
      <c r="Q85" s="68" t="e">
        <f t="shared" si="9"/>
        <v>#N/A</v>
      </c>
      <c r="R85" s="68">
        <f t="shared" si="10"/>
        <v>103.91666666666667</v>
      </c>
      <c r="S85" s="68">
        <f>(VLOOKUP($A:$A,USD!$A:$AL,19,FALSE)*88)/88*20</f>
        <v>0</v>
      </c>
      <c r="T85" s="68">
        <f>(VLOOKUP($A:$A,USD!$A:$AL,20,FALSE)*88)/88*20</f>
        <v>0</v>
      </c>
      <c r="U85" s="68" t="e">
        <f>(VLOOKUP($A:$A,USD!$A:$AL,21,FALSE)*88)/88*20</f>
        <v>#N/A</v>
      </c>
      <c r="V85" s="68"/>
      <c r="W85" s="68" t="e">
        <f t="shared" si="11"/>
        <v>#N/A</v>
      </c>
      <c r="X85" s="1" t="e">
        <f>(VLOOKUP($A:$A,USD!$A:$AL,24,FALSE)*88)/88*20</f>
        <v>#N/A</v>
      </c>
      <c r="Y85" s="68" t="e">
        <f>(VLOOKUP($A:$A,USD!$A:$AL,25,FALSE)*88)/88*20</f>
        <v>#N/A</v>
      </c>
      <c r="Z85" s="68">
        <f>(VLOOKUP($A:$A,USD!$A:$AL,26,FALSE)*88)/88*20</f>
        <v>26.25</v>
      </c>
      <c r="AB85" s="68" t="e">
        <f t="shared" si="12"/>
        <v>#N/A</v>
      </c>
      <c r="AC85" s="68" t="e">
        <f>(VLOOKUP($A:$A,USD!$A:$AL,29,FALSE)*88)/88*20</f>
        <v>#N/A</v>
      </c>
      <c r="AD85" s="68" t="e">
        <f>(VLOOKUP($A:$A,USD!$A:$AL,30,FALSE)*88)/88*20</f>
        <v>#N/A</v>
      </c>
      <c r="AF85" s="68" t="e">
        <f t="shared" si="13"/>
        <v>#N/A</v>
      </c>
      <c r="AG85" s="87">
        <f>(VLOOKUP($A:$A,USD!$A:$AL,33,FALSE)*88)/88*20</f>
        <v>28.814300000000003</v>
      </c>
      <c r="AH85" s="68">
        <f>(VLOOKUP($A:$A,USD!$A:$AL,34,FALSE)*88)/88*20</f>
        <v>6.973140495867769</v>
      </c>
      <c r="AI85" s="87">
        <f>(VLOOKUP($A:$A,USD!$A:$AL,35,FALSE)*88)/88*20</f>
        <v>12.587317427197677</v>
      </c>
      <c r="AJ85" s="87">
        <f>(VLOOKUP($A:$A,USD!$A:$AL,36,FALSE)*88)/88*20</f>
        <v>6.7351999999999999</v>
      </c>
      <c r="AL85" s="68">
        <f t="shared" si="14"/>
        <v>55.109957923065444</v>
      </c>
      <c r="AM85" s="87">
        <f>(VLOOKUP($A:$A,USD!$A:$AR,39,FALSE)*88)/88*20</f>
        <v>79.999999999999986</v>
      </c>
      <c r="AN85" s="68">
        <f>(VLOOKUP($A:$A,USD!$A:$AR,40,FALSE)*88)/88*20</f>
        <v>26.17808219178082</v>
      </c>
      <c r="AO85" s="1">
        <f>(VLOOKUP($A:$A,USD!$A:$AR,41,FALSE)*88)/88*20</f>
        <v>0</v>
      </c>
      <c r="AR85" s="1">
        <f t="shared" si="15"/>
        <v>106.1780821917808</v>
      </c>
      <c r="AS85" s="38" t="e">
        <f t="shared" si="16"/>
        <v>#N/A</v>
      </c>
      <c r="AT85" s="38" t="e">
        <f t="shared" si="17"/>
        <v>#N/A</v>
      </c>
      <c r="AW85" s="1" t="e">
        <f>(VLOOKUP(A:A,USD!A:AT,46,FALSE)*88)/88*20</f>
        <v>#N/A</v>
      </c>
      <c r="AX85" s="1" t="e">
        <f>(VLOOKUP(A:A,USD!A:AU,47,FALSE)*88)/88*20</f>
        <v>#N/A</v>
      </c>
    </row>
    <row r="86" spans="1:50" hidden="1">
      <c r="A86" s="1">
        <v>843000</v>
      </c>
      <c r="B86" s="1" t="s">
        <v>255</v>
      </c>
      <c r="C86" s="1" t="s">
        <v>256</v>
      </c>
      <c r="D86" s="1" t="s">
        <v>71</v>
      </c>
      <c r="E86" s="1" t="str">
        <f>VLOOKUP(A:A,USD!A:E,5,FALSE)</f>
        <v>WTX</v>
      </c>
      <c r="F86" s="1" t="str">
        <f>VLOOKUP(A:A,USD!A:F,6,FALSE)</f>
        <v>WTX</v>
      </c>
      <c r="G86" s="1" t="str">
        <f>VLOOKUP(A:A,'Regions and Ports'!A:G,7,FALSE)</f>
        <v>Dallas</v>
      </c>
      <c r="H86" s="1">
        <f>VLOOKUP(A:A,USD!A:R,8,FALSE)</f>
        <v>2</v>
      </c>
      <c r="I86" s="87">
        <f>(VLOOKUP($A:$A,USD!$A:$AL,9,FALSE)*88)/88*20</f>
        <v>94.800000000000011</v>
      </c>
      <c r="J86" s="87">
        <f>(VLOOKUP($A:$A,USD!$A:$AL,10,FALSE)*88)/88*20</f>
        <v>114</v>
      </c>
      <c r="K86" s="87">
        <f>(VLOOKUP($A:$A,USD!$A:$AL,11,FALSE)*88)/88*20</f>
        <v>194.8</v>
      </c>
      <c r="L86" s="87">
        <f>(VLOOKUP($A:$A,USD!$A:$AL,12,FALSE)*88)/88*20</f>
        <v>0</v>
      </c>
      <c r="M86" s="87">
        <f>(VLOOKUP($A:$A,USD!$A:$AL,13,FALSE)*88)/88*20</f>
        <v>0</v>
      </c>
      <c r="N86" s="87">
        <f>(VLOOKUP($A:$A,USD!$A:$AL,14,FALSE)*88)/88*20</f>
        <v>138</v>
      </c>
      <c r="O86" s="68">
        <f>(VLOOKUP($A:$A,USD!$A:$AL,15,FALSE)*88)/88*20</f>
        <v>37.916666666666671</v>
      </c>
      <c r="P86" s="87">
        <f>(VLOOKUP($A:$A,USD!$A:$AL,16,FALSE)*88)/88*20</f>
        <v>0</v>
      </c>
      <c r="Q86" s="68">
        <f t="shared" si="9"/>
        <v>579.51666666666665</v>
      </c>
      <c r="R86" s="68">
        <f t="shared" si="10"/>
        <v>370.7166666666667</v>
      </c>
      <c r="S86" s="68">
        <f>(VLOOKUP($A:$A,USD!$A:$AL,19,FALSE)*88)/88*20</f>
        <v>0</v>
      </c>
      <c r="T86" s="68">
        <f>(VLOOKUP($A:$A,USD!$A:$AL,20,FALSE)*88)/88*20</f>
        <v>0</v>
      </c>
      <c r="U86" s="68">
        <f>(VLOOKUP($A:$A,USD!$A:$AL,21,FALSE)*88)/88*20</f>
        <v>227.5</v>
      </c>
      <c r="V86" s="68"/>
      <c r="W86" s="68">
        <f t="shared" si="11"/>
        <v>227.5</v>
      </c>
      <c r="X86" s="1">
        <f>(VLOOKUP($A:$A,USD!$A:$AL,24,FALSE)*88)/88*20</f>
        <v>54</v>
      </c>
      <c r="Y86" s="68">
        <f>(VLOOKUP($A:$A,USD!$A:$AL,25,FALSE)*88)/88*20</f>
        <v>50.4</v>
      </c>
      <c r="Z86" s="68">
        <f>(VLOOKUP($A:$A,USD!$A:$AL,26,FALSE)*88)/88*20</f>
        <v>26.25</v>
      </c>
      <c r="AB86" s="68">
        <f t="shared" si="12"/>
        <v>130.65</v>
      </c>
      <c r="AC86" s="68">
        <f>(VLOOKUP($A:$A,USD!$A:$AL,29,FALSE)*88)/88*20</f>
        <v>162.5</v>
      </c>
      <c r="AD86" s="68">
        <f>(VLOOKUP($A:$A,USD!$A:$AL,30,FALSE)*88)/88*20</f>
        <v>268.18181818181819</v>
      </c>
      <c r="AF86" s="68">
        <f t="shared" si="13"/>
        <v>430.68181818181819</v>
      </c>
      <c r="AG86" s="87">
        <f>(VLOOKUP($A:$A,USD!$A:$AL,33,FALSE)*88)/88*20</f>
        <v>28.814300000000003</v>
      </c>
      <c r="AH86" s="68">
        <f>(VLOOKUP($A:$A,USD!$A:$AL,34,FALSE)*88)/88*20</f>
        <v>6.973140495867769</v>
      </c>
      <c r="AI86" s="87">
        <f>(VLOOKUP($A:$A,USD!$A:$AL,35,FALSE)*88)/88*20</f>
        <v>12.587317427197677</v>
      </c>
      <c r="AJ86" s="87">
        <f>(VLOOKUP($A:$A,USD!$A:$AL,36,FALSE)*88)/88*20</f>
        <v>6.7351999999999999</v>
      </c>
      <c r="AL86" s="68">
        <f t="shared" si="14"/>
        <v>55.109957923065444</v>
      </c>
      <c r="AM86" s="87">
        <f>(VLOOKUP($A:$A,USD!$A:$AR,39,FALSE)*88)/88*20</f>
        <v>79.999999999999986</v>
      </c>
      <c r="AN86" s="68">
        <f>(VLOOKUP($A:$A,USD!$A:$AR,40,FALSE)*88)/88*20</f>
        <v>26.17808219178082</v>
      </c>
      <c r="AO86" s="1">
        <f>(VLOOKUP($A:$A,USD!$A:$AR,41,FALSE)*88)/88*20</f>
        <v>0</v>
      </c>
      <c r="AR86" s="1">
        <f t="shared" si="15"/>
        <v>106.1780821917808</v>
      </c>
      <c r="AS86" s="38">
        <f t="shared" si="16"/>
        <v>1320.8365249633309</v>
      </c>
      <c r="AT86" s="38">
        <f t="shared" si="17"/>
        <v>1529.6365249633309</v>
      </c>
      <c r="AW86" s="1" t="e">
        <f>(VLOOKUP(A:A,USD!A:AT,46,FALSE)*88)/88*20</f>
        <v>#N/A</v>
      </c>
      <c r="AX86" s="1" t="e">
        <f>(VLOOKUP(A:A,USD!A:AU,47,FALSE)*88)/88*20</f>
        <v>#N/A</v>
      </c>
    </row>
    <row r="87" spans="1:50" hidden="1">
      <c r="A87" s="125">
        <v>843000</v>
      </c>
      <c r="B87" s="1" t="s">
        <v>255</v>
      </c>
      <c r="C87" s="1" t="s">
        <v>256</v>
      </c>
      <c r="D87" s="1" t="s">
        <v>71</v>
      </c>
      <c r="E87" s="1" t="s">
        <v>2067</v>
      </c>
      <c r="F87" s="1" t="str">
        <f>VLOOKUP(A:A,USD!A:F,6,FALSE)</f>
        <v>WTX</v>
      </c>
      <c r="G87" s="1" t="s">
        <v>439</v>
      </c>
      <c r="H87" s="1">
        <f>VLOOKUP(A:A,USD!A:R,8,FALSE)</f>
        <v>2</v>
      </c>
      <c r="I87" s="87">
        <f>(VLOOKUP($A:$A,USD!$A:$AL,9,FALSE)*88)/88*20</f>
        <v>94.800000000000011</v>
      </c>
      <c r="J87" s="87">
        <f>(VLOOKUP($A:$A,USD!$A:$AL,10,FALSE)*88)/88*20</f>
        <v>114</v>
      </c>
      <c r="K87" s="87">
        <f>(VLOOKUP($A:$A,USD!$A:$AL,11,FALSE)*88)/88*20</f>
        <v>194.8</v>
      </c>
      <c r="L87" s="87">
        <f>(VLOOKUP($A:$A,USD!$A:$AL,12,FALSE)*88)/88*20</f>
        <v>0</v>
      </c>
      <c r="M87" s="87">
        <f>(VLOOKUP($A:$A,USD!$A:$AL,13,FALSE)*88)/88*20</f>
        <v>0</v>
      </c>
      <c r="N87" s="87">
        <f>(VLOOKUP($A:$A,USD!$A:$AL,14,FALSE)*88)/88*20</f>
        <v>138</v>
      </c>
      <c r="O87" s="68">
        <f>(VLOOKUP($A:$A,USD!$A:$AL,15,FALSE)*88)/88*20</f>
        <v>37.916666666666671</v>
      </c>
      <c r="P87" s="87">
        <f>(VLOOKUP($A:$A,USD!$A:$AL,16,FALSE)*88)/88*20</f>
        <v>0</v>
      </c>
      <c r="Q87" s="68">
        <f t="shared" si="9"/>
        <v>579.51666666666665</v>
      </c>
      <c r="R87" s="68">
        <f t="shared" si="10"/>
        <v>370.7166666666667</v>
      </c>
      <c r="S87" s="68">
        <f>(VLOOKUP($A:$A,USD!$A:$AL,19,FALSE)*88)/88*20</f>
        <v>0</v>
      </c>
      <c r="T87" s="68">
        <f>(VLOOKUP($A:$A,USD!$A:$AL,20,FALSE)*88)/88*20</f>
        <v>0</v>
      </c>
      <c r="U87" s="68" cm="1">
        <f t="array" ref="U87">(_xlfn.XLOOKUP(1, (USD!$A:$A=$A87)*(USD!$E:$E=$E87), USD!$U:$U, "", 0)*88)/88*20</f>
        <v>395.22727272727275</v>
      </c>
      <c r="V87" s="68"/>
      <c r="W87" s="68">
        <f t="shared" si="11"/>
        <v>395.22727272727275</v>
      </c>
      <c r="X87" s="1">
        <f>(VLOOKUP($A:$A,USD!$A:$AL,24,FALSE)*88)/88*20</f>
        <v>54</v>
      </c>
      <c r="Y87" s="68">
        <f>(VLOOKUP($A:$A,USD!$A:$AL,25,FALSE)*88)/88*20</f>
        <v>50.4</v>
      </c>
      <c r="Z87" s="68">
        <f>(VLOOKUP($A:$A,USD!$A:$AL,26,FALSE)*88)/88*20</f>
        <v>26.25</v>
      </c>
      <c r="AB87" s="68">
        <f t="shared" si="12"/>
        <v>130.65</v>
      </c>
      <c r="AC87" s="68" cm="1">
        <f t="array" ref="AC87">_xlfn.XLOOKUP(A87&amp;E87, USD!$A:$A&amp;USD!$E:$E, USD!$AC:$AC, "")*20</f>
        <v>132.95454545454544</v>
      </c>
      <c r="AD87" s="68" cm="1">
        <f t="array" ref="AD87">_xlfn.XLOOKUP(A87&amp;E87, USD!$A:$A&amp;USD!$E:$E, USD!$AD:$AD, "")*20</f>
        <v>197.95454545454547</v>
      </c>
      <c r="AF87" s="68">
        <f t="shared" si="13"/>
        <v>330.90909090909088</v>
      </c>
      <c r="AG87" s="87">
        <f>(VLOOKUP($A:$A,USD!$A:$AL,33,FALSE)*88)/88*20</f>
        <v>28.814300000000003</v>
      </c>
      <c r="AH87" s="68">
        <f>(VLOOKUP($A:$A,USD!$A:$AL,34,FALSE)*88)/88*20</f>
        <v>6.973140495867769</v>
      </c>
      <c r="AI87" s="87">
        <f>(VLOOKUP($A:$A,USD!$A:$AL,35,FALSE)*88)/88*20</f>
        <v>12.587317427197677</v>
      </c>
      <c r="AJ87" s="87">
        <f>(VLOOKUP($A:$A,USD!$A:$AL,36,FALSE)*88)/88*20</f>
        <v>6.7351999999999999</v>
      </c>
      <c r="AL87" s="68">
        <f t="shared" si="14"/>
        <v>55.109957923065444</v>
      </c>
      <c r="AM87" s="87">
        <f>(VLOOKUP($A:$A,USD!$A:$AR,39,FALSE)*88)/88*20</f>
        <v>79.999999999999986</v>
      </c>
      <c r="AN87" s="68">
        <f>(VLOOKUP($A:$A,USD!$A:$AR,40,FALSE)*88)/88*20</f>
        <v>26.17808219178082</v>
      </c>
      <c r="AO87" s="1">
        <f>(VLOOKUP($A:$A,USD!$A:$AR,41,FALSE)*88)/88*20</f>
        <v>0</v>
      </c>
      <c r="AR87" s="1">
        <f t="shared" si="15"/>
        <v>106.1780821917808</v>
      </c>
      <c r="AS87" s="38">
        <f t="shared" si="16"/>
        <v>1388.7910704178764</v>
      </c>
      <c r="AT87" s="38">
        <f t="shared" si="17"/>
        <v>1597.5910704178766</v>
      </c>
      <c r="AW87" s="1" t="e">
        <f>(VLOOKUP(A:A,USD!A:AT,46,FALSE)*88)/88*20</f>
        <v>#N/A</v>
      </c>
      <c r="AX87" s="1" t="e">
        <f>(VLOOKUP(A:A,USD!A:AU,47,FALSE)*88)/88*20</f>
        <v>#N/A</v>
      </c>
    </row>
    <row r="88" spans="1:50" hidden="1">
      <c r="A88" s="1">
        <v>846006</v>
      </c>
      <c r="B88" s="1" t="s">
        <v>258</v>
      </c>
      <c r="C88" s="1" t="s">
        <v>259</v>
      </c>
      <c r="D88" s="1" t="s">
        <v>71</v>
      </c>
      <c r="E88" s="1" t="str">
        <f>VLOOKUP(A:A,USD!A:E,5,FALSE)</f>
        <v>STEX</v>
      </c>
      <c r="F88" s="1" t="str">
        <f>VLOOKUP(A:A,USD!A:F,6,FALSE)</f>
        <v>STX</v>
      </c>
      <c r="G88" s="1" t="str">
        <f>VLOOKUP(A:A,'Regions and Ports'!A:G,7,FALSE)</f>
        <v>Houston</v>
      </c>
      <c r="H88" s="1">
        <f>VLOOKUP(A:A,USD!A:R,8,FALSE)</f>
        <v>3</v>
      </c>
      <c r="I88" s="87">
        <f>(VLOOKUP($A:$A,USD!$A:$AL,9,FALSE)*88)/88*20</f>
        <v>95</v>
      </c>
      <c r="J88" s="87">
        <f>(VLOOKUP($A:$A,USD!$A:$AL,10,FALSE)*88)/88*20</f>
        <v>140</v>
      </c>
      <c r="K88" s="87">
        <f>(VLOOKUP($A:$A,USD!$A:$AL,11,FALSE)*88)/88*20</f>
        <v>199</v>
      </c>
      <c r="L88" s="87">
        <f>(VLOOKUP($A:$A,USD!$A:$AL,12,FALSE)*88)/88*20</f>
        <v>0</v>
      </c>
      <c r="M88" s="87">
        <f>(VLOOKUP($A:$A,USD!$A:$AL,13,FALSE)*88)/88*20</f>
        <v>26</v>
      </c>
      <c r="N88" s="87">
        <f>(VLOOKUP($A:$A,USD!$A:$AL,14,FALSE)*88)/88*20</f>
        <v>75</v>
      </c>
      <c r="O88" s="68">
        <f>(VLOOKUP($A:$A,USD!$A:$AL,15,FALSE)*88)/88*20</f>
        <v>37.916666666666671</v>
      </c>
      <c r="P88" s="87">
        <f>(VLOOKUP($A:$A,USD!$A:$AL,16,FALSE)*88)/88*20</f>
        <v>0</v>
      </c>
      <c r="Q88" s="68">
        <f t="shared" si="9"/>
        <v>572.91666666666663</v>
      </c>
      <c r="R88" s="68">
        <f t="shared" si="10"/>
        <v>451.91666666666669</v>
      </c>
      <c r="S88" s="68">
        <f>(VLOOKUP($A:$A,USD!$A:$AL,19,FALSE)*88)/88*20</f>
        <v>0</v>
      </c>
      <c r="T88" s="68">
        <f>(VLOOKUP($A:$A,USD!$A:$AL,20,FALSE)*88)/88*20</f>
        <v>0</v>
      </c>
      <c r="U88" s="68">
        <f>(VLOOKUP($A:$A,USD!$A:$AL,21,FALSE)*88)/88*20</f>
        <v>130.68181818181819</v>
      </c>
      <c r="V88" s="68"/>
      <c r="W88" s="68">
        <f t="shared" si="11"/>
        <v>130.68181818181819</v>
      </c>
      <c r="X88" s="1">
        <f>(VLOOKUP($A:$A,USD!$A:$AL,24,FALSE)*88)/88*20</f>
        <v>54</v>
      </c>
      <c r="Y88" s="68">
        <f>(VLOOKUP($A:$A,USD!$A:$AL,25,FALSE)*88)/88*20</f>
        <v>50.4</v>
      </c>
      <c r="Z88" s="68">
        <f>(VLOOKUP($A:$A,USD!$A:$AL,26,FALSE)*88)/88*20</f>
        <v>26.25</v>
      </c>
      <c r="AB88" s="68">
        <f t="shared" si="12"/>
        <v>130.65</v>
      </c>
      <c r="AC88" s="68">
        <f>(VLOOKUP($A:$A,USD!$A:$AL,29,FALSE)*88)/88*20</f>
        <v>162.5</v>
      </c>
      <c r="AD88" s="68">
        <f>(VLOOKUP($A:$A,USD!$A:$AL,30,FALSE)*88)/88*20</f>
        <v>268.18181818181819</v>
      </c>
      <c r="AF88" s="68">
        <f t="shared" si="13"/>
        <v>430.68181818181819</v>
      </c>
      <c r="AG88" s="87">
        <f>(VLOOKUP($A:$A,USD!$A:$AL,33,FALSE)*88)/88*20</f>
        <v>28.814300000000003</v>
      </c>
      <c r="AH88" s="68">
        <f>(VLOOKUP($A:$A,USD!$A:$AL,34,FALSE)*88)/88*20</f>
        <v>6.973140495867769</v>
      </c>
      <c r="AI88" s="87">
        <f>(VLOOKUP($A:$A,USD!$A:$AL,35,FALSE)*88)/88*20</f>
        <v>12.587317427197677</v>
      </c>
      <c r="AJ88" s="87">
        <f>(VLOOKUP($A:$A,USD!$A:$AL,36,FALSE)*88)/88*20</f>
        <v>6.7351999999999999</v>
      </c>
      <c r="AL88" s="68">
        <f t="shared" si="14"/>
        <v>55.109957923065444</v>
      </c>
      <c r="AM88" s="87">
        <f>(VLOOKUP($A:$A,USD!$A:$AR,39,FALSE)*88)/88*20</f>
        <v>79.999999999999986</v>
      </c>
      <c r="AN88" s="68">
        <f>(VLOOKUP($A:$A,USD!$A:$AR,40,FALSE)*88)/88*20</f>
        <v>26.17808219178082</v>
      </c>
      <c r="AO88" s="1">
        <f>(VLOOKUP($A:$A,USD!$A:$AR,41,FALSE)*88)/88*20</f>
        <v>0</v>
      </c>
      <c r="AR88" s="1">
        <f t="shared" si="15"/>
        <v>106.1780821917808</v>
      </c>
      <c r="AS88" s="38">
        <f t="shared" si="16"/>
        <v>1305.2183431451492</v>
      </c>
      <c r="AT88" s="38">
        <f t="shared" si="17"/>
        <v>1426.218343145149</v>
      </c>
      <c r="AW88" s="1" t="e">
        <f>(VLOOKUP(A:A,USD!A:AT,46,FALSE)*88)/88*20</f>
        <v>#N/A</v>
      </c>
      <c r="AX88" s="1" t="e">
        <f>(VLOOKUP(A:A,USD!A:AU,47,FALSE)*88)/88*20</f>
        <v>#N/A</v>
      </c>
    </row>
    <row r="89" spans="1:50" hidden="1">
      <c r="A89" s="1">
        <v>134900</v>
      </c>
      <c r="B89" s="1" t="s">
        <v>261</v>
      </c>
      <c r="C89" s="1" t="s">
        <v>262</v>
      </c>
      <c r="D89" s="1" t="s">
        <v>149</v>
      </c>
      <c r="E89" s="1" t="str">
        <f>VLOOKUP(A:A,USD!A:E,5,FALSE)</f>
        <v>Memphis Rule 5</v>
      </c>
      <c r="F89" s="1" t="str">
        <f>VLOOKUP(A:A,USD!A:F,6,FALSE)</f>
        <v>MR5</v>
      </c>
      <c r="G89" s="1" t="str">
        <f>VLOOKUP(A:A,'Regions and Ports'!A:G,7,FALSE)</f>
        <v>Memphis</v>
      </c>
      <c r="H89" s="1">
        <f>VLOOKUP(A:A,USD!A:R,8,FALSE)</f>
        <v>1</v>
      </c>
      <c r="I89" s="87">
        <f>(VLOOKUP($A:$A,USD!$A:$AL,9,FALSE)*88)/88*20</f>
        <v>80</v>
      </c>
      <c r="J89" s="87">
        <f>(VLOOKUP($A:$A,USD!$A:$AL,10,FALSE)*88)/88*20</f>
        <v>205</v>
      </c>
      <c r="K89" s="87">
        <f>(VLOOKUP($A:$A,USD!$A:$AL,11,FALSE)*88)/88*20</f>
        <v>160</v>
      </c>
      <c r="L89" s="87">
        <f>(VLOOKUP($A:$A,USD!$A:$AL,12,FALSE)*88)/88*20</f>
        <v>0</v>
      </c>
      <c r="M89" s="87">
        <f>(VLOOKUP($A:$A,USD!$A:$AL,13,FALSE)*88)/88*20</f>
        <v>0</v>
      </c>
      <c r="N89" s="87">
        <f>(VLOOKUP($A:$A,USD!$A:$AL,14,FALSE)*88)/88*20</f>
        <v>65</v>
      </c>
      <c r="O89" s="68">
        <f>(VLOOKUP($A:$A,USD!$A:$AL,15,FALSE)*88)/88*20</f>
        <v>37.916666666666671</v>
      </c>
      <c r="P89" s="87">
        <f>(VLOOKUP($A:$A,USD!$A:$AL,16,FALSE)*88)/88*20</f>
        <v>0</v>
      </c>
      <c r="Q89" s="68">
        <f t="shared" si="9"/>
        <v>547.91666666666663</v>
      </c>
      <c r="R89" s="68">
        <f t="shared" si="10"/>
        <v>102.91666666666667</v>
      </c>
      <c r="S89" s="68">
        <f>(VLOOKUP($A:$A,USD!$A:$AL,19,FALSE)*88)/88*20</f>
        <v>0</v>
      </c>
      <c r="T89" s="68">
        <f>(VLOOKUP($A:$A,USD!$A:$AL,20,FALSE)*88)/88*20</f>
        <v>0</v>
      </c>
      <c r="U89" s="68">
        <f>(VLOOKUP($A:$A,USD!$A:$AL,21,FALSE)*88)/88*20</f>
        <v>297.72727272727275</v>
      </c>
      <c r="V89" s="68"/>
      <c r="W89" s="68">
        <f t="shared" si="11"/>
        <v>297.72727272727275</v>
      </c>
      <c r="X89" s="1">
        <f>(VLOOKUP($A:$A,USD!$A:$AL,24,FALSE)*88)/88*20</f>
        <v>50</v>
      </c>
      <c r="Y89" s="68">
        <f>(VLOOKUP($A:$A,USD!$A:$AL,25,FALSE)*88)/88*20</f>
        <v>33.6</v>
      </c>
      <c r="Z89" s="68">
        <f>(VLOOKUP($A:$A,USD!$A:$AL,26,FALSE)*88)/88*20</f>
        <v>26.25</v>
      </c>
      <c r="AB89" s="68">
        <f t="shared" si="12"/>
        <v>109.85</v>
      </c>
      <c r="AC89" s="68">
        <f>(VLOOKUP($A:$A,USD!$A:$AL,29,FALSE)*88)/88*20</f>
        <v>146.02272727272725</v>
      </c>
      <c r="AD89" s="68">
        <f>(VLOOKUP($A:$A,USD!$A:$AL,30,FALSE)*88)/88*20</f>
        <v>182.72727272727275</v>
      </c>
      <c r="AF89" s="68">
        <f t="shared" si="13"/>
        <v>328.75</v>
      </c>
      <c r="AG89" s="87">
        <f>(VLOOKUP($A:$A,USD!$A:$AL,33,FALSE)*88)/88*20</f>
        <v>28.814300000000003</v>
      </c>
      <c r="AH89" s="68">
        <f>(VLOOKUP($A:$A,USD!$A:$AL,34,FALSE)*88)/88*20</f>
        <v>6.973140495867769</v>
      </c>
      <c r="AI89" s="87">
        <f>(VLOOKUP($A:$A,USD!$A:$AL,35,FALSE)*88)/88*20</f>
        <v>12.587317427197677</v>
      </c>
      <c r="AJ89" s="87">
        <f>(VLOOKUP($A:$A,USD!$A:$AL,36,FALSE)*88)/88*20</f>
        <v>6.7351999999999999</v>
      </c>
      <c r="AL89" s="68">
        <f t="shared" si="14"/>
        <v>55.109957923065444</v>
      </c>
      <c r="AM89" s="87">
        <f>(VLOOKUP($A:$A,USD!$A:$AR,39,FALSE)*88)/88*20</f>
        <v>79.999999999999986</v>
      </c>
      <c r="AN89" s="68">
        <f>(VLOOKUP($A:$A,USD!$A:$AR,40,FALSE)*88)/88*20</f>
        <v>26.17808219178082</v>
      </c>
      <c r="AO89" s="1">
        <f>(VLOOKUP($A:$A,USD!$A:$AR,41,FALSE)*88)/88*20</f>
        <v>0</v>
      </c>
      <c r="AR89" s="1">
        <f t="shared" si="15"/>
        <v>106.1780821917808</v>
      </c>
      <c r="AS89" s="38">
        <f t="shared" si="16"/>
        <v>1000.5319795087856</v>
      </c>
      <c r="AT89" s="38">
        <f t="shared" si="17"/>
        <v>1445.5319795087855</v>
      </c>
      <c r="AW89" s="1" t="e">
        <f>(VLOOKUP(A:A,USD!A:AT,46,FALSE)*88)/88*20</f>
        <v>#N/A</v>
      </c>
      <c r="AX89" s="1">
        <f>(VLOOKUP(A:A,USD!A:AU,47,FALSE)*88)/88*20</f>
        <v>519.31818181818176</v>
      </c>
    </row>
    <row r="90" spans="1:50" hidden="1">
      <c r="A90" s="1">
        <v>843002</v>
      </c>
      <c r="B90" s="1" t="s">
        <v>266</v>
      </c>
      <c r="C90" s="1" t="s">
        <v>265</v>
      </c>
      <c r="D90" s="1" t="s">
        <v>71</v>
      </c>
      <c r="E90" s="1" t="str">
        <f>VLOOKUP(A:A,USD!A:E,5,FALSE)</f>
        <v>WTX</v>
      </c>
      <c r="F90" s="1" t="str">
        <f>VLOOKUP(A:A,USD!A:F,6,FALSE)</f>
        <v>WTX</v>
      </c>
      <c r="G90" s="1" t="str">
        <f>VLOOKUP(A:A,'Regions and Ports'!A:G,7,FALSE)</f>
        <v>Dallas</v>
      </c>
      <c r="H90" s="1">
        <f>VLOOKUP(A:A,USD!A:R,8,FALSE)</f>
        <v>3</v>
      </c>
      <c r="I90" s="87">
        <f>(VLOOKUP($A:$A,USD!$A:$AL,9,FALSE)*88)/88*20</f>
        <v>55</v>
      </c>
      <c r="J90" s="87">
        <f>(VLOOKUP($A:$A,USD!$A:$AL,10,FALSE)*88)/88*20</f>
        <v>130</v>
      </c>
      <c r="K90" s="87">
        <f>(VLOOKUP($A:$A,USD!$A:$AL,11,FALSE)*88)/88*20</f>
        <v>0</v>
      </c>
      <c r="L90" s="87">
        <f>(VLOOKUP($A:$A,USD!$A:$AL,12,FALSE)*88)/88*20</f>
        <v>0</v>
      </c>
      <c r="M90" s="87">
        <f>(VLOOKUP($A:$A,USD!$A:$AL,13,FALSE)*88)/88*20</f>
        <v>0</v>
      </c>
      <c r="N90" s="87">
        <f>(VLOOKUP($A:$A,USD!$A:$AL,14,FALSE)*88)/88*20</f>
        <v>105</v>
      </c>
      <c r="O90" s="68">
        <f>(VLOOKUP($A:$A,USD!$A:$AL,15,FALSE)*88)/88*20</f>
        <v>37.916666666666671</v>
      </c>
      <c r="P90" s="87">
        <f>(VLOOKUP($A:$A,USD!$A:$AL,16,FALSE)*88)/88*20</f>
        <v>0</v>
      </c>
      <c r="Q90" s="68">
        <f t="shared" si="9"/>
        <v>327.91666666666669</v>
      </c>
      <c r="R90" s="68">
        <f t="shared" si="10"/>
        <v>272.91666666666669</v>
      </c>
      <c r="S90" s="68">
        <f>(VLOOKUP($A:$A,USD!$A:$AL,19,FALSE)*88)/88*20</f>
        <v>0</v>
      </c>
      <c r="T90" s="68">
        <f>(VLOOKUP($A:$A,USD!$A:$AL,20,FALSE)*88)/88*20</f>
        <v>0</v>
      </c>
      <c r="U90" s="68" t="e">
        <f>(VLOOKUP($A:$A,USD!$A:$AL,21,FALSE)*88)/88*20</f>
        <v>#N/A</v>
      </c>
      <c r="V90" s="68"/>
      <c r="W90" s="68" t="e">
        <f t="shared" si="11"/>
        <v>#N/A</v>
      </c>
      <c r="X90" s="1">
        <f>(VLOOKUP($A:$A,USD!$A:$AL,24,FALSE)*88)/88*20</f>
        <v>54</v>
      </c>
      <c r="Y90" s="68">
        <f>(VLOOKUP($A:$A,USD!$A:$AL,25,FALSE)*88)/88*20</f>
        <v>50.4</v>
      </c>
      <c r="Z90" s="68">
        <f>(VLOOKUP($A:$A,USD!$A:$AL,26,FALSE)*88)/88*20</f>
        <v>26.25</v>
      </c>
      <c r="AB90" s="68">
        <f t="shared" si="12"/>
        <v>130.65</v>
      </c>
      <c r="AC90" s="68">
        <f>(VLOOKUP($A:$A,USD!$A:$AL,29,FALSE)*88)/88*20</f>
        <v>162.5</v>
      </c>
      <c r="AD90" s="68">
        <f>(VLOOKUP($A:$A,USD!$A:$AL,30,FALSE)*88)/88*20</f>
        <v>268.18181818181819</v>
      </c>
      <c r="AF90" s="68">
        <f t="shared" si="13"/>
        <v>430.68181818181819</v>
      </c>
      <c r="AG90" s="87">
        <f>(VLOOKUP($A:$A,USD!$A:$AL,33,FALSE)*88)/88*20</f>
        <v>28.814300000000003</v>
      </c>
      <c r="AH90" s="68">
        <f>(VLOOKUP($A:$A,USD!$A:$AL,34,FALSE)*88)/88*20</f>
        <v>6.973140495867769</v>
      </c>
      <c r="AI90" s="87">
        <f>(VLOOKUP($A:$A,USD!$A:$AL,35,FALSE)*88)/88*20</f>
        <v>12.587317427197677</v>
      </c>
      <c r="AJ90" s="87">
        <f>(VLOOKUP($A:$A,USD!$A:$AL,36,FALSE)*88)/88*20</f>
        <v>6.7351999999999999</v>
      </c>
      <c r="AL90" s="68">
        <f t="shared" si="14"/>
        <v>55.109957923065444</v>
      </c>
      <c r="AM90" s="87">
        <f>(VLOOKUP($A:$A,USD!$A:$AR,39,FALSE)*88)/88*20</f>
        <v>79.999999999999986</v>
      </c>
      <c r="AN90" s="68">
        <f>(VLOOKUP($A:$A,USD!$A:$AR,40,FALSE)*88)/88*20</f>
        <v>26.17808219178082</v>
      </c>
      <c r="AO90" s="1">
        <f>(VLOOKUP($A:$A,USD!$A:$AR,41,FALSE)*88)/88*20</f>
        <v>0</v>
      </c>
      <c r="AR90" s="1">
        <f t="shared" si="15"/>
        <v>106.1780821917808</v>
      </c>
      <c r="AS90" s="38" t="e">
        <f t="shared" si="16"/>
        <v>#N/A</v>
      </c>
      <c r="AT90" s="38" t="e">
        <f t="shared" si="17"/>
        <v>#N/A</v>
      </c>
      <c r="AW90" s="1" t="e">
        <f>(VLOOKUP(A:A,USD!A:AT,46,FALSE)*88)/88*20</f>
        <v>#N/A</v>
      </c>
      <c r="AX90" s="1" t="e">
        <f>(VLOOKUP(A:A,USD!A:AU,47,FALSE)*88)/88*20</f>
        <v>#N/A</v>
      </c>
    </row>
    <row r="91" spans="1:50" hidden="1">
      <c r="A91" s="125">
        <v>843002</v>
      </c>
      <c r="B91" s="1" t="s">
        <v>266</v>
      </c>
      <c r="C91" s="1" t="s">
        <v>265</v>
      </c>
      <c r="D91" s="1" t="s">
        <v>71</v>
      </c>
      <c r="E91" s="1" t="s">
        <v>2067</v>
      </c>
      <c r="F91" s="1" t="str">
        <f>VLOOKUP(A:A,USD!A:F,6,FALSE)</f>
        <v>WTX</v>
      </c>
      <c r="G91" s="1" t="s">
        <v>439</v>
      </c>
      <c r="H91" s="1">
        <f>VLOOKUP(A:A,USD!A:R,8,FALSE)</f>
        <v>3</v>
      </c>
      <c r="I91" s="87">
        <f>(VLOOKUP($A:$A,USD!$A:$AL,9,FALSE)*88)/88*20</f>
        <v>55</v>
      </c>
      <c r="J91" s="87">
        <f>(VLOOKUP($A:$A,USD!$A:$AL,10,FALSE)*88)/88*20</f>
        <v>130</v>
      </c>
      <c r="K91" s="87">
        <f>(VLOOKUP($A:$A,USD!$A:$AL,11,FALSE)*88)/88*20</f>
        <v>0</v>
      </c>
      <c r="L91" s="87">
        <f>(VLOOKUP($A:$A,USD!$A:$AL,12,FALSE)*88)/88*20</f>
        <v>0</v>
      </c>
      <c r="M91" s="87">
        <f>(VLOOKUP($A:$A,USD!$A:$AL,13,FALSE)*88)/88*20</f>
        <v>0</v>
      </c>
      <c r="N91" s="87">
        <f>(VLOOKUP($A:$A,USD!$A:$AL,14,FALSE)*88)/88*20</f>
        <v>105</v>
      </c>
      <c r="O91" s="68">
        <f>(VLOOKUP($A:$A,USD!$A:$AL,15,FALSE)*88)/88*20</f>
        <v>37.916666666666671</v>
      </c>
      <c r="P91" s="87">
        <f>(VLOOKUP($A:$A,USD!$A:$AL,16,FALSE)*88)/88*20</f>
        <v>0</v>
      </c>
      <c r="Q91" s="68">
        <f t="shared" si="9"/>
        <v>327.91666666666669</v>
      </c>
      <c r="R91" s="68">
        <f t="shared" si="10"/>
        <v>272.91666666666669</v>
      </c>
      <c r="S91" s="68">
        <f>(VLOOKUP($A:$A,USD!$A:$AL,19,FALSE)*88)/88*20</f>
        <v>0</v>
      </c>
      <c r="T91" s="68">
        <f>(VLOOKUP($A:$A,USD!$A:$AL,20,FALSE)*88)/88*20</f>
        <v>0</v>
      </c>
      <c r="U91" s="68" cm="1">
        <f t="array" ref="U91">(_xlfn.XLOOKUP(1, (USD!$A:$A=$A91)*(USD!$E:$E=$E91), USD!$U:$U, "", 0)*88)/88*20</f>
        <v>207.38636363636363</v>
      </c>
      <c r="V91" s="68"/>
      <c r="W91" s="68">
        <f t="shared" si="11"/>
        <v>207.38636363636363</v>
      </c>
      <c r="X91" s="1">
        <f>(VLOOKUP($A:$A,USD!$A:$AL,24,FALSE)*88)/88*20</f>
        <v>54</v>
      </c>
      <c r="Y91" s="68">
        <f>(VLOOKUP($A:$A,USD!$A:$AL,25,FALSE)*88)/88*20</f>
        <v>50.4</v>
      </c>
      <c r="Z91" s="68">
        <f>(VLOOKUP($A:$A,USD!$A:$AL,26,FALSE)*88)/88*20</f>
        <v>26.25</v>
      </c>
      <c r="AB91" s="68">
        <f t="shared" si="12"/>
        <v>130.65</v>
      </c>
      <c r="AC91" s="68" cm="1">
        <f t="array" ref="AC91">_xlfn.XLOOKUP(A91&amp;E91, USD!$A:$A&amp;USD!$E:$E, USD!$AC:$AC, "")*20</f>
        <v>132.95454545454544</v>
      </c>
      <c r="AD91" s="68" cm="1">
        <f t="array" ref="AD91">_xlfn.XLOOKUP(A91&amp;E91, USD!$A:$A&amp;USD!$E:$E, USD!$AD:$AD, "")*20</f>
        <v>197.95454545454547</v>
      </c>
      <c r="AF91" s="68">
        <f t="shared" si="13"/>
        <v>330.90909090909088</v>
      </c>
      <c r="AG91" s="87">
        <f>(VLOOKUP($A:$A,USD!$A:$AL,33,FALSE)*88)/88*20</f>
        <v>28.814300000000003</v>
      </c>
      <c r="AH91" s="68">
        <f>(VLOOKUP($A:$A,USD!$A:$AL,34,FALSE)*88)/88*20</f>
        <v>6.973140495867769</v>
      </c>
      <c r="AI91" s="87">
        <f>(VLOOKUP($A:$A,USD!$A:$AL,35,FALSE)*88)/88*20</f>
        <v>12.587317427197677</v>
      </c>
      <c r="AJ91" s="87">
        <f>(VLOOKUP($A:$A,USD!$A:$AL,36,FALSE)*88)/88*20</f>
        <v>6.7351999999999999</v>
      </c>
      <c r="AL91" s="68">
        <f t="shared" si="14"/>
        <v>55.109957923065444</v>
      </c>
      <c r="AM91" s="87">
        <f>(VLOOKUP($A:$A,USD!$A:$AR,39,FALSE)*88)/88*20</f>
        <v>79.999999999999986</v>
      </c>
      <c r="AN91" s="68">
        <f>(VLOOKUP($A:$A,USD!$A:$AR,40,FALSE)*88)/88*20</f>
        <v>26.17808219178082</v>
      </c>
      <c r="AO91" s="1">
        <f>(VLOOKUP($A:$A,USD!$A:$AR,41,FALSE)*88)/88*20</f>
        <v>0</v>
      </c>
      <c r="AR91" s="1">
        <f t="shared" si="15"/>
        <v>106.1780821917808</v>
      </c>
      <c r="AS91" s="38">
        <f t="shared" si="16"/>
        <v>1103.1501613269675</v>
      </c>
      <c r="AT91" s="38">
        <f t="shared" si="17"/>
        <v>1158.1501613269672</v>
      </c>
      <c r="AW91" s="1" t="e">
        <f>(VLOOKUP(A:A,USD!A:AT,46,FALSE)*88)/88*20</f>
        <v>#N/A</v>
      </c>
      <c r="AX91" s="1" t="e">
        <f>(VLOOKUP(A:A,USD!A:AU,47,FALSE)*88)/88*20</f>
        <v>#N/A</v>
      </c>
    </row>
    <row r="92" spans="1:50" hidden="1">
      <c r="A92" s="1">
        <v>875260</v>
      </c>
      <c r="B92" s="1" t="s">
        <v>264</v>
      </c>
      <c r="C92" s="1" t="s">
        <v>265</v>
      </c>
      <c r="D92" s="1" t="s">
        <v>71</v>
      </c>
      <c r="E92" s="1" t="str">
        <f>VLOOKUP(A:A,USD!A:E,5,FALSE)</f>
        <v>WTX</v>
      </c>
      <c r="F92" s="1" t="str">
        <f>VLOOKUP(A:A,USD!A:F,6,FALSE)</f>
        <v>WTX</v>
      </c>
      <c r="G92" s="1" t="str">
        <f>VLOOKUP(A:A,'Regions and Ports'!A:G,7,FALSE)</f>
        <v>Dallas</v>
      </c>
      <c r="H92" s="1">
        <f>VLOOKUP(A:A,USD!A:R,8,FALSE)</f>
        <v>2</v>
      </c>
      <c r="I92" s="87">
        <f>(VLOOKUP($A:$A,USD!$A:$AL,9,FALSE)*88)/88*20</f>
        <v>60</v>
      </c>
      <c r="J92" s="87">
        <f>(VLOOKUP($A:$A,USD!$A:$AL,10,FALSE)*88)/88*20</f>
        <v>80</v>
      </c>
      <c r="K92" s="87">
        <f>(VLOOKUP($A:$A,USD!$A:$AL,11,FALSE)*88)/88*20</f>
        <v>0</v>
      </c>
      <c r="L92" s="87">
        <f>(VLOOKUP($A:$A,USD!$A:$AL,12,FALSE)*88)/88*20</f>
        <v>0</v>
      </c>
      <c r="M92" s="87">
        <f>(VLOOKUP($A:$A,USD!$A:$AL,13,FALSE)*88)/88*20</f>
        <v>0</v>
      </c>
      <c r="N92" s="87">
        <f>(VLOOKUP($A:$A,USD!$A:$AL,14,FALSE)*88)/88*20</f>
        <v>72</v>
      </c>
      <c r="O92" s="68">
        <f>(VLOOKUP($A:$A,USD!$A:$AL,15,FALSE)*88)/88*20</f>
        <v>37.916666666666671</v>
      </c>
      <c r="P92" s="87">
        <f>(VLOOKUP($A:$A,USD!$A:$AL,16,FALSE)*88)/88*20</f>
        <v>0</v>
      </c>
      <c r="Q92" s="68">
        <f t="shared" si="9"/>
        <v>249.91666666666669</v>
      </c>
      <c r="R92" s="68">
        <f t="shared" si="10"/>
        <v>109.91666666666667</v>
      </c>
      <c r="S92" s="68">
        <f>(VLOOKUP($A:$A,USD!$A:$AL,19,FALSE)*88)/88*20</f>
        <v>0</v>
      </c>
      <c r="T92" s="68">
        <f>(VLOOKUP($A:$A,USD!$A:$AL,20,FALSE)*88)/88*20</f>
        <v>0</v>
      </c>
      <c r="U92" s="68" t="e">
        <f>(VLOOKUP($A:$A,USD!$A:$AL,21,FALSE)*88)/88*20</f>
        <v>#N/A</v>
      </c>
      <c r="V92" s="68"/>
      <c r="W92" s="68" t="e">
        <f t="shared" si="11"/>
        <v>#N/A</v>
      </c>
      <c r="X92" s="1">
        <f>(VLOOKUP($A:$A,USD!$A:$AL,24,FALSE)*88)/88*20</f>
        <v>54</v>
      </c>
      <c r="Y92" s="68">
        <f>(VLOOKUP($A:$A,USD!$A:$AL,25,FALSE)*88)/88*20</f>
        <v>50.4</v>
      </c>
      <c r="Z92" s="68">
        <f>(VLOOKUP($A:$A,USD!$A:$AL,26,FALSE)*88)/88*20</f>
        <v>26.25</v>
      </c>
      <c r="AB92" s="68">
        <f t="shared" si="12"/>
        <v>130.65</v>
      </c>
      <c r="AC92" s="68">
        <f>(VLOOKUP($A:$A,USD!$A:$AL,29,FALSE)*88)/88*20</f>
        <v>162.5</v>
      </c>
      <c r="AD92" s="68">
        <f>(VLOOKUP($A:$A,USD!$A:$AL,30,FALSE)*88)/88*20</f>
        <v>268.18181818181819</v>
      </c>
      <c r="AF92" s="68">
        <f t="shared" si="13"/>
        <v>430.68181818181819</v>
      </c>
      <c r="AG92" s="87">
        <f>(VLOOKUP($A:$A,USD!$A:$AL,33,FALSE)*88)/88*20</f>
        <v>28.814300000000003</v>
      </c>
      <c r="AH92" s="68">
        <f>(VLOOKUP($A:$A,USD!$A:$AL,34,FALSE)*88)/88*20</f>
        <v>6.973140495867769</v>
      </c>
      <c r="AI92" s="87">
        <f>(VLOOKUP($A:$A,USD!$A:$AL,35,FALSE)*88)/88*20</f>
        <v>12.587317427197677</v>
      </c>
      <c r="AJ92" s="87">
        <f>(VLOOKUP($A:$A,USD!$A:$AL,36,FALSE)*88)/88*20</f>
        <v>6.7351999999999999</v>
      </c>
      <c r="AL92" s="68">
        <f t="shared" si="14"/>
        <v>55.109957923065444</v>
      </c>
      <c r="AM92" s="87">
        <f>(VLOOKUP($A:$A,USD!$A:$AR,39,FALSE)*88)/88*20</f>
        <v>79.999999999999986</v>
      </c>
      <c r="AN92" s="68">
        <f>(VLOOKUP($A:$A,USD!$A:$AR,40,FALSE)*88)/88*20</f>
        <v>26.17808219178082</v>
      </c>
      <c r="AO92" s="1">
        <f>(VLOOKUP($A:$A,USD!$A:$AR,41,FALSE)*88)/88*20</f>
        <v>0</v>
      </c>
      <c r="AR92" s="1">
        <f t="shared" si="15"/>
        <v>106.1780821917808</v>
      </c>
      <c r="AS92" s="38" t="e">
        <f t="shared" si="16"/>
        <v>#N/A</v>
      </c>
      <c r="AT92" s="38" t="e">
        <f t="shared" si="17"/>
        <v>#N/A</v>
      </c>
      <c r="AW92" s="1" t="e">
        <f>(VLOOKUP(A:A,USD!A:AT,46,FALSE)*88)/88*20</f>
        <v>#N/A</v>
      </c>
      <c r="AX92" s="1" t="e">
        <f>(VLOOKUP(A:A,USD!A:AU,47,FALSE)*88)/88*20</f>
        <v>#N/A</v>
      </c>
    </row>
    <row r="93" spans="1:50" hidden="1">
      <c r="A93" s="125">
        <v>875260</v>
      </c>
      <c r="B93" s="1" t="s">
        <v>264</v>
      </c>
      <c r="C93" s="1" t="s">
        <v>265</v>
      </c>
      <c r="D93" s="1" t="s">
        <v>71</v>
      </c>
      <c r="E93" s="1" t="s">
        <v>2067</v>
      </c>
      <c r="F93" s="1" t="str">
        <f>VLOOKUP(A:A,USD!A:F,6,FALSE)</f>
        <v>WTX</v>
      </c>
      <c r="G93" s="1" t="s">
        <v>439</v>
      </c>
      <c r="H93" s="1">
        <f>VLOOKUP(A:A,USD!A:R,8,FALSE)</f>
        <v>2</v>
      </c>
      <c r="I93" s="87">
        <f>(VLOOKUP($A:$A,USD!$A:$AL,9,FALSE)*88)/88*20</f>
        <v>60</v>
      </c>
      <c r="J93" s="87">
        <f>(VLOOKUP($A:$A,USD!$A:$AL,10,FALSE)*88)/88*20</f>
        <v>80</v>
      </c>
      <c r="K93" s="87">
        <f>(VLOOKUP($A:$A,USD!$A:$AL,11,FALSE)*88)/88*20</f>
        <v>0</v>
      </c>
      <c r="L93" s="87">
        <f>(VLOOKUP($A:$A,USD!$A:$AL,12,FALSE)*88)/88*20</f>
        <v>0</v>
      </c>
      <c r="M93" s="87">
        <f>(VLOOKUP($A:$A,USD!$A:$AL,13,FALSE)*88)/88*20</f>
        <v>0</v>
      </c>
      <c r="N93" s="87">
        <f>(VLOOKUP($A:$A,USD!$A:$AL,14,FALSE)*88)/88*20</f>
        <v>72</v>
      </c>
      <c r="O93" s="68">
        <f>(VLOOKUP($A:$A,USD!$A:$AL,15,FALSE)*88)/88*20</f>
        <v>37.916666666666671</v>
      </c>
      <c r="P93" s="87">
        <f>(VLOOKUP($A:$A,USD!$A:$AL,16,FALSE)*88)/88*20</f>
        <v>0</v>
      </c>
      <c r="Q93" s="68">
        <f t="shared" si="9"/>
        <v>249.91666666666669</v>
      </c>
      <c r="R93" s="68">
        <f t="shared" si="10"/>
        <v>109.91666666666667</v>
      </c>
      <c r="S93" s="68">
        <f>(VLOOKUP($A:$A,USD!$A:$AL,19,FALSE)*88)/88*20</f>
        <v>0</v>
      </c>
      <c r="T93" s="68">
        <f>(VLOOKUP($A:$A,USD!$A:$AL,20,FALSE)*88)/88*20</f>
        <v>0</v>
      </c>
      <c r="U93" s="68" cm="1">
        <f t="array" ref="U93">(_xlfn.XLOOKUP(1, (USD!$A:$A=$A93)*(USD!$E:$E=$E93), USD!$U:$U, "", 0)*88)/88*20</f>
        <v>207.38636363636363</v>
      </c>
      <c r="V93" s="68"/>
      <c r="W93" s="68">
        <f t="shared" si="11"/>
        <v>207.38636363636363</v>
      </c>
      <c r="X93" s="1">
        <f>(VLOOKUP($A:$A,USD!$A:$AL,24,FALSE)*88)/88*20</f>
        <v>54</v>
      </c>
      <c r="Y93" s="68">
        <f>(VLOOKUP($A:$A,USD!$A:$AL,25,FALSE)*88)/88*20</f>
        <v>50.4</v>
      </c>
      <c r="Z93" s="68">
        <f>(VLOOKUP($A:$A,USD!$A:$AL,26,FALSE)*88)/88*20</f>
        <v>26.25</v>
      </c>
      <c r="AB93" s="68">
        <f t="shared" si="12"/>
        <v>130.65</v>
      </c>
      <c r="AC93" s="68" cm="1">
        <f t="array" ref="AC93">_xlfn.XLOOKUP(A93&amp;E93, USD!$A:$A&amp;USD!$E:$E, USD!$AC:$AC, "")*20</f>
        <v>132.95454545454544</v>
      </c>
      <c r="AD93" s="68" cm="1">
        <f t="array" ref="AD93">_xlfn.XLOOKUP(A93&amp;E93, USD!$A:$A&amp;USD!$E:$E, USD!$AD:$AD, "")*20</f>
        <v>197.95454545454547</v>
      </c>
      <c r="AF93" s="68">
        <f t="shared" si="13"/>
        <v>330.90909090909088</v>
      </c>
      <c r="AG93" s="87">
        <f>(VLOOKUP($A:$A,USD!$A:$AL,33,FALSE)*88)/88*20</f>
        <v>28.814300000000003</v>
      </c>
      <c r="AH93" s="68">
        <f>(VLOOKUP($A:$A,USD!$A:$AL,34,FALSE)*88)/88*20</f>
        <v>6.973140495867769</v>
      </c>
      <c r="AI93" s="87">
        <f>(VLOOKUP($A:$A,USD!$A:$AL,35,FALSE)*88)/88*20</f>
        <v>12.587317427197677</v>
      </c>
      <c r="AJ93" s="87">
        <f>(VLOOKUP($A:$A,USD!$A:$AL,36,FALSE)*88)/88*20</f>
        <v>6.7351999999999999</v>
      </c>
      <c r="AL93" s="68">
        <f t="shared" si="14"/>
        <v>55.109957923065444</v>
      </c>
      <c r="AM93" s="87">
        <f>(VLOOKUP($A:$A,USD!$A:$AR,39,FALSE)*88)/88*20</f>
        <v>79.999999999999986</v>
      </c>
      <c r="AN93" s="68">
        <f>(VLOOKUP($A:$A,USD!$A:$AR,40,FALSE)*88)/88*20</f>
        <v>26.17808219178082</v>
      </c>
      <c r="AO93" s="1">
        <f>(VLOOKUP($A:$A,USD!$A:$AR,41,FALSE)*88)/88*20</f>
        <v>0</v>
      </c>
      <c r="AR93" s="1">
        <f t="shared" si="15"/>
        <v>106.1780821917808</v>
      </c>
      <c r="AS93" s="38">
        <f t="shared" si="16"/>
        <v>940.15016132696746</v>
      </c>
      <c r="AT93" s="38">
        <f t="shared" si="17"/>
        <v>1080.1501613269675</v>
      </c>
      <c r="AW93" s="1" t="e">
        <f>(VLOOKUP(A:A,USD!A:AT,46,FALSE)*88)/88*20</f>
        <v>#N/A</v>
      </c>
      <c r="AX93" s="1" t="e">
        <f>(VLOOKUP(A:A,USD!A:AU,47,FALSE)*88)/88*20</f>
        <v>#N/A</v>
      </c>
    </row>
    <row r="94" spans="1:50" hidden="1">
      <c r="A94" s="1">
        <v>253005</v>
      </c>
      <c r="B94" s="1" t="s">
        <v>267</v>
      </c>
      <c r="C94" s="1" t="s">
        <v>268</v>
      </c>
      <c r="D94" s="1" t="s">
        <v>76</v>
      </c>
      <c r="E94" s="1" t="str">
        <f>VLOOKUP(A:A,USD!A:E,5,FALSE)</f>
        <v>GA 30 Day</v>
      </c>
      <c r="F94" s="1" t="str">
        <f>VLOOKUP(A:A,USD!A:F,6,FALSE)</f>
        <v>ER5</v>
      </c>
      <c r="G94" s="1" t="str">
        <f>VLOOKUP(A:A,'Regions and Ports'!A:G,7,FALSE)</f>
        <v>Savannah</v>
      </c>
      <c r="H94" s="1">
        <f>VLOOKUP(A:A,USD!A:R,8,FALSE)</f>
        <v>4</v>
      </c>
      <c r="I94" s="87">
        <f>(VLOOKUP($A:$A,USD!$A:$AL,9,FALSE)*88)/88*20</f>
        <v>80</v>
      </c>
      <c r="J94" s="87">
        <f>(VLOOKUP($A:$A,USD!$A:$AL,10,FALSE)*88)/88*20</f>
        <v>100</v>
      </c>
      <c r="K94" s="87">
        <f>(VLOOKUP($A:$A,USD!$A:$AL,11,FALSE)*88)/88*20</f>
        <v>160</v>
      </c>
      <c r="L94" s="87">
        <f>(VLOOKUP($A:$A,USD!$A:$AL,12,FALSE)*88)/88*20</f>
        <v>0</v>
      </c>
      <c r="M94" s="87">
        <f>(VLOOKUP($A:$A,USD!$A:$AL,13,FALSE)*88)/88*20</f>
        <v>10</v>
      </c>
      <c r="N94" s="87">
        <f>(VLOOKUP($A:$A,USD!$A:$AL,14,FALSE)*88)/88*20</f>
        <v>55</v>
      </c>
      <c r="O94" s="68">
        <f>(VLOOKUP($A:$A,USD!$A:$AL,15,FALSE)*88)/88*20</f>
        <v>37.916666666666671</v>
      </c>
      <c r="P94" s="87">
        <f>(VLOOKUP($A:$A,USD!$A:$AL,16,FALSE)*88)/88*20</f>
        <v>0</v>
      </c>
      <c r="Q94" s="68">
        <f t="shared" si="9"/>
        <v>442.91666666666669</v>
      </c>
      <c r="R94" s="68">
        <f t="shared" si="10"/>
        <v>37.916666666666671</v>
      </c>
      <c r="S94" s="68">
        <f>(VLOOKUP($A:$A,USD!$A:$AL,19,FALSE)*88)/88*20</f>
        <v>0</v>
      </c>
      <c r="T94" s="68">
        <f>(VLOOKUP($A:$A,USD!$A:$AL,20,FALSE)*88)/88*20</f>
        <v>0</v>
      </c>
      <c r="U94" s="68">
        <f>(VLOOKUP($A:$A,USD!$A:$AL,21,FALSE)*88)/88*20</f>
        <v>196.875</v>
      </c>
      <c r="V94" s="68"/>
      <c r="W94" s="68">
        <f t="shared" si="11"/>
        <v>196.875</v>
      </c>
      <c r="X94" s="1">
        <f>(VLOOKUP($A:$A,USD!$A:$AL,24,FALSE)*88)/88*20</f>
        <v>52</v>
      </c>
      <c r="Y94" s="68">
        <f>(VLOOKUP($A:$A,USD!$A:$AL,25,FALSE)*88)/88*20</f>
        <v>50.4</v>
      </c>
      <c r="Z94" s="68">
        <f>(VLOOKUP($A:$A,USD!$A:$AL,26,FALSE)*88)/88*20</f>
        <v>26.25</v>
      </c>
      <c r="AB94" s="68">
        <f t="shared" si="12"/>
        <v>128.65</v>
      </c>
      <c r="AC94" s="68">
        <f>(VLOOKUP($A:$A,USD!$A:$AL,29,FALSE)*88)/88*20</f>
        <v>110.22727272727273</v>
      </c>
      <c r="AD94" s="68">
        <f>(VLOOKUP($A:$A,USD!$A:$AL,30,FALSE)*88)/88*20</f>
        <v>107.04545454545455</v>
      </c>
      <c r="AF94" s="68">
        <f t="shared" si="13"/>
        <v>217.27272727272728</v>
      </c>
      <c r="AG94" s="87">
        <f>(VLOOKUP($A:$A,USD!$A:$AL,33,FALSE)*88)/88*20</f>
        <v>28.814300000000003</v>
      </c>
      <c r="AH94" s="68">
        <f>(VLOOKUP($A:$A,USD!$A:$AL,34,FALSE)*88)/88*20</f>
        <v>6.973140495867769</v>
      </c>
      <c r="AI94" s="87">
        <f>(VLOOKUP($A:$A,USD!$A:$AL,35,FALSE)*88)/88*20</f>
        <v>12.587317427197677</v>
      </c>
      <c r="AJ94" s="87">
        <f>(VLOOKUP($A:$A,USD!$A:$AL,36,FALSE)*88)/88*20</f>
        <v>6.7351999999999999</v>
      </c>
      <c r="AL94" s="68">
        <f t="shared" si="14"/>
        <v>55.109957923065444</v>
      </c>
      <c r="AM94" s="87">
        <f>(VLOOKUP($A:$A,USD!$A:$AR,39,FALSE)*88)/88*20</f>
        <v>79.999999999999986</v>
      </c>
      <c r="AN94" s="68">
        <f>(VLOOKUP($A:$A,USD!$A:$AR,40,FALSE)*88)/88*20</f>
        <v>26.17808219178082</v>
      </c>
      <c r="AO94" s="1">
        <f>(VLOOKUP($A:$A,USD!$A:$AR,41,FALSE)*88)/88*20</f>
        <v>0</v>
      </c>
      <c r="AR94" s="1">
        <f t="shared" si="15"/>
        <v>106.1780821917808</v>
      </c>
      <c r="AS94" s="38">
        <f t="shared" si="16"/>
        <v>742.00243405424021</v>
      </c>
      <c r="AT94" s="38">
        <f t="shared" si="17"/>
        <v>1147.0024340542402</v>
      </c>
      <c r="AW94" s="1">
        <f>(VLOOKUP(A:A,USD!A:AT,46,FALSE)*88)/88*20</f>
        <v>528.25681818181818</v>
      </c>
      <c r="AX94" s="1">
        <f>(VLOOKUP(A:A,USD!A:AU,47,FALSE)*88)/88*20</f>
        <v>251.70454545454547</v>
      </c>
    </row>
    <row r="95" spans="1:50" hidden="1">
      <c r="A95" s="1">
        <v>731205</v>
      </c>
      <c r="B95" s="1" t="s">
        <v>270</v>
      </c>
      <c r="C95" s="1" t="s">
        <v>271</v>
      </c>
      <c r="D95" s="1" t="s">
        <v>132</v>
      </c>
      <c r="E95" s="1" t="str">
        <f>VLOOKUP(A:A,USD!A:E,5,FALSE)</f>
        <v>Eastern Rule 5</v>
      </c>
      <c r="F95" s="1" t="str">
        <f>VLOOKUP(A:A,USD!A:F,6,FALSE)</f>
        <v>ER5</v>
      </c>
      <c r="G95" s="1" t="str">
        <f>VLOOKUP(A:A,'Regions and Ports'!A:G,7,FALSE)</f>
        <v>Savannah</v>
      </c>
      <c r="H95" s="1">
        <f>VLOOKUP(A:A,USD!A:R,8,FALSE)</f>
        <v>1</v>
      </c>
      <c r="I95" s="87">
        <f>(VLOOKUP($A:$A,USD!$A:$AL,9,FALSE)*88)/88*20</f>
        <v>80</v>
      </c>
      <c r="J95" s="87">
        <f>(VLOOKUP($A:$A,USD!$A:$AL,10,FALSE)*88)/88*20</f>
        <v>95</v>
      </c>
      <c r="K95" s="87">
        <f>(VLOOKUP($A:$A,USD!$A:$AL,11,FALSE)*88)/88*20</f>
        <v>0</v>
      </c>
      <c r="L95" s="87">
        <f>(VLOOKUP($A:$A,USD!$A:$AL,12,FALSE)*88)/88*20</f>
        <v>0</v>
      </c>
      <c r="M95" s="87">
        <f>(VLOOKUP($A:$A,USD!$A:$AL,13,FALSE)*88)/88*20</f>
        <v>0</v>
      </c>
      <c r="N95" s="87">
        <f>(VLOOKUP($A:$A,USD!$A:$AL,14,FALSE)*88)/88*20</f>
        <v>40</v>
      </c>
      <c r="O95" s="68">
        <f>(VLOOKUP($A:$A,USD!$A:$AL,15,FALSE)*88)/88*20</f>
        <v>37.916666666666671</v>
      </c>
      <c r="P95" s="87">
        <f>(VLOOKUP($A:$A,USD!$A:$AL,16,FALSE)*88)/88*20</f>
        <v>0</v>
      </c>
      <c r="Q95" s="68">
        <f t="shared" si="9"/>
        <v>252.91666666666669</v>
      </c>
      <c r="R95" s="68">
        <f t="shared" si="10"/>
        <v>77.916666666666671</v>
      </c>
      <c r="S95" s="68">
        <f>(VLOOKUP($A:$A,USD!$A:$AL,19,FALSE)*88)/88*20</f>
        <v>0</v>
      </c>
      <c r="T95" s="68">
        <f>(VLOOKUP($A:$A,USD!$A:$AL,20,FALSE)*88)/88*20</f>
        <v>0</v>
      </c>
      <c r="U95" s="68" t="e">
        <f>(VLOOKUP($A:$A,USD!$A:$AL,21,FALSE)*88)/88*20</f>
        <v>#N/A</v>
      </c>
      <c r="V95" s="68"/>
      <c r="W95" s="68" t="e">
        <f t="shared" si="11"/>
        <v>#N/A</v>
      </c>
      <c r="X95" s="1">
        <f>(VLOOKUP($A:$A,USD!$A:$AL,24,FALSE)*88)/88*20</f>
        <v>52</v>
      </c>
      <c r="Y95" s="68">
        <f>(VLOOKUP($A:$A,USD!$A:$AL,25,FALSE)*88)/88*20</f>
        <v>50.4</v>
      </c>
      <c r="Z95" s="68">
        <f>(VLOOKUP($A:$A,USD!$A:$AL,26,FALSE)*88)/88*20</f>
        <v>26.25</v>
      </c>
      <c r="AB95" s="68">
        <f t="shared" si="12"/>
        <v>128.65</v>
      </c>
      <c r="AC95" s="68">
        <f>(VLOOKUP($A:$A,USD!$A:$AL,29,FALSE)*88)/88*20</f>
        <v>110.22727272727273</v>
      </c>
      <c r="AD95" s="68">
        <f>(VLOOKUP($A:$A,USD!$A:$AL,30,FALSE)*88)/88*20</f>
        <v>107.04545454545455</v>
      </c>
      <c r="AF95" s="68">
        <f t="shared" si="13"/>
        <v>217.27272727272728</v>
      </c>
      <c r="AG95" s="87">
        <f>(VLOOKUP($A:$A,USD!$A:$AL,33,FALSE)*88)/88*20</f>
        <v>28.814300000000003</v>
      </c>
      <c r="AH95" s="68">
        <f>(VLOOKUP($A:$A,USD!$A:$AL,34,FALSE)*88)/88*20</f>
        <v>6.973140495867769</v>
      </c>
      <c r="AI95" s="87">
        <f>(VLOOKUP($A:$A,USD!$A:$AL,35,FALSE)*88)/88*20</f>
        <v>12.587317427197677</v>
      </c>
      <c r="AJ95" s="87">
        <f>(VLOOKUP($A:$A,USD!$A:$AL,36,FALSE)*88)/88*20</f>
        <v>6.7351999999999999</v>
      </c>
      <c r="AL95" s="68">
        <f t="shared" si="14"/>
        <v>55.109957923065444</v>
      </c>
      <c r="AM95" s="87">
        <f>(VLOOKUP($A:$A,USD!$A:$AR,39,FALSE)*88)/88*20</f>
        <v>79.999999999999986</v>
      </c>
      <c r="AN95" s="68">
        <f>(VLOOKUP($A:$A,USD!$A:$AR,40,FALSE)*88)/88*20</f>
        <v>26.17808219178082</v>
      </c>
      <c r="AO95" s="1">
        <f>(VLOOKUP($A:$A,USD!$A:$AR,41,FALSE)*88)/88*20</f>
        <v>0</v>
      </c>
      <c r="AR95" s="1">
        <f t="shared" si="15"/>
        <v>106.1780821917808</v>
      </c>
      <c r="AS95" s="38" t="e">
        <f t="shared" si="16"/>
        <v>#N/A</v>
      </c>
      <c r="AT95" s="38" t="e">
        <f t="shared" si="17"/>
        <v>#N/A</v>
      </c>
      <c r="AW95" s="1" t="e">
        <f>(VLOOKUP(A:A,USD!A:AT,46,FALSE)*88)/88*20</f>
        <v>#N/A</v>
      </c>
      <c r="AX95" s="1" t="e">
        <f>(VLOOKUP(A:A,USD!A:AU,47,FALSE)*88)/88*20</f>
        <v>#N/A</v>
      </c>
    </row>
    <row r="96" spans="1:50" hidden="1">
      <c r="A96" s="1">
        <v>253506</v>
      </c>
      <c r="B96" s="1" t="s">
        <v>273</v>
      </c>
      <c r="C96" s="1" t="s">
        <v>274</v>
      </c>
      <c r="D96" s="1" t="s">
        <v>76</v>
      </c>
      <c r="E96" s="1" t="str">
        <f>VLOOKUP(A:A,USD!A:E,5,FALSE)</f>
        <v>GA 30 Day</v>
      </c>
      <c r="F96" s="1" t="str">
        <f>VLOOKUP(A:A,USD!A:F,6,FALSE)</f>
        <v>ER5</v>
      </c>
      <c r="G96" s="1" t="str">
        <f>VLOOKUP(A:A,'Regions and Ports'!A:G,7,FALSE)</f>
        <v>Savannah</v>
      </c>
      <c r="H96" s="1">
        <f>VLOOKUP(A:A,USD!A:R,8,FALSE)</f>
        <v>4</v>
      </c>
      <c r="I96" s="87">
        <f>(VLOOKUP($A:$A,USD!$A:$AL,9,FALSE)*88)/88*20</f>
        <v>60</v>
      </c>
      <c r="J96" s="87">
        <f>(VLOOKUP($A:$A,USD!$A:$AL,10,FALSE)*88)/88*20</f>
        <v>100</v>
      </c>
      <c r="K96" s="87">
        <f>(VLOOKUP($A:$A,USD!$A:$AL,11,FALSE)*88)/88*20</f>
        <v>0</v>
      </c>
      <c r="L96" s="87">
        <f>(VLOOKUP($A:$A,USD!$A:$AL,12,FALSE)*88)/88*20</f>
        <v>0</v>
      </c>
      <c r="M96" s="87">
        <f>(VLOOKUP($A:$A,USD!$A:$AL,13,FALSE)*88)/88*20</f>
        <v>20</v>
      </c>
      <c r="N96" s="87">
        <f>(VLOOKUP($A:$A,USD!$A:$AL,14,FALSE)*88)/88*20</f>
        <v>55</v>
      </c>
      <c r="O96" s="68">
        <f>(VLOOKUP($A:$A,USD!$A:$AL,15,FALSE)*88)/88*20</f>
        <v>37.916666666666671</v>
      </c>
      <c r="P96" s="87">
        <f>(VLOOKUP($A:$A,USD!$A:$AL,16,FALSE)*88)/88*20</f>
        <v>0</v>
      </c>
      <c r="Q96" s="68">
        <f t="shared" si="9"/>
        <v>272.91666666666669</v>
      </c>
      <c r="R96" s="68">
        <f t="shared" si="10"/>
        <v>37.916666666666671</v>
      </c>
      <c r="S96" s="68">
        <f>(VLOOKUP($A:$A,USD!$A:$AL,19,FALSE)*88)/88*20</f>
        <v>0</v>
      </c>
      <c r="T96" s="68">
        <f>(VLOOKUP($A:$A,USD!$A:$AL,20,FALSE)*88)/88*20</f>
        <v>0</v>
      </c>
      <c r="U96" s="68">
        <f>(VLOOKUP($A:$A,USD!$A:$AL,21,FALSE)*88)/88*20</f>
        <v>226.52727272727273</v>
      </c>
      <c r="V96" s="68"/>
      <c r="W96" s="68">
        <f t="shared" si="11"/>
        <v>226.52727272727273</v>
      </c>
      <c r="X96" s="1">
        <f>(VLOOKUP($A:$A,USD!$A:$AL,24,FALSE)*88)/88*20</f>
        <v>52</v>
      </c>
      <c r="Y96" s="68">
        <f>(VLOOKUP($A:$A,USD!$A:$AL,25,FALSE)*88)/88*20</f>
        <v>50.4</v>
      </c>
      <c r="Z96" s="68">
        <f>(VLOOKUP($A:$A,USD!$A:$AL,26,FALSE)*88)/88*20</f>
        <v>26.25</v>
      </c>
      <c r="AB96" s="68">
        <f t="shared" si="12"/>
        <v>128.65</v>
      </c>
      <c r="AC96" s="68">
        <f>(VLOOKUP($A:$A,USD!$A:$AL,29,FALSE)*88)/88*20</f>
        <v>110.22727272727273</v>
      </c>
      <c r="AD96" s="68">
        <f>(VLOOKUP($A:$A,USD!$A:$AL,30,FALSE)*88)/88*20</f>
        <v>107.04545454545455</v>
      </c>
      <c r="AF96" s="68">
        <f t="shared" si="13"/>
        <v>217.27272727272728</v>
      </c>
      <c r="AG96" s="87">
        <f>(VLOOKUP($A:$A,USD!$A:$AL,33,FALSE)*88)/88*20</f>
        <v>28.814300000000003</v>
      </c>
      <c r="AH96" s="68">
        <f>(VLOOKUP($A:$A,USD!$A:$AL,34,FALSE)*88)/88*20</f>
        <v>6.973140495867769</v>
      </c>
      <c r="AI96" s="87">
        <f>(VLOOKUP($A:$A,USD!$A:$AL,35,FALSE)*88)/88*20</f>
        <v>12.587317427197677</v>
      </c>
      <c r="AJ96" s="87">
        <f>(VLOOKUP($A:$A,USD!$A:$AL,36,FALSE)*88)/88*20</f>
        <v>6.7351999999999999</v>
      </c>
      <c r="AL96" s="68">
        <f t="shared" si="14"/>
        <v>55.109957923065444</v>
      </c>
      <c r="AM96" s="87">
        <f>(VLOOKUP($A:$A,USD!$A:$AR,39,FALSE)*88)/88*20</f>
        <v>79.999999999999986</v>
      </c>
      <c r="AN96" s="68">
        <f>(VLOOKUP($A:$A,USD!$A:$AR,40,FALSE)*88)/88*20</f>
        <v>26.17808219178082</v>
      </c>
      <c r="AO96" s="1">
        <f>(VLOOKUP($A:$A,USD!$A:$AR,41,FALSE)*88)/88*20</f>
        <v>0</v>
      </c>
      <c r="AR96" s="1">
        <f t="shared" si="15"/>
        <v>106.1780821917808</v>
      </c>
      <c r="AS96" s="38">
        <f t="shared" si="16"/>
        <v>771.65470678151291</v>
      </c>
      <c r="AT96" s="38">
        <f t="shared" si="17"/>
        <v>1006.6547067815129</v>
      </c>
      <c r="AW96" s="1">
        <f>(VLOOKUP(A:A,USD!A:AT,46,FALSE)*88)/88*20</f>
        <v>466.40909090909082</v>
      </c>
      <c r="AX96" s="1">
        <f>(VLOOKUP(A:A,USD!A:AU,47,FALSE)*88)/88*20</f>
        <v>326.7045454545455</v>
      </c>
    </row>
    <row r="97" spans="1:50" hidden="1">
      <c r="A97" s="1">
        <v>304500</v>
      </c>
      <c r="B97" s="1" t="s">
        <v>276</v>
      </c>
      <c r="C97" s="1" t="s">
        <v>274</v>
      </c>
      <c r="D97" s="1" t="s">
        <v>76</v>
      </c>
      <c r="E97" s="1" t="str">
        <f>VLOOKUP(A:A,USD!A:E,5,FALSE)</f>
        <v>GA 30 Day</v>
      </c>
      <c r="F97" s="1" t="str">
        <f>VLOOKUP(A:A,USD!A:F,6,FALSE)</f>
        <v>ER5</v>
      </c>
      <c r="G97" s="1" t="str">
        <f>VLOOKUP(A:A,'Regions and Ports'!A:G,7,FALSE)</f>
        <v>Savannah</v>
      </c>
      <c r="H97" s="1">
        <f>VLOOKUP(A:A,USD!A:R,8,FALSE)</f>
        <v>4</v>
      </c>
      <c r="I97" s="87">
        <f>(VLOOKUP($A:$A,USD!$A:$AL,9,FALSE)*88)/88*20</f>
        <v>60</v>
      </c>
      <c r="J97" s="87">
        <f>(VLOOKUP($A:$A,USD!$A:$AL,10,FALSE)*88)/88*20</f>
        <v>100</v>
      </c>
      <c r="K97" s="87">
        <f>(VLOOKUP($A:$A,USD!$A:$AL,11,FALSE)*88)/88*20</f>
        <v>0</v>
      </c>
      <c r="L97" s="87">
        <f>(VLOOKUP($A:$A,USD!$A:$AL,12,FALSE)*88)/88*20</f>
        <v>0</v>
      </c>
      <c r="M97" s="87">
        <f>(VLOOKUP($A:$A,USD!$A:$AL,13,FALSE)*88)/88*20</f>
        <v>40</v>
      </c>
      <c r="N97" s="87">
        <f>(VLOOKUP($A:$A,USD!$A:$AL,14,FALSE)*88)/88*20</f>
        <v>52</v>
      </c>
      <c r="O97" s="68">
        <f>(VLOOKUP($A:$A,USD!$A:$AL,15,FALSE)*88)/88*20</f>
        <v>37.916666666666671</v>
      </c>
      <c r="P97" s="87">
        <f>(VLOOKUP($A:$A,USD!$A:$AL,16,FALSE)*88)/88*20</f>
        <v>0</v>
      </c>
      <c r="Q97" s="68">
        <f t="shared" si="9"/>
        <v>289.91666666666669</v>
      </c>
      <c r="R97" s="68">
        <f t="shared" si="10"/>
        <v>37.916666666666671</v>
      </c>
      <c r="S97" s="68">
        <f>(VLOOKUP($A:$A,USD!$A:$AL,19,FALSE)*88)/88*20</f>
        <v>0</v>
      </c>
      <c r="T97" s="68">
        <f>(VLOOKUP($A:$A,USD!$A:$AL,20,FALSE)*88)/88*20</f>
        <v>0</v>
      </c>
      <c r="U97" s="68">
        <f>(VLOOKUP($A:$A,USD!$A:$AL,21,FALSE)*88)/88*20</f>
        <v>226.52727272727273</v>
      </c>
      <c r="V97" s="68"/>
      <c r="W97" s="68">
        <f t="shared" si="11"/>
        <v>226.52727272727273</v>
      </c>
      <c r="X97" s="1">
        <f>(VLOOKUP($A:$A,USD!$A:$AL,24,FALSE)*88)/88*20</f>
        <v>52</v>
      </c>
      <c r="Y97" s="68">
        <f>(VLOOKUP($A:$A,USD!$A:$AL,25,FALSE)*88)/88*20</f>
        <v>50.4</v>
      </c>
      <c r="Z97" s="68">
        <f>(VLOOKUP($A:$A,USD!$A:$AL,26,FALSE)*88)/88*20</f>
        <v>26.25</v>
      </c>
      <c r="AB97" s="68">
        <f t="shared" si="12"/>
        <v>128.65</v>
      </c>
      <c r="AC97" s="68">
        <f>(VLOOKUP($A:$A,USD!$A:$AL,29,FALSE)*88)/88*20</f>
        <v>110.22727272727273</v>
      </c>
      <c r="AD97" s="68">
        <f>(VLOOKUP($A:$A,USD!$A:$AL,30,FALSE)*88)/88*20</f>
        <v>107.04545454545455</v>
      </c>
      <c r="AF97" s="68">
        <f t="shared" si="13"/>
        <v>217.27272727272728</v>
      </c>
      <c r="AG97" s="87">
        <f>(VLOOKUP($A:$A,USD!$A:$AL,33,FALSE)*88)/88*20</f>
        <v>28.814300000000003</v>
      </c>
      <c r="AH97" s="68">
        <f>(VLOOKUP($A:$A,USD!$A:$AL,34,FALSE)*88)/88*20</f>
        <v>6.973140495867769</v>
      </c>
      <c r="AI97" s="87">
        <f>(VLOOKUP($A:$A,USD!$A:$AL,35,FALSE)*88)/88*20</f>
        <v>12.587317427197677</v>
      </c>
      <c r="AJ97" s="87">
        <f>(VLOOKUP($A:$A,USD!$A:$AL,36,FALSE)*88)/88*20</f>
        <v>6.7351999999999999</v>
      </c>
      <c r="AL97" s="68">
        <f t="shared" si="14"/>
        <v>55.109957923065444</v>
      </c>
      <c r="AM97" s="87">
        <f>(VLOOKUP($A:$A,USD!$A:$AR,39,FALSE)*88)/88*20</f>
        <v>79.999999999999986</v>
      </c>
      <c r="AN97" s="68">
        <f>(VLOOKUP($A:$A,USD!$A:$AR,40,FALSE)*88)/88*20</f>
        <v>26.17808219178082</v>
      </c>
      <c r="AO97" s="1">
        <f>(VLOOKUP($A:$A,USD!$A:$AR,41,FALSE)*88)/88*20</f>
        <v>0</v>
      </c>
      <c r="AR97" s="1">
        <f t="shared" si="15"/>
        <v>106.1780821917808</v>
      </c>
      <c r="AS97" s="38">
        <f t="shared" si="16"/>
        <v>771.65470678151291</v>
      </c>
      <c r="AT97" s="38">
        <f t="shared" si="17"/>
        <v>1023.6547067815129</v>
      </c>
      <c r="AW97" s="1">
        <f>(VLOOKUP(A:A,USD!A:AT,46,FALSE)*88)/88*20</f>
        <v>466.40909090909082</v>
      </c>
      <c r="AX97" s="1">
        <f>(VLOOKUP(A:A,USD!A:AU,47,FALSE)*88)/88*20</f>
        <v>326.7045454545455</v>
      </c>
    </row>
    <row r="98" spans="1:50" hidden="1">
      <c r="A98" s="1">
        <v>254002</v>
      </c>
      <c r="B98" s="1" t="s">
        <v>277</v>
      </c>
      <c r="C98" s="1" t="s">
        <v>278</v>
      </c>
      <c r="D98" s="1" t="s">
        <v>76</v>
      </c>
      <c r="E98" s="1" t="str">
        <f>VLOOKUP(A:A,USD!A:E,5,FALSE)</f>
        <v>GA 30 Day</v>
      </c>
      <c r="F98" s="1" t="str">
        <f>VLOOKUP(A:A,USD!A:F,6,FALSE)</f>
        <v>ER5</v>
      </c>
      <c r="G98" s="1" t="str">
        <f>VLOOKUP(A:A,'Regions and Ports'!A:G,7,FALSE)</f>
        <v>Savannah</v>
      </c>
      <c r="H98" s="1">
        <f>VLOOKUP(A:A,USD!A:R,8,FALSE)</f>
        <v>1</v>
      </c>
      <c r="I98" s="87">
        <f>(VLOOKUP($A:$A,USD!$A:$AL,9,FALSE)*88)/88*20</f>
        <v>0</v>
      </c>
      <c r="J98" s="87">
        <f>(VLOOKUP($A:$A,USD!$A:$AL,10,FALSE)*88)/88*20</f>
        <v>0</v>
      </c>
      <c r="K98" s="87">
        <f>(VLOOKUP($A:$A,USD!$A:$AL,11,FALSE)*88)/88*20</f>
        <v>0</v>
      </c>
      <c r="L98" s="87">
        <f>(VLOOKUP($A:$A,USD!$A:$AL,12,FALSE)*88)/88*20</f>
        <v>0</v>
      </c>
      <c r="M98" s="87">
        <f>(VLOOKUP($A:$A,USD!$A:$AL,13,FALSE)*88)/88*20</f>
        <v>0</v>
      </c>
      <c r="N98" s="87">
        <f>(VLOOKUP($A:$A,USD!$A:$AL,14,FALSE)*88)/88*20</f>
        <v>53</v>
      </c>
      <c r="O98" s="68">
        <f>(VLOOKUP($A:$A,USD!$A:$AL,15,FALSE)*88)/88*20</f>
        <v>37.916666666666671</v>
      </c>
      <c r="P98" s="87">
        <f>(VLOOKUP($A:$A,USD!$A:$AL,16,FALSE)*88)/88*20</f>
        <v>0</v>
      </c>
      <c r="Q98" s="68">
        <f t="shared" si="9"/>
        <v>90.916666666666671</v>
      </c>
      <c r="R98" s="68">
        <f t="shared" si="10"/>
        <v>90.916666666666671</v>
      </c>
      <c r="S98" s="68">
        <f>(VLOOKUP($A:$A,USD!$A:$AL,19,FALSE)*88)/88*20</f>
        <v>0</v>
      </c>
      <c r="T98" s="68">
        <f>(VLOOKUP($A:$A,USD!$A:$AL,20,FALSE)*88)/88*20</f>
        <v>0</v>
      </c>
      <c r="U98" s="68">
        <f>(VLOOKUP($A:$A,USD!$A:$AL,21,FALSE)*88)/88*20</f>
        <v>270.49772727272727</v>
      </c>
      <c r="V98" s="68"/>
      <c r="W98" s="68">
        <f t="shared" si="11"/>
        <v>270.49772727272727</v>
      </c>
      <c r="X98" s="1">
        <f>(VLOOKUP($A:$A,USD!$A:$AL,24,FALSE)*88)/88*20</f>
        <v>52</v>
      </c>
      <c r="Y98" s="68">
        <f>(VLOOKUP($A:$A,USD!$A:$AL,25,FALSE)*88)/88*20</f>
        <v>50.4</v>
      </c>
      <c r="Z98" s="68">
        <f>(VLOOKUP($A:$A,USD!$A:$AL,26,FALSE)*88)/88*20</f>
        <v>26.25</v>
      </c>
      <c r="AB98" s="68">
        <f t="shared" si="12"/>
        <v>128.65</v>
      </c>
      <c r="AC98" s="68">
        <f>(VLOOKUP($A:$A,USD!$A:$AL,29,FALSE)*88)/88*20</f>
        <v>110.22727272727273</v>
      </c>
      <c r="AD98" s="68">
        <f>(VLOOKUP($A:$A,USD!$A:$AL,30,FALSE)*88)/88*20</f>
        <v>107.04545454545455</v>
      </c>
      <c r="AF98" s="68">
        <f t="shared" si="13"/>
        <v>217.27272727272728</v>
      </c>
      <c r="AG98" s="87">
        <f>(VLOOKUP($A:$A,USD!$A:$AL,33,FALSE)*88)/88*20</f>
        <v>28.814300000000003</v>
      </c>
      <c r="AH98" s="68">
        <f>(VLOOKUP($A:$A,USD!$A:$AL,34,FALSE)*88)/88*20</f>
        <v>6.973140495867769</v>
      </c>
      <c r="AI98" s="87">
        <f>(VLOOKUP($A:$A,USD!$A:$AL,35,FALSE)*88)/88*20</f>
        <v>12.587317427197677</v>
      </c>
      <c r="AJ98" s="87">
        <f>(VLOOKUP($A:$A,USD!$A:$AL,36,FALSE)*88)/88*20</f>
        <v>6.7351999999999999</v>
      </c>
      <c r="AL98" s="68">
        <f t="shared" si="14"/>
        <v>55.109957923065444</v>
      </c>
      <c r="AM98" s="87">
        <f>(VLOOKUP($A:$A,USD!$A:$AR,39,FALSE)*88)/88*20</f>
        <v>79.999999999999986</v>
      </c>
      <c r="AN98" s="68">
        <f>(VLOOKUP($A:$A,USD!$A:$AR,40,FALSE)*88)/88*20</f>
        <v>26.17808219178082</v>
      </c>
      <c r="AO98" s="1">
        <f>(VLOOKUP($A:$A,USD!$A:$AR,41,FALSE)*88)/88*20</f>
        <v>0</v>
      </c>
      <c r="AR98" s="1">
        <f t="shared" si="15"/>
        <v>106.1780821917808</v>
      </c>
      <c r="AS98" s="38">
        <f t="shared" si="16"/>
        <v>868.62516132696749</v>
      </c>
      <c r="AT98" s="38">
        <f t="shared" si="17"/>
        <v>868.62516132696749</v>
      </c>
      <c r="AW98" s="1">
        <f>(VLOOKUP(A:A,USD!A:AT,46,FALSE)*88)/88*20</f>
        <v>445.2590909090909</v>
      </c>
      <c r="AX98" s="1">
        <f>(VLOOKUP(A:A,USD!A:AU,47,FALSE)*88)/88*20</f>
        <v>336.93181818181819</v>
      </c>
    </row>
    <row r="99" spans="1:50">
      <c r="A99" s="1">
        <v>31400</v>
      </c>
      <c r="B99" s="1" t="s">
        <v>280</v>
      </c>
      <c r="C99" s="1" t="s">
        <v>281</v>
      </c>
      <c r="D99" s="1" t="s">
        <v>65</v>
      </c>
      <c r="E99" s="1" t="str">
        <f>VLOOKUP(A:A,USD!A:E,5,FALSE)</f>
        <v>Eastern Rule 5</v>
      </c>
      <c r="F99" s="1" t="str">
        <f>VLOOKUP(A:A,USD!A:F,6,FALSE)</f>
        <v>ER5</v>
      </c>
      <c r="G99" s="1" t="str">
        <f>VLOOKUP(A:A,'Regions and Ports'!A:G,7,FALSE)</f>
        <v>Savannah</v>
      </c>
      <c r="H99" s="1">
        <f>VLOOKUP(A:A,USD!A:R,8,FALSE)</f>
        <v>1</v>
      </c>
      <c r="I99" s="87">
        <f>(VLOOKUP($A:$A,USD!$A:$AL,9,FALSE)*88)/88*20</f>
        <v>90</v>
      </c>
      <c r="J99" s="87">
        <f>(VLOOKUP($A:$A,USD!$A:$AL,10,FALSE)*88)/88*20</f>
        <v>130</v>
      </c>
      <c r="K99" s="87">
        <f>(VLOOKUP($A:$A,USD!$A:$AL,11,FALSE)*88)/88*20</f>
        <v>0</v>
      </c>
      <c r="L99" s="87">
        <f>(VLOOKUP($A:$A,USD!$A:$AL,12,FALSE)*88)/88*20</f>
        <v>0</v>
      </c>
      <c r="M99" s="87">
        <f>(VLOOKUP($A:$A,USD!$A:$AL,13,FALSE)*88)/88*20</f>
        <v>10</v>
      </c>
      <c r="N99" s="87">
        <f>(VLOOKUP($A:$A,USD!$A:$AL,14,FALSE)*88)/88*20</f>
        <v>70</v>
      </c>
      <c r="O99" s="68">
        <f>(VLOOKUP($A:$A,USD!$A:$AL,15,FALSE)*88)/88*20</f>
        <v>37.916666666666671</v>
      </c>
      <c r="P99" s="87">
        <f>(VLOOKUP($A:$A,USD!$A:$AL,16,FALSE)*88)/88*20</f>
        <v>0</v>
      </c>
      <c r="Q99" s="68">
        <f t="shared" si="9"/>
        <v>337.91666666666669</v>
      </c>
      <c r="R99" s="68">
        <f t="shared" si="10"/>
        <v>107.91666666666667</v>
      </c>
      <c r="S99" s="68">
        <f>(VLOOKUP($A:$A,USD!$A:$AL,19,FALSE)*88)/88*20</f>
        <v>0</v>
      </c>
      <c r="T99" s="68">
        <f>(VLOOKUP($A:$A,USD!$A:$AL,20,FALSE)*88)/88*20</f>
        <v>0</v>
      </c>
      <c r="U99" s="68">
        <f>(VLOOKUP($A:$A,USD!$A:$AL,21,FALSE)*88)/88*20</f>
        <v>290.4829545454545</v>
      </c>
      <c r="V99" s="68"/>
      <c r="W99" s="68">
        <f t="shared" si="11"/>
        <v>290.4829545454545</v>
      </c>
      <c r="X99" s="1">
        <f>(VLOOKUP($A:$A,USD!$A:$AL,24,FALSE)*88)/88*20</f>
        <v>52</v>
      </c>
      <c r="Y99" s="68">
        <f>(VLOOKUP($A:$A,USD!$A:$AL,25,FALSE)*88)/88*20</f>
        <v>50.4</v>
      </c>
      <c r="Z99" s="68">
        <f>(VLOOKUP($A:$A,USD!$A:$AL,26,FALSE)*88)/88*20</f>
        <v>26.25</v>
      </c>
      <c r="AB99" s="68">
        <f t="shared" si="12"/>
        <v>128.65</v>
      </c>
      <c r="AC99" s="68">
        <f>(VLOOKUP($A:$A,USD!$A:$AL,29,FALSE)*88)/88*20</f>
        <v>110.22727272727273</v>
      </c>
      <c r="AD99" s="68">
        <f>(VLOOKUP($A:$A,USD!$A:$AL,30,FALSE)*88)/88*20</f>
        <v>107.04545454545455</v>
      </c>
      <c r="AF99" s="68">
        <f t="shared" si="13"/>
        <v>217.27272727272728</v>
      </c>
      <c r="AG99" s="87">
        <f>(VLOOKUP($A:$A,USD!$A:$AL,33,FALSE)*88)/88*20</f>
        <v>28.814300000000003</v>
      </c>
      <c r="AH99" s="68">
        <f>(VLOOKUP($A:$A,USD!$A:$AL,34,FALSE)*88)/88*20</f>
        <v>6.973140495867769</v>
      </c>
      <c r="AI99" s="87">
        <f>(VLOOKUP($A:$A,USD!$A:$AL,35,FALSE)*88)/88*20</f>
        <v>12.587317427197677</v>
      </c>
      <c r="AJ99" s="87">
        <f>(VLOOKUP($A:$A,USD!$A:$AL,36,FALSE)*88)/88*20</f>
        <v>6.7351999999999999</v>
      </c>
      <c r="AL99" s="68">
        <f t="shared" si="14"/>
        <v>55.109957923065444</v>
      </c>
      <c r="AM99" s="87">
        <f>(VLOOKUP($A:$A,USD!$A:$AR,39,FALSE)*88)/88*20</f>
        <v>79.999999999999986</v>
      </c>
      <c r="AN99" s="68">
        <f>(VLOOKUP($A:$A,USD!$A:$AR,40,FALSE)*88)/88*20</f>
        <v>26.17808219178082</v>
      </c>
      <c r="AO99" s="1">
        <f>(VLOOKUP($A:$A,USD!$A:$AR,41,FALSE)*88)/88*20</f>
        <v>0</v>
      </c>
      <c r="AR99" s="1">
        <f t="shared" si="15"/>
        <v>106.1780821917808</v>
      </c>
      <c r="AS99" s="38">
        <f t="shared" si="16"/>
        <v>905.61038859969472</v>
      </c>
      <c r="AT99" s="38">
        <f t="shared" si="17"/>
        <v>1135.6103885996947</v>
      </c>
      <c r="AW99" s="1" t="e">
        <f>(VLOOKUP(A:A,USD!A:AT,46,FALSE)*88)/88*20</f>
        <v>#N/A</v>
      </c>
      <c r="AX99" s="1">
        <f>(VLOOKUP(A:A,USD!A:AU,47,FALSE)*88)/88*20</f>
        <v>343.75</v>
      </c>
    </row>
    <row r="100" spans="1:50" hidden="1">
      <c r="A100" s="1">
        <v>255025</v>
      </c>
      <c r="B100" s="1" t="s">
        <v>283</v>
      </c>
      <c r="C100" s="1" t="s">
        <v>284</v>
      </c>
      <c r="D100" s="1" t="s">
        <v>76</v>
      </c>
      <c r="E100" s="1" t="str">
        <f>VLOOKUP(A:A,USD!A:E,5,FALSE)</f>
        <v>GA 30 Day</v>
      </c>
      <c r="F100" s="1" t="str">
        <f>VLOOKUP(A:A,USD!A:F,6,FALSE)</f>
        <v>ER5</v>
      </c>
      <c r="G100" s="1" t="str">
        <f>VLOOKUP(A:A,'Regions and Ports'!A:G,7,FALSE)</f>
        <v>Savannah</v>
      </c>
      <c r="H100" s="1">
        <f>VLOOKUP(A:A,USD!A:R,8,FALSE)</f>
        <v>4</v>
      </c>
      <c r="I100" s="87">
        <f>(VLOOKUP($A:$A,USD!$A:$AL,9,FALSE)*88)/88*20</f>
        <v>80</v>
      </c>
      <c r="J100" s="87">
        <f>(VLOOKUP($A:$A,USD!$A:$AL,10,FALSE)*88)/88*20</f>
        <v>120</v>
      </c>
      <c r="K100" s="87">
        <f>(VLOOKUP($A:$A,USD!$A:$AL,11,FALSE)*88)/88*20</f>
        <v>150</v>
      </c>
      <c r="L100" s="87">
        <f>(VLOOKUP($A:$A,USD!$A:$AL,12,FALSE)*88)/88*20</f>
        <v>0</v>
      </c>
      <c r="M100" s="87">
        <f>(VLOOKUP($A:$A,USD!$A:$AL,13,FALSE)*88)/88*20</f>
        <v>20</v>
      </c>
      <c r="N100" s="87">
        <f>(VLOOKUP($A:$A,USD!$A:$AL,14,FALSE)*88)/88*20</f>
        <v>60</v>
      </c>
      <c r="O100" s="68">
        <f>(VLOOKUP($A:$A,USD!$A:$AL,15,FALSE)*88)/88*20</f>
        <v>37.916666666666671</v>
      </c>
      <c r="P100" s="87">
        <f>(VLOOKUP($A:$A,USD!$A:$AL,16,FALSE)*88)/88*20</f>
        <v>0</v>
      </c>
      <c r="Q100" s="68">
        <f t="shared" si="9"/>
        <v>467.91666666666669</v>
      </c>
      <c r="R100" s="68">
        <f t="shared" si="10"/>
        <v>37.916666666666671</v>
      </c>
      <c r="S100" s="68">
        <f>(VLOOKUP($A:$A,USD!$A:$AL,19,FALSE)*88)/88*20</f>
        <v>0</v>
      </c>
      <c r="T100" s="68">
        <f>(VLOOKUP($A:$A,USD!$A:$AL,20,FALSE)*88)/88*20</f>
        <v>0</v>
      </c>
      <c r="U100" s="68">
        <f>(VLOOKUP($A:$A,USD!$A:$AL,21,FALSE)*88)/88*20</f>
        <v>190.6965909090909</v>
      </c>
      <c r="V100" s="68"/>
      <c r="W100" s="68">
        <f t="shared" si="11"/>
        <v>190.6965909090909</v>
      </c>
      <c r="X100" s="1">
        <f>(VLOOKUP($A:$A,USD!$A:$AL,24,FALSE)*88)/88*20</f>
        <v>52</v>
      </c>
      <c r="Y100" s="68">
        <f>(VLOOKUP($A:$A,USD!$A:$AL,25,FALSE)*88)/88*20</f>
        <v>50.4</v>
      </c>
      <c r="Z100" s="68">
        <f>(VLOOKUP($A:$A,USD!$A:$AL,26,FALSE)*88)/88*20</f>
        <v>26.25</v>
      </c>
      <c r="AB100" s="68">
        <f t="shared" si="12"/>
        <v>128.65</v>
      </c>
      <c r="AC100" s="68">
        <f>(VLOOKUP($A:$A,USD!$A:$AL,29,FALSE)*88)/88*20</f>
        <v>110.22727272727273</v>
      </c>
      <c r="AD100" s="68">
        <f>(VLOOKUP($A:$A,USD!$A:$AL,30,FALSE)*88)/88*20</f>
        <v>107.04545454545455</v>
      </c>
      <c r="AF100" s="68">
        <f t="shared" si="13"/>
        <v>217.27272727272728</v>
      </c>
      <c r="AG100" s="87">
        <f>(VLOOKUP($A:$A,USD!$A:$AL,33,FALSE)*88)/88*20</f>
        <v>28.814300000000003</v>
      </c>
      <c r="AH100" s="68">
        <f>(VLOOKUP($A:$A,USD!$A:$AL,34,FALSE)*88)/88*20</f>
        <v>6.973140495867769</v>
      </c>
      <c r="AI100" s="87">
        <f>(VLOOKUP($A:$A,USD!$A:$AL,35,FALSE)*88)/88*20</f>
        <v>12.587317427197677</v>
      </c>
      <c r="AJ100" s="87">
        <f>(VLOOKUP($A:$A,USD!$A:$AL,36,FALSE)*88)/88*20</f>
        <v>6.7351999999999999</v>
      </c>
      <c r="AL100" s="68">
        <f t="shared" si="14"/>
        <v>55.109957923065444</v>
      </c>
      <c r="AM100" s="87">
        <f>(VLOOKUP($A:$A,USD!$A:$AR,39,FALSE)*88)/88*20</f>
        <v>79.999999999999986</v>
      </c>
      <c r="AN100" s="68">
        <f>(VLOOKUP($A:$A,USD!$A:$AR,40,FALSE)*88)/88*20</f>
        <v>26.17808219178082</v>
      </c>
      <c r="AO100" s="1">
        <f>(VLOOKUP($A:$A,USD!$A:$AR,41,FALSE)*88)/88*20</f>
        <v>0</v>
      </c>
      <c r="AR100" s="1">
        <f t="shared" si="15"/>
        <v>106.1780821917808</v>
      </c>
      <c r="AS100" s="38">
        <f t="shared" si="16"/>
        <v>735.82402496333111</v>
      </c>
      <c r="AT100" s="38">
        <f t="shared" si="17"/>
        <v>1165.8240249633311</v>
      </c>
      <c r="AW100" s="1">
        <f>(VLOOKUP(A:A,USD!A:AT,46,FALSE)*88)/88*20</f>
        <v>517.68181818181813</v>
      </c>
      <c r="AX100" s="1">
        <f>(VLOOKUP(A:A,USD!A:AU,47,FALSE)*88)/88*20</f>
        <v>323.2954545454545</v>
      </c>
    </row>
    <row r="101" spans="1:50" hidden="1">
      <c r="A101" s="1">
        <v>255005</v>
      </c>
      <c r="B101" s="1" t="s">
        <v>286</v>
      </c>
      <c r="C101" s="1" t="s">
        <v>287</v>
      </c>
      <c r="D101" s="1" t="s">
        <v>76</v>
      </c>
      <c r="E101" s="1" t="str">
        <f>VLOOKUP(A:A,USD!A:E,5,FALSE)</f>
        <v>GA 30 Day</v>
      </c>
      <c r="F101" s="1" t="str">
        <f>VLOOKUP(A:A,USD!A:F,6,FALSE)</f>
        <v>ER5</v>
      </c>
      <c r="G101" s="1" t="str">
        <f>VLOOKUP(A:A,'Regions and Ports'!A:G,7,FALSE)</f>
        <v>Savannah</v>
      </c>
      <c r="H101" s="1">
        <f>VLOOKUP(A:A,USD!A:R,8,FALSE)</f>
        <v>4</v>
      </c>
      <c r="I101" s="87">
        <f>(VLOOKUP($A:$A,USD!$A:$AL,9,FALSE)*88)/88*20</f>
        <v>60</v>
      </c>
      <c r="J101" s="87">
        <f>(VLOOKUP($A:$A,USD!$A:$AL,10,FALSE)*88)/88*20</f>
        <v>100</v>
      </c>
      <c r="K101" s="87">
        <f>(VLOOKUP($A:$A,USD!$A:$AL,11,FALSE)*88)/88*20</f>
        <v>150</v>
      </c>
      <c r="L101" s="87">
        <f>(VLOOKUP($A:$A,USD!$A:$AL,12,FALSE)*88)/88*20</f>
        <v>0</v>
      </c>
      <c r="M101" s="87">
        <f>(VLOOKUP($A:$A,USD!$A:$AL,13,FALSE)*88)/88*20</f>
        <v>20</v>
      </c>
      <c r="N101" s="87">
        <f>(VLOOKUP($A:$A,USD!$A:$AL,14,FALSE)*88)/88*20</f>
        <v>60</v>
      </c>
      <c r="O101" s="68">
        <f>(VLOOKUP($A:$A,USD!$A:$AL,15,FALSE)*88)/88*20</f>
        <v>37.916666666666671</v>
      </c>
      <c r="P101" s="87">
        <f>(VLOOKUP($A:$A,USD!$A:$AL,16,FALSE)*88)/88*20</f>
        <v>0</v>
      </c>
      <c r="Q101" s="68">
        <f t="shared" si="9"/>
        <v>427.91666666666669</v>
      </c>
      <c r="R101" s="68">
        <f t="shared" si="10"/>
        <v>37.916666666666671</v>
      </c>
      <c r="S101" s="68">
        <f>(VLOOKUP($A:$A,USD!$A:$AL,19,FALSE)*88)/88*20</f>
        <v>0</v>
      </c>
      <c r="T101" s="68">
        <f>(VLOOKUP($A:$A,USD!$A:$AL,20,FALSE)*88)/88*20</f>
        <v>0</v>
      </c>
      <c r="U101" s="68">
        <f>(VLOOKUP($A:$A,USD!$A:$AL,21,FALSE)*88)/88*20</f>
        <v>190.6965909090909</v>
      </c>
      <c r="V101" s="68"/>
      <c r="W101" s="68">
        <f t="shared" si="11"/>
        <v>190.6965909090909</v>
      </c>
      <c r="X101" s="1">
        <f>(VLOOKUP($A:$A,USD!$A:$AL,24,FALSE)*88)/88*20</f>
        <v>52</v>
      </c>
      <c r="Y101" s="68">
        <f>(VLOOKUP($A:$A,USD!$A:$AL,25,FALSE)*88)/88*20</f>
        <v>50.4</v>
      </c>
      <c r="Z101" s="68">
        <f>(VLOOKUP($A:$A,USD!$A:$AL,26,FALSE)*88)/88*20</f>
        <v>26.25</v>
      </c>
      <c r="AB101" s="68">
        <f t="shared" si="12"/>
        <v>128.65</v>
      </c>
      <c r="AC101" s="68">
        <f>(VLOOKUP($A:$A,USD!$A:$AL,29,FALSE)*88)/88*20</f>
        <v>110.22727272727273</v>
      </c>
      <c r="AD101" s="68">
        <f>(VLOOKUP($A:$A,USD!$A:$AL,30,FALSE)*88)/88*20</f>
        <v>107.04545454545455</v>
      </c>
      <c r="AF101" s="68">
        <f t="shared" si="13"/>
        <v>217.27272727272728</v>
      </c>
      <c r="AG101" s="87">
        <f>(VLOOKUP($A:$A,USD!$A:$AL,33,FALSE)*88)/88*20</f>
        <v>28.814300000000003</v>
      </c>
      <c r="AH101" s="68">
        <f>(VLOOKUP($A:$A,USD!$A:$AL,34,FALSE)*88)/88*20</f>
        <v>6.973140495867769</v>
      </c>
      <c r="AI101" s="87">
        <f>(VLOOKUP($A:$A,USD!$A:$AL,35,FALSE)*88)/88*20</f>
        <v>12.587317427197677</v>
      </c>
      <c r="AJ101" s="87">
        <f>(VLOOKUP($A:$A,USD!$A:$AL,36,FALSE)*88)/88*20</f>
        <v>6.7351999999999999</v>
      </c>
      <c r="AL101" s="68">
        <f t="shared" si="14"/>
        <v>55.109957923065444</v>
      </c>
      <c r="AM101" s="87">
        <f>(VLOOKUP($A:$A,USD!$A:$AR,39,FALSE)*88)/88*20</f>
        <v>79.999999999999986</v>
      </c>
      <c r="AN101" s="68">
        <f>(VLOOKUP($A:$A,USD!$A:$AR,40,FALSE)*88)/88*20</f>
        <v>26.17808219178082</v>
      </c>
      <c r="AO101" s="1">
        <f>(VLOOKUP($A:$A,USD!$A:$AR,41,FALSE)*88)/88*20</f>
        <v>0</v>
      </c>
      <c r="AR101" s="1">
        <f t="shared" si="15"/>
        <v>106.1780821917808</v>
      </c>
      <c r="AS101" s="38">
        <f t="shared" si="16"/>
        <v>735.82402496333111</v>
      </c>
      <c r="AT101" s="38">
        <f t="shared" si="17"/>
        <v>1125.8240249633311</v>
      </c>
      <c r="AW101" s="1">
        <f>(VLOOKUP(A:A,USD!A:AT,46,FALSE)*88)/88*20</f>
        <v>517.68181818181813</v>
      </c>
      <c r="AX101" s="1">
        <f>(VLOOKUP(A:A,USD!A:AU,47,FALSE)*88)/88*20</f>
        <v>323.2954545454545</v>
      </c>
    </row>
    <row r="102" spans="1:50" hidden="1">
      <c r="A102" s="1">
        <v>256030</v>
      </c>
      <c r="B102" s="1" t="s">
        <v>288</v>
      </c>
      <c r="C102" s="1" t="s">
        <v>289</v>
      </c>
      <c r="D102" s="1" t="s">
        <v>76</v>
      </c>
      <c r="E102" s="1" t="str">
        <f>VLOOKUP(A:A,USD!A:E,5,FALSE)</f>
        <v>GA 30 Day</v>
      </c>
      <c r="F102" s="1" t="str">
        <f>VLOOKUP(A:A,USD!A:F,6,FALSE)</f>
        <v>ER5</v>
      </c>
      <c r="G102" s="1" t="str">
        <f>VLOOKUP(A:A,'Regions and Ports'!A:G,7,FALSE)</f>
        <v>Savannah</v>
      </c>
      <c r="H102" s="1">
        <f>VLOOKUP(A:A,USD!A:R,8,FALSE)</f>
        <v>4</v>
      </c>
      <c r="I102" s="87">
        <f>(VLOOKUP($A:$A,USD!$A:$AL,9,FALSE)*88)/88*20</f>
        <v>80</v>
      </c>
      <c r="J102" s="87">
        <f>(VLOOKUP($A:$A,USD!$A:$AL,10,FALSE)*88)/88*20</f>
        <v>100</v>
      </c>
      <c r="K102" s="87">
        <f>(VLOOKUP($A:$A,USD!$A:$AL,11,FALSE)*88)/88*20</f>
        <v>0</v>
      </c>
      <c r="L102" s="87">
        <f>(VLOOKUP($A:$A,USD!$A:$AL,12,FALSE)*88)/88*20</f>
        <v>0</v>
      </c>
      <c r="M102" s="87">
        <f>(VLOOKUP($A:$A,USD!$A:$AL,13,FALSE)*88)/88*20</f>
        <v>30</v>
      </c>
      <c r="N102" s="87">
        <f>(VLOOKUP($A:$A,USD!$A:$AL,14,FALSE)*88)/88*20</f>
        <v>64</v>
      </c>
      <c r="O102" s="68">
        <f>(VLOOKUP($A:$A,USD!$A:$AL,15,FALSE)*88)/88*20</f>
        <v>37.916666666666671</v>
      </c>
      <c r="P102" s="87">
        <f>(VLOOKUP($A:$A,USD!$A:$AL,16,FALSE)*88)/88*20</f>
        <v>0</v>
      </c>
      <c r="Q102" s="68">
        <f t="shared" si="9"/>
        <v>311.91666666666669</v>
      </c>
      <c r="R102" s="68">
        <f t="shared" si="10"/>
        <v>37.916666666666671</v>
      </c>
      <c r="S102" s="68">
        <f>(VLOOKUP($A:$A,USD!$A:$AL,19,FALSE)*88)/88*20</f>
        <v>0</v>
      </c>
      <c r="T102" s="68">
        <f>(VLOOKUP($A:$A,USD!$A:$AL,20,FALSE)*88)/88*20</f>
        <v>0</v>
      </c>
      <c r="U102" s="68">
        <f>(VLOOKUP($A:$A,USD!$A:$AL,21,FALSE)*88)/88*20</f>
        <v>194.60227272727275</v>
      </c>
      <c r="V102" s="68"/>
      <c r="W102" s="68">
        <f t="shared" si="11"/>
        <v>194.60227272727275</v>
      </c>
      <c r="X102" s="1">
        <f>(VLOOKUP($A:$A,USD!$A:$AL,24,FALSE)*88)/88*20</f>
        <v>52</v>
      </c>
      <c r="Y102" s="68">
        <f>(VLOOKUP($A:$A,USD!$A:$AL,25,FALSE)*88)/88*20</f>
        <v>50.4</v>
      </c>
      <c r="Z102" s="68">
        <f>(VLOOKUP($A:$A,USD!$A:$AL,26,FALSE)*88)/88*20</f>
        <v>26.25</v>
      </c>
      <c r="AB102" s="68">
        <f t="shared" si="12"/>
        <v>128.65</v>
      </c>
      <c r="AC102" s="68">
        <f>(VLOOKUP($A:$A,USD!$A:$AL,29,FALSE)*88)/88*20</f>
        <v>110.22727272727273</v>
      </c>
      <c r="AD102" s="68">
        <f>(VLOOKUP($A:$A,USD!$A:$AL,30,FALSE)*88)/88*20</f>
        <v>107.04545454545455</v>
      </c>
      <c r="AF102" s="68">
        <f t="shared" si="13"/>
        <v>217.27272727272728</v>
      </c>
      <c r="AG102" s="87">
        <f>(VLOOKUP($A:$A,USD!$A:$AL,33,FALSE)*88)/88*20</f>
        <v>28.814300000000003</v>
      </c>
      <c r="AH102" s="68">
        <f>(VLOOKUP($A:$A,USD!$A:$AL,34,FALSE)*88)/88*20</f>
        <v>6.973140495867769</v>
      </c>
      <c r="AI102" s="87">
        <f>(VLOOKUP($A:$A,USD!$A:$AL,35,FALSE)*88)/88*20</f>
        <v>12.587317427197677</v>
      </c>
      <c r="AJ102" s="87">
        <f>(VLOOKUP($A:$A,USD!$A:$AL,36,FALSE)*88)/88*20</f>
        <v>6.7351999999999999</v>
      </c>
      <c r="AL102" s="68">
        <f t="shared" si="14"/>
        <v>55.109957923065444</v>
      </c>
      <c r="AM102" s="87">
        <f>(VLOOKUP($A:$A,USD!$A:$AR,39,FALSE)*88)/88*20</f>
        <v>79.999999999999986</v>
      </c>
      <c r="AN102" s="68">
        <f>(VLOOKUP($A:$A,USD!$A:$AR,40,FALSE)*88)/88*20</f>
        <v>26.17808219178082</v>
      </c>
      <c r="AO102" s="1">
        <f>(VLOOKUP($A:$A,USD!$A:$AR,41,FALSE)*88)/88*20</f>
        <v>0</v>
      </c>
      <c r="AR102" s="1">
        <f t="shared" si="15"/>
        <v>106.1780821917808</v>
      </c>
      <c r="AS102" s="38">
        <f t="shared" si="16"/>
        <v>739.72970678151296</v>
      </c>
      <c r="AT102" s="38">
        <f t="shared" si="17"/>
        <v>1013.729706781513</v>
      </c>
      <c r="AW102" s="1">
        <f>(VLOOKUP(A:A,USD!A:AT,46,FALSE)*88)/88*20</f>
        <v>542.67727272727268</v>
      </c>
      <c r="AX102" s="1">
        <f>(VLOOKUP(A:A,USD!A:AU,47,FALSE)*88)/88*20</f>
        <v>255.11363636363637</v>
      </c>
    </row>
    <row r="103" spans="1:50" hidden="1">
      <c r="A103" s="1">
        <v>137001</v>
      </c>
      <c r="B103" s="1" t="s">
        <v>290</v>
      </c>
      <c r="C103" s="1" t="s">
        <v>291</v>
      </c>
      <c r="D103" s="1" t="s">
        <v>149</v>
      </c>
      <c r="E103" s="1" t="str">
        <f>VLOOKUP(A:A,USD!A:E,5,FALSE)</f>
        <v>Memphis Rule 5</v>
      </c>
      <c r="F103" s="1" t="str">
        <f>VLOOKUP(A:A,USD!A:F,6,FALSE)</f>
        <v>MR5</v>
      </c>
      <c r="G103" s="1" t="str">
        <f>VLOOKUP(A:A,'Regions and Ports'!A:G,7,FALSE)</f>
        <v>Memphis</v>
      </c>
      <c r="H103" s="1">
        <f>VLOOKUP(A:A,USD!A:R,8,FALSE)</f>
        <v>1</v>
      </c>
      <c r="I103" s="87">
        <f>(VLOOKUP($A:$A,USD!$A:$AL,9,FALSE)*88)/88*20</f>
        <v>13</v>
      </c>
      <c r="J103" s="87">
        <f>(VLOOKUP($A:$A,USD!$A:$AL,10,FALSE)*88)/88*20</f>
        <v>380</v>
      </c>
      <c r="K103" s="87">
        <f>(VLOOKUP($A:$A,USD!$A:$AL,11,FALSE)*88)/88*20</f>
        <v>0</v>
      </c>
      <c r="L103" s="87">
        <f>(VLOOKUP($A:$A,USD!$A:$AL,12,FALSE)*88)/88*20</f>
        <v>61</v>
      </c>
      <c r="M103" s="87">
        <f>(VLOOKUP($A:$A,USD!$A:$AL,13,FALSE)*88)/88*20</f>
        <v>10</v>
      </c>
      <c r="N103" s="87">
        <f>(VLOOKUP($A:$A,USD!$A:$AL,14,FALSE)*88)/88*20</f>
        <v>134</v>
      </c>
      <c r="O103" s="68">
        <f>(VLOOKUP($A:$A,USD!$A:$AL,15,FALSE)*88)/88*20</f>
        <v>37.916666666666671</v>
      </c>
      <c r="P103" s="87">
        <f>(VLOOKUP($A:$A,USD!$A:$AL,16,FALSE)*88)/88*20</f>
        <v>0</v>
      </c>
      <c r="Q103" s="68">
        <f t="shared" si="9"/>
        <v>635.91666666666663</v>
      </c>
      <c r="R103" s="68">
        <f t="shared" si="10"/>
        <v>171.91666666666669</v>
      </c>
      <c r="S103" s="68">
        <f>(VLOOKUP($A:$A,USD!$A:$AL,19,FALSE)*88)/88*20</f>
        <v>0</v>
      </c>
      <c r="T103" s="68">
        <f>(VLOOKUP($A:$A,USD!$A:$AL,20,FALSE)*88)/88*20</f>
        <v>50</v>
      </c>
      <c r="U103" s="68">
        <f>(VLOOKUP($A:$A,USD!$A:$AL,21,FALSE)*88)/88*20</f>
        <v>255.11363636363637</v>
      </c>
      <c r="V103" s="68"/>
      <c r="W103" s="68">
        <f t="shared" si="11"/>
        <v>305.11363636363637</v>
      </c>
      <c r="X103" s="1">
        <f>(VLOOKUP($A:$A,USD!$A:$AL,24,FALSE)*88)/88*20</f>
        <v>50</v>
      </c>
      <c r="Y103" s="68">
        <f>(VLOOKUP($A:$A,USD!$A:$AL,25,FALSE)*88)/88*20</f>
        <v>33.6</v>
      </c>
      <c r="Z103" s="68">
        <f>(VLOOKUP($A:$A,USD!$A:$AL,26,FALSE)*88)/88*20</f>
        <v>26.25</v>
      </c>
      <c r="AB103" s="68">
        <f t="shared" si="12"/>
        <v>109.85</v>
      </c>
      <c r="AC103" s="68">
        <f>(VLOOKUP($A:$A,USD!$A:$AL,29,FALSE)*88)/88*20</f>
        <v>146.02272727272725</v>
      </c>
      <c r="AD103" s="68">
        <f>(VLOOKUP($A:$A,USD!$A:$AL,30,FALSE)*88)/88*20</f>
        <v>182.72727272727275</v>
      </c>
      <c r="AF103" s="68">
        <f t="shared" si="13"/>
        <v>328.75</v>
      </c>
      <c r="AG103" s="87">
        <f>(VLOOKUP($A:$A,USD!$A:$AL,33,FALSE)*88)/88*20</f>
        <v>28.814300000000003</v>
      </c>
      <c r="AH103" s="68">
        <f>(VLOOKUP($A:$A,USD!$A:$AL,34,FALSE)*88)/88*20</f>
        <v>6.973140495867769</v>
      </c>
      <c r="AI103" s="87">
        <f>(VLOOKUP($A:$A,USD!$A:$AL,35,FALSE)*88)/88*20</f>
        <v>12.587317427197677</v>
      </c>
      <c r="AJ103" s="87">
        <f>(VLOOKUP($A:$A,USD!$A:$AL,36,FALSE)*88)/88*20</f>
        <v>6.7351999999999999</v>
      </c>
      <c r="AL103" s="68">
        <f t="shared" si="14"/>
        <v>55.109957923065444</v>
      </c>
      <c r="AM103" s="87">
        <f>(VLOOKUP($A:$A,USD!$A:$AR,39,FALSE)*88)/88*20</f>
        <v>79.999999999999986</v>
      </c>
      <c r="AN103" s="68">
        <f>(VLOOKUP($A:$A,USD!$A:$AR,40,FALSE)*88)/88*20</f>
        <v>26.17808219178082</v>
      </c>
      <c r="AO103" s="1">
        <f>(VLOOKUP($A:$A,USD!$A:$AR,41,FALSE)*88)/88*20</f>
        <v>0</v>
      </c>
      <c r="AR103" s="1">
        <f t="shared" si="15"/>
        <v>106.1780821917808</v>
      </c>
      <c r="AS103" s="38">
        <f t="shared" si="16"/>
        <v>1076.9183431451493</v>
      </c>
      <c r="AT103" s="38">
        <f t="shared" si="17"/>
        <v>1540.918343145149</v>
      </c>
      <c r="AW103" s="1" t="e">
        <f>(VLOOKUP(A:A,USD!A:AT,46,FALSE)*88)/88*20</f>
        <v>#N/A</v>
      </c>
      <c r="AX103" s="1">
        <f>(VLOOKUP(A:A,USD!A:AU,47,FALSE)*88)/88*20</f>
        <v>616.47727272727275</v>
      </c>
    </row>
    <row r="104" spans="1:50" hidden="1">
      <c r="A104" s="1">
        <v>565545</v>
      </c>
      <c r="B104" s="1" t="s">
        <v>293</v>
      </c>
      <c r="C104" s="1" t="s">
        <v>294</v>
      </c>
      <c r="D104" s="1" t="s">
        <v>136</v>
      </c>
      <c r="E104" s="1" t="str">
        <f>VLOOKUP(A:A,USD!A:E,5,FALSE)</f>
        <v>Eastern Rule 5</v>
      </c>
      <c r="F104" s="1" t="str">
        <f>VLOOKUP(A:A,USD!A:F,6,FALSE)</f>
        <v>ER5</v>
      </c>
      <c r="G104" s="1" t="str">
        <f>VLOOKUP(A:A,'Regions and Ports'!A:G,7,FALSE)</f>
        <v>Savannah</v>
      </c>
      <c r="H104" s="1">
        <f>VLOOKUP(A:A,USD!A:R,8,FALSE)</f>
        <v>1</v>
      </c>
      <c r="I104" s="87">
        <f>(VLOOKUP($A:$A,USD!$A:$AL,9,FALSE)*88)/88*20</f>
        <v>60</v>
      </c>
      <c r="J104" s="87">
        <f>(VLOOKUP($A:$A,USD!$A:$AL,10,FALSE)*88)/88*20</f>
        <v>70</v>
      </c>
      <c r="K104" s="87">
        <f>(VLOOKUP($A:$A,USD!$A:$AL,11,FALSE)*88)/88*20</f>
        <v>0</v>
      </c>
      <c r="L104" s="87">
        <f>(VLOOKUP($A:$A,USD!$A:$AL,12,FALSE)*88)/88*20</f>
        <v>0</v>
      </c>
      <c r="M104" s="87">
        <f>(VLOOKUP($A:$A,USD!$A:$AL,13,FALSE)*88)/88*20</f>
        <v>0</v>
      </c>
      <c r="N104" s="87">
        <f>(VLOOKUP($A:$A,USD!$A:$AL,14,FALSE)*88)/88*20</f>
        <v>32</v>
      </c>
      <c r="O104" s="68">
        <f>(VLOOKUP($A:$A,USD!$A:$AL,15,FALSE)*88)/88*20</f>
        <v>37.916666666666671</v>
      </c>
      <c r="P104" s="87">
        <f>(VLOOKUP($A:$A,USD!$A:$AL,16,FALSE)*88)/88*20</f>
        <v>0</v>
      </c>
      <c r="Q104" s="68">
        <f t="shared" si="9"/>
        <v>199.91666666666669</v>
      </c>
      <c r="R104" s="68">
        <f t="shared" si="10"/>
        <v>69.916666666666671</v>
      </c>
      <c r="S104" s="68">
        <f>(VLOOKUP($A:$A,USD!$A:$AL,19,FALSE)*88)/88*20</f>
        <v>0</v>
      </c>
      <c r="T104" s="68">
        <f>(VLOOKUP($A:$A,USD!$A:$AL,20,FALSE)*88)/88*20</f>
        <v>0</v>
      </c>
      <c r="U104" s="68">
        <f>(VLOOKUP($A:$A,USD!$A:$AL,21,FALSE)*88)/88*20</f>
        <v>230.01420454545453</v>
      </c>
      <c r="V104" s="68"/>
      <c r="W104" s="68">
        <f t="shared" si="11"/>
        <v>230.01420454545453</v>
      </c>
      <c r="X104" s="1">
        <f>(VLOOKUP($A:$A,USD!$A:$AL,24,FALSE)*88)/88*20</f>
        <v>52</v>
      </c>
      <c r="Y104" s="68">
        <f>(VLOOKUP($A:$A,USD!$A:$AL,25,FALSE)*88)/88*20</f>
        <v>50.4</v>
      </c>
      <c r="Z104" s="68">
        <f>(VLOOKUP($A:$A,USD!$A:$AL,26,FALSE)*88)/88*20</f>
        <v>26.25</v>
      </c>
      <c r="AB104" s="68">
        <f t="shared" si="12"/>
        <v>128.65</v>
      </c>
      <c r="AC104" s="68">
        <f>(VLOOKUP($A:$A,USD!$A:$AL,29,FALSE)*88)/88*20</f>
        <v>110.22727272727273</v>
      </c>
      <c r="AD104" s="68">
        <f>(VLOOKUP($A:$A,USD!$A:$AL,30,FALSE)*88)/88*20</f>
        <v>107.04545454545455</v>
      </c>
      <c r="AF104" s="68">
        <f t="shared" si="13"/>
        <v>217.27272727272728</v>
      </c>
      <c r="AG104" s="87">
        <f>(VLOOKUP($A:$A,USD!$A:$AL,33,FALSE)*88)/88*20</f>
        <v>28.814300000000003</v>
      </c>
      <c r="AH104" s="68">
        <f>(VLOOKUP($A:$A,USD!$A:$AL,34,FALSE)*88)/88*20</f>
        <v>6.973140495867769</v>
      </c>
      <c r="AI104" s="87">
        <f>(VLOOKUP($A:$A,USD!$A:$AL,35,FALSE)*88)/88*20</f>
        <v>12.587317427197677</v>
      </c>
      <c r="AJ104" s="87">
        <f>(VLOOKUP($A:$A,USD!$A:$AL,36,FALSE)*88)/88*20</f>
        <v>6.7351999999999999</v>
      </c>
      <c r="AL104" s="68">
        <f t="shared" si="14"/>
        <v>55.109957923065444</v>
      </c>
      <c r="AM104" s="87">
        <f>(VLOOKUP($A:$A,USD!$A:$AR,39,FALSE)*88)/88*20</f>
        <v>79.999999999999986</v>
      </c>
      <c r="AN104" s="68">
        <f>(VLOOKUP($A:$A,USD!$A:$AR,40,FALSE)*88)/88*20</f>
        <v>26.17808219178082</v>
      </c>
      <c r="AO104" s="1">
        <f>(VLOOKUP($A:$A,USD!$A:$AR,41,FALSE)*88)/88*20</f>
        <v>0</v>
      </c>
      <c r="AR104" s="1">
        <f t="shared" si="15"/>
        <v>106.1780821917808</v>
      </c>
      <c r="AS104" s="38">
        <f t="shared" si="16"/>
        <v>807.14163859969472</v>
      </c>
      <c r="AT104" s="38">
        <f t="shared" si="17"/>
        <v>937.14163859969472</v>
      </c>
      <c r="AW104" s="1" t="e">
        <f>(VLOOKUP(A:A,USD!A:AT,46,FALSE)*88)/88*20</f>
        <v>#N/A</v>
      </c>
      <c r="AX104" s="1">
        <f>(VLOOKUP(A:A,USD!A:AU,47,FALSE)*88)/88*20</f>
        <v>222.72727272727275</v>
      </c>
    </row>
    <row r="105" spans="1:50" hidden="1">
      <c r="A105" s="1">
        <v>149500</v>
      </c>
      <c r="B105" s="1" t="s">
        <v>296</v>
      </c>
      <c r="C105" s="1" t="s">
        <v>297</v>
      </c>
      <c r="D105" s="1" t="s">
        <v>149</v>
      </c>
      <c r="E105" s="1" t="str">
        <f>VLOOKUP(A:A,USD!A:E,5,FALSE)</f>
        <v>Memphis Rule 5</v>
      </c>
      <c r="F105" s="1" t="str">
        <f>VLOOKUP(A:A,USD!A:F,6,FALSE)</f>
        <v>MR5</v>
      </c>
      <c r="G105" s="1" t="str">
        <f>VLOOKUP(A:A,'Regions and Ports'!A:G,7,FALSE)</f>
        <v>Memphis</v>
      </c>
      <c r="H105" s="1">
        <f>VLOOKUP(A:A,USD!A:R,8,FALSE)</f>
        <v>1</v>
      </c>
      <c r="I105" s="87">
        <f>(VLOOKUP($A:$A,USD!$A:$AL,9,FALSE)*88)/88*20</f>
        <v>30</v>
      </c>
      <c r="J105" s="87">
        <f>(VLOOKUP($A:$A,USD!$A:$AL,10,FALSE)*88)/88*20</f>
        <v>365</v>
      </c>
      <c r="K105" s="87">
        <f>(VLOOKUP($A:$A,USD!$A:$AL,11,FALSE)*88)/88*20</f>
        <v>0</v>
      </c>
      <c r="L105" s="87">
        <f>(VLOOKUP($A:$A,USD!$A:$AL,12,FALSE)*88)/88*20</f>
        <v>0</v>
      </c>
      <c r="M105" s="87">
        <f>(VLOOKUP($A:$A,USD!$A:$AL,13,FALSE)*88)/88*20</f>
        <v>0</v>
      </c>
      <c r="N105" s="87">
        <f>(VLOOKUP($A:$A,USD!$A:$AL,14,FALSE)*88)/88*20</f>
        <v>58</v>
      </c>
      <c r="O105" s="68">
        <f>(VLOOKUP($A:$A,USD!$A:$AL,15,FALSE)*88)/88*20</f>
        <v>37.916666666666671</v>
      </c>
      <c r="P105" s="87">
        <f>(VLOOKUP($A:$A,USD!$A:$AL,16,FALSE)*88)/88*20</f>
        <v>0</v>
      </c>
      <c r="Q105" s="68">
        <f t="shared" si="9"/>
        <v>490.91666666666669</v>
      </c>
      <c r="R105" s="68">
        <f t="shared" si="10"/>
        <v>95.916666666666671</v>
      </c>
      <c r="S105" s="68">
        <f>(VLOOKUP($A:$A,USD!$A:$AL,19,FALSE)*88)/88*20</f>
        <v>0</v>
      </c>
      <c r="T105" s="68">
        <f>(VLOOKUP($A:$A,USD!$A:$AL,20,FALSE)*88)/88*20</f>
        <v>0</v>
      </c>
      <c r="U105" s="68">
        <f>(VLOOKUP($A:$A,USD!$A:$AL,21,FALSE)*88)/88*20</f>
        <v>140.90909090909091</v>
      </c>
      <c r="V105" s="68"/>
      <c r="W105" s="68">
        <f t="shared" si="11"/>
        <v>140.90909090909091</v>
      </c>
      <c r="X105" s="1">
        <f>(VLOOKUP($A:$A,USD!$A:$AL,24,FALSE)*88)/88*20</f>
        <v>50</v>
      </c>
      <c r="Y105" s="68">
        <f>(VLOOKUP($A:$A,USD!$A:$AL,25,FALSE)*88)/88*20</f>
        <v>33.6</v>
      </c>
      <c r="Z105" s="68">
        <f>(VLOOKUP($A:$A,USD!$A:$AL,26,FALSE)*88)/88*20</f>
        <v>26.25</v>
      </c>
      <c r="AB105" s="68">
        <f t="shared" si="12"/>
        <v>109.85</v>
      </c>
      <c r="AC105" s="68">
        <f>(VLOOKUP($A:$A,USD!$A:$AL,29,FALSE)*88)/88*20</f>
        <v>146.02272727272725</v>
      </c>
      <c r="AD105" s="68">
        <f>(VLOOKUP($A:$A,USD!$A:$AL,30,FALSE)*88)/88*20</f>
        <v>182.72727272727275</v>
      </c>
      <c r="AF105" s="68">
        <f t="shared" si="13"/>
        <v>328.75</v>
      </c>
      <c r="AG105" s="87">
        <f>(VLOOKUP($A:$A,USD!$A:$AL,33,FALSE)*88)/88*20</f>
        <v>28.814300000000003</v>
      </c>
      <c r="AH105" s="68">
        <f>(VLOOKUP($A:$A,USD!$A:$AL,34,FALSE)*88)/88*20</f>
        <v>6.973140495867769</v>
      </c>
      <c r="AI105" s="87">
        <f>(VLOOKUP($A:$A,USD!$A:$AL,35,FALSE)*88)/88*20</f>
        <v>12.587317427197677</v>
      </c>
      <c r="AJ105" s="87">
        <f>(VLOOKUP($A:$A,USD!$A:$AL,36,FALSE)*88)/88*20</f>
        <v>6.7351999999999999</v>
      </c>
      <c r="AL105" s="68">
        <f t="shared" si="14"/>
        <v>55.109957923065444</v>
      </c>
      <c r="AM105" s="87">
        <f>(VLOOKUP($A:$A,USD!$A:$AR,39,FALSE)*88)/88*20</f>
        <v>79.999999999999986</v>
      </c>
      <c r="AN105" s="68">
        <f>(VLOOKUP($A:$A,USD!$A:$AR,40,FALSE)*88)/88*20</f>
        <v>26.17808219178082</v>
      </c>
      <c r="AO105" s="1">
        <f>(VLOOKUP($A:$A,USD!$A:$AR,41,FALSE)*88)/88*20</f>
        <v>0</v>
      </c>
      <c r="AR105" s="1">
        <f t="shared" si="15"/>
        <v>106.1780821917808</v>
      </c>
      <c r="AS105" s="38">
        <f t="shared" si="16"/>
        <v>836.71379769060377</v>
      </c>
      <c r="AT105" s="38">
        <f t="shared" si="17"/>
        <v>1231.7137976906038</v>
      </c>
      <c r="AW105" s="1" t="e">
        <f>(VLOOKUP(A:A,USD!A:AT,46,FALSE)*88)/88*20</f>
        <v>#N/A</v>
      </c>
      <c r="AX105" s="1" t="e">
        <f>(VLOOKUP(A:A,USD!A:AU,47,FALSE)*88)/88*20</f>
        <v>#N/A</v>
      </c>
    </row>
    <row r="106" spans="1:50">
      <c r="A106" s="1">
        <v>34512</v>
      </c>
      <c r="B106" s="1" t="s">
        <v>298</v>
      </c>
      <c r="C106" s="1" t="s">
        <v>299</v>
      </c>
      <c r="D106" s="1" t="s">
        <v>65</v>
      </c>
      <c r="E106" s="1" t="str">
        <f>VLOOKUP(A:A,USD!A:E,5,FALSE)</f>
        <v>Eastern Rule 5</v>
      </c>
      <c r="F106" s="1" t="str">
        <f>VLOOKUP(A:A,USD!A:F,6,FALSE)</f>
        <v>ER5</v>
      </c>
      <c r="G106" s="1" t="str">
        <f>VLOOKUP(A:A,'Regions and Ports'!A:G,7,FALSE)</f>
        <v>Savannah</v>
      </c>
      <c r="H106" s="1">
        <f>VLOOKUP(A:A,USD!A:R,8,FALSE)</f>
        <v>1</v>
      </c>
      <c r="I106" s="87">
        <f>(VLOOKUP($A:$A,USD!$A:$AL,9,FALSE)*88)/88*20</f>
        <v>70</v>
      </c>
      <c r="J106" s="87">
        <f>(VLOOKUP($A:$A,USD!$A:$AL,10,FALSE)*88)/88*20</f>
        <v>100</v>
      </c>
      <c r="K106" s="87">
        <f>(VLOOKUP($A:$A,USD!$A:$AL,11,FALSE)*88)/88*20</f>
        <v>0</v>
      </c>
      <c r="L106" s="87">
        <f>(VLOOKUP($A:$A,USD!$A:$AL,12,FALSE)*88)/88*20</f>
        <v>0</v>
      </c>
      <c r="M106" s="87">
        <f>(VLOOKUP($A:$A,USD!$A:$AL,13,FALSE)*88)/88*20</f>
        <v>10</v>
      </c>
      <c r="N106" s="87">
        <f>(VLOOKUP($A:$A,USD!$A:$AL,14,FALSE)*88)/88*20</f>
        <v>50</v>
      </c>
      <c r="O106" s="68">
        <f>(VLOOKUP($A:$A,USD!$A:$AL,15,FALSE)*88)/88*20</f>
        <v>37.916666666666671</v>
      </c>
      <c r="P106" s="87">
        <f>(VLOOKUP($A:$A,USD!$A:$AL,16,FALSE)*88)/88*20</f>
        <v>0</v>
      </c>
      <c r="Q106" s="68">
        <f t="shared" si="9"/>
        <v>267.91666666666669</v>
      </c>
      <c r="R106" s="68">
        <f t="shared" si="10"/>
        <v>87.916666666666671</v>
      </c>
      <c r="S106" s="68">
        <f>(VLOOKUP($A:$A,USD!$A:$AL,19,FALSE)*88)/88*20</f>
        <v>0</v>
      </c>
      <c r="T106" s="68">
        <f>(VLOOKUP($A:$A,USD!$A:$AL,20,FALSE)*88)/88*20</f>
        <v>0</v>
      </c>
      <c r="U106" s="68">
        <f>(VLOOKUP($A:$A,USD!$A:$AL,21,FALSE)*88)/88*20</f>
        <v>299.00568181818181</v>
      </c>
      <c r="V106" s="68"/>
      <c r="W106" s="68">
        <f t="shared" si="11"/>
        <v>299.00568181818181</v>
      </c>
      <c r="X106" s="1">
        <f>(VLOOKUP($A:$A,USD!$A:$AL,24,FALSE)*88)/88*20</f>
        <v>52</v>
      </c>
      <c r="Y106" s="68">
        <f>(VLOOKUP($A:$A,USD!$A:$AL,25,FALSE)*88)/88*20</f>
        <v>50.4</v>
      </c>
      <c r="Z106" s="68">
        <f>(VLOOKUP($A:$A,USD!$A:$AL,26,FALSE)*88)/88*20</f>
        <v>26.25</v>
      </c>
      <c r="AB106" s="68">
        <f t="shared" si="12"/>
        <v>128.65</v>
      </c>
      <c r="AC106" s="68">
        <f>(VLOOKUP($A:$A,USD!$A:$AL,29,FALSE)*88)/88*20</f>
        <v>110.22727272727273</v>
      </c>
      <c r="AD106" s="68">
        <f>(VLOOKUP($A:$A,USD!$A:$AL,30,FALSE)*88)/88*20</f>
        <v>107.04545454545455</v>
      </c>
      <c r="AF106" s="68">
        <f t="shared" si="13"/>
        <v>217.27272727272728</v>
      </c>
      <c r="AG106" s="87">
        <f>(VLOOKUP($A:$A,USD!$A:$AL,33,FALSE)*88)/88*20</f>
        <v>28.814300000000003</v>
      </c>
      <c r="AH106" s="68">
        <f>(VLOOKUP($A:$A,USD!$A:$AL,34,FALSE)*88)/88*20</f>
        <v>6.973140495867769</v>
      </c>
      <c r="AI106" s="87">
        <f>(VLOOKUP($A:$A,USD!$A:$AL,35,FALSE)*88)/88*20</f>
        <v>12.587317427197677</v>
      </c>
      <c r="AJ106" s="87">
        <f>(VLOOKUP($A:$A,USD!$A:$AL,36,FALSE)*88)/88*20</f>
        <v>6.7351999999999999</v>
      </c>
      <c r="AL106" s="68">
        <f t="shared" si="14"/>
        <v>55.109957923065444</v>
      </c>
      <c r="AM106" s="87">
        <f>(VLOOKUP($A:$A,USD!$A:$AR,39,FALSE)*88)/88*20</f>
        <v>79.999999999999986</v>
      </c>
      <c r="AN106" s="68">
        <f>(VLOOKUP($A:$A,USD!$A:$AR,40,FALSE)*88)/88*20</f>
        <v>26.17808219178082</v>
      </c>
      <c r="AO106" s="1">
        <f>(VLOOKUP($A:$A,USD!$A:$AR,41,FALSE)*88)/88*20</f>
        <v>0</v>
      </c>
      <c r="AR106" s="1">
        <f t="shared" si="15"/>
        <v>106.1780821917808</v>
      </c>
      <c r="AS106" s="38">
        <f t="shared" si="16"/>
        <v>894.13311587242197</v>
      </c>
      <c r="AT106" s="38">
        <f t="shared" si="17"/>
        <v>1074.133115872422</v>
      </c>
      <c r="AW106" s="1" t="e">
        <f>(VLOOKUP(A:A,USD!A:AT,46,FALSE)*88)/88*20</f>
        <v>#N/A</v>
      </c>
      <c r="AX106" s="1">
        <f>(VLOOKUP(A:A,USD!A:AU,47,FALSE)*88)/88*20</f>
        <v>309.65909090909088</v>
      </c>
    </row>
    <row r="107" spans="1:50" hidden="1">
      <c r="A107" s="1">
        <v>565807</v>
      </c>
      <c r="B107" s="1" t="s">
        <v>300</v>
      </c>
      <c r="C107" s="1" t="s">
        <v>301</v>
      </c>
      <c r="D107" s="1" t="s">
        <v>136</v>
      </c>
      <c r="E107" s="1" t="str">
        <f>VLOOKUP(A:A,USD!A:E,5,FALSE)</f>
        <v>Eastern Rule 5</v>
      </c>
      <c r="F107" s="1" t="str">
        <f>VLOOKUP(A:A,USD!A:F,6,FALSE)</f>
        <v>ER5</v>
      </c>
      <c r="G107" s="1" t="str">
        <f>VLOOKUP(A:A,'Regions and Ports'!A:G,7,FALSE)</f>
        <v>Savannah</v>
      </c>
      <c r="H107" s="1">
        <f>VLOOKUP(A:A,USD!A:R,8,FALSE)</f>
        <v>1</v>
      </c>
      <c r="I107" s="87">
        <f>(VLOOKUP($A:$A,USD!$A:$AL,9,FALSE)*88)/88*20</f>
        <v>80</v>
      </c>
      <c r="J107" s="87">
        <f>(VLOOKUP($A:$A,USD!$A:$AL,10,FALSE)*88)/88*20</f>
        <v>97</v>
      </c>
      <c r="K107" s="87">
        <f>(VLOOKUP($A:$A,USD!$A:$AL,11,FALSE)*88)/88*20</f>
        <v>0</v>
      </c>
      <c r="L107" s="87">
        <f>(VLOOKUP($A:$A,USD!$A:$AL,12,FALSE)*88)/88*20</f>
        <v>0</v>
      </c>
      <c r="M107" s="87">
        <f>(VLOOKUP($A:$A,USD!$A:$AL,13,FALSE)*88)/88*20</f>
        <v>0</v>
      </c>
      <c r="N107" s="87">
        <f>(VLOOKUP($A:$A,USD!$A:$AL,14,FALSE)*88)/88*20</f>
        <v>60</v>
      </c>
      <c r="O107" s="68">
        <f>(VLOOKUP($A:$A,USD!$A:$AL,15,FALSE)*88)/88*20</f>
        <v>37.916666666666671</v>
      </c>
      <c r="P107" s="87">
        <f>(VLOOKUP($A:$A,USD!$A:$AL,16,FALSE)*88)/88*20</f>
        <v>0</v>
      </c>
      <c r="Q107" s="68">
        <f t="shared" si="9"/>
        <v>274.91666666666669</v>
      </c>
      <c r="R107" s="68">
        <f t="shared" si="10"/>
        <v>97.916666666666671</v>
      </c>
      <c r="S107" s="68">
        <f>(VLOOKUP($A:$A,USD!$A:$AL,19,FALSE)*88)/88*20</f>
        <v>0</v>
      </c>
      <c r="T107" s="68">
        <f>(VLOOKUP($A:$A,USD!$A:$AL,20,FALSE)*88)/88*20</f>
        <v>0</v>
      </c>
      <c r="U107" s="68">
        <f>(VLOOKUP($A:$A,USD!$A:$AL,21,FALSE)*88)/88*20</f>
        <v>298.23522727272734</v>
      </c>
      <c r="V107" s="68"/>
      <c r="W107" s="68">
        <f t="shared" si="11"/>
        <v>298.23522727272734</v>
      </c>
      <c r="X107" s="1">
        <f>(VLOOKUP($A:$A,USD!$A:$AL,24,FALSE)*88)/88*20</f>
        <v>52</v>
      </c>
      <c r="Y107" s="68">
        <f>(VLOOKUP($A:$A,USD!$A:$AL,25,FALSE)*88)/88*20</f>
        <v>50.4</v>
      </c>
      <c r="Z107" s="68">
        <f>(VLOOKUP($A:$A,USD!$A:$AL,26,FALSE)*88)/88*20</f>
        <v>26.25</v>
      </c>
      <c r="AB107" s="68">
        <f t="shared" si="12"/>
        <v>128.65</v>
      </c>
      <c r="AC107" s="68">
        <f>(VLOOKUP($A:$A,USD!$A:$AL,29,FALSE)*88)/88*20</f>
        <v>110.22727272727273</v>
      </c>
      <c r="AD107" s="68">
        <f>(VLOOKUP($A:$A,USD!$A:$AL,30,FALSE)*88)/88*20</f>
        <v>107.04545454545455</v>
      </c>
      <c r="AF107" s="68">
        <f t="shared" si="13"/>
        <v>217.27272727272728</v>
      </c>
      <c r="AG107" s="87">
        <f>(VLOOKUP($A:$A,USD!$A:$AL,33,FALSE)*88)/88*20</f>
        <v>28.814300000000003</v>
      </c>
      <c r="AH107" s="68">
        <f>(VLOOKUP($A:$A,USD!$A:$AL,34,FALSE)*88)/88*20</f>
        <v>6.973140495867769</v>
      </c>
      <c r="AI107" s="87">
        <f>(VLOOKUP($A:$A,USD!$A:$AL,35,FALSE)*88)/88*20</f>
        <v>12.587317427197677</v>
      </c>
      <c r="AJ107" s="87">
        <f>(VLOOKUP($A:$A,USD!$A:$AL,36,FALSE)*88)/88*20</f>
        <v>6.7351999999999999</v>
      </c>
      <c r="AL107" s="68">
        <f t="shared" si="14"/>
        <v>55.109957923065444</v>
      </c>
      <c r="AM107" s="87">
        <f>(VLOOKUP($A:$A,USD!$A:$AR,39,FALSE)*88)/88*20</f>
        <v>79.999999999999986</v>
      </c>
      <c r="AN107" s="68">
        <f>(VLOOKUP($A:$A,USD!$A:$AR,40,FALSE)*88)/88*20</f>
        <v>26.17808219178082</v>
      </c>
      <c r="AO107" s="1">
        <f>(VLOOKUP($A:$A,USD!$A:$AR,41,FALSE)*88)/88*20</f>
        <v>0</v>
      </c>
      <c r="AR107" s="1">
        <f t="shared" si="15"/>
        <v>106.1780821917808</v>
      </c>
      <c r="AS107" s="38">
        <f t="shared" si="16"/>
        <v>903.36266132696755</v>
      </c>
      <c r="AT107" s="38">
        <f t="shared" si="17"/>
        <v>1080.3626613269676</v>
      </c>
      <c r="AW107" s="1" t="e">
        <f>(VLOOKUP(A:A,USD!A:AT,46,FALSE)*88)/88*20</f>
        <v>#N/A</v>
      </c>
      <c r="AX107" s="1">
        <f>(VLOOKUP(A:A,USD!A:AU,47,FALSE)*88)/88*20</f>
        <v>282.38636363636363</v>
      </c>
    </row>
    <row r="108" spans="1:50" hidden="1">
      <c r="A108" s="1">
        <v>566501</v>
      </c>
      <c r="B108" s="1" t="s">
        <v>303</v>
      </c>
      <c r="C108" s="1" t="s">
        <v>301</v>
      </c>
      <c r="D108" s="1" t="s">
        <v>136</v>
      </c>
      <c r="E108" s="1" t="str">
        <f>VLOOKUP(A:A,USD!A:E,5,FALSE)</f>
        <v>Eastern Rule 5</v>
      </c>
      <c r="F108" s="1" t="str">
        <f>VLOOKUP(A:A,USD!A:F,6,FALSE)</f>
        <v>ER5</v>
      </c>
      <c r="G108" s="1" t="str">
        <f>VLOOKUP(A:A,'Regions and Ports'!A:G,7,FALSE)</f>
        <v>Savannah</v>
      </c>
      <c r="H108" s="1">
        <f>VLOOKUP(A:A,USD!A:R,8,FALSE)</f>
        <v>1</v>
      </c>
      <c r="I108" s="87">
        <f>(VLOOKUP($A:$A,USD!$A:$AL,9,FALSE)*88)/88*20</f>
        <v>40</v>
      </c>
      <c r="J108" s="87">
        <f>(VLOOKUP($A:$A,USD!$A:$AL,10,FALSE)*88)/88*20</f>
        <v>80</v>
      </c>
      <c r="K108" s="87">
        <f>(VLOOKUP($A:$A,USD!$A:$AL,11,FALSE)*88)/88*20</f>
        <v>0</v>
      </c>
      <c r="L108" s="87">
        <f>(VLOOKUP($A:$A,USD!$A:$AL,12,FALSE)*88)/88*20</f>
        <v>0</v>
      </c>
      <c r="M108" s="87">
        <f>(VLOOKUP($A:$A,USD!$A:$AL,13,FALSE)*88)/88*20</f>
        <v>10</v>
      </c>
      <c r="N108" s="87">
        <f>(VLOOKUP($A:$A,USD!$A:$AL,14,FALSE)*88)/88*20</f>
        <v>34</v>
      </c>
      <c r="O108" s="68">
        <f>(VLOOKUP($A:$A,USD!$A:$AL,15,FALSE)*88)/88*20</f>
        <v>37.916666666666671</v>
      </c>
      <c r="P108" s="87">
        <f>(VLOOKUP($A:$A,USD!$A:$AL,16,FALSE)*88)/88*20</f>
        <v>0</v>
      </c>
      <c r="Q108" s="68">
        <f t="shared" si="9"/>
        <v>201.91666666666669</v>
      </c>
      <c r="R108" s="68">
        <f t="shared" si="10"/>
        <v>71.916666666666671</v>
      </c>
      <c r="S108" s="68">
        <f>(VLOOKUP($A:$A,USD!$A:$AL,19,FALSE)*88)/88*20</f>
        <v>0</v>
      </c>
      <c r="T108" s="68">
        <f>(VLOOKUP($A:$A,USD!$A:$AL,20,FALSE)*88)/88*20</f>
        <v>0</v>
      </c>
      <c r="U108" s="68">
        <f>(VLOOKUP($A:$A,USD!$A:$AL,21,FALSE)*88)/88*20</f>
        <v>298.23522727272734</v>
      </c>
      <c r="V108" s="68"/>
      <c r="W108" s="68">
        <f t="shared" si="11"/>
        <v>298.23522727272734</v>
      </c>
      <c r="X108" s="1">
        <f>(VLOOKUP($A:$A,USD!$A:$AL,24,FALSE)*88)/88*20</f>
        <v>52</v>
      </c>
      <c r="Y108" s="68">
        <f>(VLOOKUP($A:$A,USD!$A:$AL,25,FALSE)*88)/88*20</f>
        <v>50.4</v>
      </c>
      <c r="Z108" s="68">
        <f>(VLOOKUP($A:$A,USD!$A:$AL,26,FALSE)*88)/88*20</f>
        <v>26.25</v>
      </c>
      <c r="AB108" s="68">
        <f t="shared" si="12"/>
        <v>128.65</v>
      </c>
      <c r="AC108" s="68">
        <f>(VLOOKUP($A:$A,USD!$A:$AL,29,FALSE)*88)/88*20</f>
        <v>110.22727272727273</v>
      </c>
      <c r="AD108" s="68">
        <f>(VLOOKUP($A:$A,USD!$A:$AL,30,FALSE)*88)/88*20</f>
        <v>107.04545454545455</v>
      </c>
      <c r="AF108" s="68">
        <f t="shared" si="13"/>
        <v>217.27272727272728</v>
      </c>
      <c r="AG108" s="87">
        <f>(VLOOKUP($A:$A,USD!$A:$AL,33,FALSE)*88)/88*20</f>
        <v>28.814300000000003</v>
      </c>
      <c r="AH108" s="68">
        <f>(VLOOKUP($A:$A,USD!$A:$AL,34,FALSE)*88)/88*20</f>
        <v>6.973140495867769</v>
      </c>
      <c r="AI108" s="87">
        <f>(VLOOKUP($A:$A,USD!$A:$AL,35,FALSE)*88)/88*20</f>
        <v>12.587317427197677</v>
      </c>
      <c r="AJ108" s="87">
        <f>(VLOOKUP($A:$A,USD!$A:$AL,36,FALSE)*88)/88*20</f>
        <v>6.7351999999999999</v>
      </c>
      <c r="AL108" s="68">
        <f t="shared" si="14"/>
        <v>55.109957923065444</v>
      </c>
      <c r="AM108" s="87">
        <f>(VLOOKUP($A:$A,USD!$A:$AR,39,FALSE)*88)/88*20</f>
        <v>79.999999999999986</v>
      </c>
      <c r="AN108" s="68">
        <f>(VLOOKUP($A:$A,USD!$A:$AR,40,FALSE)*88)/88*20</f>
        <v>26.17808219178082</v>
      </c>
      <c r="AO108" s="1">
        <f>(VLOOKUP($A:$A,USD!$A:$AR,41,FALSE)*88)/88*20</f>
        <v>0</v>
      </c>
      <c r="AR108" s="1">
        <f t="shared" si="15"/>
        <v>106.1780821917808</v>
      </c>
      <c r="AS108" s="38">
        <f t="shared" si="16"/>
        <v>877.36266132696755</v>
      </c>
      <c r="AT108" s="38">
        <f t="shared" si="17"/>
        <v>1007.3626613269676</v>
      </c>
      <c r="AW108" s="1" t="e">
        <f>(VLOOKUP(A:A,USD!A:AT,46,FALSE)*88)/88*20</f>
        <v>#N/A</v>
      </c>
      <c r="AX108" s="1">
        <f>(VLOOKUP(A:A,USD!A:AU,47,FALSE)*88)/88*20</f>
        <v>282.38636363636363</v>
      </c>
    </row>
    <row r="109" spans="1:50" hidden="1">
      <c r="A109" s="1">
        <v>848548</v>
      </c>
      <c r="B109" s="1" t="s">
        <v>304</v>
      </c>
      <c r="C109" s="1" t="s">
        <v>305</v>
      </c>
      <c r="D109" s="1" t="s">
        <v>71</v>
      </c>
      <c r="E109" s="1" t="str">
        <f>VLOOKUP(A:A,USD!A:E,5,FALSE)</f>
        <v>STEX</v>
      </c>
      <c r="F109" s="1" t="str">
        <f>VLOOKUP(A:A,USD!A:F,6,FALSE)</f>
        <v>STX</v>
      </c>
      <c r="G109" s="1" t="str">
        <f>VLOOKUP(A:A,'Regions and Ports'!A:G,7,FALSE)</f>
        <v>Houston</v>
      </c>
      <c r="H109" s="1">
        <f>VLOOKUP(A:A,USD!A:R,8,FALSE)</f>
        <v>3</v>
      </c>
      <c r="I109" s="87">
        <f>(VLOOKUP($A:$A,USD!$A:$AL,9,FALSE)*88)/88*20</f>
        <v>110</v>
      </c>
      <c r="J109" s="87">
        <f>(VLOOKUP($A:$A,USD!$A:$AL,10,FALSE)*88)/88*20</f>
        <v>350</v>
      </c>
      <c r="K109" s="87">
        <f>(VLOOKUP($A:$A,USD!$A:$AL,11,FALSE)*88)/88*20</f>
        <v>0</v>
      </c>
      <c r="L109" s="87">
        <f>(VLOOKUP($A:$A,USD!$A:$AL,12,FALSE)*88)/88*20</f>
        <v>0</v>
      </c>
      <c r="M109" s="87">
        <f>(VLOOKUP($A:$A,USD!$A:$AL,13,FALSE)*88)/88*20</f>
        <v>0</v>
      </c>
      <c r="N109" s="87">
        <f>(VLOOKUP($A:$A,USD!$A:$AL,14,FALSE)*88)/88*20</f>
        <v>80</v>
      </c>
      <c r="O109" s="68">
        <f>(VLOOKUP($A:$A,USD!$A:$AL,15,FALSE)*88)/88*20</f>
        <v>37.916666666666671</v>
      </c>
      <c r="P109" s="87">
        <f>(VLOOKUP($A:$A,USD!$A:$AL,16,FALSE)*88)/88*20</f>
        <v>0</v>
      </c>
      <c r="Q109" s="68">
        <f t="shared" si="9"/>
        <v>577.91666666666663</v>
      </c>
      <c r="R109" s="68">
        <f t="shared" si="10"/>
        <v>467.91666666666669</v>
      </c>
      <c r="S109" s="68">
        <f>(VLOOKUP($A:$A,USD!$A:$AL,19,FALSE)*88)/88*20</f>
        <v>0</v>
      </c>
      <c r="T109" s="68">
        <f>(VLOOKUP($A:$A,USD!$A:$AL,20,FALSE)*88)/88*20</f>
        <v>0</v>
      </c>
      <c r="U109" s="68">
        <f>(VLOOKUP($A:$A,USD!$A:$AL,21,FALSE)*88)/88*20</f>
        <v>164.77272727272725</v>
      </c>
      <c r="V109" s="68"/>
      <c r="W109" s="68">
        <f t="shared" si="11"/>
        <v>164.77272727272725</v>
      </c>
      <c r="X109" s="1">
        <f>(VLOOKUP($A:$A,USD!$A:$AL,24,FALSE)*88)/88*20</f>
        <v>54</v>
      </c>
      <c r="Y109" s="68">
        <f>(VLOOKUP($A:$A,USD!$A:$AL,25,FALSE)*88)/88*20</f>
        <v>50.4</v>
      </c>
      <c r="Z109" s="68">
        <f>(VLOOKUP($A:$A,USD!$A:$AL,26,FALSE)*88)/88*20</f>
        <v>26.25</v>
      </c>
      <c r="AB109" s="68">
        <f t="shared" si="12"/>
        <v>130.65</v>
      </c>
      <c r="AC109" s="68">
        <f>(VLOOKUP($A:$A,USD!$A:$AL,29,FALSE)*88)/88*20</f>
        <v>132.95454545454544</v>
      </c>
      <c r="AD109" s="68">
        <f>(VLOOKUP($A:$A,USD!$A:$AL,30,FALSE)*88)/88*20</f>
        <v>197.95454545454547</v>
      </c>
      <c r="AF109" s="68">
        <f t="shared" si="13"/>
        <v>330.90909090909088</v>
      </c>
      <c r="AG109" s="87">
        <f>(VLOOKUP($A:$A,USD!$A:$AL,33,FALSE)*88)/88*20</f>
        <v>28.814300000000003</v>
      </c>
      <c r="AH109" s="68">
        <f>(VLOOKUP($A:$A,USD!$A:$AL,34,FALSE)*88)/88*20</f>
        <v>6.973140495867769</v>
      </c>
      <c r="AI109" s="87">
        <f>(VLOOKUP($A:$A,USD!$A:$AL,35,FALSE)*88)/88*20</f>
        <v>12.587317427197677</v>
      </c>
      <c r="AJ109" s="87">
        <f>(VLOOKUP($A:$A,USD!$A:$AL,36,FALSE)*88)/88*20</f>
        <v>6.7351999999999999</v>
      </c>
      <c r="AL109" s="68">
        <f t="shared" si="14"/>
        <v>55.109957923065444</v>
      </c>
      <c r="AM109" s="87">
        <f>(VLOOKUP($A:$A,USD!$A:$AR,39,FALSE)*88)/88*20</f>
        <v>79.999999999999986</v>
      </c>
      <c r="AN109" s="68">
        <f>(VLOOKUP($A:$A,USD!$A:$AR,40,FALSE)*88)/88*20</f>
        <v>26.17808219178082</v>
      </c>
      <c r="AO109" s="1">
        <f>(VLOOKUP($A:$A,USD!$A:$AR,41,FALSE)*88)/88*20</f>
        <v>0</v>
      </c>
      <c r="AR109" s="1">
        <f t="shared" si="15"/>
        <v>106.1780821917808</v>
      </c>
      <c r="AS109" s="38">
        <f t="shared" si="16"/>
        <v>1255.536524963331</v>
      </c>
      <c r="AT109" s="38">
        <f t="shared" si="17"/>
        <v>1365.5365249633307</v>
      </c>
      <c r="AW109" s="1">
        <f>(VLOOKUP(A:A,USD!A:AT,46,FALSE)*88)/88*20</f>
        <v>222.86363636363635</v>
      </c>
      <c r="AX109" s="1" t="e">
        <f>(VLOOKUP(A:A,USD!A:AU,47,FALSE)*88)/88*20</f>
        <v>#N/A</v>
      </c>
    </row>
    <row r="110" spans="1:50" hidden="1">
      <c r="A110" s="1">
        <v>702530</v>
      </c>
      <c r="B110" s="1" t="s">
        <v>307</v>
      </c>
      <c r="C110" s="1" t="s">
        <v>308</v>
      </c>
      <c r="D110" s="1" t="s">
        <v>132</v>
      </c>
      <c r="E110" s="1" t="str">
        <f>VLOOKUP(A:A,USD!A:E,5,FALSE)</f>
        <v>Eastern Rule 5</v>
      </c>
      <c r="F110" s="1" t="str">
        <f>VLOOKUP(A:A,USD!A:F,6,FALSE)</f>
        <v>ER5</v>
      </c>
      <c r="G110" s="1" t="str">
        <f>VLOOKUP(A:A,'Regions and Ports'!A:G,7,FALSE)</f>
        <v>Savannah</v>
      </c>
      <c r="H110" s="1">
        <f>VLOOKUP(A:A,USD!A:R,8,FALSE)</f>
        <v>1</v>
      </c>
      <c r="I110" s="87">
        <f>(VLOOKUP($A:$A,USD!$A:$AL,9,FALSE)*88)/88*20</f>
        <v>55</v>
      </c>
      <c r="J110" s="87">
        <f>(VLOOKUP($A:$A,USD!$A:$AL,10,FALSE)*88)/88*20</f>
        <v>80</v>
      </c>
      <c r="K110" s="87">
        <f>(VLOOKUP($A:$A,USD!$A:$AL,11,FALSE)*88)/88*20</f>
        <v>0</v>
      </c>
      <c r="L110" s="87">
        <f>(VLOOKUP($A:$A,USD!$A:$AL,12,FALSE)*88)/88*20</f>
        <v>0</v>
      </c>
      <c r="M110" s="87">
        <f>(VLOOKUP($A:$A,USD!$A:$AL,13,FALSE)*88)/88*20</f>
        <v>20</v>
      </c>
      <c r="N110" s="87">
        <f>(VLOOKUP($A:$A,USD!$A:$AL,14,FALSE)*88)/88*20</f>
        <v>40</v>
      </c>
      <c r="O110" s="68">
        <f>(VLOOKUP($A:$A,USD!$A:$AL,15,FALSE)*88)/88*20</f>
        <v>37.916666666666671</v>
      </c>
      <c r="P110" s="87">
        <f>(VLOOKUP($A:$A,USD!$A:$AL,16,FALSE)*88)/88*20</f>
        <v>0</v>
      </c>
      <c r="Q110" s="68">
        <f t="shared" si="9"/>
        <v>232.91666666666669</v>
      </c>
      <c r="R110" s="68">
        <f t="shared" si="10"/>
        <v>77.916666666666671</v>
      </c>
      <c r="S110" s="68">
        <f>(VLOOKUP($A:$A,USD!$A:$AL,19,FALSE)*88)/88*20</f>
        <v>0</v>
      </c>
      <c r="T110" s="68">
        <f>(VLOOKUP($A:$A,USD!$A:$AL,20,FALSE)*88)/88*20</f>
        <v>0</v>
      </c>
      <c r="U110" s="68">
        <f>(VLOOKUP($A:$A,USD!$A:$AL,21,FALSE)*88)/88*20</f>
        <v>179.40340909090909</v>
      </c>
      <c r="V110" s="68"/>
      <c r="W110" s="68">
        <f t="shared" si="11"/>
        <v>179.40340909090909</v>
      </c>
      <c r="X110" s="1">
        <f>(VLOOKUP($A:$A,USD!$A:$AL,24,FALSE)*88)/88*20</f>
        <v>52</v>
      </c>
      <c r="Y110" s="68">
        <f>(VLOOKUP($A:$A,USD!$A:$AL,25,FALSE)*88)/88*20</f>
        <v>50.4</v>
      </c>
      <c r="Z110" s="68">
        <f>(VLOOKUP($A:$A,USD!$A:$AL,26,FALSE)*88)/88*20</f>
        <v>26.25</v>
      </c>
      <c r="AB110" s="68">
        <f t="shared" si="12"/>
        <v>128.65</v>
      </c>
      <c r="AC110" s="68">
        <f>(VLOOKUP($A:$A,USD!$A:$AL,29,FALSE)*88)/88*20</f>
        <v>110.22727272727273</v>
      </c>
      <c r="AD110" s="68">
        <f>(VLOOKUP($A:$A,USD!$A:$AL,30,FALSE)*88)/88*20</f>
        <v>107.04545454545455</v>
      </c>
      <c r="AF110" s="68">
        <f t="shared" si="13"/>
        <v>217.27272727272728</v>
      </c>
      <c r="AG110" s="87">
        <f>(VLOOKUP($A:$A,USD!$A:$AL,33,FALSE)*88)/88*20</f>
        <v>28.814300000000003</v>
      </c>
      <c r="AH110" s="68">
        <f>(VLOOKUP($A:$A,USD!$A:$AL,34,FALSE)*88)/88*20</f>
        <v>6.973140495867769</v>
      </c>
      <c r="AI110" s="87">
        <f>(VLOOKUP($A:$A,USD!$A:$AL,35,FALSE)*88)/88*20</f>
        <v>12.587317427197677</v>
      </c>
      <c r="AJ110" s="87">
        <f>(VLOOKUP($A:$A,USD!$A:$AL,36,FALSE)*88)/88*20</f>
        <v>6.7351999999999999</v>
      </c>
      <c r="AL110" s="68">
        <f t="shared" si="14"/>
        <v>55.109957923065444</v>
      </c>
      <c r="AM110" s="87">
        <f>(VLOOKUP($A:$A,USD!$A:$AR,39,FALSE)*88)/88*20</f>
        <v>79.999999999999986</v>
      </c>
      <c r="AN110" s="68">
        <f>(VLOOKUP($A:$A,USD!$A:$AR,40,FALSE)*88)/88*20</f>
        <v>26.17808219178082</v>
      </c>
      <c r="AO110" s="1">
        <f>(VLOOKUP($A:$A,USD!$A:$AR,41,FALSE)*88)/88*20</f>
        <v>0</v>
      </c>
      <c r="AR110" s="1">
        <f t="shared" si="15"/>
        <v>106.1780821917808</v>
      </c>
      <c r="AS110" s="38">
        <f t="shared" si="16"/>
        <v>764.53084314514922</v>
      </c>
      <c r="AT110" s="38">
        <f t="shared" si="17"/>
        <v>919.53084314514922</v>
      </c>
      <c r="AW110" s="1" t="e">
        <f>(VLOOKUP(A:A,USD!A:AT,46,FALSE)*88)/88*20</f>
        <v>#N/A</v>
      </c>
      <c r="AX110" s="1">
        <f>(VLOOKUP(A:A,USD!A:AU,47,FALSE)*88)/88*20</f>
        <v>221.02272727272725</v>
      </c>
    </row>
    <row r="111" spans="1:50" hidden="1">
      <c r="A111" s="1">
        <v>565803</v>
      </c>
      <c r="B111" s="1" t="s">
        <v>310</v>
      </c>
      <c r="C111" s="1" t="s">
        <v>311</v>
      </c>
      <c r="D111" s="1" t="s">
        <v>136</v>
      </c>
      <c r="E111" s="1" t="str">
        <f>VLOOKUP(A:A,USD!A:E,5,FALSE)</f>
        <v>Eastern Rule 5</v>
      </c>
      <c r="F111" s="1" t="str">
        <f>VLOOKUP(A:A,USD!A:F,6,FALSE)</f>
        <v>ER5</v>
      </c>
      <c r="G111" s="1" t="str">
        <f>VLOOKUP(A:A,'Regions and Ports'!A:G,7,FALSE)</f>
        <v>Savannah</v>
      </c>
      <c r="H111" s="1">
        <f>VLOOKUP(A:A,USD!A:R,8,FALSE)</f>
        <v>1</v>
      </c>
      <c r="I111" s="87">
        <f>(VLOOKUP($A:$A,USD!$A:$AL,9,FALSE)*88)/88*20</f>
        <v>80</v>
      </c>
      <c r="J111" s="87">
        <f>(VLOOKUP($A:$A,USD!$A:$AL,10,FALSE)*88)/88*20</f>
        <v>80</v>
      </c>
      <c r="K111" s="87">
        <f>(VLOOKUP($A:$A,USD!$A:$AL,11,FALSE)*88)/88*20</f>
        <v>0</v>
      </c>
      <c r="L111" s="87">
        <f>(VLOOKUP($A:$A,USD!$A:$AL,12,FALSE)*88)/88*20</f>
        <v>0</v>
      </c>
      <c r="M111" s="87">
        <f>(VLOOKUP($A:$A,USD!$A:$AL,13,FALSE)*88)/88*20</f>
        <v>20</v>
      </c>
      <c r="N111" s="87">
        <f>(VLOOKUP($A:$A,USD!$A:$AL,14,FALSE)*88)/88*20</f>
        <v>45</v>
      </c>
      <c r="O111" s="68">
        <f>(VLOOKUP($A:$A,USD!$A:$AL,15,FALSE)*88)/88*20</f>
        <v>37.916666666666671</v>
      </c>
      <c r="P111" s="87">
        <f>(VLOOKUP($A:$A,USD!$A:$AL,16,FALSE)*88)/88*20</f>
        <v>0</v>
      </c>
      <c r="Q111" s="68">
        <f t="shared" si="9"/>
        <v>262.91666666666669</v>
      </c>
      <c r="R111" s="68">
        <f t="shared" si="10"/>
        <v>82.916666666666671</v>
      </c>
      <c r="S111" s="68">
        <f>(VLOOKUP($A:$A,USD!$A:$AL,19,FALSE)*88)/88*20</f>
        <v>0</v>
      </c>
      <c r="T111" s="68">
        <f>(VLOOKUP($A:$A,USD!$A:$AL,20,FALSE)*88)/88*20</f>
        <v>0</v>
      </c>
      <c r="U111" s="68">
        <f>(VLOOKUP($A:$A,USD!$A:$AL,21,FALSE)*88)/88*20</f>
        <v>402.72727272727275</v>
      </c>
      <c r="V111" s="68"/>
      <c r="W111" s="68">
        <f t="shared" si="11"/>
        <v>402.72727272727275</v>
      </c>
      <c r="X111" s="1">
        <f>(VLOOKUP($A:$A,USD!$A:$AL,24,FALSE)*88)/88*20</f>
        <v>52</v>
      </c>
      <c r="Y111" s="68">
        <f>(VLOOKUP($A:$A,USD!$A:$AL,25,FALSE)*88)/88*20</f>
        <v>50.4</v>
      </c>
      <c r="Z111" s="68">
        <f>(VLOOKUP($A:$A,USD!$A:$AL,26,FALSE)*88)/88*20</f>
        <v>26.25</v>
      </c>
      <c r="AB111" s="68">
        <f t="shared" si="12"/>
        <v>128.65</v>
      </c>
      <c r="AC111" s="68">
        <f>(VLOOKUP($A:$A,USD!$A:$AL,29,FALSE)*88)/88*20</f>
        <v>110.22727272727273</v>
      </c>
      <c r="AD111" s="68">
        <f>(VLOOKUP($A:$A,USD!$A:$AL,30,FALSE)*88)/88*20</f>
        <v>107.04545454545455</v>
      </c>
      <c r="AF111" s="68">
        <f t="shared" si="13"/>
        <v>217.27272727272728</v>
      </c>
      <c r="AG111" s="87">
        <f>(VLOOKUP($A:$A,USD!$A:$AL,33,FALSE)*88)/88*20</f>
        <v>28.814300000000003</v>
      </c>
      <c r="AH111" s="68">
        <f>(VLOOKUP($A:$A,USD!$A:$AL,34,FALSE)*88)/88*20</f>
        <v>6.973140495867769</v>
      </c>
      <c r="AI111" s="87">
        <f>(VLOOKUP($A:$A,USD!$A:$AL,35,FALSE)*88)/88*20</f>
        <v>12.587317427197677</v>
      </c>
      <c r="AJ111" s="87">
        <f>(VLOOKUP($A:$A,USD!$A:$AL,36,FALSE)*88)/88*20</f>
        <v>6.7351999999999999</v>
      </c>
      <c r="AL111" s="68">
        <f t="shared" si="14"/>
        <v>55.109957923065444</v>
      </c>
      <c r="AM111" s="87">
        <f>(VLOOKUP($A:$A,USD!$A:$AR,39,FALSE)*88)/88*20</f>
        <v>79.999999999999986</v>
      </c>
      <c r="AN111" s="68">
        <f>(VLOOKUP($A:$A,USD!$A:$AR,40,FALSE)*88)/88*20</f>
        <v>26.17808219178082</v>
      </c>
      <c r="AO111" s="1">
        <f>(VLOOKUP($A:$A,USD!$A:$AR,41,FALSE)*88)/88*20</f>
        <v>0</v>
      </c>
      <c r="AR111" s="1">
        <f t="shared" si="15"/>
        <v>106.1780821917808</v>
      </c>
      <c r="AS111" s="38">
        <f t="shared" si="16"/>
        <v>992.85470678151296</v>
      </c>
      <c r="AT111" s="38">
        <f t="shared" si="17"/>
        <v>1172.854706781513</v>
      </c>
      <c r="AW111" s="1" t="e">
        <f>(VLOOKUP(A:A,USD!A:AT,46,FALSE)*88)/88*20</f>
        <v>#N/A</v>
      </c>
      <c r="AX111" s="1">
        <f>(VLOOKUP(A:A,USD!A:AU,47,FALSE)*88)/88*20</f>
        <v>244.88636363636363</v>
      </c>
    </row>
    <row r="112" spans="1:50" hidden="1">
      <c r="A112" s="1">
        <v>565805</v>
      </c>
      <c r="B112" s="1" t="s">
        <v>313</v>
      </c>
      <c r="C112" s="1" t="s">
        <v>311</v>
      </c>
      <c r="D112" s="1" t="s">
        <v>136</v>
      </c>
      <c r="E112" s="1" t="str">
        <f>VLOOKUP(A:A,USD!A:E,5,FALSE)</f>
        <v>Eastern Rule 5</v>
      </c>
      <c r="F112" s="1" t="str">
        <f>VLOOKUP(A:A,USD!A:F,6,FALSE)</f>
        <v>ER5</v>
      </c>
      <c r="G112" s="1" t="str">
        <f>VLOOKUP(A:A,'Regions and Ports'!A:G,7,FALSE)</f>
        <v>Savannah</v>
      </c>
      <c r="H112" s="1">
        <f>VLOOKUP(A:A,USD!A:R,8,FALSE)</f>
        <v>1</v>
      </c>
      <c r="I112" s="87">
        <f>(VLOOKUP($A:$A,USD!$A:$AL,9,FALSE)*88)/88*20</f>
        <v>85</v>
      </c>
      <c r="J112" s="87">
        <f>(VLOOKUP($A:$A,USD!$A:$AL,10,FALSE)*88)/88*20</f>
        <v>85</v>
      </c>
      <c r="K112" s="87">
        <f>(VLOOKUP($A:$A,USD!$A:$AL,11,FALSE)*88)/88*20</f>
        <v>0</v>
      </c>
      <c r="L112" s="87">
        <f>(VLOOKUP($A:$A,USD!$A:$AL,12,FALSE)*88)/88*20</f>
        <v>0</v>
      </c>
      <c r="M112" s="87">
        <f>(VLOOKUP($A:$A,USD!$A:$AL,13,FALSE)*88)/88*20</f>
        <v>10</v>
      </c>
      <c r="N112" s="87">
        <f>(VLOOKUP($A:$A,USD!$A:$AL,14,FALSE)*88)/88*20</f>
        <v>45</v>
      </c>
      <c r="O112" s="68">
        <f>(VLOOKUP($A:$A,USD!$A:$AL,15,FALSE)*88)/88*20</f>
        <v>37.916666666666671</v>
      </c>
      <c r="P112" s="87">
        <f>(VLOOKUP($A:$A,USD!$A:$AL,16,FALSE)*88)/88*20</f>
        <v>0</v>
      </c>
      <c r="Q112" s="68">
        <f t="shared" si="9"/>
        <v>262.91666666666669</v>
      </c>
      <c r="R112" s="68">
        <f t="shared" si="10"/>
        <v>82.916666666666671</v>
      </c>
      <c r="S112" s="68">
        <f>(VLOOKUP($A:$A,USD!$A:$AL,19,FALSE)*88)/88*20</f>
        <v>0</v>
      </c>
      <c r="T112" s="68">
        <f>(VLOOKUP($A:$A,USD!$A:$AL,20,FALSE)*88)/88*20</f>
        <v>0</v>
      </c>
      <c r="U112" s="68">
        <f>(VLOOKUP($A:$A,USD!$A:$AL,21,FALSE)*88)/88*20</f>
        <v>402.72727272727275</v>
      </c>
      <c r="V112" s="68"/>
      <c r="W112" s="68">
        <f t="shared" si="11"/>
        <v>402.72727272727275</v>
      </c>
      <c r="X112" s="1">
        <f>(VLOOKUP($A:$A,USD!$A:$AL,24,FALSE)*88)/88*20</f>
        <v>52</v>
      </c>
      <c r="Y112" s="68">
        <f>(VLOOKUP($A:$A,USD!$A:$AL,25,FALSE)*88)/88*20</f>
        <v>50.4</v>
      </c>
      <c r="Z112" s="68">
        <f>(VLOOKUP($A:$A,USD!$A:$AL,26,FALSE)*88)/88*20</f>
        <v>26.25</v>
      </c>
      <c r="AB112" s="68">
        <f t="shared" si="12"/>
        <v>128.65</v>
      </c>
      <c r="AC112" s="68">
        <f>(VLOOKUP($A:$A,USD!$A:$AL,29,FALSE)*88)/88*20</f>
        <v>110.22727272727273</v>
      </c>
      <c r="AD112" s="68">
        <f>(VLOOKUP($A:$A,USD!$A:$AL,30,FALSE)*88)/88*20</f>
        <v>107.04545454545455</v>
      </c>
      <c r="AF112" s="68">
        <f t="shared" si="13"/>
        <v>217.27272727272728</v>
      </c>
      <c r="AG112" s="87">
        <f>(VLOOKUP($A:$A,USD!$A:$AL,33,FALSE)*88)/88*20</f>
        <v>28.814300000000003</v>
      </c>
      <c r="AH112" s="68">
        <f>(VLOOKUP($A:$A,USD!$A:$AL,34,FALSE)*88)/88*20</f>
        <v>6.973140495867769</v>
      </c>
      <c r="AI112" s="87">
        <f>(VLOOKUP($A:$A,USD!$A:$AL,35,FALSE)*88)/88*20</f>
        <v>12.587317427197677</v>
      </c>
      <c r="AJ112" s="87">
        <f>(VLOOKUP($A:$A,USD!$A:$AL,36,FALSE)*88)/88*20</f>
        <v>6.7351999999999999</v>
      </c>
      <c r="AL112" s="68">
        <f t="shared" si="14"/>
        <v>55.109957923065444</v>
      </c>
      <c r="AM112" s="87">
        <f>(VLOOKUP($A:$A,USD!$A:$AR,39,FALSE)*88)/88*20</f>
        <v>79.999999999999986</v>
      </c>
      <c r="AN112" s="68">
        <f>(VLOOKUP($A:$A,USD!$A:$AR,40,FALSE)*88)/88*20</f>
        <v>26.17808219178082</v>
      </c>
      <c r="AO112" s="1">
        <f>(VLOOKUP($A:$A,USD!$A:$AR,41,FALSE)*88)/88*20</f>
        <v>0</v>
      </c>
      <c r="AR112" s="1">
        <f t="shared" si="15"/>
        <v>106.1780821917808</v>
      </c>
      <c r="AS112" s="38">
        <f t="shared" si="16"/>
        <v>992.85470678151296</v>
      </c>
      <c r="AT112" s="38">
        <f t="shared" si="17"/>
        <v>1172.854706781513</v>
      </c>
      <c r="AW112" s="1" t="e">
        <f>(VLOOKUP(A:A,USD!A:AT,46,FALSE)*88)/88*20</f>
        <v>#N/A</v>
      </c>
      <c r="AX112" s="1">
        <f>(VLOOKUP(A:A,USD!A:AU,47,FALSE)*88)/88*20</f>
        <v>244.88636363636363</v>
      </c>
    </row>
    <row r="113" spans="1:50" hidden="1">
      <c r="A113" s="1">
        <v>789505</v>
      </c>
      <c r="B113" s="1" t="s">
        <v>314</v>
      </c>
      <c r="C113" s="1" t="s">
        <v>315</v>
      </c>
      <c r="D113" s="1" t="s">
        <v>168</v>
      </c>
      <c r="E113" s="1" t="str">
        <f>VLOOKUP(A:A,USD!A:E,5,FALSE)</f>
        <v>Memphis Rule 5</v>
      </c>
      <c r="F113" s="1" t="str">
        <f>VLOOKUP(A:A,USD!A:F,6,FALSE)</f>
        <v>MR5</v>
      </c>
      <c r="G113" s="1" t="str">
        <f>VLOOKUP(A:A,'Regions and Ports'!A:G,7,FALSE)</f>
        <v>Memphis</v>
      </c>
      <c r="H113" s="1">
        <f>VLOOKUP(A:A,USD!A:R,8,FALSE)</f>
        <v>1</v>
      </c>
      <c r="I113" s="87">
        <f>(VLOOKUP($A:$A,USD!$A:$AL,9,FALSE)*88)/88*20</f>
        <v>80</v>
      </c>
      <c r="J113" s="87">
        <f>(VLOOKUP($A:$A,USD!$A:$AL,10,FALSE)*88)/88*20</f>
        <v>135</v>
      </c>
      <c r="K113" s="87">
        <f>(VLOOKUP($A:$A,USD!$A:$AL,11,FALSE)*88)/88*20</f>
        <v>160</v>
      </c>
      <c r="L113" s="87">
        <f>(VLOOKUP($A:$A,USD!$A:$AL,12,FALSE)*88)/88*20</f>
        <v>61</v>
      </c>
      <c r="M113" s="87">
        <f>(VLOOKUP($A:$A,USD!$A:$AL,13,FALSE)*88)/88*20</f>
        <v>10</v>
      </c>
      <c r="N113" s="87">
        <f>(VLOOKUP($A:$A,USD!$A:$AL,14,FALSE)*88)/88*20</f>
        <v>45</v>
      </c>
      <c r="O113" s="68">
        <f>(VLOOKUP($A:$A,USD!$A:$AL,15,FALSE)*88)/88*20</f>
        <v>37.916666666666671</v>
      </c>
      <c r="P113" s="87">
        <f>(VLOOKUP($A:$A,USD!$A:$AL,16,FALSE)*88)/88*20</f>
        <v>0</v>
      </c>
      <c r="Q113" s="68">
        <f t="shared" si="9"/>
        <v>528.91666666666663</v>
      </c>
      <c r="R113" s="68">
        <f t="shared" si="10"/>
        <v>82.916666666666671</v>
      </c>
      <c r="S113" s="68">
        <f>(VLOOKUP($A:$A,USD!$A:$AL,19,FALSE)*88)/88*20</f>
        <v>0</v>
      </c>
      <c r="T113" s="68">
        <f>(VLOOKUP($A:$A,USD!$A:$AL,20,FALSE)*88)/88*20</f>
        <v>0</v>
      </c>
      <c r="U113" s="68">
        <f>(VLOOKUP($A:$A,USD!$A:$AL,21,FALSE)*88)/88*20</f>
        <v>446.02272727272725</v>
      </c>
      <c r="V113" s="68"/>
      <c r="W113" s="68">
        <f t="shared" si="11"/>
        <v>446.02272727272725</v>
      </c>
      <c r="X113" s="1">
        <f>(VLOOKUP($A:$A,USD!$A:$AL,24,FALSE)*88)/88*20</f>
        <v>50</v>
      </c>
      <c r="Y113" s="68">
        <f>(VLOOKUP($A:$A,USD!$A:$AL,25,FALSE)*88)/88*20</f>
        <v>33.6</v>
      </c>
      <c r="Z113" s="68">
        <f>(VLOOKUP($A:$A,USD!$A:$AL,26,FALSE)*88)/88*20</f>
        <v>26.25</v>
      </c>
      <c r="AB113" s="68">
        <f t="shared" si="12"/>
        <v>109.85</v>
      </c>
      <c r="AC113" s="68">
        <f>(VLOOKUP($A:$A,USD!$A:$AL,29,FALSE)*88)/88*20</f>
        <v>146.02272727272725</v>
      </c>
      <c r="AD113" s="68">
        <f>(VLOOKUP($A:$A,USD!$A:$AL,30,FALSE)*88)/88*20</f>
        <v>182.72727272727275</v>
      </c>
      <c r="AF113" s="68">
        <f t="shared" si="13"/>
        <v>328.75</v>
      </c>
      <c r="AG113" s="87">
        <f>(VLOOKUP($A:$A,USD!$A:$AL,33,FALSE)*88)/88*20</f>
        <v>28.814300000000003</v>
      </c>
      <c r="AH113" s="68">
        <f>(VLOOKUP($A:$A,USD!$A:$AL,34,FALSE)*88)/88*20</f>
        <v>6.973140495867769</v>
      </c>
      <c r="AI113" s="87">
        <f>(VLOOKUP($A:$A,USD!$A:$AL,35,FALSE)*88)/88*20</f>
        <v>12.587317427197677</v>
      </c>
      <c r="AJ113" s="87">
        <f>(VLOOKUP($A:$A,USD!$A:$AL,36,FALSE)*88)/88*20</f>
        <v>6.7351999999999999</v>
      </c>
      <c r="AL113" s="68">
        <f t="shared" si="14"/>
        <v>55.109957923065444</v>
      </c>
      <c r="AM113" s="87">
        <f>(VLOOKUP($A:$A,USD!$A:$AR,39,FALSE)*88)/88*20</f>
        <v>79.999999999999986</v>
      </c>
      <c r="AN113" s="68">
        <f>(VLOOKUP($A:$A,USD!$A:$AR,40,FALSE)*88)/88*20</f>
        <v>26.17808219178082</v>
      </c>
      <c r="AO113" s="1">
        <f>(VLOOKUP($A:$A,USD!$A:$AR,41,FALSE)*88)/88*20</f>
        <v>0</v>
      </c>
      <c r="AR113" s="1">
        <f t="shared" si="15"/>
        <v>106.1780821917808</v>
      </c>
      <c r="AS113" s="38">
        <f t="shared" si="16"/>
        <v>1128.82743405424</v>
      </c>
      <c r="AT113" s="38">
        <f t="shared" si="17"/>
        <v>1574.82743405424</v>
      </c>
      <c r="AW113" s="1">
        <f>(VLOOKUP(A:A,USD!A:AT,46,FALSE)*88)/88*20</f>
        <v>508.70909090909089</v>
      </c>
      <c r="AX113" s="1">
        <f>(VLOOKUP(A:A,USD!A:AU,47,FALSE)*88)/88*20</f>
        <v>369.31818181818181</v>
      </c>
    </row>
    <row r="114" spans="1:50" hidden="1">
      <c r="A114" s="1">
        <v>120945</v>
      </c>
      <c r="B114" s="1" t="s">
        <v>317</v>
      </c>
      <c r="C114" s="1" t="s">
        <v>318</v>
      </c>
      <c r="D114" s="1" t="s">
        <v>319</v>
      </c>
      <c r="E114" s="1" t="str">
        <f>VLOOKUP(A:A,USD!A:E,5,FALSE)</f>
        <v>Southwest</v>
      </c>
      <c r="F114" s="1">
        <f>VLOOKUP(A:A,USD!A:F,6,FALSE)</f>
        <v>0</v>
      </c>
      <c r="G114" s="1" t="str">
        <f>VLOOKUP(A:A,'Regions and Ports'!A:G,7,FALSE)</f>
        <v>Los Angeles</v>
      </c>
      <c r="H114" s="1">
        <f>VLOOKUP(A:A,USD!A:R,8,FALSE)</f>
        <v>6</v>
      </c>
      <c r="I114" s="87">
        <f>(VLOOKUP($A:$A,USD!$A:$AL,9,FALSE)*88)/88*20</f>
        <v>0</v>
      </c>
      <c r="J114" s="87">
        <f>(VLOOKUP($A:$A,USD!$A:$AL,10,FALSE)*88)/88*20</f>
        <v>160</v>
      </c>
      <c r="K114" s="87">
        <f>(VLOOKUP($A:$A,USD!$A:$AL,11,FALSE)*88)/88*20</f>
        <v>180</v>
      </c>
      <c r="L114" s="87">
        <f>(VLOOKUP($A:$A,USD!$A:$AL,12,FALSE)*88)/88*20</f>
        <v>0</v>
      </c>
      <c r="M114" s="87">
        <f>(VLOOKUP($A:$A,USD!$A:$AL,13,FALSE)*88)/88*20</f>
        <v>0</v>
      </c>
      <c r="N114" s="87">
        <f>(VLOOKUP($A:$A,USD!$A:$AL,14,FALSE)*88)/88*20</f>
        <v>84</v>
      </c>
      <c r="O114" s="68">
        <f>(VLOOKUP($A:$A,USD!$A:$AL,15,FALSE)*88)/88*20</f>
        <v>37.916666666666671</v>
      </c>
      <c r="P114" s="87" t="e">
        <f>(VLOOKUP($A:$A,USD!$A:$AL,16,FALSE)*88)/88*20</f>
        <v>#N/A</v>
      </c>
      <c r="Q114" s="68" t="e">
        <f t="shared" si="9"/>
        <v>#N/A</v>
      </c>
      <c r="R114" s="68" t="e">
        <f t="shared" si="10"/>
        <v>#VALUE!</v>
      </c>
      <c r="S114" s="68">
        <f>(VLOOKUP($A:$A,USD!$A:$AL,19,FALSE)*88)/88*20</f>
        <v>0</v>
      </c>
      <c r="T114" s="68">
        <f>(VLOOKUP($A:$A,USD!$A:$AL,20,FALSE)*88)/88*20</f>
        <v>0</v>
      </c>
      <c r="U114" s="68" t="e">
        <f>(VLOOKUP($A:$A,USD!$A:$AL,21,FALSE)*88)/88*20</f>
        <v>#N/A</v>
      </c>
      <c r="V114" s="68"/>
      <c r="W114" s="68" t="e">
        <f t="shared" si="11"/>
        <v>#N/A</v>
      </c>
      <c r="X114" s="1" t="e">
        <f>(VLOOKUP($A:$A,USD!$A:$AL,24,FALSE)*88)/88*20</f>
        <v>#N/A</v>
      </c>
      <c r="Y114" s="68" t="e">
        <f>(VLOOKUP($A:$A,USD!$A:$AL,25,FALSE)*88)/88*20</f>
        <v>#N/A</v>
      </c>
      <c r="Z114" s="68">
        <f>(VLOOKUP($A:$A,USD!$A:$AL,26,FALSE)*88)/88*20</f>
        <v>26.25</v>
      </c>
      <c r="AB114" s="68" t="e">
        <f t="shared" si="12"/>
        <v>#N/A</v>
      </c>
      <c r="AC114" s="68" t="e">
        <f>(VLOOKUP($A:$A,USD!$A:$AL,29,FALSE)*88)/88*20</f>
        <v>#N/A</v>
      </c>
      <c r="AD114" s="68" t="e">
        <f>(VLOOKUP($A:$A,USD!$A:$AL,30,FALSE)*88)/88*20</f>
        <v>#N/A</v>
      </c>
      <c r="AF114" s="68" t="e">
        <f t="shared" si="13"/>
        <v>#N/A</v>
      </c>
      <c r="AG114" s="87">
        <f>(VLOOKUP($A:$A,USD!$A:$AL,33,FALSE)*88)/88*20</f>
        <v>28.814300000000003</v>
      </c>
      <c r="AH114" s="68">
        <f>(VLOOKUP($A:$A,USD!$A:$AL,34,FALSE)*88)/88*20</f>
        <v>6.973140495867769</v>
      </c>
      <c r="AI114" s="87">
        <f>(VLOOKUP($A:$A,USD!$A:$AL,35,FALSE)*88)/88*20</f>
        <v>12.587317427197677</v>
      </c>
      <c r="AJ114" s="87">
        <f>(VLOOKUP($A:$A,USD!$A:$AL,36,FALSE)*88)/88*20</f>
        <v>6.7351999999999999</v>
      </c>
      <c r="AL114" s="68">
        <f t="shared" si="14"/>
        <v>55.109957923065444</v>
      </c>
      <c r="AM114" s="87">
        <f>(VLOOKUP($A:$A,USD!$A:$AR,39,FALSE)*88)/88*20</f>
        <v>79.999999999999986</v>
      </c>
      <c r="AN114" s="68">
        <f>(VLOOKUP($A:$A,USD!$A:$AR,40,FALSE)*88)/88*20</f>
        <v>26.17808219178082</v>
      </c>
      <c r="AO114" s="1">
        <f>(VLOOKUP($A:$A,USD!$A:$AR,41,FALSE)*88)/88*20</f>
        <v>0</v>
      </c>
      <c r="AR114" s="1">
        <f t="shared" si="15"/>
        <v>106.1780821917808</v>
      </c>
      <c r="AS114" s="38" t="e">
        <f t="shared" si="16"/>
        <v>#VALUE!</v>
      </c>
      <c r="AT114" s="38" t="e">
        <f t="shared" si="17"/>
        <v>#N/A</v>
      </c>
      <c r="AW114" s="1" t="e">
        <f>(VLOOKUP(A:A,USD!A:AT,46,FALSE)*88)/88*20</f>
        <v>#N/A</v>
      </c>
      <c r="AX114" s="1" t="e">
        <f>(VLOOKUP(A:A,USD!A:AU,47,FALSE)*88)/88*20</f>
        <v>#N/A</v>
      </c>
    </row>
    <row r="115" spans="1:50" hidden="1">
      <c r="A115" s="1">
        <v>122530</v>
      </c>
      <c r="B115" s="1" t="s">
        <v>321</v>
      </c>
      <c r="C115" s="1" t="s">
        <v>318</v>
      </c>
      <c r="D115" s="1" t="s">
        <v>319</v>
      </c>
      <c r="E115" s="1" t="str">
        <f>VLOOKUP(A:A,USD!A:E,5,FALSE)</f>
        <v>Southwest</v>
      </c>
      <c r="F115" s="1">
        <f>VLOOKUP(A:A,USD!A:F,6,FALSE)</f>
        <v>0</v>
      </c>
      <c r="G115" s="1" t="str">
        <f>VLOOKUP(A:A,'Regions and Ports'!A:G,7,FALSE)</f>
        <v>Los Angeles</v>
      </c>
      <c r="H115" s="1">
        <f>VLOOKUP(A:A,USD!A:R,8,FALSE)</f>
        <v>6</v>
      </c>
      <c r="I115" s="87">
        <f>(VLOOKUP($A:$A,USD!$A:$AL,9,FALSE)*88)/88*20</f>
        <v>0</v>
      </c>
      <c r="J115" s="87">
        <f>(VLOOKUP($A:$A,USD!$A:$AL,10,FALSE)*88)/88*20</f>
        <v>160</v>
      </c>
      <c r="K115" s="87">
        <f>(VLOOKUP($A:$A,USD!$A:$AL,11,FALSE)*88)/88*20</f>
        <v>145</v>
      </c>
      <c r="L115" s="87">
        <f>(VLOOKUP($A:$A,USD!$A:$AL,12,FALSE)*88)/88*20</f>
        <v>0</v>
      </c>
      <c r="M115" s="87">
        <f>(VLOOKUP($A:$A,USD!$A:$AL,13,FALSE)*88)/88*20</f>
        <v>10</v>
      </c>
      <c r="N115" s="87">
        <f>(VLOOKUP($A:$A,USD!$A:$AL,14,FALSE)*88)/88*20</f>
        <v>84</v>
      </c>
      <c r="O115" s="68">
        <f>(VLOOKUP($A:$A,USD!$A:$AL,15,FALSE)*88)/88*20</f>
        <v>37.916666666666671</v>
      </c>
      <c r="P115" s="87" t="e">
        <f>(VLOOKUP($A:$A,USD!$A:$AL,16,FALSE)*88)/88*20</f>
        <v>#N/A</v>
      </c>
      <c r="Q115" s="68" t="e">
        <f t="shared" si="9"/>
        <v>#N/A</v>
      </c>
      <c r="R115" s="68" t="e">
        <f t="shared" si="10"/>
        <v>#VALUE!</v>
      </c>
      <c r="S115" s="68">
        <f>(VLOOKUP($A:$A,USD!$A:$AL,19,FALSE)*88)/88*20</f>
        <v>0</v>
      </c>
      <c r="T115" s="68">
        <f>(VLOOKUP($A:$A,USD!$A:$AL,20,FALSE)*88)/88*20</f>
        <v>0</v>
      </c>
      <c r="U115" s="68" t="e">
        <f>(VLOOKUP($A:$A,USD!$A:$AL,21,FALSE)*88)/88*20</f>
        <v>#N/A</v>
      </c>
      <c r="V115" s="68"/>
      <c r="W115" s="68" t="e">
        <f t="shared" si="11"/>
        <v>#N/A</v>
      </c>
      <c r="X115" s="1" t="e">
        <f>(VLOOKUP($A:$A,USD!$A:$AL,24,FALSE)*88)/88*20</f>
        <v>#N/A</v>
      </c>
      <c r="Y115" s="68" t="e">
        <f>(VLOOKUP($A:$A,USD!$A:$AL,25,FALSE)*88)/88*20</f>
        <v>#N/A</v>
      </c>
      <c r="Z115" s="68">
        <f>(VLOOKUP($A:$A,USD!$A:$AL,26,FALSE)*88)/88*20</f>
        <v>26.25</v>
      </c>
      <c r="AB115" s="68" t="e">
        <f t="shared" si="12"/>
        <v>#N/A</v>
      </c>
      <c r="AC115" s="68" t="e">
        <f>(VLOOKUP($A:$A,USD!$A:$AL,29,FALSE)*88)/88*20</f>
        <v>#N/A</v>
      </c>
      <c r="AD115" s="68" t="e">
        <f>(VLOOKUP($A:$A,USD!$A:$AL,30,FALSE)*88)/88*20</f>
        <v>#N/A</v>
      </c>
      <c r="AF115" s="68" t="e">
        <f t="shared" si="13"/>
        <v>#N/A</v>
      </c>
      <c r="AG115" s="87">
        <f>(VLOOKUP($A:$A,USD!$A:$AL,33,FALSE)*88)/88*20</f>
        <v>28.814300000000003</v>
      </c>
      <c r="AH115" s="68">
        <f>(VLOOKUP($A:$A,USD!$A:$AL,34,FALSE)*88)/88*20</f>
        <v>6.973140495867769</v>
      </c>
      <c r="AI115" s="87">
        <f>(VLOOKUP($A:$A,USD!$A:$AL,35,FALSE)*88)/88*20</f>
        <v>12.587317427197677</v>
      </c>
      <c r="AJ115" s="87">
        <f>(VLOOKUP($A:$A,USD!$A:$AL,36,FALSE)*88)/88*20</f>
        <v>6.7351999999999999</v>
      </c>
      <c r="AL115" s="68">
        <f t="shared" si="14"/>
        <v>55.109957923065444</v>
      </c>
      <c r="AM115" s="87">
        <f>(VLOOKUP($A:$A,USD!$A:$AR,39,FALSE)*88)/88*20</f>
        <v>79.999999999999986</v>
      </c>
      <c r="AN115" s="68">
        <f>(VLOOKUP($A:$A,USD!$A:$AR,40,FALSE)*88)/88*20</f>
        <v>26.17808219178082</v>
      </c>
      <c r="AO115" s="1">
        <f>(VLOOKUP($A:$A,USD!$A:$AR,41,FALSE)*88)/88*20</f>
        <v>0</v>
      </c>
      <c r="AR115" s="1">
        <f t="shared" si="15"/>
        <v>106.1780821917808</v>
      </c>
      <c r="AS115" s="38" t="e">
        <f t="shared" si="16"/>
        <v>#VALUE!</v>
      </c>
      <c r="AT115" s="38" t="e">
        <f t="shared" si="17"/>
        <v>#N/A</v>
      </c>
      <c r="AW115" s="1" t="e">
        <f>(VLOOKUP(A:A,USD!A:AT,46,FALSE)*88)/88*20</f>
        <v>#N/A</v>
      </c>
      <c r="AX115" s="1" t="e">
        <f>(VLOOKUP(A:A,USD!A:AU,47,FALSE)*88)/88*20</f>
        <v>#N/A</v>
      </c>
    </row>
    <row r="116" spans="1:50" hidden="1">
      <c r="A116" s="1">
        <v>976503</v>
      </c>
      <c r="B116" s="1" t="s">
        <v>322</v>
      </c>
      <c r="C116" s="1" t="s">
        <v>323</v>
      </c>
      <c r="D116" s="1" t="s">
        <v>324</v>
      </c>
      <c r="E116" s="1" t="str">
        <f>VLOOKUP(A:A,USD!A:E,5,FALSE)</f>
        <v>Eastern Rule 5</v>
      </c>
      <c r="F116" s="1" t="str">
        <f>VLOOKUP(A:A,USD!A:F,6,FALSE)</f>
        <v>ER5</v>
      </c>
      <c r="G116" s="1" t="str">
        <f>VLOOKUP(A:A,'Regions and Ports'!A:G,7,FALSE)</f>
        <v>Savannah</v>
      </c>
      <c r="H116" s="1">
        <f>VLOOKUP(A:A,USD!A:R,8,FALSE)</f>
        <v>1</v>
      </c>
      <c r="I116" s="87">
        <f>(VLOOKUP($A:$A,USD!$A:$AL,9,FALSE)*88)/88*20</f>
        <v>85</v>
      </c>
      <c r="J116" s="87">
        <f>(VLOOKUP($A:$A,USD!$A:$AL,10,FALSE)*88)/88*20</f>
        <v>95</v>
      </c>
      <c r="K116" s="87">
        <f>(VLOOKUP($A:$A,USD!$A:$AL,11,FALSE)*88)/88*20</f>
        <v>0</v>
      </c>
      <c r="L116" s="87">
        <f>(VLOOKUP($A:$A,USD!$A:$AL,12,FALSE)*88)/88*20</f>
        <v>0</v>
      </c>
      <c r="M116" s="87">
        <f>(VLOOKUP($A:$A,USD!$A:$AL,13,FALSE)*88)/88*20</f>
        <v>30</v>
      </c>
      <c r="N116" s="87">
        <f>(VLOOKUP($A:$A,USD!$A:$AL,14,FALSE)*88)/88*20</f>
        <v>50</v>
      </c>
      <c r="O116" s="68">
        <f>(VLOOKUP($A:$A,USD!$A:$AL,15,FALSE)*88)/88*20</f>
        <v>37.916666666666671</v>
      </c>
      <c r="P116" s="87">
        <f>(VLOOKUP($A:$A,USD!$A:$AL,16,FALSE)*88)/88*20</f>
        <v>0</v>
      </c>
      <c r="Q116" s="68">
        <f t="shared" si="9"/>
        <v>297.91666666666669</v>
      </c>
      <c r="R116" s="68">
        <f t="shared" si="10"/>
        <v>87.916666666666671</v>
      </c>
      <c r="S116" s="68">
        <f>(VLOOKUP($A:$A,USD!$A:$AL,19,FALSE)*88)/88*20</f>
        <v>0</v>
      </c>
      <c r="T116" s="68">
        <f>(VLOOKUP($A:$A,USD!$A:$AL,20,FALSE)*88)/88*20</f>
        <v>0</v>
      </c>
      <c r="U116" s="68">
        <f>(VLOOKUP($A:$A,USD!$A:$AL,21,FALSE)*88)/88*20</f>
        <v>277.05965909090912</v>
      </c>
      <c r="V116" s="68"/>
      <c r="W116" s="68">
        <f t="shared" si="11"/>
        <v>277.05965909090912</v>
      </c>
      <c r="X116" s="1">
        <f>(VLOOKUP($A:$A,USD!$A:$AL,24,FALSE)*88)/88*20</f>
        <v>52</v>
      </c>
      <c r="Y116" s="68">
        <f>(VLOOKUP($A:$A,USD!$A:$AL,25,FALSE)*88)/88*20</f>
        <v>50.4</v>
      </c>
      <c r="Z116" s="68">
        <f>(VLOOKUP($A:$A,USD!$A:$AL,26,FALSE)*88)/88*20</f>
        <v>26.25</v>
      </c>
      <c r="AB116" s="68">
        <f t="shared" si="12"/>
        <v>128.65</v>
      </c>
      <c r="AC116" s="68">
        <f>(VLOOKUP($A:$A,USD!$A:$AL,29,FALSE)*88)/88*20</f>
        <v>110.22727272727273</v>
      </c>
      <c r="AD116" s="68">
        <f>(VLOOKUP($A:$A,USD!$A:$AL,30,FALSE)*88)/88*20</f>
        <v>107.04545454545455</v>
      </c>
      <c r="AF116" s="68">
        <f t="shared" si="13"/>
        <v>217.27272727272728</v>
      </c>
      <c r="AG116" s="87">
        <f>(VLOOKUP($A:$A,USD!$A:$AL,33,FALSE)*88)/88*20</f>
        <v>28.814300000000003</v>
      </c>
      <c r="AH116" s="68">
        <f>(VLOOKUP($A:$A,USD!$A:$AL,34,FALSE)*88)/88*20</f>
        <v>6.973140495867769</v>
      </c>
      <c r="AI116" s="87">
        <f>(VLOOKUP($A:$A,USD!$A:$AL,35,FALSE)*88)/88*20</f>
        <v>12.587317427197677</v>
      </c>
      <c r="AJ116" s="87">
        <f>(VLOOKUP($A:$A,USD!$A:$AL,36,FALSE)*88)/88*20</f>
        <v>6.7351999999999999</v>
      </c>
      <c r="AL116" s="68">
        <f t="shared" si="14"/>
        <v>55.109957923065444</v>
      </c>
      <c r="AM116" s="87">
        <f>(VLOOKUP($A:$A,USD!$A:$AR,39,FALSE)*88)/88*20</f>
        <v>79.999999999999986</v>
      </c>
      <c r="AN116" s="68">
        <f>(VLOOKUP($A:$A,USD!$A:$AR,40,FALSE)*88)/88*20</f>
        <v>26.17808219178082</v>
      </c>
      <c r="AO116" s="1">
        <f>(VLOOKUP($A:$A,USD!$A:$AR,41,FALSE)*88)/88*20</f>
        <v>0</v>
      </c>
      <c r="AR116" s="1">
        <f t="shared" si="15"/>
        <v>106.1780821917808</v>
      </c>
      <c r="AS116" s="38">
        <f t="shared" si="16"/>
        <v>872.18709314514933</v>
      </c>
      <c r="AT116" s="38">
        <f t="shared" si="17"/>
        <v>1082.1870931451492</v>
      </c>
      <c r="AW116" s="1" t="e">
        <f>(VLOOKUP(A:A,USD!A:AT,46,FALSE)*88)/88*20</f>
        <v>#N/A</v>
      </c>
      <c r="AX116" s="1">
        <f>(VLOOKUP(A:A,USD!A:AU,47,FALSE)*88)/88*20</f>
        <v>246.59090909090909</v>
      </c>
    </row>
    <row r="117" spans="1:50" hidden="1">
      <c r="A117" s="1">
        <v>976505</v>
      </c>
      <c r="B117" s="1" t="s">
        <v>326</v>
      </c>
      <c r="C117" s="1" t="s">
        <v>323</v>
      </c>
      <c r="D117" s="1" t="s">
        <v>324</v>
      </c>
      <c r="E117" s="1" t="str">
        <f>VLOOKUP(A:A,USD!A:E,5,FALSE)</f>
        <v>Eastern Rule 5</v>
      </c>
      <c r="F117" s="1" t="str">
        <f>VLOOKUP(A:A,USD!A:F,6,FALSE)</f>
        <v>ER5</v>
      </c>
      <c r="G117" s="1" t="str">
        <f>VLOOKUP(A:A,'Regions and Ports'!A:G,7,FALSE)</f>
        <v>Savannah</v>
      </c>
      <c r="H117" s="1">
        <f>VLOOKUP(A:A,USD!A:R,8,FALSE)</f>
        <v>1</v>
      </c>
      <c r="I117" s="87">
        <f>(VLOOKUP($A:$A,USD!$A:$AL,9,FALSE)*88)/88*20</f>
        <v>70</v>
      </c>
      <c r="J117" s="87">
        <f>(VLOOKUP($A:$A,USD!$A:$AL,10,FALSE)*88)/88*20</f>
        <v>100</v>
      </c>
      <c r="K117" s="87">
        <f>(VLOOKUP($A:$A,USD!$A:$AL,11,FALSE)*88)/88*20</f>
        <v>0</v>
      </c>
      <c r="L117" s="87">
        <f>(VLOOKUP($A:$A,USD!$A:$AL,12,FALSE)*88)/88*20</f>
        <v>0</v>
      </c>
      <c r="M117" s="87">
        <f>(VLOOKUP($A:$A,USD!$A:$AL,13,FALSE)*88)/88*20</f>
        <v>20</v>
      </c>
      <c r="N117" s="87">
        <f>(VLOOKUP($A:$A,USD!$A:$AL,14,FALSE)*88)/88*20</f>
        <v>50</v>
      </c>
      <c r="O117" s="68">
        <f>(VLOOKUP($A:$A,USD!$A:$AL,15,FALSE)*88)/88*20</f>
        <v>37.916666666666671</v>
      </c>
      <c r="P117" s="87">
        <f>(VLOOKUP($A:$A,USD!$A:$AL,16,FALSE)*88)/88*20</f>
        <v>0</v>
      </c>
      <c r="Q117" s="68">
        <f t="shared" si="9"/>
        <v>277.91666666666669</v>
      </c>
      <c r="R117" s="68">
        <f t="shared" si="10"/>
        <v>87.916666666666671</v>
      </c>
      <c r="S117" s="68">
        <f>(VLOOKUP($A:$A,USD!$A:$AL,19,FALSE)*88)/88*20</f>
        <v>0</v>
      </c>
      <c r="T117" s="68">
        <f>(VLOOKUP($A:$A,USD!$A:$AL,20,FALSE)*88)/88*20</f>
        <v>0</v>
      </c>
      <c r="U117" s="68">
        <f>(VLOOKUP($A:$A,USD!$A:$AL,21,FALSE)*88)/88*20</f>
        <v>277.05965909090912</v>
      </c>
      <c r="V117" s="68"/>
      <c r="W117" s="68">
        <f t="shared" si="11"/>
        <v>277.05965909090912</v>
      </c>
      <c r="X117" s="1">
        <f>(VLOOKUP($A:$A,USD!$A:$AL,24,FALSE)*88)/88*20</f>
        <v>52</v>
      </c>
      <c r="Y117" s="68">
        <f>(VLOOKUP($A:$A,USD!$A:$AL,25,FALSE)*88)/88*20</f>
        <v>50.4</v>
      </c>
      <c r="Z117" s="68">
        <f>(VLOOKUP($A:$A,USD!$A:$AL,26,FALSE)*88)/88*20</f>
        <v>26.25</v>
      </c>
      <c r="AB117" s="68">
        <f t="shared" si="12"/>
        <v>128.65</v>
      </c>
      <c r="AC117" s="68">
        <f>(VLOOKUP($A:$A,USD!$A:$AL,29,FALSE)*88)/88*20</f>
        <v>110.22727272727273</v>
      </c>
      <c r="AD117" s="68">
        <f>(VLOOKUP($A:$A,USD!$A:$AL,30,FALSE)*88)/88*20</f>
        <v>107.04545454545455</v>
      </c>
      <c r="AF117" s="68">
        <f t="shared" si="13"/>
        <v>217.27272727272728</v>
      </c>
      <c r="AG117" s="87">
        <f>(VLOOKUP($A:$A,USD!$A:$AL,33,FALSE)*88)/88*20</f>
        <v>28.814300000000003</v>
      </c>
      <c r="AH117" s="68">
        <f>(VLOOKUP($A:$A,USD!$A:$AL,34,FALSE)*88)/88*20</f>
        <v>6.973140495867769</v>
      </c>
      <c r="AI117" s="87">
        <f>(VLOOKUP($A:$A,USD!$A:$AL,35,FALSE)*88)/88*20</f>
        <v>12.587317427197677</v>
      </c>
      <c r="AJ117" s="87">
        <f>(VLOOKUP($A:$A,USD!$A:$AL,36,FALSE)*88)/88*20</f>
        <v>6.7351999999999999</v>
      </c>
      <c r="AL117" s="68">
        <f t="shared" si="14"/>
        <v>55.109957923065444</v>
      </c>
      <c r="AM117" s="87">
        <f>(VLOOKUP($A:$A,USD!$A:$AR,39,FALSE)*88)/88*20</f>
        <v>79.999999999999986</v>
      </c>
      <c r="AN117" s="68">
        <f>(VLOOKUP($A:$A,USD!$A:$AR,40,FALSE)*88)/88*20</f>
        <v>26.17808219178082</v>
      </c>
      <c r="AO117" s="1">
        <f>(VLOOKUP($A:$A,USD!$A:$AR,41,FALSE)*88)/88*20</f>
        <v>0</v>
      </c>
      <c r="AR117" s="1">
        <f t="shared" si="15"/>
        <v>106.1780821917808</v>
      </c>
      <c r="AS117" s="38">
        <f t="shared" si="16"/>
        <v>872.18709314514933</v>
      </c>
      <c r="AT117" s="38">
        <f t="shared" si="17"/>
        <v>1062.1870931451492</v>
      </c>
      <c r="AW117" s="1" t="e">
        <f>(VLOOKUP(A:A,USD!A:AT,46,FALSE)*88)/88*20</f>
        <v>#N/A</v>
      </c>
      <c r="AX117" s="1">
        <f>(VLOOKUP(A:A,USD!A:AU,47,FALSE)*88)/88*20</f>
        <v>246.59090909090909</v>
      </c>
    </row>
    <row r="118" spans="1:50" hidden="1">
      <c r="A118" s="1">
        <v>568010</v>
      </c>
      <c r="B118" s="1" t="s">
        <v>328</v>
      </c>
      <c r="C118" s="1" t="s">
        <v>329</v>
      </c>
      <c r="D118" s="1" t="s">
        <v>136</v>
      </c>
      <c r="E118" s="1" t="str">
        <f>VLOOKUP(A:A,USD!A:E,5,FALSE)</f>
        <v>Eastern Rule 5</v>
      </c>
      <c r="F118" s="1" t="str">
        <f>VLOOKUP(A:A,USD!A:F,6,FALSE)</f>
        <v>ER5</v>
      </c>
      <c r="G118" s="1" t="str">
        <f>VLOOKUP(A:A,'Regions and Ports'!A:G,7,FALSE)</f>
        <v>Savannah</v>
      </c>
      <c r="H118" s="1">
        <f>VLOOKUP(A:A,USD!A:R,8,FALSE)</f>
        <v>1</v>
      </c>
      <c r="I118" s="87">
        <f>(VLOOKUP($A:$A,USD!$A:$AL,9,FALSE)*88)/88*20</f>
        <v>70</v>
      </c>
      <c r="J118" s="87">
        <f>(VLOOKUP($A:$A,USD!$A:$AL,10,FALSE)*88)/88*20</f>
        <v>100</v>
      </c>
      <c r="K118" s="87">
        <f>(VLOOKUP($A:$A,USD!$A:$AL,11,FALSE)*88)/88*20</f>
        <v>0</v>
      </c>
      <c r="L118" s="87">
        <f>(VLOOKUP($A:$A,USD!$A:$AL,12,FALSE)*88)/88*20</f>
        <v>0</v>
      </c>
      <c r="M118" s="87">
        <f>(VLOOKUP($A:$A,USD!$A:$AL,13,FALSE)*88)/88*20</f>
        <v>0</v>
      </c>
      <c r="N118" s="87">
        <f>(VLOOKUP($A:$A,USD!$A:$AL,14,FALSE)*88)/88*20</f>
        <v>34</v>
      </c>
      <c r="O118" s="68">
        <f>(VLOOKUP($A:$A,USD!$A:$AL,15,FALSE)*88)/88*20</f>
        <v>37.916666666666671</v>
      </c>
      <c r="P118" s="87">
        <f>(VLOOKUP($A:$A,USD!$A:$AL,16,FALSE)*88)/88*20</f>
        <v>0</v>
      </c>
      <c r="Q118" s="68">
        <f t="shared" si="9"/>
        <v>241.91666666666669</v>
      </c>
      <c r="R118" s="68">
        <f t="shared" si="10"/>
        <v>71.916666666666671</v>
      </c>
      <c r="S118" s="68">
        <f>(VLOOKUP($A:$A,USD!$A:$AL,19,FALSE)*88)/88*20</f>
        <v>0</v>
      </c>
      <c r="T118" s="68">
        <f>(VLOOKUP($A:$A,USD!$A:$AL,20,FALSE)*88)/88*20</f>
        <v>0</v>
      </c>
      <c r="U118" s="68">
        <f>(VLOOKUP($A:$A,USD!$A:$AL,21,FALSE)*88)/88*20</f>
        <v>268.53693181818181</v>
      </c>
      <c r="V118" s="68"/>
      <c r="W118" s="68">
        <f t="shared" si="11"/>
        <v>268.53693181818181</v>
      </c>
      <c r="X118" s="1">
        <f>(VLOOKUP($A:$A,USD!$A:$AL,24,FALSE)*88)/88*20</f>
        <v>52</v>
      </c>
      <c r="Y118" s="68">
        <f>(VLOOKUP($A:$A,USD!$A:$AL,25,FALSE)*88)/88*20</f>
        <v>50.4</v>
      </c>
      <c r="Z118" s="68">
        <f>(VLOOKUP($A:$A,USD!$A:$AL,26,FALSE)*88)/88*20</f>
        <v>26.25</v>
      </c>
      <c r="AB118" s="68">
        <f t="shared" si="12"/>
        <v>128.65</v>
      </c>
      <c r="AC118" s="68">
        <f>(VLOOKUP($A:$A,USD!$A:$AL,29,FALSE)*88)/88*20</f>
        <v>110.22727272727273</v>
      </c>
      <c r="AD118" s="68">
        <f>(VLOOKUP($A:$A,USD!$A:$AL,30,FALSE)*88)/88*20</f>
        <v>107.04545454545455</v>
      </c>
      <c r="AF118" s="68">
        <f t="shared" si="13"/>
        <v>217.27272727272728</v>
      </c>
      <c r="AG118" s="87">
        <f>(VLOOKUP($A:$A,USD!$A:$AL,33,FALSE)*88)/88*20</f>
        <v>28.814300000000003</v>
      </c>
      <c r="AH118" s="68">
        <f>(VLOOKUP($A:$A,USD!$A:$AL,34,FALSE)*88)/88*20</f>
        <v>6.973140495867769</v>
      </c>
      <c r="AI118" s="87">
        <f>(VLOOKUP($A:$A,USD!$A:$AL,35,FALSE)*88)/88*20</f>
        <v>12.587317427197677</v>
      </c>
      <c r="AJ118" s="87">
        <f>(VLOOKUP($A:$A,USD!$A:$AL,36,FALSE)*88)/88*20</f>
        <v>6.7351999999999999</v>
      </c>
      <c r="AL118" s="68">
        <f t="shared" si="14"/>
        <v>55.109957923065444</v>
      </c>
      <c r="AM118" s="87">
        <f>(VLOOKUP($A:$A,USD!$A:$AR,39,FALSE)*88)/88*20</f>
        <v>79.999999999999986</v>
      </c>
      <c r="AN118" s="68">
        <f>(VLOOKUP($A:$A,USD!$A:$AR,40,FALSE)*88)/88*20</f>
        <v>26.17808219178082</v>
      </c>
      <c r="AO118" s="1">
        <f>(VLOOKUP($A:$A,USD!$A:$AR,41,FALSE)*88)/88*20</f>
        <v>0</v>
      </c>
      <c r="AR118" s="1">
        <f t="shared" si="15"/>
        <v>106.1780821917808</v>
      </c>
      <c r="AS118" s="38">
        <f t="shared" si="16"/>
        <v>847.66436587242197</v>
      </c>
      <c r="AT118" s="38">
        <f t="shared" si="17"/>
        <v>1017.664365872422</v>
      </c>
      <c r="AW118" s="1" t="e">
        <f>(VLOOKUP(A:A,USD!A:AT,46,FALSE)*88)/88*20</f>
        <v>#N/A</v>
      </c>
      <c r="AX118" s="1">
        <f>(VLOOKUP(A:A,USD!A:AU,47,FALSE)*88)/88*20</f>
        <v>246.25</v>
      </c>
    </row>
    <row r="119" spans="1:50" hidden="1">
      <c r="A119" s="1">
        <v>306310</v>
      </c>
      <c r="B119" s="1" t="s">
        <v>331</v>
      </c>
      <c r="C119" s="1" t="s">
        <v>332</v>
      </c>
      <c r="D119" s="1" t="s">
        <v>76</v>
      </c>
      <c r="E119" s="1" t="str">
        <f>VLOOKUP(A:A,USD!A:E,5,FALSE)</f>
        <v>GA 30 Day</v>
      </c>
      <c r="F119" s="1" t="str">
        <f>VLOOKUP(A:A,USD!A:F,6,FALSE)</f>
        <v>ER5</v>
      </c>
      <c r="G119" s="1" t="str">
        <f>VLOOKUP(A:A,'Regions and Ports'!A:G,7,FALSE)</f>
        <v>Savannah</v>
      </c>
      <c r="H119" s="1">
        <f>VLOOKUP(A:A,USD!A:R,8,FALSE)</f>
        <v>4</v>
      </c>
      <c r="I119" s="87">
        <f>(VLOOKUP($A:$A,USD!$A:$AL,9,FALSE)*88)/88*20</f>
        <v>0</v>
      </c>
      <c r="J119" s="87">
        <f>(VLOOKUP($A:$A,USD!$A:$AL,10,FALSE)*88)/88*20</f>
        <v>0</v>
      </c>
      <c r="K119" s="87">
        <f>(VLOOKUP($A:$A,USD!$A:$AL,11,FALSE)*88)/88*20</f>
        <v>0</v>
      </c>
      <c r="L119" s="87">
        <f>(VLOOKUP($A:$A,USD!$A:$AL,12,FALSE)*88)/88*20</f>
        <v>0</v>
      </c>
      <c r="M119" s="87">
        <f>(VLOOKUP($A:$A,USD!$A:$AL,13,FALSE)*88)/88*20</f>
        <v>15</v>
      </c>
      <c r="N119" s="87">
        <f>(VLOOKUP($A:$A,USD!$A:$AL,14,FALSE)*88)/88*20</f>
        <v>55</v>
      </c>
      <c r="O119" s="68">
        <f>(VLOOKUP($A:$A,USD!$A:$AL,15,FALSE)*88)/88*20</f>
        <v>37.916666666666671</v>
      </c>
      <c r="P119" s="87">
        <f>(VLOOKUP($A:$A,USD!$A:$AL,16,FALSE)*88)/88*20</f>
        <v>0</v>
      </c>
      <c r="Q119" s="68">
        <f t="shared" si="9"/>
        <v>107.91666666666667</v>
      </c>
      <c r="R119" s="68">
        <f t="shared" si="10"/>
        <v>37.916666666666671</v>
      </c>
      <c r="S119" s="68">
        <f>(VLOOKUP($A:$A,USD!$A:$AL,19,FALSE)*88)/88*20</f>
        <v>0</v>
      </c>
      <c r="T119" s="68">
        <f>(VLOOKUP($A:$A,USD!$A:$AL,20,FALSE)*88)/88*20</f>
        <v>0</v>
      </c>
      <c r="U119" s="68">
        <f>(VLOOKUP($A:$A,USD!$A:$AL,21,FALSE)*88)/88*20</f>
        <v>208.34545454545457</v>
      </c>
      <c r="V119" s="68"/>
      <c r="W119" s="68">
        <f t="shared" si="11"/>
        <v>208.34545454545457</v>
      </c>
      <c r="X119" s="1">
        <f>(VLOOKUP($A:$A,USD!$A:$AL,24,FALSE)*88)/88*20</f>
        <v>52</v>
      </c>
      <c r="Y119" s="68">
        <f>(VLOOKUP($A:$A,USD!$A:$AL,25,FALSE)*88)/88*20</f>
        <v>50.4</v>
      </c>
      <c r="Z119" s="68">
        <f>(VLOOKUP($A:$A,USD!$A:$AL,26,FALSE)*88)/88*20</f>
        <v>26.25</v>
      </c>
      <c r="AB119" s="68">
        <f t="shared" si="12"/>
        <v>128.65</v>
      </c>
      <c r="AC119" s="68">
        <f>(VLOOKUP($A:$A,USD!$A:$AL,29,FALSE)*88)/88*20</f>
        <v>110.22727272727273</v>
      </c>
      <c r="AD119" s="68">
        <f>(VLOOKUP($A:$A,USD!$A:$AL,30,FALSE)*88)/88*20</f>
        <v>107.04545454545455</v>
      </c>
      <c r="AF119" s="68">
        <f t="shared" si="13"/>
        <v>217.27272727272728</v>
      </c>
      <c r="AG119" s="87">
        <f>(VLOOKUP($A:$A,USD!$A:$AL,33,FALSE)*88)/88*20</f>
        <v>28.814300000000003</v>
      </c>
      <c r="AH119" s="68">
        <f>(VLOOKUP($A:$A,USD!$A:$AL,34,FALSE)*88)/88*20</f>
        <v>6.973140495867769</v>
      </c>
      <c r="AI119" s="87">
        <f>(VLOOKUP($A:$A,USD!$A:$AL,35,FALSE)*88)/88*20</f>
        <v>12.587317427197677</v>
      </c>
      <c r="AJ119" s="87">
        <f>(VLOOKUP($A:$A,USD!$A:$AL,36,FALSE)*88)/88*20</f>
        <v>6.7351999999999999</v>
      </c>
      <c r="AL119" s="68">
        <f t="shared" si="14"/>
        <v>55.109957923065444</v>
      </c>
      <c r="AM119" s="87">
        <f>(VLOOKUP($A:$A,USD!$A:$AR,39,FALSE)*88)/88*20</f>
        <v>79.999999999999986</v>
      </c>
      <c r="AN119" s="68">
        <f>(VLOOKUP($A:$A,USD!$A:$AR,40,FALSE)*88)/88*20</f>
        <v>26.17808219178082</v>
      </c>
      <c r="AO119" s="1">
        <f>(VLOOKUP($A:$A,USD!$A:$AR,41,FALSE)*88)/88*20</f>
        <v>0</v>
      </c>
      <c r="AR119" s="1">
        <f t="shared" si="15"/>
        <v>106.1780821917808</v>
      </c>
      <c r="AS119" s="38">
        <f t="shared" si="16"/>
        <v>753.47288859969478</v>
      </c>
      <c r="AT119" s="38">
        <f t="shared" si="17"/>
        <v>823.47288859969478</v>
      </c>
      <c r="AW119" s="1">
        <f>(VLOOKUP(A:A,USD!A:AT,46,FALSE)*88)/88*20</f>
        <v>486.59772727272724</v>
      </c>
      <c r="AX119" s="1">
        <f>(VLOOKUP(A:A,USD!A:AU,47,FALSE)*88)/88*20</f>
        <v>314.77272727272725</v>
      </c>
    </row>
    <row r="120" spans="1:50" hidden="1">
      <c r="A120" s="1">
        <v>306316</v>
      </c>
      <c r="B120" s="1" t="s">
        <v>334</v>
      </c>
      <c r="C120" s="1" t="s">
        <v>335</v>
      </c>
      <c r="D120" s="1" t="s">
        <v>76</v>
      </c>
      <c r="E120" s="1" t="str">
        <f>VLOOKUP(A:A,USD!A:E,5,FALSE)</f>
        <v>GA 30 Day</v>
      </c>
      <c r="F120" s="1" t="str">
        <f>VLOOKUP(A:A,USD!A:F,6,FALSE)</f>
        <v>ER5</v>
      </c>
      <c r="G120" s="1" t="str">
        <f>VLOOKUP(A:A,'Regions and Ports'!A:G,7,FALSE)</f>
        <v>Savannah</v>
      </c>
      <c r="H120" s="1">
        <f>VLOOKUP(A:A,USD!A:R,8,FALSE)</f>
        <v>4</v>
      </c>
      <c r="I120" s="87">
        <f>(VLOOKUP($A:$A,USD!$A:$AL,9,FALSE)*88)/88*20</f>
        <v>60</v>
      </c>
      <c r="J120" s="87">
        <f>(VLOOKUP($A:$A,USD!$A:$AL,10,FALSE)*88)/88*20</f>
        <v>100</v>
      </c>
      <c r="K120" s="87">
        <f>(VLOOKUP($A:$A,USD!$A:$AL,11,FALSE)*88)/88*20</f>
        <v>0</v>
      </c>
      <c r="L120" s="87">
        <f>(VLOOKUP($A:$A,USD!$A:$AL,12,FALSE)*88)/88*20</f>
        <v>0</v>
      </c>
      <c r="M120" s="87">
        <f>(VLOOKUP($A:$A,USD!$A:$AL,13,FALSE)*88)/88*20</f>
        <v>0</v>
      </c>
      <c r="N120" s="87">
        <f>(VLOOKUP($A:$A,USD!$A:$AL,14,FALSE)*88)/88*20</f>
        <v>60</v>
      </c>
      <c r="O120" s="68">
        <f>(VLOOKUP($A:$A,USD!$A:$AL,15,FALSE)*88)/88*20</f>
        <v>37.916666666666671</v>
      </c>
      <c r="P120" s="87">
        <f>(VLOOKUP($A:$A,USD!$A:$AL,16,FALSE)*88)/88*20</f>
        <v>0</v>
      </c>
      <c r="Q120" s="68">
        <f t="shared" si="9"/>
        <v>257.91666666666669</v>
      </c>
      <c r="R120" s="68">
        <f t="shared" si="10"/>
        <v>37.916666666666671</v>
      </c>
      <c r="S120" s="68">
        <f>(VLOOKUP($A:$A,USD!$A:$AL,19,FALSE)*88)/88*20</f>
        <v>0</v>
      </c>
      <c r="T120" s="68">
        <f>(VLOOKUP($A:$A,USD!$A:$AL,20,FALSE)*88)/88*20</f>
        <v>0</v>
      </c>
      <c r="U120" s="68">
        <f>(VLOOKUP($A:$A,USD!$A:$AL,21,FALSE)*88)/88*20</f>
        <v>208.34545454545457</v>
      </c>
      <c r="V120" s="68"/>
      <c r="W120" s="68">
        <f t="shared" si="11"/>
        <v>208.34545454545457</v>
      </c>
      <c r="X120" s="1">
        <f>(VLOOKUP($A:$A,USD!$A:$AL,24,FALSE)*88)/88*20</f>
        <v>52</v>
      </c>
      <c r="Y120" s="68">
        <f>(VLOOKUP($A:$A,USD!$A:$AL,25,FALSE)*88)/88*20</f>
        <v>50.4</v>
      </c>
      <c r="Z120" s="68">
        <f>(VLOOKUP($A:$A,USD!$A:$AL,26,FALSE)*88)/88*20</f>
        <v>26.25</v>
      </c>
      <c r="AB120" s="68">
        <f t="shared" si="12"/>
        <v>128.65</v>
      </c>
      <c r="AC120" s="68">
        <f>(VLOOKUP($A:$A,USD!$A:$AL,29,FALSE)*88)/88*20</f>
        <v>110.22727272727273</v>
      </c>
      <c r="AD120" s="68">
        <f>(VLOOKUP($A:$A,USD!$A:$AL,30,FALSE)*88)/88*20</f>
        <v>107.04545454545455</v>
      </c>
      <c r="AF120" s="68">
        <f t="shared" si="13"/>
        <v>217.27272727272728</v>
      </c>
      <c r="AG120" s="87">
        <f>(VLOOKUP($A:$A,USD!$A:$AL,33,FALSE)*88)/88*20</f>
        <v>28.814300000000003</v>
      </c>
      <c r="AH120" s="68">
        <f>(VLOOKUP($A:$A,USD!$A:$AL,34,FALSE)*88)/88*20</f>
        <v>6.973140495867769</v>
      </c>
      <c r="AI120" s="87">
        <f>(VLOOKUP($A:$A,USD!$A:$AL,35,FALSE)*88)/88*20</f>
        <v>12.587317427197677</v>
      </c>
      <c r="AJ120" s="87">
        <f>(VLOOKUP($A:$A,USD!$A:$AL,36,FALSE)*88)/88*20</f>
        <v>6.7351999999999999</v>
      </c>
      <c r="AL120" s="68">
        <f t="shared" si="14"/>
        <v>55.109957923065444</v>
      </c>
      <c r="AM120" s="87">
        <f>(VLOOKUP($A:$A,USD!$A:$AR,39,FALSE)*88)/88*20</f>
        <v>79.999999999999986</v>
      </c>
      <c r="AN120" s="68">
        <f>(VLOOKUP($A:$A,USD!$A:$AR,40,FALSE)*88)/88*20</f>
        <v>26.17808219178082</v>
      </c>
      <c r="AO120" s="1">
        <f>(VLOOKUP($A:$A,USD!$A:$AR,41,FALSE)*88)/88*20</f>
        <v>0</v>
      </c>
      <c r="AR120" s="1">
        <f t="shared" si="15"/>
        <v>106.1780821917808</v>
      </c>
      <c r="AS120" s="38">
        <f t="shared" si="16"/>
        <v>753.47288859969478</v>
      </c>
      <c r="AT120" s="38">
        <f t="shared" si="17"/>
        <v>973.47288859969478</v>
      </c>
      <c r="AW120" s="1">
        <f>(VLOOKUP(A:A,USD!A:AT,46,FALSE)*88)/88*20</f>
        <v>486.59772727272724</v>
      </c>
      <c r="AX120" s="1">
        <f>(VLOOKUP(A:A,USD!A:AU,47,FALSE)*88)/88*20</f>
        <v>314.77272727272725</v>
      </c>
    </row>
    <row r="121" spans="1:50">
      <c r="A121" s="1">
        <v>36016</v>
      </c>
      <c r="B121" s="1" t="s">
        <v>336</v>
      </c>
      <c r="C121" s="1" t="s">
        <v>337</v>
      </c>
      <c r="D121" s="1" t="s">
        <v>65</v>
      </c>
      <c r="E121" s="1" t="str">
        <f>VLOOKUP(A:A,USD!A:E,5,FALSE)</f>
        <v>Eastern Rule 5</v>
      </c>
      <c r="F121" s="1" t="str">
        <f>VLOOKUP(A:A,USD!A:F,6,FALSE)</f>
        <v>ER5</v>
      </c>
      <c r="G121" s="1" t="str">
        <f>VLOOKUP(A:A,'Regions and Ports'!A:G,7,FALSE)</f>
        <v>Savannah</v>
      </c>
      <c r="H121" s="1">
        <f>VLOOKUP(A:A,USD!A:R,8,FALSE)</f>
        <v>1</v>
      </c>
      <c r="I121" s="87">
        <f>(VLOOKUP($A:$A,USD!$A:$AL,9,FALSE)*88)/88*20</f>
        <v>0</v>
      </c>
      <c r="J121" s="87">
        <f>(VLOOKUP($A:$A,USD!$A:$AL,10,FALSE)*88)/88*20</f>
        <v>0</v>
      </c>
      <c r="K121" s="87">
        <f>(VLOOKUP($A:$A,USD!$A:$AL,11,FALSE)*88)/88*20</f>
        <v>0</v>
      </c>
      <c r="L121" s="87">
        <f>(VLOOKUP($A:$A,USD!$A:$AL,12,FALSE)*88)/88*20</f>
        <v>0</v>
      </c>
      <c r="M121" s="87">
        <f>(VLOOKUP($A:$A,USD!$A:$AL,13,FALSE)*88)/88*20</f>
        <v>10</v>
      </c>
      <c r="N121" s="87">
        <f>(VLOOKUP($A:$A,USD!$A:$AL,14,FALSE)*88)/88*20</f>
        <v>50</v>
      </c>
      <c r="O121" s="68">
        <f>(VLOOKUP($A:$A,USD!$A:$AL,15,FALSE)*88)/88*20</f>
        <v>37.916666666666671</v>
      </c>
      <c r="P121" s="87">
        <f>(VLOOKUP($A:$A,USD!$A:$AL,16,FALSE)*88)/88*20</f>
        <v>0</v>
      </c>
      <c r="Q121" s="68">
        <f t="shared" si="9"/>
        <v>97.916666666666671</v>
      </c>
      <c r="R121" s="68">
        <f t="shared" si="10"/>
        <v>87.916666666666671</v>
      </c>
      <c r="S121" s="68">
        <f>(VLOOKUP($A:$A,USD!$A:$AL,19,FALSE)*88)/88*20</f>
        <v>0</v>
      </c>
      <c r="T121" s="68">
        <f>(VLOOKUP($A:$A,USD!$A:$AL,20,FALSE)*88)/88*20</f>
        <v>0</v>
      </c>
      <c r="U121" s="68">
        <f>(VLOOKUP($A:$A,USD!$A:$AL,21,FALSE)*88)/88*20</f>
        <v>290.4829545454545</v>
      </c>
      <c r="V121" s="68"/>
      <c r="W121" s="68">
        <f t="shared" si="11"/>
        <v>290.4829545454545</v>
      </c>
      <c r="X121" s="1">
        <f>(VLOOKUP($A:$A,USD!$A:$AL,24,FALSE)*88)/88*20</f>
        <v>52</v>
      </c>
      <c r="Y121" s="68">
        <f>(VLOOKUP($A:$A,USD!$A:$AL,25,FALSE)*88)/88*20</f>
        <v>50.4</v>
      </c>
      <c r="Z121" s="68">
        <f>(VLOOKUP($A:$A,USD!$A:$AL,26,FALSE)*88)/88*20</f>
        <v>26.25</v>
      </c>
      <c r="AB121" s="68">
        <f t="shared" si="12"/>
        <v>128.65</v>
      </c>
      <c r="AC121" s="68">
        <f>(VLOOKUP($A:$A,USD!$A:$AL,29,FALSE)*88)/88*20</f>
        <v>110.22727272727273</v>
      </c>
      <c r="AD121" s="68">
        <f>(VLOOKUP($A:$A,USD!$A:$AL,30,FALSE)*88)/88*20</f>
        <v>107.04545454545455</v>
      </c>
      <c r="AF121" s="68">
        <f t="shared" si="13"/>
        <v>217.27272727272728</v>
      </c>
      <c r="AG121" s="87">
        <f>(VLOOKUP($A:$A,USD!$A:$AL,33,FALSE)*88)/88*20</f>
        <v>28.814300000000003</v>
      </c>
      <c r="AH121" s="68">
        <f>(VLOOKUP($A:$A,USD!$A:$AL,34,FALSE)*88)/88*20</f>
        <v>6.973140495867769</v>
      </c>
      <c r="AI121" s="87">
        <f>(VLOOKUP($A:$A,USD!$A:$AL,35,FALSE)*88)/88*20</f>
        <v>12.587317427197677</v>
      </c>
      <c r="AJ121" s="87">
        <f>(VLOOKUP($A:$A,USD!$A:$AL,36,FALSE)*88)/88*20</f>
        <v>6.7351999999999999</v>
      </c>
      <c r="AL121" s="68">
        <f t="shared" si="14"/>
        <v>55.109957923065444</v>
      </c>
      <c r="AM121" s="87">
        <f>(VLOOKUP($A:$A,USD!$A:$AR,39,FALSE)*88)/88*20</f>
        <v>79.999999999999986</v>
      </c>
      <c r="AN121" s="68">
        <f>(VLOOKUP($A:$A,USD!$A:$AR,40,FALSE)*88)/88*20</f>
        <v>26.17808219178082</v>
      </c>
      <c r="AO121" s="1">
        <f>(VLOOKUP($A:$A,USD!$A:$AR,41,FALSE)*88)/88*20</f>
        <v>0</v>
      </c>
      <c r="AR121" s="1">
        <f t="shared" si="15"/>
        <v>106.1780821917808</v>
      </c>
      <c r="AS121" s="38">
        <f t="shared" si="16"/>
        <v>885.61038859969472</v>
      </c>
      <c r="AT121" s="38">
        <f t="shared" si="17"/>
        <v>895.61038859969472</v>
      </c>
      <c r="AW121" s="1" t="e">
        <f>(VLOOKUP(A:A,USD!A:AT,46,FALSE)*88)/88*20</f>
        <v>#N/A</v>
      </c>
      <c r="AX121" s="1">
        <f>(VLOOKUP(A:A,USD!A:AU,47,FALSE)*88)/88*20</f>
        <v>359.09090909090907</v>
      </c>
    </row>
    <row r="122" spans="1:50" hidden="1">
      <c r="A122" s="1">
        <v>568017</v>
      </c>
      <c r="B122" s="1" t="s">
        <v>338</v>
      </c>
      <c r="C122" s="1" t="s">
        <v>339</v>
      </c>
      <c r="D122" s="1" t="s">
        <v>136</v>
      </c>
      <c r="E122" s="1" t="str">
        <f>VLOOKUP(A:A,USD!A:E,5,FALSE)</f>
        <v>Eastern Rule 5</v>
      </c>
      <c r="F122" s="1" t="str">
        <f>VLOOKUP(A:A,USD!A:F,6,FALSE)</f>
        <v>ER5</v>
      </c>
      <c r="G122" s="1" t="str">
        <f>VLOOKUP(A:A,'Regions and Ports'!A:G,7,FALSE)</f>
        <v>Savannah</v>
      </c>
      <c r="H122" s="1">
        <f>VLOOKUP(A:A,USD!A:R,8,FALSE)</f>
        <v>1</v>
      </c>
      <c r="I122" s="87">
        <f>(VLOOKUP($A:$A,USD!$A:$AL,9,FALSE)*88)/88*20</f>
        <v>80</v>
      </c>
      <c r="J122" s="87">
        <f>(VLOOKUP($A:$A,USD!$A:$AL,10,FALSE)*88)/88*20</f>
        <v>97</v>
      </c>
      <c r="K122" s="87">
        <f>(VLOOKUP($A:$A,USD!$A:$AL,11,FALSE)*88)/88*20</f>
        <v>0</v>
      </c>
      <c r="L122" s="87">
        <f>(VLOOKUP($A:$A,USD!$A:$AL,12,FALSE)*88)/88*20</f>
        <v>0</v>
      </c>
      <c r="M122" s="87">
        <f>(VLOOKUP($A:$A,USD!$A:$AL,13,FALSE)*88)/88*20</f>
        <v>0</v>
      </c>
      <c r="N122" s="87">
        <f>(VLOOKUP($A:$A,USD!$A:$AL,14,FALSE)*88)/88*20</f>
        <v>60</v>
      </c>
      <c r="O122" s="68">
        <f>(VLOOKUP($A:$A,USD!$A:$AL,15,FALSE)*88)/88*20</f>
        <v>37.916666666666671</v>
      </c>
      <c r="P122" s="87">
        <f>(VLOOKUP($A:$A,USD!$A:$AL,16,FALSE)*88)/88*20</f>
        <v>0</v>
      </c>
      <c r="Q122" s="68">
        <f t="shared" si="9"/>
        <v>274.91666666666669</v>
      </c>
      <c r="R122" s="68">
        <f t="shared" si="10"/>
        <v>97.916666666666671</v>
      </c>
      <c r="S122" s="68">
        <f>(VLOOKUP($A:$A,USD!$A:$AL,19,FALSE)*88)/88*20</f>
        <v>0</v>
      </c>
      <c r="T122" s="68">
        <f>(VLOOKUP($A:$A,USD!$A:$AL,20,FALSE)*88)/88*20</f>
        <v>0</v>
      </c>
      <c r="U122" s="68">
        <f>(VLOOKUP($A:$A,USD!$A:$AL,21,FALSE)*88)/88*20</f>
        <v>233.73863636363635</v>
      </c>
      <c r="V122" s="68"/>
      <c r="W122" s="68">
        <f t="shared" si="11"/>
        <v>233.73863636363635</v>
      </c>
      <c r="X122" s="1">
        <f>(VLOOKUP($A:$A,USD!$A:$AL,24,FALSE)*88)/88*20</f>
        <v>52</v>
      </c>
      <c r="Y122" s="68">
        <f>(VLOOKUP($A:$A,USD!$A:$AL,25,FALSE)*88)/88*20</f>
        <v>50.4</v>
      </c>
      <c r="Z122" s="68">
        <f>(VLOOKUP($A:$A,USD!$A:$AL,26,FALSE)*88)/88*20</f>
        <v>26.25</v>
      </c>
      <c r="AB122" s="68">
        <f t="shared" si="12"/>
        <v>128.65</v>
      </c>
      <c r="AC122" s="68">
        <f>(VLOOKUP($A:$A,USD!$A:$AL,29,FALSE)*88)/88*20</f>
        <v>110.22727272727273</v>
      </c>
      <c r="AD122" s="68">
        <f>(VLOOKUP($A:$A,USD!$A:$AL,30,FALSE)*88)/88*20</f>
        <v>107.04545454545455</v>
      </c>
      <c r="AF122" s="68">
        <f t="shared" si="13"/>
        <v>217.27272727272728</v>
      </c>
      <c r="AG122" s="87">
        <f>(VLOOKUP($A:$A,USD!$A:$AL,33,FALSE)*88)/88*20</f>
        <v>28.814300000000003</v>
      </c>
      <c r="AH122" s="68">
        <f>(VLOOKUP($A:$A,USD!$A:$AL,34,FALSE)*88)/88*20</f>
        <v>6.973140495867769</v>
      </c>
      <c r="AI122" s="87">
        <f>(VLOOKUP($A:$A,USD!$A:$AL,35,FALSE)*88)/88*20</f>
        <v>12.587317427197677</v>
      </c>
      <c r="AJ122" s="87">
        <f>(VLOOKUP($A:$A,USD!$A:$AL,36,FALSE)*88)/88*20</f>
        <v>6.7351999999999999</v>
      </c>
      <c r="AL122" s="68">
        <f t="shared" si="14"/>
        <v>55.109957923065444</v>
      </c>
      <c r="AM122" s="87">
        <f>(VLOOKUP($A:$A,USD!$A:$AR,39,FALSE)*88)/88*20</f>
        <v>79.999999999999986</v>
      </c>
      <c r="AN122" s="68">
        <f>(VLOOKUP($A:$A,USD!$A:$AR,40,FALSE)*88)/88*20</f>
        <v>26.17808219178082</v>
      </c>
      <c r="AO122" s="1">
        <f>(VLOOKUP($A:$A,USD!$A:$AR,41,FALSE)*88)/88*20</f>
        <v>0</v>
      </c>
      <c r="AR122" s="1">
        <f t="shared" si="15"/>
        <v>106.1780821917808</v>
      </c>
      <c r="AS122" s="38">
        <f t="shared" si="16"/>
        <v>838.86607041787647</v>
      </c>
      <c r="AT122" s="38">
        <f t="shared" si="17"/>
        <v>1015.8660704178765</v>
      </c>
      <c r="AW122" s="1" t="e">
        <f>(VLOOKUP(A:A,USD!A:AT,46,FALSE)*88)/88*20</f>
        <v>#N/A</v>
      </c>
      <c r="AX122" s="1">
        <f>(VLOOKUP(A:A,USD!A:AU,47,FALSE)*88)/88*20</f>
        <v>200.56818181818184</v>
      </c>
    </row>
    <row r="123" spans="1:50" hidden="1">
      <c r="A123" s="1">
        <v>568016</v>
      </c>
      <c r="B123" s="1" t="s">
        <v>341</v>
      </c>
      <c r="C123" s="1" t="s">
        <v>342</v>
      </c>
      <c r="D123" s="1" t="s">
        <v>136</v>
      </c>
      <c r="E123" s="1" t="str">
        <f>VLOOKUP(A:A,USD!A:E,5,FALSE)</f>
        <v>Eastern Rule 5</v>
      </c>
      <c r="F123" s="1" t="str">
        <f>VLOOKUP(A:A,USD!A:F,6,FALSE)</f>
        <v>ER5</v>
      </c>
      <c r="G123" s="1" t="str">
        <f>VLOOKUP(A:A,'Regions and Ports'!A:G,7,FALSE)</f>
        <v>Savannah</v>
      </c>
      <c r="H123" s="1">
        <f>VLOOKUP(A:A,USD!A:R,8,FALSE)</f>
        <v>1</v>
      </c>
      <c r="I123" s="87">
        <f>(VLOOKUP($A:$A,USD!$A:$AL,9,FALSE)*88)/88*20</f>
        <v>75</v>
      </c>
      <c r="J123" s="87">
        <f>(VLOOKUP($A:$A,USD!$A:$AL,10,FALSE)*88)/88*20</f>
        <v>75</v>
      </c>
      <c r="K123" s="87">
        <f>(VLOOKUP($A:$A,USD!$A:$AL,11,FALSE)*88)/88*20</f>
        <v>0</v>
      </c>
      <c r="L123" s="87">
        <f>(VLOOKUP($A:$A,USD!$A:$AL,12,FALSE)*88)/88*20</f>
        <v>0</v>
      </c>
      <c r="M123" s="87">
        <f>(VLOOKUP($A:$A,USD!$A:$AL,13,FALSE)*88)/88*20</f>
        <v>0</v>
      </c>
      <c r="N123" s="87">
        <f>(VLOOKUP($A:$A,USD!$A:$AL,14,FALSE)*88)/88*20</f>
        <v>50</v>
      </c>
      <c r="O123" s="68">
        <f>(VLOOKUP($A:$A,USD!$A:$AL,15,FALSE)*88)/88*20</f>
        <v>37.916666666666671</v>
      </c>
      <c r="P123" s="87">
        <f>(VLOOKUP($A:$A,USD!$A:$AL,16,FALSE)*88)/88*20</f>
        <v>0</v>
      </c>
      <c r="Q123" s="68">
        <f t="shared" si="9"/>
        <v>237.91666666666669</v>
      </c>
      <c r="R123" s="68">
        <f t="shared" si="10"/>
        <v>87.916666666666671</v>
      </c>
      <c r="S123" s="68">
        <f>(VLOOKUP($A:$A,USD!$A:$AL,19,FALSE)*88)/88*20</f>
        <v>0</v>
      </c>
      <c r="T123" s="68">
        <f>(VLOOKUP($A:$A,USD!$A:$AL,20,FALSE)*88)/88*20</f>
        <v>0</v>
      </c>
      <c r="U123" s="68">
        <f>(VLOOKUP($A:$A,USD!$A:$AL,21,FALSE)*88)/88*20</f>
        <v>268.53693181818181</v>
      </c>
      <c r="V123" s="68"/>
      <c r="W123" s="68">
        <f t="shared" si="11"/>
        <v>268.53693181818181</v>
      </c>
      <c r="X123" s="1">
        <f>(VLOOKUP($A:$A,USD!$A:$AL,24,FALSE)*88)/88*20</f>
        <v>52</v>
      </c>
      <c r="Y123" s="68">
        <f>(VLOOKUP($A:$A,USD!$A:$AL,25,FALSE)*88)/88*20</f>
        <v>50.4</v>
      </c>
      <c r="Z123" s="68">
        <f>(VLOOKUP($A:$A,USD!$A:$AL,26,FALSE)*88)/88*20</f>
        <v>26.25</v>
      </c>
      <c r="AB123" s="68">
        <f t="shared" si="12"/>
        <v>128.65</v>
      </c>
      <c r="AC123" s="68">
        <f>(VLOOKUP($A:$A,USD!$A:$AL,29,FALSE)*88)/88*20</f>
        <v>110.22727272727273</v>
      </c>
      <c r="AD123" s="68">
        <f>(VLOOKUP($A:$A,USD!$A:$AL,30,FALSE)*88)/88*20</f>
        <v>107.04545454545455</v>
      </c>
      <c r="AF123" s="68">
        <f t="shared" si="13"/>
        <v>217.27272727272728</v>
      </c>
      <c r="AG123" s="87">
        <f>(VLOOKUP($A:$A,USD!$A:$AL,33,FALSE)*88)/88*20</f>
        <v>28.814300000000003</v>
      </c>
      <c r="AH123" s="68">
        <f>(VLOOKUP($A:$A,USD!$A:$AL,34,FALSE)*88)/88*20</f>
        <v>6.973140495867769</v>
      </c>
      <c r="AI123" s="87">
        <f>(VLOOKUP($A:$A,USD!$A:$AL,35,FALSE)*88)/88*20</f>
        <v>12.587317427197677</v>
      </c>
      <c r="AJ123" s="87">
        <f>(VLOOKUP($A:$A,USD!$A:$AL,36,FALSE)*88)/88*20</f>
        <v>6.7351999999999999</v>
      </c>
      <c r="AL123" s="68">
        <f t="shared" si="14"/>
        <v>55.109957923065444</v>
      </c>
      <c r="AM123" s="87">
        <f>(VLOOKUP($A:$A,USD!$A:$AR,39,FALSE)*88)/88*20</f>
        <v>79.999999999999986</v>
      </c>
      <c r="AN123" s="68">
        <f>(VLOOKUP($A:$A,USD!$A:$AR,40,FALSE)*88)/88*20</f>
        <v>26.17808219178082</v>
      </c>
      <c r="AO123" s="1">
        <f>(VLOOKUP($A:$A,USD!$A:$AR,41,FALSE)*88)/88*20</f>
        <v>0</v>
      </c>
      <c r="AR123" s="1">
        <f t="shared" si="15"/>
        <v>106.1780821917808</v>
      </c>
      <c r="AS123" s="38">
        <f t="shared" si="16"/>
        <v>863.66436587242197</v>
      </c>
      <c r="AT123" s="38">
        <f t="shared" si="17"/>
        <v>1013.664365872422</v>
      </c>
      <c r="AW123" s="1" t="e">
        <f>(VLOOKUP(A:A,USD!A:AT,46,FALSE)*88)/88*20</f>
        <v>#N/A</v>
      </c>
      <c r="AX123" s="1">
        <f>(VLOOKUP(A:A,USD!A:AU,47,FALSE)*88)/88*20</f>
        <v>256.47727272727275</v>
      </c>
    </row>
    <row r="124" spans="1:50" hidden="1">
      <c r="A124" s="1">
        <v>607540</v>
      </c>
      <c r="B124" s="1" t="s">
        <v>343</v>
      </c>
      <c r="C124" s="1" t="s">
        <v>342</v>
      </c>
      <c r="D124" s="1" t="s">
        <v>136</v>
      </c>
      <c r="E124" s="1" t="str">
        <f>VLOOKUP(A:A,USD!A:E,5,FALSE)</f>
        <v>Eastern Rule 5</v>
      </c>
      <c r="F124" s="1" t="str">
        <f>VLOOKUP(A:A,USD!A:F,6,FALSE)</f>
        <v>ER5</v>
      </c>
      <c r="G124" s="1" t="str">
        <f>VLOOKUP(A:A,'Regions and Ports'!A:G,7,FALSE)</f>
        <v>Savannah</v>
      </c>
      <c r="H124" s="1">
        <f>VLOOKUP(A:A,USD!A:R,8,FALSE)</f>
        <v>1</v>
      </c>
      <c r="I124" s="87">
        <f>(VLOOKUP($A:$A,USD!$A:$AL,9,FALSE)*88)/88*20</f>
        <v>75</v>
      </c>
      <c r="J124" s="87">
        <f>(VLOOKUP($A:$A,USD!$A:$AL,10,FALSE)*88)/88*20</f>
        <v>75</v>
      </c>
      <c r="K124" s="87">
        <f>(VLOOKUP($A:$A,USD!$A:$AL,11,FALSE)*88)/88*20</f>
        <v>0</v>
      </c>
      <c r="L124" s="87">
        <f>(VLOOKUP($A:$A,USD!$A:$AL,12,FALSE)*88)/88*20</f>
        <v>0</v>
      </c>
      <c r="M124" s="87">
        <f>(VLOOKUP($A:$A,USD!$A:$AL,13,FALSE)*88)/88*20</f>
        <v>0</v>
      </c>
      <c r="N124" s="87">
        <f>(VLOOKUP($A:$A,USD!$A:$AL,14,FALSE)*88)/88*20</f>
        <v>50</v>
      </c>
      <c r="O124" s="68">
        <f>(VLOOKUP($A:$A,USD!$A:$AL,15,FALSE)*88)/88*20</f>
        <v>37.916666666666671</v>
      </c>
      <c r="P124" s="87">
        <f>(VLOOKUP($A:$A,USD!$A:$AL,16,FALSE)*88)/88*20</f>
        <v>0</v>
      </c>
      <c r="Q124" s="68">
        <f t="shared" si="9"/>
        <v>237.91666666666669</v>
      </c>
      <c r="R124" s="68">
        <f t="shared" si="10"/>
        <v>87.916666666666671</v>
      </c>
      <c r="S124" s="68">
        <f>(VLOOKUP($A:$A,USD!$A:$AL,19,FALSE)*88)/88*20</f>
        <v>0</v>
      </c>
      <c r="T124" s="68">
        <f>(VLOOKUP($A:$A,USD!$A:$AL,20,FALSE)*88)/88*20</f>
        <v>0</v>
      </c>
      <c r="U124" s="68">
        <f>(VLOOKUP($A:$A,USD!$A:$AL,21,FALSE)*88)/88*20</f>
        <v>268.53693181818181</v>
      </c>
      <c r="V124" s="68"/>
      <c r="W124" s="68">
        <f t="shared" si="11"/>
        <v>268.53693181818181</v>
      </c>
      <c r="X124" s="1">
        <f>(VLOOKUP($A:$A,USD!$A:$AL,24,FALSE)*88)/88*20</f>
        <v>52</v>
      </c>
      <c r="Y124" s="68">
        <f>(VLOOKUP($A:$A,USD!$A:$AL,25,FALSE)*88)/88*20</f>
        <v>50.4</v>
      </c>
      <c r="Z124" s="68">
        <f>(VLOOKUP($A:$A,USD!$A:$AL,26,FALSE)*88)/88*20</f>
        <v>26.25</v>
      </c>
      <c r="AB124" s="68">
        <f t="shared" si="12"/>
        <v>128.65</v>
      </c>
      <c r="AC124" s="68">
        <f>(VLOOKUP($A:$A,USD!$A:$AL,29,FALSE)*88)/88*20</f>
        <v>110.22727272727273</v>
      </c>
      <c r="AD124" s="68">
        <f>(VLOOKUP($A:$A,USD!$A:$AL,30,FALSE)*88)/88*20</f>
        <v>107.04545454545455</v>
      </c>
      <c r="AF124" s="68">
        <f t="shared" si="13"/>
        <v>217.27272727272728</v>
      </c>
      <c r="AG124" s="87">
        <f>(VLOOKUP($A:$A,USD!$A:$AL,33,FALSE)*88)/88*20</f>
        <v>28.814300000000003</v>
      </c>
      <c r="AH124" s="68">
        <f>(VLOOKUP($A:$A,USD!$A:$AL,34,FALSE)*88)/88*20</f>
        <v>6.973140495867769</v>
      </c>
      <c r="AI124" s="87">
        <f>(VLOOKUP($A:$A,USD!$A:$AL,35,FALSE)*88)/88*20</f>
        <v>12.587317427197677</v>
      </c>
      <c r="AJ124" s="87">
        <f>(VLOOKUP($A:$A,USD!$A:$AL,36,FALSE)*88)/88*20</f>
        <v>6.7351999999999999</v>
      </c>
      <c r="AL124" s="68">
        <f t="shared" si="14"/>
        <v>55.109957923065444</v>
      </c>
      <c r="AM124" s="87">
        <f>(VLOOKUP($A:$A,USD!$A:$AR,39,FALSE)*88)/88*20</f>
        <v>79.999999999999986</v>
      </c>
      <c r="AN124" s="68">
        <f>(VLOOKUP($A:$A,USD!$A:$AR,40,FALSE)*88)/88*20</f>
        <v>26.17808219178082</v>
      </c>
      <c r="AO124" s="1">
        <f>(VLOOKUP($A:$A,USD!$A:$AR,41,FALSE)*88)/88*20</f>
        <v>0</v>
      </c>
      <c r="AR124" s="1">
        <f t="shared" si="15"/>
        <v>106.1780821917808</v>
      </c>
      <c r="AS124" s="38">
        <f t="shared" si="16"/>
        <v>863.66436587242197</v>
      </c>
      <c r="AT124" s="38">
        <f t="shared" si="17"/>
        <v>1013.664365872422</v>
      </c>
      <c r="AW124" s="1" t="e">
        <f>(VLOOKUP(A:A,USD!A:AT,46,FALSE)*88)/88*20</f>
        <v>#N/A</v>
      </c>
      <c r="AX124" s="1">
        <f>(VLOOKUP(A:A,USD!A:AU,47,FALSE)*88)/88*20</f>
        <v>256.47727272727275</v>
      </c>
    </row>
    <row r="125" spans="1:50" hidden="1">
      <c r="A125" s="1">
        <v>853005</v>
      </c>
      <c r="B125" s="1" t="s">
        <v>110</v>
      </c>
      <c r="C125" s="1" t="s">
        <v>344</v>
      </c>
      <c r="D125" s="1" t="s">
        <v>71</v>
      </c>
      <c r="E125" s="1" t="str">
        <f>VLOOKUP(A:A,USD!A:E,5,FALSE)</f>
        <v>WTX</v>
      </c>
      <c r="F125" s="1" t="str">
        <f>VLOOKUP(A:A,USD!A:F,6,FALSE)</f>
        <v>WTX</v>
      </c>
      <c r="G125" s="1" t="str">
        <f>VLOOKUP(A:A,'Regions and Ports'!A:G,7,FALSE)</f>
        <v>Dallas</v>
      </c>
      <c r="H125" s="1">
        <f>VLOOKUP(A:A,USD!A:R,8,FALSE)</f>
        <v>6</v>
      </c>
      <c r="I125" s="87">
        <f>(VLOOKUP($A:$A,USD!$A:$AL,9,FALSE)*88)/88*20</f>
        <v>80</v>
      </c>
      <c r="J125" s="87">
        <f>(VLOOKUP($A:$A,USD!$A:$AL,10,FALSE)*88)/88*20</f>
        <v>180</v>
      </c>
      <c r="K125" s="87">
        <f>(VLOOKUP($A:$A,USD!$A:$AL,11,FALSE)*88)/88*20</f>
        <v>190</v>
      </c>
      <c r="L125" s="87">
        <f>(VLOOKUP($A:$A,USD!$A:$AL,12,FALSE)*88)/88*20</f>
        <v>0</v>
      </c>
      <c r="M125" s="87">
        <f>(VLOOKUP($A:$A,USD!$A:$AL,13,FALSE)*88)/88*20</f>
        <v>20</v>
      </c>
      <c r="N125" s="87">
        <f>(VLOOKUP($A:$A,USD!$A:$AL,14,FALSE)*88)/88*20</f>
        <v>96</v>
      </c>
      <c r="O125" s="68">
        <f>(VLOOKUP($A:$A,USD!$A:$AL,15,FALSE)*88)/88*20</f>
        <v>37.916666666666671</v>
      </c>
      <c r="P125" s="87">
        <f>(VLOOKUP($A:$A,USD!$A:$AL,16,FALSE)*88)/88*20</f>
        <v>0</v>
      </c>
      <c r="Q125" s="68">
        <f t="shared" si="9"/>
        <v>603.91666666666663</v>
      </c>
      <c r="R125" s="68" t="e">
        <f t="shared" si="10"/>
        <v>#VALUE!</v>
      </c>
      <c r="S125" s="68">
        <f>(VLOOKUP($A:$A,USD!$A:$AL,19,FALSE)*88)/88*20</f>
        <v>0</v>
      </c>
      <c r="T125" s="68">
        <f>(VLOOKUP($A:$A,USD!$A:$AL,20,FALSE)*88)/88*20</f>
        <v>0</v>
      </c>
      <c r="U125" s="68" t="e">
        <f>(VLOOKUP($A:$A,USD!$A:$AL,21,FALSE)*88)/88*20</f>
        <v>#N/A</v>
      </c>
      <c r="V125" s="68"/>
      <c r="W125" s="68" t="e">
        <f t="shared" si="11"/>
        <v>#N/A</v>
      </c>
      <c r="X125" s="1">
        <f>(VLOOKUP($A:$A,USD!$A:$AL,24,FALSE)*88)/88*20</f>
        <v>54</v>
      </c>
      <c r="Y125" s="68">
        <f>(VLOOKUP($A:$A,USD!$A:$AL,25,FALSE)*88)/88*20</f>
        <v>50.4</v>
      </c>
      <c r="Z125" s="68">
        <f>(VLOOKUP($A:$A,USD!$A:$AL,26,FALSE)*88)/88*20</f>
        <v>26.25</v>
      </c>
      <c r="AB125" s="68">
        <f t="shared" si="12"/>
        <v>130.65</v>
      </c>
      <c r="AC125" s="68">
        <f>(VLOOKUP($A:$A,USD!$A:$AL,29,FALSE)*88)/88*20</f>
        <v>162.5</v>
      </c>
      <c r="AD125" s="68">
        <f>(VLOOKUP($A:$A,USD!$A:$AL,30,FALSE)*88)/88*20</f>
        <v>268.18181818181819</v>
      </c>
      <c r="AF125" s="68">
        <f t="shared" si="13"/>
        <v>430.68181818181819</v>
      </c>
      <c r="AG125" s="87">
        <f>(VLOOKUP($A:$A,USD!$A:$AL,33,FALSE)*88)/88*20</f>
        <v>28.814300000000003</v>
      </c>
      <c r="AH125" s="68">
        <f>(VLOOKUP($A:$A,USD!$A:$AL,34,FALSE)*88)/88*20</f>
        <v>6.973140495867769</v>
      </c>
      <c r="AI125" s="87">
        <f>(VLOOKUP($A:$A,USD!$A:$AL,35,FALSE)*88)/88*20</f>
        <v>12.587317427197677</v>
      </c>
      <c r="AJ125" s="87">
        <f>(VLOOKUP($A:$A,USD!$A:$AL,36,FALSE)*88)/88*20</f>
        <v>6.7351999999999999</v>
      </c>
      <c r="AL125" s="68">
        <f t="shared" si="14"/>
        <v>55.109957923065444</v>
      </c>
      <c r="AM125" s="87">
        <f>(VLOOKUP($A:$A,USD!$A:$AR,39,FALSE)*88)/88*20</f>
        <v>79.999999999999986</v>
      </c>
      <c r="AN125" s="68">
        <f>(VLOOKUP($A:$A,USD!$A:$AR,40,FALSE)*88)/88*20</f>
        <v>26.17808219178082</v>
      </c>
      <c r="AO125" s="1">
        <f>(VLOOKUP($A:$A,USD!$A:$AR,41,FALSE)*88)/88*20</f>
        <v>0</v>
      </c>
      <c r="AR125" s="1">
        <f t="shared" si="15"/>
        <v>106.1780821917808</v>
      </c>
      <c r="AS125" s="38" t="e">
        <f t="shared" si="16"/>
        <v>#VALUE!</v>
      </c>
      <c r="AT125" s="38" t="e">
        <f t="shared" si="17"/>
        <v>#N/A</v>
      </c>
      <c r="AW125" s="1" t="e">
        <f>(VLOOKUP(A:A,USD!A:AT,46,FALSE)*88)/88*20</f>
        <v>#N/A</v>
      </c>
      <c r="AX125" s="1" t="e">
        <f>(VLOOKUP(A:A,USD!A:AU,47,FALSE)*88)/88*20</f>
        <v>#N/A</v>
      </c>
    </row>
    <row r="126" spans="1:50" hidden="1">
      <c r="A126" s="125">
        <v>853005</v>
      </c>
      <c r="B126" s="1" t="s">
        <v>110</v>
      </c>
      <c r="C126" s="1" t="s">
        <v>344</v>
      </c>
      <c r="D126" s="1" t="s">
        <v>71</v>
      </c>
      <c r="E126" s="1" t="s">
        <v>2067</v>
      </c>
      <c r="F126" s="1" t="str">
        <f>VLOOKUP(A:A,USD!A:F,6,FALSE)</f>
        <v>WTX</v>
      </c>
      <c r="G126" s="1" t="s">
        <v>439</v>
      </c>
      <c r="H126" s="1">
        <f>VLOOKUP(A:A,USD!A:R,8,FALSE)</f>
        <v>6</v>
      </c>
      <c r="I126" s="87">
        <f>(VLOOKUP($A:$A,USD!$A:$AL,9,FALSE)*88)/88*20</f>
        <v>80</v>
      </c>
      <c r="J126" s="87">
        <f>(VLOOKUP($A:$A,USD!$A:$AL,10,FALSE)*88)/88*20</f>
        <v>180</v>
      </c>
      <c r="K126" s="87">
        <f>(VLOOKUP($A:$A,USD!$A:$AL,11,FALSE)*88)/88*20</f>
        <v>190</v>
      </c>
      <c r="L126" s="87">
        <f>(VLOOKUP($A:$A,USD!$A:$AL,12,FALSE)*88)/88*20</f>
        <v>0</v>
      </c>
      <c r="M126" s="87">
        <f>(VLOOKUP($A:$A,USD!$A:$AL,13,FALSE)*88)/88*20</f>
        <v>20</v>
      </c>
      <c r="N126" s="87">
        <f>(VLOOKUP($A:$A,USD!$A:$AL,14,FALSE)*88)/88*20</f>
        <v>96</v>
      </c>
      <c r="O126" s="68">
        <f>(VLOOKUP($A:$A,USD!$A:$AL,15,FALSE)*88)/88*20</f>
        <v>37.916666666666671</v>
      </c>
      <c r="P126" s="87">
        <f>(VLOOKUP($A:$A,USD!$A:$AL,16,FALSE)*88)/88*20</f>
        <v>0</v>
      </c>
      <c r="Q126" s="68">
        <f t="shared" si="9"/>
        <v>603.91666666666663</v>
      </c>
      <c r="R126" s="68" t="e">
        <f t="shared" si="10"/>
        <v>#VALUE!</v>
      </c>
      <c r="S126" s="68">
        <f>(VLOOKUP($A:$A,USD!$A:$AL,19,FALSE)*88)/88*20</f>
        <v>0</v>
      </c>
      <c r="T126" s="68">
        <f>(VLOOKUP($A:$A,USD!$A:$AL,20,FALSE)*88)/88*20</f>
        <v>0</v>
      </c>
      <c r="U126" s="68" t="e" cm="1">
        <f t="array" ref="U126">(_xlfn.XLOOKUP(1, (USD!$A:$A=$A126)*(USD!$E:$E=$E126), USD!$U:$U, "", 0)*88)/88*20</f>
        <v>#N/A</v>
      </c>
      <c r="V126" s="68"/>
      <c r="W126" s="68" t="e">
        <f t="shared" si="11"/>
        <v>#N/A</v>
      </c>
      <c r="X126" s="1">
        <f>(VLOOKUP($A:$A,USD!$A:$AL,24,FALSE)*88)/88*20</f>
        <v>54</v>
      </c>
      <c r="Y126" s="68">
        <f>(VLOOKUP($A:$A,USD!$A:$AL,25,FALSE)*88)/88*20</f>
        <v>50.4</v>
      </c>
      <c r="Z126" s="68">
        <f>(VLOOKUP($A:$A,USD!$A:$AL,26,FALSE)*88)/88*20</f>
        <v>26.25</v>
      </c>
      <c r="AB126" s="68">
        <f t="shared" si="12"/>
        <v>130.65</v>
      </c>
      <c r="AC126" s="68" cm="1">
        <f t="array" ref="AC126">_xlfn.XLOOKUP(A126&amp;E126, USD!$A:$A&amp;USD!$E:$E, USD!$AC:$AC, "")*20</f>
        <v>132.95454545454544</v>
      </c>
      <c r="AD126" s="68" cm="1">
        <f t="array" ref="AD126">_xlfn.XLOOKUP(A126&amp;E126, USD!$A:$A&amp;USD!$E:$E, USD!$AD:$AD, "")*20</f>
        <v>197.95454545454547</v>
      </c>
      <c r="AF126" s="68">
        <f t="shared" si="13"/>
        <v>330.90909090909088</v>
      </c>
      <c r="AG126" s="87">
        <f>(VLOOKUP($A:$A,USD!$A:$AL,33,FALSE)*88)/88*20</f>
        <v>28.814300000000003</v>
      </c>
      <c r="AH126" s="68">
        <f>(VLOOKUP($A:$A,USD!$A:$AL,34,FALSE)*88)/88*20</f>
        <v>6.973140495867769</v>
      </c>
      <c r="AI126" s="87">
        <f>(VLOOKUP($A:$A,USD!$A:$AL,35,FALSE)*88)/88*20</f>
        <v>12.587317427197677</v>
      </c>
      <c r="AJ126" s="87">
        <f>(VLOOKUP($A:$A,USD!$A:$AL,36,FALSE)*88)/88*20</f>
        <v>6.7351999999999999</v>
      </c>
      <c r="AL126" s="68">
        <f t="shared" si="14"/>
        <v>55.109957923065444</v>
      </c>
      <c r="AM126" s="87">
        <f>(VLOOKUP($A:$A,USD!$A:$AR,39,FALSE)*88)/88*20</f>
        <v>79.999999999999986</v>
      </c>
      <c r="AN126" s="68">
        <f>(VLOOKUP($A:$A,USD!$A:$AR,40,FALSE)*88)/88*20</f>
        <v>26.17808219178082</v>
      </c>
      <c r="AO126" s="1">
        <f>(VLOOKUP($A:$A,USD!$A:$AR,41,FALSE)*88)/88*20</f>
        <v>0</v>
      </c>
      <c r="AR126" s="1">
        <f t="shared" si="15"/>
        <v>106.1780821917808</v>
      </c>
      <c r="AS126" s="38" t="e">
        <f t="shared" si="16"/>
        <v>#VALUE!</v>
      </c>
      <c r="AT126" s="38" t="e">
        <f t="shared" si="17"/>
        <v>#N/A</v>
      </c>
      <c r="AW126" s="1" t="e">
        <f>(VLOOKUP(A:A,USD!A:AT,46,FALSE)*88)/88*20</f>
        <v>#N/A</v>
      </c>
      <c r="AX126" s="1" t="e">
        <f>(VLOOKUP(A:A,USD!A:AU,47,FALSE)*88)/88*20</f>
        <v>#N/A</v>
      </c>
    </row>
    <row r="127" spans="1:50" hidden="1">
      <c r="A127" s="1">
        <v>406505</v>
      </c>
      <c r="B127" s="1" t="s">
        <v>346</v>
      </c>
      <c r="C127" s="1" t="s">
        <v>347</v>
      </c>
      <c r="D127" s="1" t="s">
        <v>80</v>
      </c>
      <c r="E127" s="1" t="str">
        <f>VLOOKUP(A:A,USD!A:E,5,FALSE)</f>
        <v>Memphis Rule 5</v>
      </c>
      <c r="F127" s="1" t="str">
        <f>VLOOKUP(A:A,USD!A:F,6,FALSE)</f>
        <v>MR5</v>
      </c>
      <c r="G127" s="1" t="str">
        <f>VLOOKUP(A:A,'Regions and Ports'!A:G,7,FALSE)</f>
        <v>Houston</v>
      </c>
      <c r="H127" s="1">
        <f>VLOOKUP(A:A,USD!A:R,8,FALSE)</f>
        <v>1</v>
      </c>
      <c r="I127" s="87">
        <f>(VLOOKUP($A:$A,USD!$A:$AL,9,FALSE)*88)/88*20</f>
        <v>94</v>
      </c>
      <c r="J127" s="87">
        <f>(VLOOKUP($A:$A,USD!$A:$AL,10,FALSE)*88)/88*20</f>
        <v>170</v>
      </c>
      <c r="K127" s="87">
        <f>(VLOOKUP($A:$A,USD!$A:$AL,11,FALSE)*88)/88*20</f>
        <v>165</v>
      </c>
      <c r="L127" s="87">
        <f>(VLOOKUP($A:$A,USD!$A:$AL,12,FALSE)*88)/88*20</f>
        <v>0</v>
      </c>
      <c r="M127" s="87">
        <f>(VLOOKUP($A:$A,USD!$A:$AL,13,FALSE)*88)/88*20</f>
        <v>0</v>
      </c>
      <c r="N127" s="87">
        <f>(VLOOKUP($A:$A,USD!$A:$AL,14,FALSE)*88)/88*20</f>
        <v>60</v>
      </c>
      <c r="O127" s="68">
        <f>(VLOOKUP($A:$A,USD!$A:$AL,15,FALSE)*88)/88*20</f>
        <v>37.916666666666671</v>
      </c>
      <c r="P127" s="87">
        <f>(VLOOKUP($A:$A,USD!$A:$AL,16,FALSE)*88)/88*20</f>
        <v>0</v>
      </c>
      <c r="Q127" s="68">
        <f t="shared" si="9"/>
        <v>526.91666666666663</v>
      </c>
      <c r="R127" s="68">
        <f t="shared" si="10"/>
        <v>97.916666666666671</v>
      </c>
      <c r="S127" s="68">
        <f>(VLOOKUP($A:$A,USD!$A:$AL,19,FALSE)*88)/88*20</f>
        <v>0</v>
      </c>
      <c r="T127" s="68">
        <f>(VLOOKUP($A:$A,USD!$A:$AL,20,FALSE)*88)/88*20</f>
        <v>0</v>
      </c>
      <c r="U127" s="68">
        <f>(VLOOKUP($A:$A,USD!$A:$AL,21,FALSE)*88)/88*20</f>
        <v>321.93181818181819</v>
      </c>
      <c r="V127" s="68"/>
      <c r="W127" s="68">
        <f t="shared" si="11"/>
        <v>321.93181818181819</v>
      </c>
      <c r="X127" s="1">
        <f>(VLOOKUP($A:$A,USD!$A:$AL,24,FALSE)*88)/88*20</f>
        <v>54</v>
      </c>
      <c r="Y127" s="68">
        <f>(VLOOKUP($A:$A,USD!$A:$AL,25,FALSE)*88)/88*20</f>
        <v>50.4</v>
      </c>
      <c r="Z127" s="68">
        <f>(VLOOKUP($A:$A,USD!$A:$AL,26,FALSE)*88)/88*20</f>
        <v>26.25</v>
      </c>
      <c r="AB127" s="68">
        <f t="shared" si="12"/>
        <v>130.65</v>
      </c>
      <c r="AC127" s="68">
        <f>(VLOOKUP($A:$A,USD!$A:$AL,29,FALSE)*88)/88*20</f>
        <v>132.95454545454544</v>
      </c>
      <c r="AD127" s="68">
        <f>(VLOOKUP($A:$A,USD!$A:$AL,30,FALSE)*88)/88*20</f>
        <v>197.95454545454547</v>
      </c>
      <c r="AF127" s="68">
        <f t="shared" si="13"/>
        <v>330.90909090909088</v>
      </c>
      <c r="AG127" s="87">
        <f>(VLOOKUP($A:$A,USD!$A:$AL,33,FALSE)*88)/88*20</f>
        <v>28.814300000000003</v>
      </c>
      <c r="AH127" s="68">
        <f>(VLOOKUP($A:$A,USD!$A:$AL,34,FALSE)*88)/88*20</f>
        <v>6.973140495867769</v>
      </c>
      <c r="AI127" s="87">
        <f>(VLOOKUP($A:$A,USD!$A:$AL,35,FALSE)*88)/88*20</f>
        <v>12.587317427197677</v>
      </c>
      <c r="AJ127" s="87">
        <f>(VLOOKUP($A:$A,USD!$A:$AL,36,FALSE)*88)/88*20</f>
        <v>6.7351999999999999</v>
      </c>
      <c r="AL127" s="68">
        <f t="shared" si="14"/>
        <v>55.109957923065444</v>
      </c>
      <c r="AM127" s="87">
        <f>(VLOOKUP($A:$A,USD!$A:$AR,39,FALSE)*88)/88*20</f>
        <v>79.999999999999986</v>
      </c>
      <c r="AN127" s="68">
        <f>(VLOOKUP($A:$A,USD!$A:$AR,40,FALSE)*88)/88*20</f>
        <v>26.17808219178082</v>
      </c>
      <c r="AO127" s="1">
        <f>(VLOOKUP($A:$A,USD!$A:$AR,41,FALSE)*88)/88*20</f>
        <v>0</v>
      </c>
      <c r="AR127" s="1">
        <f t="shared" si="15"/>
        <v>106.1780821917808</v>
      </c>
      <c r="AS127" s="38">
        <f t="shared" si="16"/>
        <v>1042.695615872422</v>
      </c>
      <c r="AT127" s="38">
        <f t="shared" si="17"/>
        <v>1471.6956158724217</v>
      </c>
      <c r="AW127" s="1">
        <f>(VLOOKUP(A:A,USD!A:AT,46,FALSE)*88)/88*20</f>
        <v>360.65909090909088</v>
      </c>
      <c r="AX127" s="1">
        <f>(VLOOKUP(A:A,USD!A:AU,47,FALSE)*88)/88*20</f>
        <v>508.75</v>
      </c>
    </row>
    <row r="128" spans="1:50">
      <c r="A128" s="1">
        <v>39720</v>
      </c>
      <c r="B128" s="1" t="s">
        <v>349</v>
      </c>
      <c r="C128" s="1" t="s">
        <v>350</v>
      </c>
      <c r="D128" s="1" t="s">
        <v>65</v>
      </c>
      <c r="E128" s="1" t="str">
        <f>VLOOKUP(A:A,USD!A:E,5,FALSE)</f>
        <v>Eastern Rule 5</v>
      </c>
      <c r="F128" s="1" t="str">
        <f>VLOOKUP(A:A,USD!A:F,6,FALSE)</f>
        <v>ER5</v>
      </c>
      <c r="G128" s="1" t="str">
        <f>VLOOKUP(A:A,'Regions and Ports'!A:G,7,FALSE)</f>
        <v>Memphis</v>
      </c>
      <c r="H128" s="1">
        <f>VLOOKUP(A:A,USD!A:R,8,FALSE)</f>
        <v>1</v>
      </c>
      <c r="I128" s="87">
        <f>(VLOOKUP($A:$A,USD!$A:$AL,9,FALSE)*88)/88*20</f>
        <v>63</v>
      </c>
      <c r="J128" s="87">
        <f>(VLOOKUP($A:$A,USD!$A:$AL,10,FALSE)*88)/88*20</f>
        <v>120</v>
      </c>
      <c r="K128" s="87">
        <f>(VLOOKUP($A:$A,USD!$A:$AL,11,FALSE)*88)/88*20</f>
        <v>0</v>
      </c>
      <c r="L128" s="87">
        <f>(VLOOKUP($A:$A,USD!$A:$AL,12,FALSE)*88)/88*20</f>
        <v>0</v>
      </c>
      <c r="M128" s="87">
        <f>(VLOOKUP($A:$A,USD!$A:$AL,13,FALSE)*88)/88*20</f>
        <v>0</v>
      </c>
      <c r="N128" s="87">
        <f>(VLOOKUP($A:$A,USD!$A:$AL,14,FALSE)*88)/88*20</f>
        <v>45</v>
      </c>
      <c r="O128" s="68">
        <f>(VLOOKUP($A:$A,USD!$A:$AL,15,FALSE)*88)/88*20</f>
        <v>37.916666666666671</v>
      </c>
      <c r="P128" s="87">
        <f>(VLOOKUP($A:$A,USD!$A:$AL,16,FALSE)*88)/88*20</f>
        <v>0</v>
      </c>
      <c r="Q128" s="68">
        <f t="shared" si="9"/>
        <v>265.91666666666669</v>
      </c>
      <c r="R128" s="68">
        <f t="shared" si="10"/>
        <v>82.916666666666671</v>
      </c>
      <c r="S128" s="68">
        <f>(VLOOKUP($A:$A,USD!$A:$AL,19,FALSE)*88)/88*20</f>
        <v>0</v>
      </c>
      <c r="T128" s="68">
        <f>(VLOOKUP($A:$A,USD!$A:$AL,20,FALSE)*88)/88*20</f>
        <v>0</v>
      </c>
      <c r="U128" s="68">
        <f>(VLOOKUP($A:$A,USD!$A:$AL,21,FALSE)*88)/88*20</f>
        <v>224.43181818181816</v>
      </c>
      <c r="V128" s="68"/>
      <c r="W128" s="68">
        <f t="shared" si="11"/>
        <v>224.43181818181816</v>
      </c>
      <c r="X128" s="1">
        <f>(VLOOKUP($A:$A,USD!$A:$AL,24,FALSE)*88)/88*20</f>
        <v>50</v>
      </c>
      <c r="Y128" s="68">
        <f>(VLOOKUP($A:$A,USD!$A:$AL,25,FALSE)*88)/88*20</f>
        <v>33.6</v>
      </c>
      <c r="Z128" s="68">
        <f>(VLOOKUP($A:$A,USD!$A:$AL,26,FALSE)*88)/88*20</f>
        <v>26.25</v>
      </c>
      <c r="AB128" s="68">
        <f t="shared" si="12"/>
        <v>109.85</v>
      </c>
      <c r="AC128" s="68">
        <f>(VLOOKUP($A:$A,USD!$A:$AL,29,FALSE)*88)/88*20</f>
        <v>146.02272727272725</v>
      </c>
      <c r="AD128" s="68">
        <f>(VLOOKUP($A:$A,USD!$A:$AL,30,FALSE)*88)/88*20</f>
        <v>182.72727272727275</v>
      </c>
      <c r="AF128" s="68">
        <f t="shared" si="13"/>
        <v>328.75</v>
      </c>
      <c r="AG128" s="87">
        <f>(VLOOKUP($A:$A,USD!$A:$AL,33,FALSE)*88)/88*20</f>
        <v>28.814300000000003</v>
      </c>
      <c r="AH128" s="68">
        <f>(VLOOKUP($A:$A,USD!$A:$AL,34,FALSE)*88)/88*20</f>
        <v>6.973140495867769</v>
      </c>
      <c r="AI128" s="87">
        <f>(VLOOKUP($A:$A,USD!$A:$AL,35,FALSE)*88)/88*20</f>
        <v>12.587317427197677</v>
      </c>
      <c r="AJ128" s="87">
        <f>(VLOOKUP($A:$A,USD!$A:$AL,36,FALSE)*88)/88*20</f>
        <v>6.7351999999999999</v>
      </c>
      <c r="AL128" s="68">
        <f t="shared" si="14"/>
        <v>55.109957923065444</v>
      </c>
      <c r="AM128" s="87">
        <f>(VLOOKUP($A:$A,USD!$A:$AR,39,FALSE)*88)/88*20</f>
        <v>79.999999999999986</v>
      </c>
      <c r="AN128" s="68">
        <f>(VLOOKUP($A:$A,USD!$A:$AR,40,FALSE)*88)/88*20</f>
        <v>26.17808219178082</v>
      </c>
      <c r="AO128" s="1">
        <f>(VLOOKUP($A:$A,USD!$A:$AR,41,FALSE)*88)/88*20</f>
        <v>0</v>
      </c>
      <c r="AR128" s="1">
        <f t="shared" si="15"/>
        <v>106.1780821917808</v>
      </c>
      <c r="AS128" s="38">
        <f t="shared" si="16"/>
        <v>907.23652496333102</v>
      </c>
      <c r="AT128" s="38">
        <f t="shared" si="17"/>
        <v>1090.236524963331</v>
      </c>
      <c r="AW128" s="1" t="e">
        <f>(VLOOKUP(A:A,USD!A:AT,46,FALSE)*88)/88*20</f>
        <v>#N/A</v>
      </c>
      <c r="AX128" s="1">
        <f>(VLOOKUP(A:A,USD!A:AU,47,FALSE)*88)/88*20</f>
        <v>374.43181818181819</v>
      </c>
    </row>
    <row r="129" spans="1:50">
      <c r="A129" s="1">
        <v>39770</v>
      </c>
      <c r="B129" s="1" t="s">
        <v>352</v>
      </c>
      <c r="C129" s="1" t="s">
        <v>353</v>
      </c>
      <c r="D129" s="1" t="s">
        <v>65</v>
      </c>
      <c r="E129" s="1" t="str">
        <f>VLOOKUP(A:A,USD!A:E,5,FALSE)</f>
        <v>Eastern Rule 5</v>
      </c>
      <c r="F129" s="1" t="str">
        <f>VLOOKUP(A:A,USD!A:F,6,FALSE)</f>
        <v>ER5</v>
      </c>
      <c r="G129" s="1" t="str">
        <f>VLOOKUP(A:A,'Regions and Ports'!A:G,7,FALSE)</f>
        <v>Memphis</v>
      </c>
      <c r="H129" s="1">
        <f>VLOOKUP(A:A,USD!A:R,8,FALSE)</f>
        <v>1</v>
      </c>
      <c r="I129" s="87">
        <f>(VLOOKUP($A:$A,USD!$A:$AL,9,FALSE)*88)/88*20</f>
        <v>100</v>
      </c>
      <c r="J129" s="87">
        <f>(VLOOKUP($A:$A,USD!$A:$AL,10,FALSE)*88)/88*20</f>
        <v>100</v>
      </c>
      <c r="K129" s="87">
        <f>(VLOOKUP($A:$A,USD!$A:$AL,11,FALSE)*88)/88*20</f>
        <v>0</v>
      </c>
      <c r="L129" s="87">
        <f>(VLOOKUP($A:$A,USD!$A:$AL,12,FALSE)*88)/88*20</f>
        <v>85</v>
      </c>
      <c r="M129" s="87">
        <f>(VLOOKUP($A:$A,USD!$A:$AL,13,FALSE)*88)/88*20</f>
        <v>0</v>
      </c>
      <c r="N129" s="87">
        <f>(VLOOKUP($A:$A,USD!$A:$AL,14,FALSE)*88)/88*20</f>
        <v>50</v>
      </c>
      <c r="O129" s="68">
        <f>(VLOOKUP($A:$A,USD!$A:$AL,15,FALSE)*88)/88*20</f>
        <v>37.916666666666671</v>
      </c>
      <c r="P129" s="87">
        <f>(VLOOKUP($A:$A,USD!$A:$AL,16,FALSE)*88)/88*20</f>
        <v>0</v>
      </c>
      <c r="Q129" s="68">
        <f t="shared" si="9"/>
        <v>372.91666666666669</v>
      </c>
      <c r="R129" s="68">
        <f t="shared" si="10"/>
        <v>87.916666666666671</v>
      </c>
      <c r="S129" s="68">
        <f>(VLOOKUP($A:$A,USD!$A:$AL,19,FALSE)*88)/88*20</f>
        <v>0</v>
      </c>
      <c r="T129" s="68">
        <f>(VLOOKUP($A:$A,USD!$A:$AL,20,FALSE)*88)/88*20</f>
        <v>0</v>
      </c>
      <c r="U129" s="68">
        <f>(VLOOKUP($A:$A,USD!$A:$AL,21,FALSE)*88)/88*20</f>
        <v>224.43181818181816</v>
      </c>
      <c r="V129" s="68"/>
      <c r="W129" s="68">
        <f t="shared" si="11"/>
        <v>224.43181818181816</v>
      </c>
      <c r="X129" s="1">
        <f>(VLOOKUP($A:$A,USD!$A:$AL,24,FALSE)*88)/88*20</f>
        <v>50</v>
      </c>
      <c r="Y129" s="68">
        <f>(VLOOKUP($A:$A,USD!$A:$AL,25,FALSE)*88)/88*20</f>
        <v>33.6</v>
      </c>
      <c r="Z129" s="68">
        <f>(VLOOKUP($A:$A,USD!$A:$AL,26,FALSE)*88)/88*20</f>
        <v>26.25</v>
      </c>
      <c r="AB129" s="68">
        <f t="shared" si="12"/>
        <v>109.85</v>
      </c>
      <c r="AC129" s="68">
        <f>(VLOOKUP($A:$A,USD!$A:$AL,29,FALSE)*88)/88*20</f>
        <v>146.02272727272725</v>
      </c>
      <c r="AD129" s="68">
        <f>(VLOOKUP($A:$A,USD!$A:$AL,30,FALSE)*88)/88*20</f>
        <v>182.72727272727275</v>
      </c>
      <c r="AF129" s="68">
        <f t="shared" si="13"/>
        <v>328.75</v>
      </c>
      <c r="AG129" s="87">
        <f>(VLOOKUP($A:$A,USD!$A:$AL,33,FALSE)*88)/88*20</f>
        <v>28.814300000000003</v>
      </c>
      <c r="AH129" s="68">
        <f>(VLOOKUP($A:$A,USD!$A:$AL,34,FALSE)*88)/88*20</f>
        <v>6.973140495867769</v>
      </c>
      <c r="AI129" s="87">
        <f>(VLOOKUP($A:$A,USD!$A:$AL,35,FALSE)*88)/88*20</f>
        <v>12.587317427197677</v>
      </c>
      <c r="AJ129" s="87">
        <f>(VLOOKUP($A:$A,USD!$A:$AL,36,FALSE)*88)/88*20</f>
        <v>6.7351999999999999</v>
      </c>
      <c r="AL129" s="68">
        <f t="shared" si="14"/>
        <v>55.109957923065444</v>
      </c>
      <c r="AM129" s="87">
        <f>(VLOOKUP($A:$A,USD!$A:$AR,39,FALSE)*88)/88*20</f>
        <v>79.999999999999986</v>
      </c>
      <c r="AN129" s="68">
        <f>(VLOOKUP($A:$A,USD!$A:$AR,40,FALSE)*88)/88*20</f>
        <v>26.17808219178082</v>
      </c>
      <c r="AO129" s="1">
        <f>(VLOOKUP($A:$A,USD!$A:$AR,41,FALSE)*88)/88*20</f>
        <v>0</v>
      </c>
      <c r="AR129" s="1">
        <f t="shared" si="15"/>
        <v>106.1780821917808</v>
      </c>
      <c r="AS129" s="38">
        <f t="shared" si="16"/>
        <v>912.23652496333102</v>
      </c>
      <c r="AT129" s="38">
        <f t="shared" si="17"/>
        <v>1197.236524963331</v>
      </c>
      <c r="AW129" s="1" t="e">
        <f>(VLOOKUP(A:A,USD!A:AT,46,FALSE)*88)/88*20</f>
        <v>#N/A</v>
      </c>
      <c r="AX129" s="1">
        <f>(VLOOKUP(A:A,USD!A:AU,47,FALSE)*88)/88*20</f>
        <v>374.43181818181819</v>
      </c>
    </row>
    <row r="130" spans="1:50" hidden="1">
      <c r="A130" s="1">
        <v>140301</v>
      </c>
      <c r="B130" s="1" t="s">
        <v>354</v>
      </c>
      <c r="C130" s="1" t="s">
        <v>355</v>
      </c>
      <c r="D130" s="1" t="s">
        <v>149</v>
      </c>
      <c r="E130" s="1" t="str">
        <f>VLOOKUP(A:A,USD!A:E,5,FALSE)</f>
        <v>Memphis Rule 5</v>
      </c>
      <c r="F130" s="1" t="str">
        <f>VLOOKUP(A:A,USD!A:F,6,FALSE)</f>
        <v>MR5</v>
      </c>
      <c r="G130" s="1" t="str">
        <f>VLOOKUP(A:A,'Regions and Ports'!A:G,7,FALSE)</f>
        <v>Memphis</v>
      </c>
      <c r="H130" s="1">
        <f>VLOOKUP(A:A,USD!A:R,8,FALSE)</f>
        <v>1</v>
      </c>
      <c r="I130" s="87">
        <f>(VLOOKUP($A:$A,USD!$A:$AL,9,FALSE)*88)/88*20</f>
        <v>35</v>
      </c>
      <c r="J130" s="87">
        <f>(VLOOKUP($A:$A,USD!$A:$AL,10,FALSE)*88)/88*20</f>
        <v>365</v>
      </c>
      <c r="K130" s="87">
        <f>(VLOOKUP($A:$A,USD!$A:$AL,11,FALSE)*88)/88*20</f>
        <v>0</v>
      </c>
      <c r="L130" s="87">
        <f>(VLOOKUP($A:$A,USD!$A:$AL,12,FALSE)*88)/88*20</f>
        <v>61</v>
      </c>
      <c r="M130" s="87">
        <f>(VLOOKUP($A:$A,USD!$A:$AL,13,FALSE)*88)/88*20</f>
        <v>0</v>
      </c>
      <c r="N130" s="87">
        <f>(VLOOKUP($A:$A,USD!$A:$AL,14,FALSE)*88)/88*20</f>
        <v>70</v>
      </c>
      <c r="O130" s="68">
        <f>(VLOOKUP($A:$A,USD!$A:$AL,15,FALSE)*88)/88*20</f>
        <v>37.916666666666671</v>
      </c>
      <c r="P130" s="87">
        <f>(VLOOKUP($A:$A,USD!$A:$AL,16,FALSE)*88)/88*20</f>
        <v>0</v>
      </c>
      <c r="Q130" s="68">
        <f t="shared" si="9"/>
        <v>568.91666666666663</v>
      </c>
      <c r="R130" s="68">
        <f t="shared" si="10"/>
        <v>107.91666666666667</v>
      </c>
      <c r="S130" s="68">
        <f>(VLOOKUP($A:$A,USD!$A:$AL,19,FALSE)*88)/88*20</f>
        <v>0</v>
      </c>
      <c r="T130" s="68">
        <f>(VLOOKUP($A:$A,USD!$A:$AL,20,FALSE)*88)/88*20</f>
        <v>0</v>
      </c>
      <c r="U130" s="68">
        <f>(VLOOKUP($A:$A,USD!$A:$AL,21,FALSE)*88)/88*20</f>
        <v>145.34090909090909</v>
      </c>
      <c r="V130" s="68"/>
      <c r="W130" s="68">
        <f t="shared" si="11"/>
        <v>145.34090909090909</v>
      </c>
      <c r="X130" s="1">
        <f>(VLOOKUP($A:$A,USD!$A:$AL,24,FALSE)*88)/88*20</f>
        <v>50</v>
      </c>
      <c r="Y130" s="68">
        <f>(VLOOKUP($A:$A,USD!$A:$AL,25,FALSE)*88)/88*20</f>
        <v>33.6</v>
      </c>
      <c r="Z130" s="68">
        <f>(VLOOKUP($A:$A,USD!$A:$AL,26,FALSE)*88)/88*20</f>
        <v>26.25</v>
      </c>
      <c r="AB130" s="68">
        <f t="shared" si="12"/>
        <v>109.85</v>
      </c>
      <c r="AC130" s="68">
        <f>(VLOOKUP($A:$A,USD!$A:$AL,29,FALSE)*88)/88*20</f>
        <v>146.02272727272725</v>
      </c>
      <c r="AD130" s="68">
        <f>(VLOOKUP($A:$A,USD!$A:$AL,30,FALSE)*88)/88*20</f>
        <v>182.72727272727275</v>
      </c>
      <c r="AF130" s="68">
        <f t="shared" si="13"/>
        <v>328.75</v>
      </c>
      <c r="AG130" s="87">
        <f>(VLOOKUP($A:$A,USD!$A:$AL,33,FALSE)*88)/88*20</f>
        <v>28.814300000000003</v>
      </c>
      <c r="AH130" s="68">
        <f>(VLOOKUP($A:$A,USD!$A:$AL,34,FALSE)*88)/88*20</f>
        <v>6.973140495867769</v>
      </c>
      <c r="AI130" s="87">
        <f>(VLOOKUP($A:$A,USD!$A:$AL,35,FALSE)*88)/88*20</f>
        <v>12.587317427197677</v>
      </c>
      <c r="AJ130" s="87">
        <f>(VLOOKUP($A:$A,USD!$A:$AL,36,FALSE)*88)/88*20</f>
        <v>6.7351999999999999</v>
      </c>
      <c r="AL130" s="68">
        <f t="shared" si="14"/>
        <v>55.109957923065444</v>
      </c>
      <c r="AM130" s="87">
        <f>(VLOOKUP($A:$A,USD!$A:$AR,39,FALSE)*88)/88*20</f>
        <v>79.999999999999986</v>
      </c>
      <c r="AN130" s="68">
        <f>(VLOOKUP($A:$A,USD!$A:$AR,40,FALSE)*88)/88*20</f>
        <v>26.17808219178082</v>
      </c>
      <c r="AO130" s="1">
        <f>(VLOOKUP($A:$A,USD!$A:$AR,41,FALSE)*88)/88*20</f>
        <v>0</v>
      </c>
      <c r="AR130" s="1">
        <f t="shared" si="15"/>
        <v>106.1780821917808</v>
      </c>
      <c r="AS130" s="38">
        <f t="shared" si="16"/>
        <v>853.14561587242201</v>
      </c>
      <c r="AT130" s="38">
        <f t="shared" si="17"/>
        <v>1314.145615872422</v>
      </c>
      <c r="AW130" s="1" t="e">
        <f>(VLOOKUP(A:A,USD!A:AT,46,FALSE)*88)/88*20</f>
        <v>#N/A</v>
      </c>
      <c r="AX130" s="1" t="e">
        <f>(VLOOKUP(A:A,USD!A:AU,47,FALSE)*88)/88*20</f>
        <v>#N/A</v>
      </c>
    </row>
    <row r="131" spans="1:50" hidden="1">
      <c r="A131" s="1">
        <v>177501</v>
      </c>
      <c r="B131" s="1" t="s">
        <v>356</v>
      </c>
      <c r="C131" s="1" t="s">
        <v>357</v>
      </c>
      <c r="D131" s="1" t="s">
        <v>108</v>
      </c>
      <c r="E131" s="1" t="str">
        <f>VLOOKUP(A:A,USD!A:E,5,FALSE)</f>
        <v>Southwest</v>
      </c>
      <c r="F131" s="1">
        <f>VLOOKUP(A:A,USD!A:F,6,FALSE)</f>
        <v>0</v>
      </c>
      <c r="G131" s="1" t="str">
        <f>VLOOKUP(A:A,'Regions and Ports'!A:G,7,FALSE)</f>
        <v>Los Angeles</v>
      </c>
      <c r="H131" s="1">
        <f>VLOOKUP(A:A,USD!A:R,8,FALSE)</f>
        <v>5</v>
      </c>
      <c r="I131" s="87">
        <f>(VLOOKUP($A:$A,USD!$A:$AL,9,FALSE)*88)/88*20</f>
        <v>0</v>
      </c>
      <c r="J131" s="87">
        <f>(VLOOKUP($A:$A,USD!$A:$AL,10,FALSE)*88)/88*20</f>
        <v>190</v>
      </c>
      <c r="K131" s="87">
        <f>(VLOOKUP($A:$A,USD!$A:$AL,11,FALSE)*88)/88*20</f>
        <v>0</v>
      </c>
      <c r="L131" s="87">
        <f>(VLOOKUP($A:$A,USD!$A:$AL,12,FALSE)*88)/88*20</f>
        <v>0</v>
      </c>
      <c r="M131" s="87">
        <f>(VLOOKUP($A:$A,USD!$A:$AL,13,FALSE)*88)/88*20</f>
        <v>10</v>
      </c>
      <c r="N131" s="87">
        <f>(VLOOKUP($A:$A,USD!$A:$AL,14,FALSE)*88)/88*20</f>
        <v>96</v>
      </c>
      <c r="O131" s="68">
        <f>(VLOOKUP($A:$A,USD!$A:$AL,15,FALSE)*88)/88*20</f>
        <v>37.916666666666671</v>
      </c>
      <c r="P131" s="87" t="e">
        <f>(VLOOKUP($A:$A,USD!$A:$AL,16,FALSE)*88)/88*20</f>
        <v>#N/A</v>
      </c>
      <c r="Q131" s="68" t="e">
        <f t="shared" ref="Q131:Q194" si="18">I131+J131+K131+L131+M131+N131+O131+P131</f>
        <v>#N/A</v>
      </c>
      <c r="R131" s="68" t="e">
        <f t="shared" ref="R131:R194" si="19">IF(H131=1,SUM(N131),IF(H131=2,SUM(K131,N131),IF(H131=3,SUM(J131,K131,L131,N131),IF(H131=4,SUM(L131),"ERROR"))))+O131</f>
        <v>#VALUE!</v>
      </c>
      <c r="S131" s="68">
        <f>(VLOOKUP($A:$A,USD!$A:$AL,19,FALSE)*88)/88*20</f>
        <v>0</v>
      </c>
      <c r="T131" s="68">
        <f>(VLOOKUP($A:$A,USD!$A:$AL,20,FALSE)*88)/88*20</f>
        <v>0</v>
      </c>
      <c r="U131" s="68" t="e">
        <f>(VLOOKUP($A:$A,USD!$A:$AL,21,FALSE)*88)/88*20</f>
        <v>#N/A</v>
      </c>
      <c r="V131" s="68"/>
      <c r="W131" s="68" t="e">
        <f t="shared" ref="W131:W194" si="20">S131+T131+U131+V131</f>
        <v>#N/A</v>
      </c>
      <c r="X131" s="1" t="e">
        <f>(VLOOKUP($A:$A,USD!$A:$AL,24,FALSE)*88)/88*20</f>
        <v>#N/A</v>
      </c>
      <c r="Y131" s="68" t="e">
        <f>(VLOOKUP($A:$A,USD!$A:$AL,25,FALSE)*88)/88*20</f>
        <v>#N/A</v>
      </c>
      <c r="Z131" s="68">
        <f>(VLOOKUP($A:$A,USD!$A:$AL,26,FALSE)*88)/88*20</f>
        <v>26.25</v>
      </c>
      <c r="AB131" s="68" t="e">
        <f t="shared" ref="AB131:AB194" si="21">X131+Y131+Z131+AA131</f>
        <v>#N/A</v>
      </c>
      <c r="AC131" s="68" t="e">
        <f>(VLOOKUP($A:$A,USD!$A:$AL,29,FALSE)*88)/88*20</f>
        <v>#N/A</v>
      </c>
      <c r="AD131" s="68" t="e">
        <f>(VLOOKUP($A:$A,USD!$A:$AL,30,FALSE)*88)/88*20</f>
        <v>#N/A</v>
      </c>
      <c r="AF131" s="68" t="e">
        <f t="shared" ref="AF131:AF194" si="22">AC131+AD131+AE131</f>
        <v>#N/A</v>
      </c>
      <c r="AG131" s="87">
        <f>(VLOOKUP($A:$A,USD!$A:$AL,33,FALSE)*88)/88*20</f>
        <v>28.814300000000003</v>
      </c>
      <c r="AH131" s="68">
        <f>(VLOOKUP($A:$A,USD!$A:$AL,34,FALSE)*88)/88*20</f>
        <v>6.973140495867769</v>
      </c>
      <c r="AI131" s="87">
        <f>(VLOOKUP($A:$A,USD!$A:$AL,35,FALSE)*88)/88*20</f>
        <v>12.587317427197677</v>
      </c>
      <c r="AJ131" s="87">
        <f>(VLOOKUP($A:$A,USD!$A:$AL,36,FALSE)*88)/88*20</f>
        <v>6.7351999999999999</v>
      </c>
      <c r="AL131" s="68">
        <f t="shared" ref="AL131:AL194" si="23">AG131+AH131+AI131+AJ131</f>
        <v>55.109957923065444</v>
      </c>
      <c r="AM131" s="87">
        <f>(VLOOKUP($A:$A,USD!$A:$AR,39,FALSE)*88)/88*20</f>
        <v>79.999999999999986</v>
      </c>
      <c r="AN131" s="68">
        <f>(VLOOKUP($A:$A,USD!$A:$AR,40,FALSE)*88)/88*20</f>
        <v>26.17808219178082</v>
      </c>
      <c r="AO131" s="1">
        <f>(VLOOKUP($A:$A,USD!$A:$AR,41,FALSE)*88)/88*20</f>
        <v>0</v>
      </c>
      <c r="AR131" s="1">
        <f t="shared" ref="AR131:AR194" si="24">AM131+AN131+AO131+AP131+AQ131</f>
        <v>106.1780821917808</v>
      </c>
      <c r="AS131" s="38" t="e">
        <f t="shared" ref="AS131:AS194" si="25">R131+W131+AB131+AF131+AL131+AR131</f>
        <v>#VALUE!</v>
      </c>
      <c r="AT131" s="38" t="e">
        <f t="shared" ref="AT131:AT194" si="26">Q131+W131+AB131+AF131+AR131+AL131</f>
        <v>#N/A</v>
      </c>
      <c r="AW131" s="1" t="e">
        <f>(VLOOKUP(A:A,USD!A:AT,46,FALSE)*88)/88*20</f>
        <v>#N/A</v>
      </c>
      <c r="AX131" s="1" t="e">
        <f>(VLOOKUP(A:A,USD!A:AU,47,FALSE)*88)/88*20</f>
        <v>#N/A</v>
      </c>
    </row>
    <row r="132" spans="1:50" hidden="1">
      <c r="A132" s="1">
        <v>853007</v>
      </c>
      <c r="B132" s="1" t="s">
        <v>359</v>
      </c>
      <c r="C132" s="1" t="s">
        <v>360</v>
      </c>
      <c r="D132" s="1" t="s">
        <v>71</v>
      </c>
      <c r="E132" s="1" t="str">
        <f>VLOOKUP(A:A,USD!A:E,5,FALSE)</f>
        <v>WTX</v>
      </c>
      <c r="F132" s="1" t="str">
        <f>VLOOKUP(A:A,USD!A:F,6,FALSE)</f>
        <v>WTX</v>
      </c>
      <c r="G132" s="1" t="str">
        <f>VLOOKUP(A:A,'Regions and Ports'!A:G,7,FALSE)</f>
        <v>Dallas</v>
      </c>
      <c r="H132" s="1">
        <f>VLOOKUP(A:A,USD!A:R,8,FALSE)</f>
        <v>2</v>
      </c>
      <c r="I132" s="87">
        <f>(VLOOKUP($A:$A,USD!$A:$AL,9,FALSE)*88)/88*20</f>
        <v>110</v>
      </c>
      <c r="J132" s="87">
        <f>(VLOOKUP($A:$A,USD!$A:$AL,10,FALSE)*88)/88*20</f>
        <v>120</v>
      </c>
      <c r="K132" s="87">
        <f>(VLOOKUP($A:$A,USD!$A:$AL,11,FALSE)*88)/88*20</f>
        <v>370</v>
      </c>
      <c r="L132" s="87">
        <f>(VLOOKUP($A:$A,USD!$A:$AL,12,FALSE)*88)/88*20</f>
        <v>0</v>
      </c>
      <c r="M132" s="87">
        <f>(VLOOKUP($A:$A,USD!$A:$AL,13,FALSE)*88)/88*20</f>
        <v>10</v>
      </c>
      <c r="N132" s="87">
        <f>(VLOOKUP($A:$A,USD!$A:$AL,14,FALSE)*88)/88*20</f>
        <v>70</v>
      </c>
      <c r="O132" s="68">
        <f>(VLOOKUP($A:$A,USD!$A:$AL,15,FALSE)*88)/88*20</f>
        <v>37.916666666666671</v>
      </c>
      <c r="P132" s="87">
        <f>(VLOOKUP($A:$A,USD!$A:$AL,16,FALSE)*88)/88*20</f>
        <v>0</v>
      </c>
      <c r="Q132" s="68">
        <f t="shared" si="18"/>
        <v>717.91666666666663</v>
      </c>
      <c r="R132" s="68">
        <f t="shared" si="19"/>
        <v>477.91666666666669</v>
      </c>
      <c r="S132" s="68">
        <f>(VLOOKUP($A:$A,USD!$A:$AL,19,FALSE)*88)/88*20</f>
        <v>0</v>
      </c>
      <c r="T132" s="68">
        <f>(VLOOKUP($A:$A,USD!$A:$AL,20,FALSE)*88)/88*20</f>
        <v>0</v>
      </c>
      <c r="U132" s="68">
        <f>(VLOOKUP($A:$A,USD!$A:$AL,21,FALSE)*88)/88*20</f>
        <v>108.52272727272727</v>
      </c>
      <c r="V132" s="68"/>
      <c r="W132" s="68">
        <f t="shared" si="20"/>
        <v>108.52272727272727</v>
      </c>
      <c r="X132" s="1">
        <f>(VLOOKUP($A:$A,USD!$A:$AL,24,FALSE)*88)/88*20</f>
        <v>54</v>
      </c>
      <c r="Y132" s="68">
        <f>(VLOOKUP($A:$A,USD!$A:$AL,25,FALSE)*88)/88*20</f>
        <v>50.4</v>
      </c>
      <c r="Z132" s="68">
        <f>(VLOOKUP($A:$A,USD!$A:$AL,26,FALSE)*88)/88*20</f>
        <v>26.25</v>
      </c>
      <c r="AB132" s="68">
        <f t="shared" si="21"/>
        <v>130.65</v>
      </c>
      <c r="AC132" s="68">
        <f>(VLOOKUP($A:$A,USD!$A:$AL,29,FALSE)*88)/88*20</f>
        <v>162.5</v>
      </c>
      <c r="AD132" s="68">
        <f>(VLOOKUP($A:$A,USD!$A:$AL,30,FALSE)*88)/88*20</f>
        <v>268.18181818181819</v>
      </c>
      <c r="AF132" s="68">
        <f t="shared" si="22"/>
        <v>430.68181818181819</v>
      </c>
      <c r="AG132" s="87">
        <f>(VLOOKUP($A:$A,USD!$A:$AL,33,FALSE)*88)/88*20</f>
        <v>28.814300000000003</v>
      </c>
      <c r="AH132" s="68">
        <f>(VLOOKUP($A:$A,USD!$A:$AL,34,FALSE)*88)/88*20</f>
        <v>6.973140495867769</v>
      </c>
      <c r="AI132" s="87">
        <f>(VLOOKUP($A:$A,USD!$A:$AL,35,FALSE)*88)/88*20</f>
        <v>12.587317427197677</v>
      </c>
      <c r="AJ132" s="87">
        <f>(VLOOKUP($A:$A,USD!$A:$AL,36,FALSE)*88)/88*20</f>
        <v>6.7351999999999999</v>
      </c>
      <c r="AL132" s="68">
        <f t="shared" si="23"/>
        <v>55.109957923065444</v>
      </c>
      <c r="AM132" s="87">
        <f>(VLOOKUP($A:$A,USD!$A:$AR,39,FALSE)*88)/88*20</f>
        <v>79.999999999999986</v>
      </c>
      <c r="AN132" s="68">
        <f>(VLOOKUP($A:$A,USD!$A:$AR,40,FALSE)*88)/88*20</f>
        <v>26.17808219178082</v>
      </c>
      <c r="AO132" s="1">
        <f>(VLOOKUP($A:$A,USD!$A:$AR,41,FALSE)*88)/88*20</f>
        <v>0</v>
      </c>
      <c r="AR132" s="1">
        <f t="shared" si="24"/>
        <v>106.1780821917808</v>
      </c>
      <c r="AS132" s="38">
        <f t="shared" si="25"/>
        <v>1309.0592522360582</v>
      </c>
      <c r="AT132" s="38">
        <f t="shared" si="26"/>
        <v>1549.0592522360582</v>
      </c>
      <c r="AW132" s="1">
        <f>(VLOOKUP(A:A,USD!A:AT,46,FALSE)*88)/88*20</f>
        <v>296.24772727272727</v>
      </c>
      <c r="AX132" s="1" t="e">
        <f>(VLOOKUP(A:A,USD!A:AU,47,FALSE)*88)/88*20</f>
        <v>#N/A</v>
      </c>
    </row>
    <row r="133" spans="1:50" hidden="1">
      <c r="A133" s="125">
        <v>853007</v>
      </c>
      <c r="B133" s="1" t="s">
        <v>359</v>
      </c>
      <c r="C133" s="1" t="s">
        <v>360</v>
      </c>
      <c r="D133" s="1" t="s">
        <v>71</v>
      </c>
      <c r="E133" s="1" t="s">
        <v>2067</v>
      </c>
      <c r="F133" s="1" t="str">
        <f>VLOOKUP(A:A,USD!A:F,6,FALSE)</f>
        <v>WTX</v>
      </c>
      <c r="G133" s="1" t="s">
        <v>439</v>
      </c>
      <c r="H133" s="1">
        <f>VLOOKUP(A:A,USD!A:R,8,FALSE)</f>
        <v>2</v>
      </c>
      <c r="I133" s="87">
        <f>(VLOOKUP($A:$A,USD!$A:$AL,9,FALSE)*88)/88*20</f>
        <v>110</v>
      </c>
      <c r="J133" s="87">
        <f>(VLOOKUP($A:$A,USD!$A:$AL,10,FALSE)*88)/88*20</f>
        <v>120</v>
      </c>
      <c r="K133" s="87">
        <f>(VLOOKUP($A:$A,USD!$A:$AL,11,FALSE)*88)/88*20</f>
        <v>370</v>
      </c>
      <c r="L133" s="87">
        <f>(VLOOKUP($A:$A,USD!$A:$AL,12,FALSE)*88)/88*20</f>
        <v>0</v>
      </c>
      <c r="M133" s="87">
        <f>(VLOOKUP($A:$A,USD!$A:$AL,13,FALSE)*88)/88*20</f>
        <v>10</v>
      </c>
      <c r="N133" s="87">
        <f>(VLOOKUP($A:$A,USD!$A:$AL,14,FALSE)*88)/88*20</f>
        <v>70</v>
      </c>
      <c r="O133" s="68">
        <f>(VLOOKUP($A:$A,USD!$A:$AL,15,FALSE)*88)/88*20</f>
        <v>37.916666666666671</v>
      </c>
      <c r="P133" s="87">
        <f>(VLOOKUP($A:$A,USD!$A:$AL,16,FALSE)*88)/88*20</f>
        <v>0</v>
      </c>
      <c r="Q133" s="68">
        <f t="shared" si="18"/>
        <v>717.91666666666663</v>
      </c>
      <c r="R133" s="68">
        <f t="shared" si="19"/>
        <v>477.91666666666669</v>
      </c>
      <c r="S133" s="68">
        <f>(VLOOKUP($A:$A,USD!$A:$AL,19,FALSE)*88)/88*20</f>
        <v>0</v>
      </c>
      <c r="T133" s="68">
        <f>(VLOOKUP($A:$A,USD!$A:$AL,20,FALSE)*88)/88*20</f>
        <v>0</v>
      </c>
      <c r="U133" s="68" cm="1">
        <f t="array" ref="U133">(_xlfn.XLOOKUP(1, (USD!$A:$A=$A133)*(USD!$E:$E=$E133), USD!$U:$U, "", 0)*88)/88*20</f>
        <v>190</v>
      </c>
      <c r="V133" s="68"/>
      <c r="W133" s="68">
        <f t="shared" si="20"/>
        <v>190</v>
      </c>
      <c r="X133" s="1">
        <f>(VLOOKUP($A:$A,USD!$A:$AL,24,FALSE)*88)/88*20</f>
        <v>54</v>
      </c>
      <c r="Y133" s="68">
        <f>(VLOOKUP($A:$A,USD!$A:$AL,25,FALSE)*88)/88*20</f>
        <v>50.4</v>
      </c>
      <c r="Z133" s="68">
        <f>(VLOOKUP($A:$A,USD!$A:$AL,26,FALSE)*88)/88*20</f>
        <v>26.25</v>
      </c>
      <c r="AB133" s="68">
        <f t="shared" si="21"/>
        <v>130.65</v>
      </c>
      <c r="AC133" s="68" cm="1">
        <f t="array" ref="AC133">_xlfn.XLOOKUP(A133&amp;E133, USD!$A:$A&amp;USD!$E:$E, USD!$AC:$AC, "")*20</f>
        <v>132.95454545454544</v>
      </c>
      <c r="AD133" s="68" cm="1">
        <f t="array" ref="AD133">_xlfn.XLOOKUP(A133&amp;E133, USD!$A:$A&amp;USD!$E:$E, USD!$AD:$AD, "")*20</f>
        <v>197.95454545454547</v>
      </c>
      <c r="AF133" s="68">
        <f t="shared" si="22"/>
        <v>330.90909090909088</v>
      </c>
      <c r="AG133" s="87">
        <f>(VLOOKUP($A:$A,USD!$A:$AL,33,FALSE)*88)/88*20</f>
        <v>28.814300000000003</v>
      </c>
      <c r="AH133" s="68">
        <f>(VLOOKUP($A:$A,USD!$A:$AL,34,FALSE)*88)/88*20</f>
        <v>6.973140495867769</v>
      </c>
      <c r="AI133" s="87">
        <f>(VLOOKUP($A:$A,USD!$A:$AL,35,FALSE)*88)/88*20</f>
        <v>12.587317427197677</v>
      </c>
      <c r="AJ133" s="87">
        <f>(VLOOKUP($A:$A,USD!$A:$AL,36,FALSE)*88)/88*20</f>
        <v>6.7351999999999999</v>
      </c>
      <c r="AL133" s="68">
        <f t="shared" si="23"/>
        <v>55.109957923065444</v>
      </c>
      <c r="AM133" s="87">
        <f>(VLOOKUP($A:$A,USD!$A:$AR,39,FALSE)*88)/88*20</f>
        <v>79.999999999999986</v>
      </c>
      <c r="AN133" s="68">
        <f>(VLOOKUP($A:$A,USD!$A:$AR,40,FALSE)*88)/88*20</f>
        <v>26.17808219178082</v>
      </c>
      <c r="AO133" s="1">
        <f>(VLOOKUP($A:$A,USD!$A:$AR,41,FALSE)*88)/88*20</f>
        <v>0</v>
      </c>
      <c r="AR133" s="1">
        <f t="shared" si="24"/>
        <v>106.1780821917808</v>
      </c>
      <c r="AS133" s="38">
        <f t="shared" si="25"/>
        <v>1290.7637976906037</v>
      </c>
      <c r="AT133" s="38">
        <f t="shared" si="26"/>
        <v>1530.7637976906037</v>
      </c>
      <c r="AW133" s="1">
        <f>(VLOOKUP(A:A,USD!A:AT,46,FALSE)*88)/88*20</f>
        <v>296.24772727272727</v>
      </c>
      <c r="AX133" s="1" t="e">
        <f>(VLOOKUP(A:A,USD!A:AU,47,FALSE)*88)/88*20</f>
        <v>#N/A</v>
      </c>
    </row>
    <row r="134" spans="1:50" hidden="1">
      <c r="A134" s="1">
        <v>266405</v>
      </c>
      <c r="B134" s="1" t="s">
        <v>362</v>
      </c>
      <c r="C134" s="1" t="s">
        <v>363</v>
      </c>
      <c r="D134" s="1" t="s">
        <v>76</v>
      </c>
      <c r="E134" s="1" t="str">
        <f>VLOOKUP(A:A,USD!A:E,5,FALSE)</f>
        <v>GA 30 Day</v>
      </c>
      <c r="F134" s="1" t="str">
        <f>VLOOKUP(A:A,USD!A:F,6,FALSE)</f>
        <v>ER5</v>
      </c>
      <c r="G134" s="1" t="str">
        <f>VLOOKUP(A:A,'Regions and Ports'!A:G,7,FALSE)</f>
        <v>Savannah</v>
      </c>
      <c r="H134" s="1">
        <v>1</v>
      </c>
      <c r="I134" s="87">
        <f>(VLOOKUP($A:$A,USD!$A:$AL,9,FALSE)*88)/88*20</f>
        <v>80</v>
      </c>
      <c r="J134" s="87">
        <f>(VLOOKUP($A:$A,USD!$A:$AL,10,FALSE)*88)/88*20</f>
        <v>120</v>
      </c>
      <c r="K134" s="87">
        <f>(VLOOKUP($A:$A,USD!$A:$AL,11,FALSE)*88)/88*20</f>
        <v>0</v>
      </c>
      <c r="L134" s="87">
        <f>(VLOOKUP($A:$A,USD!$A:$AL,12,FALSE)*88)/88*20</f>
        <v>0</v>
      </c>
      <c r="M134" s="87">
        <f>(VLOOKUP($A:$A,USD!$A:$AL,13,FALSE)*88)/88*20</f>
        <v>20</v>
      </c>
      <c r="N134" s="87">
        <f>(VLOOKUP($A:$A,USD!$A:$AL,14,FALSE)*88)/88*20</f>
        <v>60</v>
      </c>
      <c r="O134" s="68">
        <f>(VLOOKUP($A:$A,USD!$A:$AL,15,FALSE)*88)/88*20</f>
        <v>37.916666666666671</v>
      </c>
      <c r="P134" s="87">
        <f>(VLOOKUP($A:$A,USD!$A:$AL,16,FALSE)*88)/88*20</f>
        <v>0</v>
      </c>
      <c r="Q134" s="68">
        <f t="shared" si="18"/>
        <v>317.91666666666669</v>
      </c>
      <c r="R134" s="68">
        <f t="shared" si="19"/>
        <v>97.916666666666671</v>
      </c>
      <c r="S134" s="68">
        <f>(VLOOKUP($A:$A,USD!$A:$AL,19,FALSE)*88)/88*20</f>
        <v>0</v>
      </c>
      <c r="T134" s="68">
        <f>(VLOOKUP($A:$A,USD!$A:$AL,20,FALSE)*88)/88*20</f>
        <v>0</v>
      </c>
      <c r="U134" s="68">
        <f>(VLOOKUP($A:$A,USD!$A:$AL,21,FALSE)*88)/88*20</f>
        <v>232.77727272727273</v>
      </c>
      <c r="V134" s="68"/>
      <c r="W134" s="68">
        <f t="shared" si="20"/>
        <v>232.77727272727273</v>
      </c>
      <c r="X134" s="1">
        <f>(VLOOKUP($A:$A,USD!$A:$AL,24,FALSE)*88)/88*20</f>
        <v>52</v>
      </c>
      <c r="Y134" s="68">
        <f>(VLOOKUP($A:$A,USD!$A:$AL,25,FALSE)*88)/88*20</f>
        <v>50.4</v>
      </c>
      <c r="Z134" s="68">
        <f>(VLOOKUP($A:$A,USD!$A:$AL,26,FALSE)*88)/88*20</f>
        <v>26.25</v>
      </c>
      <c r="AB134" s="68">
        <f t="shared" si="21"/>
        <v>128.65</v>
      </c>
      <c r="AC134" s="68">
        <f>(VLOOKUP($A:$A,USD!$A:$AL,29,FALSE)*88)/88*20</f>
        <v>110.22727272727273</v>
      </c>
      <c r="AD134" s="68">
        <f>(VLOOKUP($A:$A,USD!$A:$AL,30,FALSE)*88)/88*20</f>
        <v>107.04545454545455</v>
      </c>
      <c r="AF134" s="68">
        <f t="shared" si="22"/>
        <v>217.27272727272728</v>
      </c>
      <c r="AG134" s="87">
        <f>(VLOOKUP($A:$A,USD!$A:$AL,33,FALSE)*88)/88*20</f>
        <v>28.814300000000003</v>
      </c>
      <c r="AH134" s="68">
        <f>(VLOOKUP($A:$A,USD!$A:$AL,34,FALSE)*88)/88*20</f>
        <v>6.973140495867769</v>
      </c>
      <c r="AI134" s="87">
        <f>(VLOOKUP($A:$A,USD!$A:$AL,35,FALSE)*88)/88*20</f>
        <v>12.587317427197677</v>
      </c>
      <c r="AJ134" s="87">
        <f>(VLOOKUP($A:$A,USD!$A:$AL,36,FALSE)*88)/88*20</f>
        <v>6.7351999999999999</v>
      </c>
      <c r="AL134" s="68">
        <f t="shared" si="23"/>
        <v>55.109957923065444</v>
      </c>
      <c r="AM134" s="87">
        <f>(VLOOKUP($A:$A,USD!$A:$AR,39,FALSE)*88)/88*20</f>
        <v>79.999999999999986</v>
      </c>
      <c r="AN134" s="68">
        <f>(VLOOKUP($A:$A,USD!$A:$AR,40,FALSE)*88)/88*20</f>
        <v>26.17808219178082</v>
      </c>
      <c r="AO134" s="1">
        <f>(VLOOKUP($A:$A,USD!$A:$AR,41,FALSE)*88)/88*20</f>
        <v>0</v>
      </c>
      <c r="AR134" s="1">
        <f t="shared" si="24"/>
        <v>106.1780821917808</v>
      </c>
      <c r="AS134" s="38">
        <f t="shared" si="25"/>
        <v>837.90470678151291</v>
      </c>
      <c r="AT134" s="38">
        <f t="shared" si="26"/>
        <v>1057.9047067815129</v>
      </c>
      <c r="AW134" s="1">
        <f>(VLOOKUP(A:A,USD!A:AT,46,FALSE)*88)/88*20</f>
        <v>473.77954545454537</v>
      </c>
      <c r="AX134" s="1" t="e">
        <f>(VLOOKUP(A:A,USD!A:AU,47,FALSE)*88)/88*20</f>
        <v>#N/A</v>
      </c>
    </row>
    <row r="135" spans="1:50" hidden="1">
      <c r="A135" s="1">
        <v>858053</v>
      </c>
      <c r="B135" s="1" t="s">
        <v>364</v>
      </c>
      <c r="C135" s="1" t="s">
        <v>365</v>
      </c>
      <c r="D135" s="1" t="s">
        <v>71</v>
      </c>
      <c r="E135" s="1" t="str">
        <f>VLOOKUP(A:A,USD!A:E,5,FALSE)</f>
        <v>STEX</v>
      </c>
      <c r="F135" s="1" t="str">
        <f>VLOOKUP(A:A,USD!A:F,6,FALSE)</f>
        <v>STX</v>
      </c>
      <c r="G135" s="1" t="str">
        <f>VLOOKUP(A:A,'Regions and Ports'!A:G,7,FALSE)</f>
        <v>Houston</v>
      </c>
      <c r="H135" s="1">
        <f>VLOOKUP(A:A,USD!A:R,8,FALSE)</f>
        <v>3</v>
      </c>
      <c r="I135" s="87">
        <f>(VLOOKUP($A:$A,USD!$A:$AL,9,FALSE)*88)/88*20</f>
        <v>95</v>
      </c>
      <c r="J135" s="87">
        <f>(VLOOKUP($A:$A,USD!$A:$AL,10,FALSE)*88)/88*20</f>
        <v>150</v>
      </c>
      <c r="K135" s="87">
        <f>(VLOOKUP($A:$A,USD!$A:$AL,11,FALSE)*88)/88*20</f>
        <v>210</v>
      </c>
      <c r="L135" s="87">
        <f>(VLOOKUP($A:$A,USD!$A:$AL,12,FALSE)*88)/88*20</f>
        <v>0</v>
      </c>
      <c r="M135" s="87">
        <f>(VLOOKUP($A:$A,USD!$A:$AL,13,FALSE)*88)/88*20</f>
        <v>32</v>
      </c>
      <c r="N135" s="87">
        <f>(VLOOKUP($A:$A,USD!$A:$AL,14,FALSE)*88)/88*20</f>
        <v>85</v>
      </c>
      <c r="O135" s="68">
        <f>(VLOOKUP($A:$A,USD!$A:$AL,15,FALSE)*88)/88*20</f>
        <v>37.916666666666671</v>
      </c>
      <c r="P135" s="87">
        <f>(VLOOKUP($A:$A,USD!$A:$AL,16,FALSE)*88)/88*20</f>
        <v>0</v>
      </c>
      <c r="Q135" s="68">
        <f t="shared" si="18"/>
        <v>609.91666666666663</v>
      </c>
      <c r="R135" s="68">
        <f t="shared" si="19"/>
        <v>482.91666666666669</v>
      </c>
      <c r="S135" s="68">
        <f>(VLOOKUP($A:$A,USD!$A:$AL,19,FALSE)*88)/88*20</f>
        <v>0</v>
      </c>
      <c r="T135" s="68">
        <f>(VLOOKUP($A:$A,USD!$A:$AL,20,FALSE)*88)/88*20</f>
        <v>0</v>
      </c>
      <c r="U135" s="68">
        <f>(VLOOKUP($A:$A,USD!$A:$AL,21,FALSE)*88)/88*20</f>
        <v>130.68181818181819</v>
      </c>
      <c r="V135" s="68"/>
      <c r="W135" s="68">
        <f t="shared" si="20"/>
        <v>130.68181818181819</v>
      </c>
      <c r="X135" s="1">
        <f>(VLOOKUP($A:$A,USD!$A:$AL,24,FALSE)*88)/88*20</f>
        <v>54</v>
      </c>
      <c r="Y135" s="68">
        <f>(VLOOKUP($A:$A,USD!$A:$AL,25,FALSE)*88)/88*20</f>
        <v>50.4</v>
      </c>
      <c r="Z135" s="68">
        <f>(VLOOKUP($A:$A,USD!$A:$AL,26,FALSE)*88)/88*20</f>
        <v>26.25</v>
      </c>
      <c r="AB135" s="68">
        <f t="shared" si="21"/>
        <v>130.65</v>
      </c>
      <c r="AC135" s="68">
        <f>(VLOOKUP($A:$A,USD!$A:$AL,29,FALSE)*88)/88*20</f>
        <v>132.95454545454544</v>
      </c>
      <c r="AD135" s="68">
        <f>(VLOOKUP($A:$A,USD!$A:$AL,30,FALSE)*88)/88*20</f>
        <v>197.95454545454547</v>
      </c>
      <c r="AF135" s="68">
        <f t="shared" si="22"/>
        <v>330.90909090909088</v>
      </c>
      <c r="AG135" s="87">
        <f>(VLOOKUP($A:$A,USD!$A:$AL,33,FALSE)*88)/88*20</f>
        <v>28.814300000000003</v>
      </c>
      <c r="AH135" s="68">
        <f>(VLOOKUP($A:$A,USD!$A:$AL,34,FALSE)*88)/88*20</f>
        <v>6.973140495867769</v>
      </c>
      <c r="AI135" s="87">
        <f>(VLOOKUP($A:$A,USD!$A:$AL,35,FALSE)*88)/88*20</f>
        <v>12.587317427197677</v>
      </c>
      <c r="AJ135" s="87">
        <f>(VLOOKUP($A:$A,USD!$A:$AL,36,FALSE)*88)/88*20</f>
        <v>6.7351999999999999</v>
      </c>
      <c r="AL135" s="68">
        <f t="shared" si="23"/>
        <v>55.109957923065444</v>
      </c>
      <c r="AM135" s="87">
        <f>(VLOOKUP($A:$A,USD!$A:$AR,39,FALSE)*88)/88*20</f>
        <v>79.999999999999986</v>
      </c>
      <c r="AN135" s="68">
        <f>(VLOOKUP($A:$A,USD!$A:$AR,40,FALSE)*88)/88*20</f>
        <v>26.17808219178082</v>
      </c>
      <c r="AO135" s="1">
        <f>(VLOOKUP($A:$A,USD!$A:$AR,41,FALSE)*88)/88*20</f>
        <v>0</v>
      </c>
      <c r="AR135" s="1">
        <f t="shared" si="24"/>
        <v>106.1780821917808</v>
      </c>
      <c r="AS135" s="38">
        <f t="shared" si="25"/>
        <v>1236.4456158724217</v>
      </c>
      <c r="AT135" s="38">
        <f t="shared" si="26"/>
        <v>1363.4456158724217</v>
      </c>
      <c r="AW135" s="1" t="e">
        <f>(VLOOKUP(A:A,USD!A:AT,46,FALSE)*88)/88*20</f>
        <v>#N/A</v>
      </c>
      <c r="AX135" s="1" t="e">
        <f>(VLOOKUP(A:A,USD!A:AU,47,FALSE)*88)/88*20</f>
        <v>#N/A</v>
      </c>
    </row>
    <row r="136" spans="1:50" hidden="1">
      <c r="A136" s="1">
        <v>858054</v>
      </c>
      <c r="B136" s="1" t="s">
        <v>368</v>
      </c>
      <c r="C136" s="1" t="s">
        <v>365</v>
      </c>
      <c r="D136" s="1" t="s">
        <v>71</v>
      </c>
      <c r="E136" s="1" t="str">
        <f>VLOOKUP(A:A,USD!A:E,5,FALSE)</f>
        <v>STEX</v>
      </c>
      <c r="F136" s="1" t="str">
        <f>VLOOKUP(A:A,USD!A:F,6,FALSE)</f>
        <v>STX</v>
      </c>
      <c r="G136" s="1" t="str">
        <f>VLOOKUP(A:A,'Regions and Ports'!A:G,7,FALSE)</f>
        <v>Houston</v>
      </c>
      <c r="H136" s="1">
        <f>VLOOKUP(A:A,USD!A:R,8,FALSE)</f>
        <v>3</v>
      </c>
      <c r="I136" s="87">
        <f>(VLOOKUP($A:$A,USD!$A:$AL,9,FALSE)*88)/88*20</f>
        <v>95</v>
      </c>
      <c r="J136" s="87">
        <f>(VLOOKUP($A:$A,USD!$A:$AL,10,FALSE)*88)/88*20</f>
        <v>150</v>
      </c>
      <c r="K136" s="87">
        <f>(VLOOKUP($A:$A,USD!$A:$AL,11,FALSE)*88)/88*20</f>
        <v>210</v>
      </c>
      <c r="L136" s="87">
        <f>(VLOOKUP($A:$A,USD!$A:$AL,12,FALSE)*88)/88*20</f>
        <v>0</v>
      </c>
      <c r="M136" s="87">
        <f>(VLOOKUP($A:$A,USD!$A:$AL,13,FALSE)*88)/88*20</f>
        <v>32</v>
      </c>
      <c r="N136" s="87">
        <f>(VLOOKUP($A:$A,USD!$A:$AL,14,FALSE)*88)/88*20</f>
        <v>85</v>
      </c>
      <c r="O136" s="68">
        <f>(VLOOKUP($A:$A,USD!$A:$AL,15,FALSE)*88)/88*20</f>
        <v>37.916666666666671</v>
      </c>
      <c r="P136" s="87">
        <f>(VLOOKUP($A:$A,USD!$A:$AL,16,FALSE)*88)/88*20</f>
        <v>0</v>
      </c>
      <c r="Q136" s="68">
        <f t="shared" si="18"/>
        <v>609.91666666666663</v>
      </c>
      <c r="R136" s="68">
        <f t="shared" si="19"/>
        <v>482.91666666666669</v>
      </c>
      <c r="S136" s="68">
        <f>(VLOOKUP($A:$A,USD!$A:$AL,19,FALSE)*88)/88*20</f>
        <v>0</v>
      </c>
      <c r="T136" s="68">
        <f>(VLOOKUP($A:$A,USD!$A:$AL,20,FALSE)*88)/88*20</f>
        <v>0</v>
      </c>
      <c r="U136" s="68">
        <f>(VLOOKUP($A:$A,USD!$A:$AL,21,FALSE)*88)/88*20</f>
        <v>130.68181818181819</v>
      </c>
      <c r="V136" s="68"/>
      <c r="W136" s="68">
        <f t="shared" si="20"/>
        <v>130.68181818181819</v>
      </c>
      <c r="X136" s="1">
        <f>(VLOOKUP($A:$A,USD!$A:$AL,24,FALSE)*88)/88*20</f>
        <v>54</v>
      </c>
      <c r="Y136" s="68">
        <f>(VLOOKUP($A:$A,USD!$A:$AL,25,FALSE)*88)/88*20</f>
        <v>50.4</v>
      </c>
      <c r="Z136" s="68">
        <f>(VLOOKUP($A:$A,USD!$A:$AL,26,FALSE)*88)/88*20</f>
        <v>26.25</v>
      </c>
      <c r="AB136" s="68">
        <f t="shared" si="21"/>
        <v>130.65</v>
      </c>
      <c r="AC136" s="68">
        <f>(VLOOKUP($A:$A,USD!$A:$AL,29,FALSE)*88)/88*20</f>
        <v>132.95454545454544</v>
      </c>
      <c r="AD136" s="68">
        <f>(VLOOKUP($A:$A,USD!$A:$AL,30,FALSE)*88)/88*20</f>
        <v>197.95454545454547</v>
      </c>
      <c r="AF136" s="68">
        <f t="shared" si="22"/>
        <v>330.90909090909088</v>
      </c>
      <c r="AG136" s="87">
        <f>(VLOOKUP($A:$A,USD!$A:$AL,33,FALSE)*88)/88*20</f>
        <v>28.814300000000003</v>
      </c>
      <c r="AH136" s="68">
        <f>(VLOOKUP($A:$A,USD!$A:$AL,34,FALSE)*88)/88*20</f>
        <v>6.973140495867769</v>
      </c>
      <c r="AI136" s="87">
        <f>(VLOOKUP($A:$A,USD!$A:$AL,35,FALSE)*88)/88*20</f>
        <v>12.587317427197677</v>
      </c>
      <c r="AJ136" s="87">
        <f>(VLOOKUP($A:$A,USD!$A:$AL,36,FALSE)*88)/88*20</f>
        <v>6.7351999999999999</v>
      </c>
      <c r="AL136" s="68">
        <f t="shared" si="23"/>
        <v>55.109957923065444</v>
      </c>
      <c r="AM136" s="87">
        <f>(VLOOKUP($A:$A,USD!$A:$AR,39,FALSE)*88)/88*20</f>
        <v>79.999999999999986</v>
      </c>
      <c r="AN136" s="68">
        <f>(VLOOKUP($A:$A,USD!$A:$AR,40,FALSE)*88)/88*20</f>
        <v>26.17808219178082</v>
      </c>
      <c r="AO136" s="1">
        <f>(VLOOKUP($A:$A,USD!$A:$AR,41,FALSE)*88)/88*20</f>
        <v>0</v>
      </c>
      <c r="AR136" s="1">
        <f t="shared" si="24"/>
        <v>106.1780821917808</v>
      </c>
      <c r="AS136" s="38">
        <f t="shared" si="25"/>
        <v>1236.4456158724217</v>
      </c>
      <c r="AT136" s="38">
        <f t="shared" si="26"/>
        <v>1363.4456158724217</v>
      </c>
      <c r="AW136" s="1" t="e">
        <f>(VLOOKUP(A:A,USD!A:AT,46,FALSE)*88)/88*20</f>
        <v>#N/A</v>
      </c>
      <c r="AX136" s="1" t="e">
        <f>(VLOOKUP(A:A,USD!A:AU,47,FALSE)*88)/88*20</f>
        <v>#N/A</v>
      </c>
    </row>
    <row r="137" spans="1:50" hidden="1">
      <c r="A137" s="1">
        <v>858055</v>
      </c>
      <c r="B137" s="1" t="s">
        <v>370</v>
      </c>
      <c r="C137" s="1" t="s">
        <v>365</v>
      </c>
      <c r="D137" s="1" t="s">
        <v>71</v>
      </c>
      <c r="E137" s="1" t="str">
        <f>VLOOKUP(A:A,USD!A:E,5,FALSE)</f>
        <v>STEX</v>
      </c>
      <c r="F137" s="1" t="str">
        <f>VLOOKUP(A:A,USD!A:F,6,FALSE)</f>
        <v>STX</v>
      </c>
      <c r="G137" s="1" t="str">
        <f>VLOOKUP(A:A,'Regions and Ports'!A:G,7,FALSE)</f>
        <v>Houston</v>
      </c>
      <c r="H137" s="1">
        <f>VLOOKUP(A:A,USD!A:R,8,FALSE)</f>
        <v>3</v>
      </c>
      <c r="I137" s="87">
        <f>(VLOOKUP($A:$A,USD!$A:$AL,9,FALSE)*88)/88*20</f>
        <v>95</v>
      </c>
      <c r="J137" s="87">
        <f>(VLOOKUP($A:$A,USD!$A:$AL,10,FALSE)*88)/88*20</f>
        <v>150</v>
      </c>
      <c r="K137" s="87">
        <f>(VLOOKUP($A:$A,USD!$A:$AL,11,FALSE)*88)/88*20</f>
        <v>210</v>
      </c>
      <c r="L137" s="87">
        <f>(VLOOKUP($A:$A,USD!$A:$AL,12,FALSE)*88)/88*20</f>
        <v>0</v>
      </c>
      <c r="M137" s="87">
        <f>(VLOOKUP($A:$A,USD!$A:$AL,13,FALSE)*88)/88*20</f>
        <v>32</v>
      </c>
      <c r="N137" s="87">
        <f>(VLOOKUP($A:$A,USD!$A:$AL,14,FALSE)*88)/88*20</f>
        <v>85</v>
      </c>
      <c r="O137" s="68">
        <f>(VLOOKUP($A:$A,USD!$A:$AL,15,FALSE)*88)/88*20</f>
        <v>37.916666666666671</v>
      </c>
      <c r="P137" s="87">
        <f>(VLOOKUP($A:$A,USD!$A:$AL,16,FALSE)*88)/88*20</f>
        <v>0</v>
      </c>
      <c r="Q137" s="68">
        <f t="shared" si="18"/>
        <v>609.91666666666663</v>
      </c>
      <c r="R137" s="68">
        <f t="shared" si="19"/>
        <v>482.91666666666669</v>
      </c>
      <c r="S137" s="68">
        <f>(VLOOKUP($A:$A,USD!$A:$AL,19,FALSE)*88)/88*20</f>
        <v>0</v>
      </c>
      <c r="T137" s="68">
        <f>(VLOOKUP($A:$A,USD!$A:$AL,20,FALSE)*88)/88*20</f>
        <v>0</v>
      </c>
      <c r="U137" s="68">
        <f>(VLOOKUP($A:$A,USD!$A:$AL,21,FALSE)*88)/88*20</f>
        <v>130.68181818181819</v>
      </c>
      <c r="V137" s="68"/>
      <c r="W137" s="68">
        <f t="shared" si="20"/>
        <v>130.68181818181819</v>
      </c>
      <c r="X137" s="1">
        <f>(VLOOKUP($A:$A,USD!$A:$AL,24,FALSE)*88)/88*20</f>
        <v>54</v>
      </c>
      <c r="Y137" s="68">
        <f>(VLOOKUP($A:$A,USD!$A:$AL,25,FALSE)*88)/88*20</f>
        <v>50.4</v>
      </c>
      <c r="Z137" s="68">
        <f>(VLOOKUP($A:$A,USD!$A:$AL,26,FALSE)*88)/88*20</f>
        <v>26.25</v>
      </c>
      <c r="AB137" s="68">
        <f t="shared" si="21"/>
        <v>130.65</v>
      </c>
      <c r="AC137" s="68">
        <f>(VLOOKUP($A:$A,USD!$A:$AL,29,FALSE)*88)/88*20</f>
        <v>132.95454545454544</v>
      </c>
      <c r="AD137" s="68">
        <f>(VLOOKUP($A:$A,USD!$A:$AL,30,FALSE)*88)/88*20</f>
        <v>197.95454545454547</v>
      </c>
      <c r="AF137" s="68">
        <f t="shared" si="22"/>
        <v>330.90909090909088</v>
      </c>
      <c r="AG137" s="87">
        <f>(VLOOKUP($A:$A,USD!$A:$AL,33,FALSE)*88)/88*20</f>
        <v>28.814300000000003</v>
      </c>
      <c r="AH137" s="68">
        <f>(VLOOKUP($A:$A,USD!$A:$AL,34,FALSE)*88)/88*20</f>
        <v>6.973140495867769</v>
      </c>
      <c r="AI137" s="87">
        <f>(VLOOKUP($A:$A,USD!$A:$AL,35,FALSE)*88)/88*20</f>
        <v>12.587317427197677</v>
      </c>
      <c r="AJ137" s="87">
        <f>(VLOOKUP($A:$A,USD!$A:$AL,36,FALSE)*88)/88*20</f>
        <v>6.7351999999999999</v>
      </c>
      <c r="AL137" s="68">
        <f t="shared" si="23"/>
        <v>55.109957923065444</v>
      </c>
      <c r="AM137" s="87">
        <f>(VLOOKUP($A:$A,USD!$A:$AR,39,FALSE)*88)/88*20</f>
        <v>79.999999999999986</v>
      </c>
      <c r="AN137" s="68">
        <f>(VLOOKUP($A:$A,USD!$A:$AR,40,FALSE)*88)/88*20</f>
        <v>26.17808219178082</v>
      </c>
      <c r="AO137" s="1">
        <f>(VLOOKUP($A:$A,USD!$A:$AR,41,FALSE)*88)/88*20</f>
        <v>0</v>
      </c>
      <c r="AR137" s="1">
        <f t="shared" si="24"/>
        <v>106.1780821917808</v>
      </c>
      <c r="AS137" s="38">
        <f t="shared" si="25"/>
        <v>1236.4456158724217</v>
      </c>
      <c r="AT137" s="38">
        <f t="shared" si="26"/>
        <v>1363.4456158724217</v>
      </c>
      <c r="AW137" s="1" t="e">
        <f>(VLOOKUP(A:A,USD!A:AT,46,FALSE)*88)/88*20</f>
        <v>#N/A</v>
      </c>
      <c r="AX137" s="1" t="e">
        <f>(VLOOKUP(A:A,USD!A:AU,47,FALSE)*88)/88*20</f>
        <v>#N/A</v>
      </c>
    </row>
    <row r="138" spans="1:50" hidden="1">
      <c r="A138" s="1">
        <v>858056</v>
      </c>
      <c r="B138" s="1" t="s">
        <v>372</v>
      </c>
      <c r="C138" s="1" t="s">
        <v>365</v>
      </c>
      <c r="D138" s="1" t="s">
        <v>71</v>
      </c>
      <c r="E138" s="1" t="str">
        <f>VLOOKUP(A:A,USD!A:E,5,FALSE)</f>
        <v>STEX</v>
      </c>
      <c r="F138" s="1" t="str">
        <f>VLOOKUP(A:A,USD!A:F,6,FALSE)</f>
        <v>STX</v>
      </c>
      <c r="G138" s="1" t="str">
        <f>VLOOKUP(A:A,'Regions and Ports'!A:G,7,FALSE)</f>
        <v>Houston</v>
      </c>
      <c r="H138" s="1">
        <f>VLOOKUP(A:A,USD!A:R,8,FALSE)</f>
        <v>3</v>
      </c>
      <c r="I138" s="87">
        <f>(VLOOKUP($A:$A,USD!$A:$AL,9,FALSE)*88)/88*20</f>
        <v>95</v>
      </c>
      <c r="J138" s="87">
        <f>(VLOOKUP($A:$A,USD!$A:$AL,10,FALSE)*88)/88*20</f>
        <v>150</v>
      </c>
      <c r="K138" s="87">
        <f>(VLOOKUP($A:$A,USD!$A:$AL,11,FALSE)*88)/88*20</f>
        <v>210</v>
      </c>
      <c r="L138" s="87">
        <f>(VLOOKUP($A:$A,USD!$A:$AL,12,FALSE)*88)/88*20</f>
        <v>0</v>
      </c>
      <c r="M138" s="87">
        <f>(VLOOKUP($A:$A,USD!$A:$AL,13,FALSE)*88)/88*20</f>
        <v>32</v>
      </c>
      <c r="N138" s="87">
        <f>(VLOOKUP($A:$A,USD!$A:$AL,14,FALSE)*88)/88*20</f>
        <v>85</v>
      </c>
      <c r="O138" s="68">
        <f>(VLOOKUP($A:$A,USD!$A:$AL,15,FALSE)*88)/88*20</f>
        <v>37.916666666666671</v>
      </c>
      <c r="P138" s="87">
        <f>(VLOOKUP($A:$A,USD!$A:$AL,16,FALSE)*88)/88*20</f>
        <v>0</v>
      </c>
      <c r="Q138" s="68">
        <f t="shared" si="18"/>
        <v>609.91666666666663</v>
      </c>
      <c r="R138" s="68">
        <f t="shared" si="19"/>
        <v>482.91666666666669</v>
      </c>
      <c r="S138" s="68">
        <f>(VLOOKUP($A:$A,USD!$A:$AL,19,FALSE)*88)/88*20</f>
        <v>0</v>
      </c>
      <c r="T138" s="68">
        <f>(VLOOKUP($A:$A,USD!$A:$AL,20,FALSE)*88)/88*20</f>
        <v>0</v>
      </c>
      <c r="U138" s="68">
        <f>(VLOOKUP($A:$A,USD!$A:$AL,21,FALSE)*88)/88*20</f>
        <v>130.68181818181819</v>
      </c>
      <c r="V138" s="68"/>
      <c r="W138" s="68">
        <f t="shared" si="20"/>
        <v>130.68181818181819</v>
      </c>
      <c r="X138" s="1">
        <f>(VLOOKUP($A:$A,USD!$A:$AL,24,FALSE)*88)/88*20</f>
        <v>54</v>
      </c>
      <c r="Y138" s="68">
        <f>(VLOOKUP($A:$A,USD!$A:$AL,25,FALSE)*88)/88*20</f>
        <v>50.4</v>
      </c>
      <c r="Z138" s="68">
        <f>(VLOOKUP($A:$A,USD!$A:$AL,26,FALSE)*88)/88*20</f>
        <v>26.25</v>
      </c>
      <c r="AB138" s="68">
        <f t="shared" si="21"/>
        <v>130.65</v>
      </c>
      <c r="AC138" s="68">
        <f>(VLOOKUP($A:$A,USD!$A:$AL,29,FALSE)*88)/88*20</f>
        <v>132.95454545454544</v>
      </c>
      <c r="AD138" s="68">
        <f>(VLOOKUP($A:$A,USD!$A:$AL,30,FALSE)*88)/88*20</f>
        <v>197.95454545454547</v>
      </c>
      <c r="AF138" s="68">
        <f t="shared" si="22"/>
        <v>330.90909090909088</v>
      </c>
      <c r="AG138" s="87">
        <f>(VLOOKUP($A:$A,USD!$A:$AL,33,FALSE)*88)/88*20</f>
        <v>28.814300000000003</v>
      </c>
      <c r="AH138" s="68">
        <f>(VLOOKUP($A:$A,USD!$A:$AL,34,FALSE)*88)/88*20</f>
        <v>6.973140495867769</v>
      </c>
      <c r="AI138" s="87">
        <f>(VLOOKUP($A:$A,USD!$A:$AL,35,FALSE)*88)/88*20</f>
        <v>12.587317427197677</v>
      </c>
      <c r="AJ138" s="87">
        <f>(VLOOKUP($A:$A,USD!$A:$AL,36,FALSE)*88)/88*20</f>
        <v>6.7351999999999999</v>
      </c>
      <c r="AL138" s="68">
        <f t="shared" si="23"/>
        <v>55.109957923065444</v>
      </c>
      <c r="AM138" s="87">
        <f>(VLOOKUP($A:$A,USD!$A:$AR,39,FALSE)*88)/88*20</f>
        <v>79.999999999999986</v>
      </c>
      <c r="AN138" s="68">
        <f>(VLOOKUP($A:$A,USD!$A:$AR,40,FALSE)*88)/88*20</f>
        <v>26.17808219178082</v>
      </c>
      <c r="AO138" s="1">
        <f>(VLOOKUP($A:$A,USD!$A:$AR,41,FALSE)*88)/88*20</f>
        <v>0</v>
      </c>
      <c r="AR138" s="1">
        <f t="shared" si="24"/>
        <v>106.1780821917808</v>
      </c>
      <c r="AS138" s="38">
        <f t="shared" si="25"/>
        <v>1236.4456158724217</v>
      </c>
      <c r="AT138" s="38">
        <f t="shared" si="26"/>
        <v>1363.4456158724217</v>
      </c>
      <c r="AW138" s="1" t="e">
        <f>(VLOOKUP(A:A,USD!A:AT,46,FALSE)*88)/88*20</f>
        <v>#N/A</v>
      </c>
      <c r="AX138" s="1" t="e">
        <f>(VLOOKUP(A:A,USD!A:AU,47,FALSE)*88)/88*20</f>
        <v>#N/A</v>
      </c>
    </row>
    <row r="139" spans="1:50" hidden="1">
      <c r="A139" s="1">
        <v>858065</v>
      </c>
      <c r="B139" s="1" t="s">
        <v>374</v>
      </c>
      <c r="C139" s="1" t="s">
        <v>365</v>
      </c>
      <c r="D139" s="1" t="s">
        <v>71</v>
      </c>
      <c r="E139" s="1" t="str">
        <f>VLOOKUP(A:A,USD!A:E,5,FALSE)</f>
        <v>STEX</v>
      </c>
      <c r="F139" s="1" t="str">
        <f>VLOOKUP(A:A,USD!A:F,6,FALSE)</f>
        <v>STX</v>
      </c>
      <c r="G139" s="1" t="str">
        <f>VLOOKUP(A:A,'Regions and Ports'!A:G,7,FALSE)</f>
        <v>Houston</v>
      </c>
      <c r="H139" s="1">
        <f>VLOOKUP(A:A,USD!A:R,8,FALSE)</f>
        <v>3</v>
      </c>
      <c r="I139" s="87">
        <f>(VLOOKUP($A:$A,USD!$A:$AL,9,FALSE)*88)/88*20</f>
        <v>110</v>
      </c>
      <c r="J139" s="87">
        <f>(VLOOKUP($A:$A,USD!$A:$AL,10,FALSE)*88)/88*20</f>
        <v>150</v>
      </c>
      <c r="K139" s="87">
        <f>(VLOOKUP($A:$A,USD!$A:$AL,11,FALSE)*88)/88*20</f>
        <v>200</v>
      </c>
      <c r="L139" s="87">
        <f>(VLOOKUP($A:$A,USD!$A:$AL,12,FALSE)*88)/88*20</f>
        <v>0</v>
      </c>
      <c r="M139" s="87">
        <f>(VLOOKUP($A:$A,USD!$A:$AL,13,FALSE)*88)/88*20</f>
        <v>10</v>
      </c>
      <c r="N139" s="87">
        <f>(VLOOKUP($A:$A,USD!$A:$AL,14,FALSE)*88)/88*20</f>
        <v>80</v>
      </c>
      <c r="O139" s="68">
        <f>(VLOOKUP($A:$A,USD!$A:$AL,15,FALSE)*88)/88*20</f>
        <v>37.916666666666671</v>
      </c>
      <c r="P139" s="87">
        <f>(VLOOKUP($A:$A,USD!$A:$AL,16,FALSE)*88)/88*20</f>
        <v>0</v>
      </c>
      <c r="Q139" s="68">
        <f t="shared" si="18"/>
        <v>587.91666666666663</v>
      </c>
      <c r="R139" s="68">
        <f t="shared" si="19"/>
        <v>467.91666666666669</v>
      </c>
      <c r="S139" s="68">
        <f>(VLOOKUP($A:$A,USD!$A:$AL,19,FALSE)*88)/88*20</f>
        <v>0</v>
      </c>
      <c r="T139" s="68">
        <f>(VLOOKUP($A:$A,USD!$A:$AL,20,FALSE)*88)/88*20</f>
        <v>0</v>
      </c>
      <c r="U139" s="68">
        <f>(VLOOKUP($A:$A,USD!$A:$AL,21,FALSE)*88)/88*20</f>
        <v>130.68181818181819</v>
      </c>
      <c r="V139" s="68"/>
      <c r="W139" s="68">
        <f t="shared" si="20"/>
        <v>130.68181818181819</v>
      </c>
      <c r="X139" s="1">
        <f>(VLOOKUP($A:$A,USD!$A:$AL,24,FALSE)*88)/88*20</f>
        <v>54</v>
      </c>
      <c r="Y139" s="68">
        <f>(VLOOKUP($A:$A,USD!$A:$AL,25,FALSE)*88)/88*20</f>
        <v>50.4</v>
      </c>
      <c r="Z139" s="68">
        <f>(VLOOKUP($A:$A,USD!$A:$AL,26,FALSE)*88)/88*20</f>
        <v>26.25</v>
      </c>
      <c r="AB139" s="68">
        <f t="shared" si="21"/>
        <v>130.65</v>
      </c>
      <c r="AC139" s="68">
        <f>(VLOOKUP($A:$A,USD!$A:$AL,29,FALSE)*88)/88*20</f>
        <v>132.95454545454544</v>
      </c>
      <c r="AD139" s="68">
        <f>(VLOOKUP($A:$A,USD!$A:$AL,30,FALSE)*88)/88*20</f>
        <v>197.95454545454547</v>
      </c>
      <c r="AF139" s="68">
        <f t="shared" si="22"/>
        <v>330.90909090909088</v>
      </c>
      <c r="AG139" s="87">
        <f>(VLOOKUP($A:$A,USD!$A:$AL,33,FALSE)*88)/88*20</f>
        <v>28.814300000000003</v>
      </c>
      <c r="AH139" s="68">
        <f>(VLOOKUP($A:$A,USD!$A:$AL,34,FALSE)*88)/88*20</f>
        <v>6.973140495867769</v>
      </c>
      <c r="AI139" s="87">
        <f>(VLOOKUP($A:$A,USD!$A:$AL,35,FALSE)*88)/88*20</f>
        <v>12.587317427197677</v>
      </c>
      <c r="AJ139" s="87">
        <f>(VLOOKUP($A:$A,USD!$A:$AL,36,FALSE)*88)/88*20</f>
        <v>6.7351999999999999</v>
      </c>
      <c r="AL139" s="68">
        <f t="shared" si="23"/>
        <v>55.109957923065444</v>
      </c>
      <c r="AM139" s="87">
        <f>(VLOOKUP($A:$A,USD!$A:$AR,39,FALSE)*88)/88*20</f>
        <v>79.999999999999986</v>
      </c>
      <c r="AN139" s="68">
        <f>(VLOOKUP($A:$A,USD!$A:$AR,40,FALSE)*88)/88*20</f>
        <v>26.17808219178082</v>
      </c>
      <c r="AO139" s="1">
        <f>(VLOOKUP($A:$A,USD!$A:$AR,41,FALSE)*88)/88*20</f>
        <v>0</v>
      </c>
      <c r="AR139" s="1">
        <f t="shared" si="24"/>
        <v>106.1780821917808</v>
      </c>
      <c r="AS139" s="38">
        <f t="shared" si="25"/>
        <v>1221.4456158724217</v>
      </c>
      <c r="AT139" s="38">
        <f t="shared" si="26"/>
        <v>1341.4456158724217</v>
      </c>
      <c r="AW139" s="1" t="e">
        <f>(VLOOKUP(A:A,USD!A:AT,46,FALSE)*88)/88*20</f>
        <v>#N/A</v>
      </c>
      <c r="AX139" s="1" t="e">
        <f>(VLOOKUP(A:A,USD!A:AU,47,FALSE)*88)/88*20</f>
        <v>#N/A</v>
      </c>
    </row>
    <row r="140" spans="1:50" hidden="1">
      <c r="A140" s="1">
        <v>858078</v>
      </c>
      <c r="B140" s="1" t="s">
        <v>376</v>
      </c>
      <c r="C140" s="1" t="s">
        <v>377</v>
      </c>
      <c r="D140" s="1" t="s">
        <v>71</v>
      </c>
      <c r="E140" s="1" t="str">
        <f>VLOOKUP(A:A,USD!A:E,5,FALSE)</f>
        <v>WTX</v>
      </c>
      <c r="F140" s="1" t="str">
        <f>VLOOKUP(A:A,USD!A:F,6,FALSE)</f>
        <v>WTX</v>
      </c>
      <c r="G140" s="1" t="str">
        <f>VLOOKUP(A:A,'Regions and Ports'!A:G,7,FALSE)</f>
        <v>Dallas</v>
      </c>
      <c r="H140" s="1">
        <f>VLOOKUP(A:A,USD!A:R,8,FALSE)</f>
        <v>2</v>
      </c>
      <c r="I140" s="87">
        <f>(VLOOKUP($A:$A,USD!$A:$AL,9,FALSE)*88)/88*20</f>
        <v>105</v>
      </c>
      <c r="J140" s="87">
        <f>(VLOOKUP($A:$A,USD!$A:$AL,10,FALSE)*88)/88*20</f>
        <v>125</v>
      </c>
      <c r="K140" s="87">
        <f>(VLOOKUP($A:$A,USD!$A:$AL,11,FALSE)*88)/88*20</f>
        <v>220</v>
      </c>
      <c r="L140" s="87">
        <f>(VLOOKUP($A:$A,USD!$A:$AL,12,FALSE)*88)/88*20</f>
        <v>0</v>
      </c>
      <c r="M140" s="87">
        <f>(VLOOKUP($A:$A,USD!$A:$AL,13,FALSE)*88)/88*20</f>
        <v>0</v>
      </c>
      <c r="N140" s="87">
        <f>(VLOOKUP($A:$A,USD!$A:$AL,14,FALSE)*88)/88*20</f>
        <v>53</v>
      </c>
      <c r="O140" s="68">
        <f>(VLOOKUP($A:$A,USD!$A:$AL,15,FALSE)*88)/88*20</f>
        <v>37.916666666666671</v>
      </c>
      <c r="P140" s="87">
        <f>(VLOOKUP($A:$A,USD!$A:$AL,16,FALSE)*88)/88*20</f>
        <v>0</v>
      </c>
      <c r="Q140" s="68">
        <f t="shared" si="18"/>
        <v>540.91666666666663</v>
      </c>
      <c r="R140" s="68">
        <f t="shared" si="19"/>
        <v>310.91666666666669</v>
      </c>
      <c r="S140" s="68">
        <f>(VLOOKUP($A:$A,USD!$A:$AL,19,FALSE)*88)/88*20</f>
        <v>0</v>
      </c>
      <c r="T140" s="68">
        <f>(VLOOKUP($A:$A,USD!$A:$AL,20,FALSE)*88)/88*20</f>
        <v>0</v>
      </c>
      <c r="U140" s="68">
        <f>(VLOOKUP($A:$A,USD!$A:$AL,21,FALSE)*88)/88*20</f>
        <v>180.11363636363637</v>
      </c>
      <c r="V140" s="68"/>
      <c r="W140" s="68">
        <f t="shared" si="20"/>
        <v>180.11363636363637</v>
      </c>
      <c r="X140" s="1">
        <f>(VLOOKUP($A:$A,USD!$A:$AL,24,FALSE)*88)/88*20</f>
        <v>54</v>
      </c>
      <c r="Y140" s="68">
        <f>(VLOOKUP($A:$A,USD!$A:$AL,25,FALSE)*88)/88*20</f>
        <v>50.4</v>
      </c>
      <c r="Z140" s="68">
        <f>(VLOOKUP($A:$A,USD!$A:$AL,26,FALSE)*88)/88*20</f>
        <v>26.25</v>
      </c>
      <c r="AB140" s="68">
        <f t="shared" si="21"/>
        <v>130.65</v>
      </c>
      <c r="AC140" s="68">
        <f>(VLOOKUP($A:$A,USD!$A:$AL,29,FALSE)*88)/88*20</f>
        <v>162.5</v>
      </c>
      <c r="AD140" s="68">
        <f>(VLOOKUP($A:$A,USD!$A:$AL,30,FALSE)*88)/88*20</f>
        <v>268.18181818181819</v>
      </c>
      <c r="AF140" s="68">
        <f t="shared" si="22"/>
        <v>430.68181818181819</v>
      </c>
      <c r="AG140" s="87">
        <f>(VLOOKUP($A:$A,USD!$A:$AL,33,FALSE)*88)/88*20</f>
        <v>28.814300000000003</v>
      </c>
      <c r="AH140" s="68">
        <f>(VLOOKUP($A:$A,USD!$A:$AL,34,FALSE)*88)/88*20</f>
        <v>6.973140495867769</v>
      </c>
      <c r="AI140" s="87">
        <f>(VLOOKUP($A:$A,USD!$A:$AL,35,FALSE)*88)/88*20</f>
        <v>12.587317427197677</v>
      </c>
      <c r="AJ140" s="87">
        <f>(VLOOKUP($A:$A,USD!$A:$AL,36,FALSE)*88)/88*20</f>
        <v>6.7351999999999999</v>
      </c>
      <c r="AL140" s="68">
        <f t="shared" si="23"/>
        <v>55.109957923065444</v>
      </c>
      <c r="AM140" s="87">
        <f>(VLOOKUP($A:$A,USD!$A:$AR,39,FALSE)*88)/88*20</f>
        <v>79.999999999999986</v>
      </c>
      <c r="AN140" s="68">
        <f>(VLOOKUP($A:$A,USD!$A:$AR,40,FALSE)*88)/88*20</f>
        <v>26.17808219178082</v>
      </c>
      <c r="AO140" s="1">
        <f>(VLOOKUP($A:$A,USD!$A:$AR,41,FALSE)*88)/88*20</f>
        <v>0</v>
      </c>
      <c r="AR140" s="1">
        <f t="shared" si="24"/>
        <v>106.1780821917808</v>
      </c>
      <c r="AS140" s="38">
        <f t="shared" si="25"/>
        <v>1213.6501613269675</v>
      </c>
      <c r="AT140" s="38">
        <f t="shared" si="26"/>
        <v>1443.6501613269672</v>
      </c>
      <c r="AW140" s="1">
        <f>(VLOOKUP(A:A,USD!A:AT,46,FALSE)*88)/88*20</f>
        <v>581.77272727272725</v>
      </c>
      <c r="AX140" s="1">
        <f>(VLOOKUP(A:A,USD!A:AU,47,FALSE)*88)/88*20</f>
        <v>267.0454545454545</v>
      </c>
    </row>
    <row r="141" spans="1:50" hidden="1">
      <c r="A141" s="125">
        <v>858078</v>
      </c>
      <c r="B141" s="1" t="s">
        <v>376</v>
      </c>
      <c r="C141" s="1" t="s">
        <v>377</v>
      </c>
      <c r="D141" s="1" t="s">
        <v>71</v>
      </c>
      <c r="E141" s="1" t="s">
        <v>2067</v>
      </c>
      <c r="F141" s="1" t="str">
        <f>VLOOKUP(A:A,USD!A:F,6,FALSE)</f>
        <v>WTX</v>
      </c>
      <c r="G141" s="1" t="s">
        <v>439</v>
      </c>
      <c r="H141" s="1">
        <f>VLOOKUP(A:A,USD!A:R,8,FALSE)</f>
        <v>2</v>
      </c>
      <c r="I141" s="87">
        <f>(VLOOKUP($A:$A,USD!$A:$AL,9,FALSE)*88)/88*20</f>
        <v>105</v>
      </c>
      <c r="J141" s="87">
        <f>(VLOOKUP($A:$A,USD!$A:$AL,10,FALSE)*88)/88*20</f>
        <v>125</v>
      </c>
      <c r="K141" s="87">
        <f>(VLOOKUP($A:$A,USD!$A:$AL,11,FALSE)*88)/88*20</f>
        <v>220</v>
      </c>
      <c r="L141" s="87">
        <f>(VLOOKUP($A:$A,USD!$A:$AL,12,FALSE)*88)/88*20</f>
        <v>0</v>
      </c>
      <c r="M141" s="87">
        <f>(VLOOKUP($A:$A,USD!$A:$AL,13,FALSE)*88)/88*20</f>
        <v>0</v>
      </c>
      <c r="N141" s="87">
        <f>(VLOOKUP($A:$A,USD!$A:$AL,14,FALSE)*88)/88*20</f>
        <v>53</v>
      </c>
      <c r="O141" s="68">
        <f>(VLOOKUP($A:$A,USD!$A:$AL,15,FALSE)*88)/88*20</f>
        <v>37.916666666666671</v>
      </c>
      <c r="P141" s="87">
        <f>(VLOOKUP($A:$A,USD!$A:$AL,16,FALSE)*88)/88*20</f>
        <v>0</v>
      </c>
      <c r="Q141" s="68">
        <f t="shared" si="18"/>
        <v>540.91666666666663</v>
      </c>
      <c r="R141" s="68">
        <f t="shared" si="19"/>
        <v>310.91666666666669</v>
      </c>
      <c r="S141" s="68">
        <f>(VLOOKUP($A:$A,USD!$A:$AL,19,FALSE)*88)/88*20</f>
        <v>0</v>
      </c>
      <c r="T141" s="68">
        <f>(VLOOKUP($A:$A,USD!$A:$AL,20,FALSE)*88)/88*20</f>
        <v>0</v>
      </c>
      <c r="U141" s="68" cm="1">
        <f t="array" ref="U141">(_xlfn.XLOOKUP(1, (USD!$A:$A=$A141)*(USD!$E:$E=$E141), USD!$U:$U, "", 0)*88)/88*20</f>
        <v>267.0454545454545</v>
      </c>
      <c r="V141" s="68"/>
      <c r="W141" s="68">
        <f t="shared" si="20"/>
        <v>267.0454545454545</v>
      </c>
      <c r="X141" s="1">
        <f>(VLOOKUP($A:$A,USD!$A:$AL,24,FALSE)*88)/88*20</f>
        <v>54</v>
      </c>
      <c r="Y141" s="68">
        <f>(VLOOKUP($A:$A,USD!$A:$AL,25,FALSE)*88)/88*20</f>
        <v>50.4</v>
      </c>
      <c r="Z141" s="68">
        <f>(VLOOKUP($A:$A,USD!$A:$AL,26,FALSE)*88)/88*20</f>
        <v>26.25</v>
      </c>
      <c r="AB141" s="68">
        <f t="shared" si="21"/>
        <v>130.65</v>
      </c>
      <c r="AC141" s="68" cm="1">
        <f t="array" ref="AC141">_xlfn.XLOOKUP(A141&amp;E141, USD!$A:$A&amp;USD!$E:$E, USD!$AC:$AC, "")*20</f>
        <v>132.95454545454544</v>
      </c>
      <c r="AD141" s="68" cm="1">
        <f t="array" ref="AD141">_xlfn.XLOOKUP(A141&amp;E141, USD!$A:$A&amp;USD!$E:$E, USD!$AD:$AD, "")*20</f>
        <v>197.95454545454547</v>
      </c>
      <c r="AF141" s="68">
        <f t="shared" si="22"/>
        <v>330.90909090909088</v>
      </c>
      <c r="AG141" s="87">
        <f>(VLOOKUP($A:$A,USD!$A:$AL,33,FALSE)*88)/88*20</f>
        <v>28.814300000000003</v>
      </c>
      <c r="AH141" s="68">
        <f>(VLOOKUP($A:$A,USD!$A:$AL,34,FALSE)*88)/88*20</f>
        <v>6.973140495867769</v>
      </c>
      <c r="AI141" s="87">
        <f>(VLOOKUP($A:$A,USD!$A:$AL,35,FALSE)*88)/88*20</f>
        <v>12.587317427197677</v>
      </c>
      <c r="AJ141" s="87">
        <f>(VLOOKUP($A:$A,USD!$A:$AL,36,FALSE)*88)/88*20</f>
        <v>6.7351999999999999</v>
      </c>
      <c r="AL141" s="68">
        <f t="shared" si="23"/>
        <v>55.109957923065444</v>
      </c>
      <c r="AM141" s="87">
        <f>(VLOOKUP($A:$A,USD!$A:$AR,39,FALSE)*88)/88*20</f>
        <v>79.999999999999986</v>
      </c>
      <c r="AN141" s="68">
        <f>(VLOOKUP($A:$A,USD!$A:$AR,40,FALSE)*88)/88*20</f>
        <v>26.17808219178082</v>
      </c>
      <c r="AO141" s="1">
        <f>(VLOOKUP($A:$A,USD!$A:$AR,41,FALSE)*88)/88*20</f>
        <v>0</v>
      </c>
      <c r="AR141" s="1">
        <f t="shared" si="24"/>
        <v>106.1780821917808</v>
      </c>
      <c r="AS141" s="38">
        <f t="shared" si="25"/>
        <v>1200.8092522360582</v>
      </c>
      <c r="AT141" s="38">
        <f t="shared" si="26"/>
        <v>1430.8092522360582</v>
      </c>
      <c r="AW141" s="1">
        <f>(VLOOKUP(A:A,USD!A:AT,46,FALSE)*88)/88*20</f>
        <v>581.77272727272725</v>
      </c>
      <c r="AX141" s="1">
        <f>(VLOOKUP(A:A,USD!A:AU,47,FALSE)*88)/88*20</f>
        <v>267.0454545454545</v>
      </c>
    </row>
    <row r="142" spans="1:50" hidden="1">
      <c r="A142" s="1">
        <v>570440</v>
      </c>
      <c r="B142" s="1" t="s">
        <v>379</v>
      </c>
      <c r="C142" s="1" t="s">
        <v>380</v>
      </c>
      <c r="D142" s="1" t="s">
        <v>136</v>
      </c>
      <c r="E142" s="1" t="str">
        <f>VLOOKUP(A:A,USD!A:E,5,FALSE)</f>
        <v>Eastern Rule 5</v>
      </c>
      <c r="F142" s="1" t="str">
        <f>VLOOKUP(A:A,USD!A:F,6,FALSE)</f>
        <v>ER5</v>
      </c>
      <c r="G142" s="1" t="str">
        <f>VLOOKUP(A:A,'Regions and Ports'!A:G,7,FALSE)</f>
        <v>Savannah</v>
      </c>
      <c r="H142" s="1">
        <f>VLOOKUP(A:A,USD!A:R,8,FALSE)</f>
        <v>1</v>
      </c>
      <c r="I142" s="87">
        <f>(VLOOKUP($A:$A,USD!$A:$AL,9,FALSE)*88)/88*20</f>
        <v>80</v>
      </c>
      <c r="J142" s="87">
        <f>(VLOOKUP($A:$A,USD!$A:$AL,10,FALSE)*88)/88*20</f>
        <v>100</v>
      </c>
      <c r="K142" s="87">
        <f>(VLOOKUP($A:$A,USD!$A:$AL,11,FALSE)*88)/88*20</f>
        <v>0</v>
      </c>
      <c r="L142" s="87">
        <f>(VLOOKUP($A:$A,USD!$A:$AL,12,FALSE)*88)/88*20</f>
        <v>0</v>
      </c>
      <c r="M142" s="87">
        <f>(VLOOKUP($A:$A,USD!$A:$AL,13,FALSE)*88)/88*20</f>
        <v>20</v>
      </c>
      <c r="N142" s="87">
        <f>(VLOOKUP($A:$A,USD!$A:$AL,14,FALSE)*88)/88*20</f>
        <v>40</v>
      </c>
      <c r="O142" s="68">
        <f>(VLOOKUP($A:$A,USD!$A:$AL,15,FALSE)*88)/88*20</f>
        <v>37.916666666666671</v>
      </c>
      <c r="P142" s="87">
        <f>(VLOOKUP($A:$A,USD!$A:$AL,16,FALSE)*88)/88*20</f>
        <v>0</v>
      </c>
      <c r="Q142" s="68">
        <f t="shared" si="18"/>
        <v>277.91666666666669</v>
      </c>
      <c r="R142" s="68">
        <f t="shared" si="19"/>
        <v>77.916666666666671</v>
      </c>
      <c r="S142" s="68">
        <f>(VLOOKUP($A:$A,USD!$A:$AL,19,FALSE)*88)/88*20</f>
        <v>0</v>
      </c>
      <c r="T142" s="68">
        <f>(VLOOKUP($A:$A,USD!$A:$AL,20,FALSE)*88)/88*20</f>
        <v>0</v>
      </c>
      <c r="U142" s="68">
        <f>(VLOOKUP($A:$A,USD!$A:$AL,21,FALSE)*88)/88*20</f>
        <v>295.41590909090905</v>
      </c>
      <c r="V142" s="68"/>
      <c r="W142" s="68">
        <f t="shared" si="20"/>
        <v>295.41590909090905</v>
      </c>
      <c r="X142" s="1">
        <f>(VLOOKUP($A:$A,USD!$A:$AL,24,FALSE)*88)/88*20</f>
        <v>52</v>
      </c>
      <c r="Y142" s="68">
        <f>(VLOOKUP($A:$A,USD!$A:$AL,25,FALSE)*88)/88*20</f>
        <v>50.4</v>
      </c>
      <c r="Z142" s="68">
        <f>(VLOOKUP($A:$A,USD!$A:$AL,26,FALSE)*88)/88*20</f>
        <v>26.25</v>
      </c>
      <c r="AB142" s="68">
        <f t="shared" si="21"/>
        <v>128.65</v>
      </c>
      <c r="AC142" s="68">
        <f>(VLOOKUP($A:$A,USD!$A:$AL,29,FALSE)*88)/88*20</f>
        <v>110.22727272727273</v>
      </c>
      <c r="AD142" s="68">
        <f>(VLOOKUP($A:$A,USD!$A:$AL,30,FALSE)*88)/88*20</f>
        <v>107.04545454545455</v>
      </c>
      <c r="AF142" s="68">
        <f t="shared" si="22"/>
        <v>217.27272727272728</v>
      </c>
      <c r="AG142" s="87">
        <f>(VLOOKUP($A:$A,USD!$A:$AL,33,FALSE)*88)/88*20</f>
        <v>28.814300000000003</v>
      </c>
      <c r="AH142" s="68">
        <f>(VLOOKUP($A:$A,USD!$A:$AL,34,FALSE)*88)/88*20</f>
        <v>6.973140495867769</v>
      </c>
      <c r="AI142" s="87">
        <f>(VLOOKUP($A:$A,USD!$A:$AL,35,FALSE)*88)/88*20</f>
        <v>12.587317427197677</v>
      </c>
      <c r="AJ142" s="87">
        <f>(VLOOKUP($A:$A,USD!$A:$AL,36,FALSE)*88)/88*20</f>
        <v>6.7351999999999999</v>
      </c>
      <c r="AL142" s="68">
        <f t="shared" si="23"/>
        <v>55.109957923065444</v>
      </c>
      <c r="AM142" s="87">
        <f>(VLOOKUP($A:$A,USD!$A:$AR,39,FALSE)*88)/88*20</f>
        <v>79.999999999999986</v>
      </c>
      <c r="AN142" s="68">
        <f>(VLOOKUP($A:$A,USD!$A:$AR,40,FALSE)*88)/88*20</f>
        <v>26.17808219178082</v>
      </c>
      <c r="AO142" s="1">
        <f>(VLOOKUP($A:$A,USD!$A:$AR,41,FALSE)*88)/88*20</f>
        <v>0</v>
      </c>
      <c r="AR142" s="1">
        <f t="shared" si="24"/>
        <v>106.1780821917808</v>
      </c>
      <c r="AS142" s="38">
        <f t="shared" si="25"/>
        <v>880.54334314514927</v>
      </c>
      <c r="AT142" s="38">
        <f t="shared" si="26"/>
        <v>1080.5433431451493</v>
      </c>
      <c r="AW142" s="1" t="e">
        <f>(VLOOKUP(A:A,USD!A:AT,46,FALSE)*88)/88*20</f>
        <v>#N/A</v>
      </c>
      <c r="AX142" s="1">
        <f>(VLOOKUP(A:A,USD!A:AU,47,FALSE)*88)/88*20</f>
        <v>242.84090909090909</v>
      </c>
    </row>
    <row r="143" spans="1:50" hidden="1">
      <c r="A143" s="1">
        <v>570505</v>
      </c>
      <c r="B143" s="1" t="s">
        <v>382</v>
      </c>
      <c r="C143" s="1" t="s">
        <v>383</v>
      </c>
      <c r="D143" s="1" t="s">
        <v>136</v>
      </c>
      <c r="E143" s="1" t="str">
        <f>VLOOKUP(A:A,USD!A:E,5,FALSE)</f>
        <v>Eastern Rule 5</v>
      </c>
      <c r="F143" s="1" t="str">
        <f>VLOOKUP(A:A,USD!A:F,6,FALSE)</f>
        <v>ER5</v>
      </c>
      <c r="G143" s="1" t="str">
        <f>VLOOKUP(A:A,'Regions and Ports'!A:G,7,FALSE)</f>
        <v>Savannah</v>
      </c>
      <c r="H143" s="1">
        <f>VLOOKUP(A:A,USD!A:R,8,FALSE)</f>
        <v>1</v>
      </c>
      <c r="I143" s="87">
        <f>(VLOOKUP($A:$A,USD!$A:$AL,9,FALSE)*88)/88*20</f>
        <v>47</v>
      </c>
      <c r="J143" s="87">
        <f>(VLOOKUP($A:$A,USD!$A:$AL,10,FALSE)*88)/88*20</f>
        <v>60</v>
      </c>
      <c r="K143" s="87">
        <f>(VLOOKUP($A:$A,USD!$A:$AL,11,FALSE)*88)/88*20</f>
        <v>0</v>
      </c>
      <c r="L143" s="87">
        <f>(VLOOKUP($A:$A,USD!$A:$AL,12,FALSE)*88)/88*20</f>
        <v>0</v>
      </c>
      <c r="M143" s="87">
        <f>(VLOOKUP($A:$A,USD!$A:$AL,13,FALSE)*88)/88*20</f>
        <v>10</v>
      </c>
      <c r="N143" s="87">
        <f>(VLOOKUP($A:$A,USD!$A:$AL,14,FALSE)*88)/88*20</f>
        <v>40</v>
      </c>
      <c r="O143" s="68">
        <f>(VLOOKUP($A:$A,USD!$A:$AL,15,FALSE)*88)/88*20</f>
        <v>37.916666666666671</v>
      </c>
      <c r="P143" s="87">
        <f>(VLOOKUP($A:$A,USD!$A:$AL,16,FALSE)*88)/88*20</f>
        <v>0</v>
      </c>
      <c r="Q143" s="68">
        <f t="shared" si="18"/>
        <v>194.91666666666669</v>
      </c>
      <c r="R143" s="68">
        <f t="shared" si="19"/>
        <v>77.916666666666671</v>
      </c>
      <c r="S143" s="68">
        <f>(VLOOKUP($A:$A,USD!$A:$AL,19,FALSE)*88)/88*20</f>
        <v>0</v>
      </c>
      <c r="T143" s="68">
        <f>(VLOOKUP($A:$A,USD!$A:$AL,20,FALSE)*88)/88*20</f>
        <v>0</v>
      </c>
      <c r="U143" s="68">
        <f>(VLOOKUP($A:$A,USD!$A:$AL,21,FALSE)*88)/88*20</f>
        <v>217.02727272727273</v>
      </c>
      <c r="V143" s="68"/>
      <c r="W143" s="68">
        <f t="shared" si="20"/>
        <v>217.02727272727273</v>
      </c>
      <c r="X143" s="1">
        <f>(VLOOKUP($A:$A,USD!$A:$AL,24,FALSE)*88)/88*20</f>
        <v>52</v>
      </c>
      <c r="Y143" s="68">
        <f>(VLOOKUP($A:$A,USD!$A:$AL,25,FALSE)*88)/88*20</f>
        <v>50.4</v>
      </c>
      <c r="Z143" s="68">
        <f>(VLOOKUP($A:$A,USD!$A:$AL,26,FALSE)*88)/88*20</f>
        <v>26.25</v>
      </c>
      <c r="AB143" s="68">
        <f t="shared" si="21"/>
        <v>128.65</v>
      </c>
      <c r="AC143" s="68">
        <f>(VLOOKUP($A:$A,USD!$A:$AL,29,FALSE)*88)/88*20</f>
        <v>110.22727272727273</v>
      </c>
      <c r="AD143" s="68">
        <f>(VLOOKUP($A:$A,USD!$A:$AL,30,FALSE)*88)/88*20</f>
        <v>107.04545454545455</v>
      </c>
      <c r="AF143" s="68">
        <f t="shared" si="22"/>
        <v>217.27272727272728</v>
      </c>
      <c r="AG143" s="87">
        <f>(VLOOKUP($A:$A,USD!$A:$AL,33,FALSE)*88)/88*20</f>
        <v>28.814300000000003</v>
      </c>
      <c r="AH143" s="68">
        <f>(VLOOKUP($A:$A,USD!$A:$AL,34,FALSE)*88)/88*20</f>
        <v>6.973140495867769</v>
      </c>
      <c r="AI143" s="87">
        <f>(VLOOKUP($A:$A,USD!$A:$AL,35,FALSE)*88)/88*20</f>
        <v>12.587317427197677</v>
      </c>
      <c r="AJ143" s="87">
        <f>(VLOOKUP($A:$A,USD!$A:$AL,36,FALSE)*88)/88*20</f>
        <v>6.7351999999999999</v>
      </c>
      <c r="AL143" s="68">
        <f t="shared" si="23"/>
        <v>55.109957923065444</v>
      </c>
      <c r="AM143" s="87">
        <f>(VLOOKUP($A:$A,USD!$A:$AR,39,FALSE)*88)/88*20</f>
        <v>79.999999999999986</v>
      </c>
      <c r="AN143" s="68">
        <f>(VLOOKUP($A:$A,USD!$A:$AR,40,FALSE)*88)/88*20</f>
        <v>26.17808219178082</v>
      </c>
      <c r="AO143" s="1">
        <f>(VLOOKUP($A:$A,USD!$A:$AR,41,FALSE)*88)/88*20</f>
        <v>0</v>
      </c>
      <c r="AR143" s="1">
        <f t="shared" si="24"/>
        <v>106.1780821917808</v>
      </c>
      <c r="AS143" s="38">
        <f t="shared" si="25"/>
        <v>802.15470678151291</v>
      </c>
      <c r="AT143" s="38">
        <f t="shared" si="26"/>
        <v>919.15470678151291</v>
      </c>
      <c r="AW143" s="1" t="e">
        <f>(VLOOKUP(A:A,USD!A:AT,46,FALSE)*88)/88*20</f>
        <v>#N/A</v>
      </c>
      <c r="AX143" s="1">
        <f>(VLOOKUP(A:A,USD!A:AU,47,FALSE)*88)/88*20</f>
        <v>113.63636363636363</v>
      </c>
    </row>
    <row r="144" spans="1:50" hidden="1">
      <c r="A144" s="1">
        <v>570507</v>
      </c>
      <c r="B144" s="1" t="s">
        <v>384</v>
      </c>
      <c r="C144" s="1" t="s">
        <v>383</v>
      </c>
      <c r="D144" s="1" t="s">
        <v>136</v>
      </c>
      <c r="E144" s="1" t="str">
        <f>VLOOKUP(A:A,USD!A:E,5,FALSE)</f>
        <v>Eastern Rule 5</v>
      </c>
      <c r="F144" s="1" t="str">
        <f>VLOOKUP(A:A,USD!A:F,6,FALSE)</f>
        <v>ER5</v>
      </c>
      <c r="G144" s="1" t="str">
        <f>VLOOKUP(A:A,'Regions and Ports'!A:G,7,FALSE)</f>
        <v>Savannah</v>
      </c>
      <c r="H144" s="1">
        <f>VLOOKUP(A:A,USD!A:R,8,FALSE)</f>
        <v>1</v>
      </c>
      <c r="I144" s="87">
        <f>(VLOOKUP($A:$A,USD!$A:$AL,9,FALSE)*88)/88*20</f>
        <v>55</v>
      </c>
      <c r="J144" s="87">
        <f>(VLOOKUP($A:$A,USD!$A:$AL,10,FALSE)*88)/88*20</f>
        <v>60</v>
      </c>
      <c r="K144" s="87">
        <f>(VLOOKUP($A:$A,USD!$A:$AL,11,FALSE)*88)/88*20</f>
        <v>0</v>
      </c>
      <c r="L144" s="87">
        <f>(VLOOKUP($A:$A,USD!$A:$AL,12,FALSE)*88)/88*20</f>
        <v>0</v>
      </c>
      <c r="M144" s="87">
        <f>(VLOOKUP($A:$A,USD!$A:$AL,13,FALSE)*88)/88*20</f>
        <v>10</v>
      </c>
      <c r="N144" s="87">
        <f>(VLOOKUP($A:$A,USD!$A:$AL,14,FALSE)*88)/88*20</f>
        <v>34</v>
      </c>
      <c r="O144" s="68">
        <f>(VLOOKUP($A:$A,USD!$A:$AL,15,FALSE)*88)/88*20</f>
        <v>37.916666666666671</v>
      </c>
      <c r="P144" s="87">
        <f>(VLOOKUP($A:$A,USD!$A:$AL,16,FALSE)*88)/88*20</f>
        <v>0</v>
      </c>
      <c r="Q144" s="68">
        <f t="shared" si="18"/>
        <v>196.91666666666669</v>
      </c>
      <c r="R144" s="68">
        <f t="shared" si="19"/>
        <v>71.916666666666671</v>
      </c>
      <c r="S144" s="68">
        <f>(VLOOKUP($A:$A,USD!$A:$AL,19,FALSE)*88)/88*20</f>
        <v>0</v>
      </c>
      <c r="T144" s="68">
        <f>(VLOOKUP($A:$A,USD!$A:$AL,20,FALSE)*88)/88*20</f>
        <v>0</v>
      </c>
      <c r="U144" s="68">
        <f>(VLOOKUP($A:$A,USD!$A:$AL,21,FALSE)*88)/88*20</f>
        <v>217.02727272727273</v>
      </c>
      <c r="V144" s="68"/>
      <c r="W144" s="68">
        <f t="shared" si="20"/>
        <v>217.02727272727273</v>
      </c>
      <c r="X144" s="1">
        <f>(VLOOKUP($A:$A,USD!$A:$AL,24,FALSE)*88)/88*20</f>
        <v>52</v>
      </c>
      <c r="Y144" s="68">
        <f>(VLOOKUP($A:$A,USD!$A:$AL,25,FALSE)*88)/88*20</f>
        <v>50.4</v>
      </c>
      <c r="Z144" s="68">
        <f>(VLOOKUP($A:$A,USD!$A:$AL,26,FALSE)*88)/88*20</f>
        <v>26.25</v>
      </c>
      <c r="AB144" s="68">
        <f t="shared" si="21"/>
        <v>128.65</v>
      </c>
      <c r="AC144" s="68">
        <f>(VLOOKUP($A:$A,USD!$A:$AL,29,FALSE)*88)/88*20</f>
        <v>110.22727272727273</v>
      </c>
      <c r="AD144" s="68">
        <f>(VLOOKUP($A:$A,USD!$A:$AL,30,FALSE)*88)/88*20</f>
        <v>107.04545454545455</v>
      </c>
      <c r="AF144" s="68">
        <f t="shared" si="22"/>
        <v>217.27272727272728</v>
      </c>
      <c r="AG144" s="87">
        <f>(VLOOKUP($A:$A,USD!$A:$AL,33,FALSE)*88)/88*20</f>
        <v>28.814300000000003</v>
      </c>
      <c r="AH144" s="68">
        <f>(VLOOKUP($A:$A,USD!$A:$AL,34,FALSE)*88)/88*20</f>
        <v>6.973140495867769</v>
      </c>
      <c r="AI144" s="87">
        <f>(VLOOKUP($A:$A,USD!$A:$AL,35,FALSE)*88)/88*20</f>
        <v>12.587317427197677</v>
      </c>
      <c r="AJ144" s="87">
        <f>(VLOOKUP($A:$A,USD!$A:$AL,36,FALSE)*88)/88*20</f>
        <v>6.7351999999999999</v>
      </c>
      <c r="AL144" s="68">
        <f t="shared" si="23"/>
        <v>55.109957923065444</v>
      </c>
      <c r="AM144" s="87">
        <f>(VLOOKUP($A:$A,USD!$A:$AR,39,FALSE)*88)/88*20</f>
        <v>79.999999999999986</v>
      </c>
      <c r="AN144" s="68">
        <f>(VLOOKUP($A:$A,USD!$A:$AR,40,FALSE)*88)/88*20</f>
        <v>26.17808219178082</v>
      </c>
      <c r="AO144" s="1">
        <f>(VLOOKUP($A:$A,USD!$A:$AR,41,FALSE)*88)/88*20</f>
        <v>0</v>
      </c>
      <c r="AR144" s="1">
        <f t="shared" si="24"/>
        <v>106.1780821917808</v>
      </c>
      <c r="AS144" s="38">
        <f t="shared" si="25"/>
        <v>796.15470678151291</v>
      </c>
      <c r="AT144" s="38">
        <f t="shared" si="26"/>
        <v>921.15470678151291</v>
      </c>
      <c r="AW144" s="1" t="e">
        <f>(VLOOKUP(A:A,USD!A:AT,46,FALSE)*88)/88*20</f>
        <v>#N/A</v>
      </c>
      <c r="AX144" s="1">
        <f>(VLOOKUP(A:A,USD!A:AU,47,FALSE)*88)/88*20</f>
        <v>113.63636363636363</v>
      </c>
    </row>
    <row r="145" spans="1:50" hidden="1">
      <c r="A145" s="1">
        <v>570620</v>
      </c>
      <c r="B145" s="1" t="s">
        <v>385</v>
      </c>
      <c r="C145" s="1" t="s">
        <v>386</v>
      </c>
      <c r="D145" s="1" t="s">
        <v>136</v>
      </c>
      <c r="E145" s="1" t="str">
        <f>VLOOKUP(A:A,USD!A:E,5,FALSE)</f>
        <v>Eastern Rule 5</v>
      </c>
      <c r="F145" s="1" t="str">
        <f>VLOOKUP(A:A,USD!A:F,6,FALSE)</f>
        <v>ER5</v>
      </c>
      <c r="G145" s="1" t="str">
        <f>VLOOKUP(A:A,'Regions and Ports'!A:G,7,FALSE)</f>
        <v>Savannah</v>
      </c>
      <c r="H145" s="1">
        <f>VLOOKUP(A:A,USD!A:R,8,FALSE)</f>
        <v>1</v>
      </c>
      <c r="I145" s="87">
        <f>(VLOOKUP($A:$A,USD!$A:$AL,9,FALSE)*88)/88*20</f>
        <v>40</v>
      </c>
      <c r="J145" s="87">
        <f>(VLOOKUP($A:$A,USD!$A:$AL,10,FALSE)*88)/88*20</f>
        <v>80</v>
      </c>
      <c r="K145" s="87">
        <f>(VLOOKUP($A:$A,USD!$A:$AL,11,FALSE)*88)/88*20</f>
        <v>0</v>
      </c>
      <c r="L145" s="87">
        <f>(VLOOKUP($A:$A,USD!$A:$AL,12,FALSE)*88)/88*20</f>
        <v>0</v>
      </c>
      <c r="M145" s="87">
        <f>(VLOOKUP($A:$A,USD!$A:$AL,13,FALSE)*88)/88*20</f>
        <v>5</v>
      </c>
      <c r="N145" s="87">
        <f>(VLOOKUP($A:$A,USD!$A:$AL,14,FALSE)*88)/88*20</f>
        <v>34</v>
      </c>
      <c r="O145" s="68">
        <f>(VLOOKUP($A:$A,USD!$A:$AL,15,FALSE)*88)/88*20</f>
        <v>37.916666666666671</v>
      </c>
      <c r="P145" s="87">
        <f>(VLOOKUP($A:$A,USD!$A:$AL,16,FALSE)*88)/88*20</f>
        <v>0</v>
      </c>
      <c r="Q145" s="68">
        <f t="shared" si="18"/>
        <v>196.91666666666669</v>
      </c>
      <c r="R145" s="68">
        <f t="shared" si="19"/>
        <v>71.916666666666671</v>
      </c>
      <c r="S145" s="68">
        <f>(VLOOKUP($A:$A,USD!$A:$AL,19,FALSE)*88)/88*20</f>
        <v>0</v>
      </c>
      <c r="T145" s="68">
        <f>(VLOOKUP($A:$A,USD!$A:$AL,20,FALSE)*88)/88*20</f>
        <v>0</v>
      </c>
      <c r="U145" s="68">
        <f>(VLOOKUP($A:$A,USD!$A:$AL,21,FALSE)*88)/88*20</f>
        <v>301.45681818181822</v>
      </c>
      <c r="V145" s="68"/>
      <c r="W145" s="68">
        <f t="shared" si="20"/>
        <v>301.45681818181822</v>
      </c>
      <c r="X145" s="1">
        <f>(VLOOKUP($A:$A,USD!$A:$AL,24,FALSE)*88)/88*20</f>
        <v>52</v>
      </c>
      <c r="Y145" s="68">
        <f>(VLOOKUP($A:$A,USD!$A:$AL,25,FALSE)*88)/88*20</f>
        <v>50.4</v>
      </c>
      <c r="Z145" s="68">
        <f>(VLOOKUP($A:$A,USD!$A:$AL,26,FALSE)*88)/88*20</f>
        <v>26.25</v>
      </c>
      <c r="AB145" s="68">
        <f t="shared" si="21"/>
        <v>128.65</v>
      </c>
      <c r="AC145" s="68">
        <f>(VLOOKUP($A:$A,USD!$A:$AL,29,FALSE)*88)/88*20</f>
        <v>110.22727272727273</v>
      </c>
      <c r="AD145" s="68">
        <f>(VLOOKUP($A:$A,USD!$A:$AL,30,FALSE)*88)/88*20</f>
        <v>107.04545454545455</v>
      </c>
      <c r="AF145" s="68">
        <f t="shared" si="22"/>
        <v>217.27272727272728</v>
      </c>
      <c r="AG145" s="87">
        <f>(VLOOKUP($A:$A,USD!$A:$AL,33,FALSE)*88)/88*20</f>
        <v>28.814300000000003</v>
      </c>
      <c r="AH145" s="68">
        <f>(VLOOKUP($A:$A,USD!$A:$AL,34,FALSE)*88)/88*20</f>
        <v>6.973140495867769</v>
      </c>
      <c r="AI145" s="87">
        <f>(VLOOKUP($A:$A,USD!$A:$AL,35,FALSE)*88)/88*20</f>
        <v>12.587317427197677</v>
      </c>
      <c r="AJ145" s="87">
        <f>(VLOOKUP($A:$A,USD!$A:$AL,36,FALSE)*88)/88*20</f>
        <v>6.7351999999999999</v>
      </c>
      <c r="AL145" s="68">
        <f t="shared" si="23"/>
        <v>55.109957923065444</v>
      </c>
      <c r="AM145" s="87">
        <f>(VLOOKUP($A:$A,USD!$A:$AR,39,FALSE)*88)/88*20</f>
        <v>79.999999999999986</v>
      </c>
      <c r="AN145" s="68">
        <f>(VLOOKUP($A:$A,USD!$A:$AR,40,FALSE)*88)/88*20</f>
        <v>26.17808219178082</v>
      </c>
      <c r="AO145" s="1">
        <f>(VLOOKUP($A:$A,USD!$A:$AR,41,FALSE)*88)/88*20</f>
        <v>0</v>
      </c>
      <c r="AR145" s="1">
        <f t="shared" si="24"/>
        <v>106.1780821917808</v>
      </c>
      <c r="AS145" s="38">
        <f t="shared" si="25"/>
        <v>880.58425223605843</v>
      </c>
      <c r="AT145" s="38">
        <f t="shared" si="26"/>
        <v>1005.5842522360584</v>
      </c>
      <c r="AW145" s="1" t="e">
        <f>(VLOOKUP(A:A,USD!A:AT,46,FALSE)*88)/88*20</f>
        <v>#N/A</v>
      </c>
      <c r="AX145" s="1">
        <f>(VLOOKUP(A:A,USD!A:AU,47,FALSE)*88)/88*20</f>
        <v>273.86363636363637</v>
      </c>
    </row>
    <row r="146" spans="1:50" hidden="1">
      <c r="A146" s="1">
        <v>571536</v>
      </c>
      <c r="B146" s="1" t="s">
        <v>388</v>
      </c>
      <c r="C146" s="1" t="s">
        <v>389</v>
      </c>
      <c r="D146" s="1" t="s">
        <v>136</v>
      </c>
      <c r="E146" s="1" t="str">
        <f>VLOOKUP(A:A,USD!A:E,5,FALSE)</f>
        <v>Eastern Rule 5</v>
      </c>
      <c r="F146" s="1" t="str">
        <f>VLOOKUP(A:A,USD!A:F,6,FALSE)</f>
        <v>ER5</v>
      </c>
      <c r="G146" s="1" t="str">
        <f>VLOOKUP(A:A,'Regions and Ports'!A:G,7,FALSE)</f>
        <v>Savannah</v>
      </c>
      <c r="H146" s="1">
        <f>VLOOKUP(A:A,USD!A:R,8,FALSE)</f>
        <v>1</v>
      </c>
      <c r="I146" s="87">
        <f>(VLOOKUP($A:$A,USD!$A:$AL,9,FALSE)*88)/88*20</f>
        <v>40</v>
      </c>
      <c r="J146" s="87">
        <f>(VLOOKUP($A:$A,USD!$A:$AL,10,FALSE)*88)/88*20</f>
        <v>80</v>
      </c>
      <c r="K146" s="87">
        <f>(VLOOKUP($A:$A,USD!$A:$AL,11,FALSE)*88)/88*20</f>
        <v>0</v>
      </c>
      <c r="L146" s="87">
        <f>(VLOOKUP($A:$A,USD!$A:$AL,12,FALSE)*88)/88*20</f>
        <v>0</v>
      </c>
      <c r="M146" s="87">
        <f>(VLOOKUP($A:$A,USD!$A:$AL,13,FALSE)*88)/88*20</f>
        <v>15</v>
      </c>
      <c r="N146" s="87">
        <f>(VLOOKUP($A:$A,USD!$A:$AL,14,FALSE)*88)/88*20</f>
        <v>34</v>
      </c>
      <c r="O146" s="68">
        <f>(VLOOKUP($A:$A,USD!$A:$AL,15,FALSE)*88)/88*20</f>
        <v>37.916666666666671</v>
      </c>
      <c r="P146" s="87">
        <f>(VLOOKUP($A:$A,USD!$A:$AL,16,FALSE)*88)/88*20</f>
        <v>0</v>
      </c>
      <c r="Q146" s="68">
        <f t="shared" si="18"/>
        <v>206.91666666666669</v>
      </c>
      <c r="R146" s="68">
        <f t="shared" si="19"/>
        <v>71.916666666666671</v>
      </c>
      <c r="S146" s="68">
        <f>(VLOOKUP($A:$A,USD!$A:$AL,19,FALSE)*88)/88*20</f>
        <v>0</v>
      </c>
      <c r="T146" s="68">
        <f>(VLOOKUP($A:$A,USD!$A:$AL,20,FALSE)*88)/88*20</f>
        <v>0</v>
      </c>
      <c r="U146" s="68">
        <f>(VLOOKUP($A:$A,USD!$A:$AL,21,FALSE)*88)/88*20</f>
        <v>301.45681818181822</v>
      </c>
      <c r="V146" s="68"/>
      <c r="W146" s="68">
        <f t="shared" si="20"/>
        <v>301.45681818181822</v>
      </c>
      <c r="X146" s="1">
        <f>(VLOOKUP($A:$A,USD!$A:$AL,24,FALSE)*88)/88*20</f>
        <v>52</v>
      </c>
      <c r="Y146" s="68">
        <f>(VLOOKUP($A:$A,USD!$A:$AL,25,FALSE)*88)/88*20</f>
        <v>50.4</v>
      </c>
      <c r="Z146" s="68">
        <f>(VLOOKUP($A:$A,USD!$A:$AL,26,FALSE)*88)/88*20</f>
        <v>26.25</v>
      </c>
      <c r="AB146" s="68">
        <f t="shared" si="21"/>
        <v>128.65</v>
      </c>
      <c r="AC146" s="68">
        <f>(VLOOKUP($A:$A,USD!$A:$AL,29,FALSE)*88)/88*20</f>
        <v>110.22727272727273</v>
      </c>
      <c r="AD146" s="68">
        <f>(VLOOKUP($A:$A,USD!$A:$AL,30,FALSE)*88)/88*20</f>
        <v>107.04545454545455</v>
      </c>
      <c r="AF146" s="68">
        <f t="shared" si="22"/>
        <v>217.27272727272728</v>
      </c>
      <c r="AG146" s="87">
        <f>(VLOOKUP($A:$A,USD!$A:$AL,33,FALSE)*88)/88*20</f>
        <v>28.814300000000003</v>
      </c>
      <c r="AH146" s="68">
        <f>(VLOOKUP($A:$A,USD!$A:$AL,34,FALSE)*88)/88*20</f>
        <v>6.973140495867769</v>
      </c>
      <c r="AI146" s="87">
        <f>(VLOOKUP($A:$A,USD!$A:$AL,35,FALSE)*88)/88*20</f>
        <v>12.587317427197677</v>
      </c>
      <c r="AJ146" s="87">
        <f>(VLOOKUP($A:$A,USD!$A:$AL,36,FALSE)*88)/88*20</f>
        <v>6.7351999999999999</v>
      </c>
      <c r="AL146" s="68">
        <f t="shared" si="23"/>
        <v>55.109957923065444</v>
      </c>
      <c r="AM146" s="87">
        <f>(VLOOKUP($A:$A,USD!$A:$AR,39,FALSE)*88)/88*20</f>
        <v>79.999999999999986</v>
      </c>
      <c r="AN146" s="68">
        <f>(VLOOKUP($A:$A,USD!$A:$AR,40,FALSE)*88)/88*20</f>
        <v>26.17808219178082</v>
      </c>
      <c r="AO146" s="1">
        <f>(VLOOKUP($A:$A,USD!$A:$AR,41,FALSE)*88)/88*20</f>
        <v>0</v>
      </c>
      <c r="AR146" s="1">
        <f t="shared" si="24"/>
        <v>106.1780821917808</v>
      </c>
      <c r="AS146" s="38">
        <f t="shared" si="25"/>
        <v>880.58425223605843</v>
      </c>
      <c r="AT146" s="38">
        <f t="shared" si="26"/>
        <v>1015.5842522360584</v>
      </c>
      <c r="AW146" s="1" t="e">
        <f>(VLOOKUP(A:A,USD!A:AT,46,FALSE)*88)/88*20</f>
        <v>#N/A</v>
      </c>
      <c r="AX146" s="1">
        <f>(VLOOKUP(A:A,USD!A:AU,47,FALSE)*88)/88*20</f>
        <v>272.15909090909088</v>
      </c>
    </row>
    <row r="147" spans="1:50" hidden="1">
      <c r="A147" s="1">
        <v>122007</v>
      </c>
      <c r="B147" s="1" t="s">
        <v>390</v>
      </c>
      <c r="C147" s="1" t="s">
        <v>391</v>
      </c>
      <c r="D147" s="1" t="s">
        <v>319</v>
      </c>
      <c r="E147" s="1" t="str">
        <f>VLOOKUP(A:A,USD!A:E,5,FALSE)</f>
        <v>Southwest</v>
      </c>
      <c r="F147" s="1">
        <f>VLOOKUP(A:A,USD!A:F,6,FALSE)</f>
        <v>0</v>
      </c>
      <c r="G147" s="1" t="str">
        <f>VLOOKUP(A:A,'Regions and Ports'!A:G,7,FALSE)</f>
        <v>Los Angeles</v>
      </c>
      <c r="H147" s="1">
        <f>VLOOKUP(A:A,USD!A:R,8,FALSE)</f>
        <v>6</v>
      </c>
      <c r="I147" s="87">
        <f>(VLOOKUP($A:$A,USD!$A:$AL,9,FALSE)*88)/88*20</f>
        <v>80</v>
      </c>
      <c r="J147" s="87">
        <f>(VLOOKUP($A:$A,USD!$A:$AL,10,FALSE)*88)/88*20</f>
        <v>180</v>
      </c>
      <c r="K147" s="87">
        <f>(VLOOKUP($A:$A,USD!$A:$AL,11,FALSE)*88)/88*20</f>
        <v>190</v>
      </c>
      <c r="L147" s="87">
        <f>(VLOOKUP($A:$A,USD!$A:$AL,12,FALSE)*88)/88*20</f>
        <v>0</v>
      </c>
      <c r="M147" s="87">
        <f>(VLOOKUP($A:$A,USD!$A:$AL,13,FALSE)*88)/88*20</f>
        <v>20</v>
      </c>
      <c r="N147" s="87">
        <f>(VLOOKUP($A:$A,USD!$A:$AL,14,FALSE)*88)/88*20</f>
        <v>96</v>
      </c>
      <c r="O147" s="68">
        <f>(VLOOKUP($A:$A,USD!$A:$AL,15,FALSE)*88)/88*20</f>
        <v>37.916666666666671</v>
      </c>
      <c r="P147" s="87" t="e">
        <f>(VLOOKUP($A:$A,USD!$A:$AL,16,FALSE)*88)/88*20</f>
        <v>#N/A</v>
      </c>
      <c r="Q147" s="68" t="e">
        <f t="shared" si="18"/>
        <v>#N/A</v>
      </c>
      <c r="R147" s="68" t="e">
        <f t="shared" si="19"/>
        <v>#VALUE!</v>
      </c>
      <c r="S147" s="68">
        <f>(VLOOKUP($A:$A,USD!$A:$AL,19,FALSE)*88)/88*20</f>
        <v>0</v>
      </c>
      <c r="T147" s="68">
        <f>(VLOOKUP($A:$A,USD!$A:$AL,20,FALSE)*88)/88*20</f>
        <v>0</v>
      </c>
      <c r="U147" s="68" t="e">
        <f>(VLOOKUP($A:$A,USD!$A:$AL,21,FALSE)*88)/88*20</f>
        <v>#N/A</v>
      </c>
      <c r="V147" s="68"/>
      <c r="W147" s="68" t="e">
        <f t="shared" si="20"/>
        <v>#N/A</v>
      </c>
      <c r="X147" s="1" t="e">
        <f>(VLOOKUP($A:$A,USD!$A:$AL,24,FALSE)*88)/88*20</f>
        <v>#N/A</v>
      </c>
      <c r="Y147" s="68" t="e">
        <f>(VLOOKUP($A:$A,USD!$A:$AL,25,FALSE)*88)/88*20</f>
        <v>#N/A</v>
      </c>
      <c r="Z147" s="68">
        <f>(VLOOKUP($A:$A,USD!$A:$AL,26,FALSE)*88)/88*20</f>
        <v>26.25</v>
      </c>
      <c r="AB147" s="68" t="e">
        <f t="shared" si="21"/>
        <v>#N/A</v>
      </c>
      <c r="AC147" s="68" t="e">
        <f>(VLOOKUP($A:$A,USD!$A:$AL,29,FALSE)*88)/88*20</f>
        <v>#N/A</v>
      </c>
      <c r="AD147" s="68" t="e">
        <f>(VLOOKUP($A:$A,USD!$A:$AL,30,FALSE)*88)/88*20</f>
        <v>#N/A</v>
      </c>
      <c r="AF147" s="68" t="e">
        <f t="shared" si="22"/>
        <v>#N/A</v>
      </c>
      <c r="AG147" s="87">
        <f>(VLOOKUP($A:$A,USD!$A:$AL,33,FALSE)*88)/88*20</f>
        <v>28.814300000000003</v>
      </c>
      <c r="AH147" s="68">
        <f>(VLOOKUP($A:$A,USD!$A:$AL,34,FALSE)*88)/88*20</f>
        <v>6.973140495867769</v>
      </c>
      <c r="AI147" s="87">
        <f>(VLOOKUP($A:$A,USD!$A:$AL,35,FALSE)*88)/88*20</f>
        <v>12.587317427197677</v>
      </c>
      <c r="AJ147" s="87">
        <f>(VLOOKUP($A:$A,USD!$A:$AL,36,FALSE)*88)/88*20</f>
        <v>6.7351999999999999</v>
      </c>
      <c r="AL147" s="68">
        <f t="shared" si="23"/>
        <v>55.109957923065444</v>
      </c>
      <c r="AM147" s="87">
        <f>(VLOOKUP($A:$A,USD!$A:$AR,39,FALSE)*88)/88*20</f>
        <v>79.999999999999986</v>
      </c>
      <c r="AN147" s="68">
        <f>(VLOOKUP($A:$A,USD!$A:$AR,40,FALSE)*88)/88*20</f>
        <v>26.17808219178082</v>
      </c>
      <c r="AO147" s="1">
        <f>(VLOOKUP($A:$A,USD!$A:$AR,41,FALSE)*88)/88*20</f>
        <v>0</v>
      </c>
      <c r="AR147" s="1">
        <f t="shared" si="24"/>
        <v>106.1780821917808</v>
      </c>
      <c r="AS147" s="38" t="e">
        <f t="shared" si="25"/>
        <v>#VALUE!</v>
      </c>
      <c r="AT147" s="38" t="e">
        <f t="shared" si="26"/>
        <v>#N/A</v>
      </c>
      <c r="AW147" s="1" t="e">
        <f>(VLOOKUP(A:A,USD!A:AT,46,FALSE)*88)/88*20</f>
        <v>#N/A</v>
      </c>
      <c r="AX147" s="1" t="e">
        <f>(VLOOKUP(A:A,USD!A:AU,47,FALSE)*88)/88*20</f>
        <v>#N/A</v>
      </c>
    </row>
    <row r="148" spans="1:50" hidden="1">
      <c r="A148" s="1">
        <v>925011</v>
      </c>
      <c r="B148" s="1" t="s">
        <v>393</v>
      </c>
      <c r="C148" s="1" t="s">
        <v>394</v>
      </c>
      <c r="D148" s="1" t="s">
        <v>71</v>
      </c>
      <c r="E148" s="1" t="str">
        <f>VLOOKUP(A:A,USD!A:E,5,FALSE)</f>
        <v>WTX</v>
      </c>
      <c r="F148" s="1" t="str">
        <f>VLOOKUP(A:A,USD!A:F,6,FALSE)</f>
        <v>WTX</v>
      </c>
      <c r="G148" s="1" t="str">
        <f>VLOOKUP(A:A,'Regions and Ports'!A:G,7,FALSE)</f>
        <v>Dallas</v>
      </c>
      <c r="H148" s="1">
        <f>VLOOKUP(A:A,USD!A:R,8,FALSE)</f>
        <v>2</v>
      </c>
      <c r="I148" s="87">
        <f>(VLOOKUP($A:$A,USD!$A:$AL,9,FALSE)*88)/88*20</f>
        <v>95</v>
      </c>
      <c r="J148" s="87">
        <f>(VLOOKUP($A:$A,USD!$A:$AL,10,FALSE)*88)/88*20</f>
        <v>150</v>
      </c>
      <c r="K148" s="87">
        <f>(VLOOKUP($A:$A,USD!$A:$AL,11,FALSE)*88)/88*20</f>
        <v>210</v>
      </c>
      <c r="L148" s="87">
        <f>(VLOOKUP($A:$A,USD!$A:$AL,12,FALSE)*88)/88*20</f>
        <v>0</v>
      </c>
      <c r="M148" s="87">
        <f>(VLOOKUP($A:$A,USD!$A:$AL,13,FALSE)*88)/88*20</f>
        <v>32</v>
      </c>
      <c r="N148" s="87">
        <f>(VLOOKUP($A:$A,USD!$A:$AL,14,FALSE)*88)/88*20</f>
        <v>85</v>
      </c>
      <c r="O148" s="68">
        <f>(VLOOKUP($A:$A,USD!$A:$AL,15,FALSE)*88)/88*20</f>
        <v>37.916666666666671</v>
      </c>
      <c r="P148" s="87">
        <f>(VLOOKUP($A:$A,USD!$A:$AL,16,FALSE)*88)/88*20</f>
        <v>0</v>
      </c>
      <c r="Q148" s="68">
        <f t="shared" si="18"/>
        <v>609.91666666666663</v>
      </c>
      <c r="R148" s="68">
        <f t="shared" si="19"/>
        <v>332.91666666666669</v>
      </c>
      <c r="S148" s="68">
        <f>(VLOOKUP($A:$A,USD!$A:$AL,19,FALSE)*88)/88*20</f>
        <v>0</v>
      </c>
      <c r="T148" s="68">
        <f>(VLOOKUP($A:$A,USD!$A:$AL,20,FALSE)*88)/88*20</f>
        <v>0</v>
      </c>
      <c r="U148" s="68">
        <f>(VLOOKUP($A:$A,USD!$A:$AL,21,FALSE)*88)/88*20</f>
        <v>103.40909090909092</v>
      </c>
      <c r="V148" s="68"/>
      <c r="W148" s="68">
        <f t="shared" si="20"/>
        <v>103.40909090909092</v>
      </c>
      <c r="X148" s="1">
        <f>(VLOOKUP($A:$A,USD!$A:$AL,24,FALSE)*88)/88*20</f>
        <v>54</v>
      </c>
      <c r="Y148" s="68">
        <f>(VLOOKUP($A:$A,USD!$A:$AL,25,FALSE)*88)/88*20</f>
        <v>50.4</v>
      </c>
      <c r="Z148" s="68">
        <f>(VLOOKUP($A:$A,USD!$A:$AL,26,FALSE)*88)/88*20</f>
        <v>26.25</v>
      </c>
      <c r="AB148" s="68">
        <f t="shared" si="21"/>
        <v>130.65</v>
      </c>
      <c r="AC148" s="68">
        <f>(VLOOKUP($A:$A,USD!$A:$AL,29,FALSE)*88)/88*20</f>
        <v>162.5</v>
      </c>
      <c r="AD148" s="68">
        <f>(VLOOKUP($A:$A,USD!$A:$AL,30,FALSE)*88)/88*20</f>
        <v>268.18181818181819</v>
      </c>
      <c r="AF148" s="68">
        <f t="shared" si="22"/>
        <v>430.68181818181819</v>
      </c>
      <c r="AG148" s="87">
        <f>(VLOOKUP($A:$A,USD!$A:$AL,33,FALSE)*88)/88*20</f>
        <v>28.814300000000003</v>
      </c>
      <c r="AH148" s="68">
        <f>(VLOOKUP($A:$A,USD!$A:$AL,34,FALSE)*88)/88*20</f>
        <v>6.973140495867769</v>
      </c>
      <c r="AI148" s="87">
        <f>(VLOOKUP($A:$A,USD!$A:$AL,35,FALSE)*88)/88*20</f>
        <v>12.587317427197677</v>
      </c>
      <c r="AJ148" s="87">
        <f>(VLOOKUP($A:$A,USD!$A:$AL,36,FALSE)*88)/88*20</f>
        <v>6.7351999999999999</v>
      </c>
      <c r="AL148" s="68">
        <f t="shared" si="23"/>
        <v>55.109957923065444</v>
      </c>
      <c r="AM148" s="87">
        <f>(VLOOKUP($A:$A,USD!$A:$AR,39,FALSE)*88)/88*20</f>
        <v>79.999999999999986</v>
      </c>
      <c r="AN148" s="68">
        <f>(VLOOKUP($A:$A,USD!$A:$AR,40,FALSE)*88)/88*20</f>
        <v>26.17808219178082</v>
      </c>
      <c r="AO148" s="1">
        <f>(VLOOKUP($A:$A,USD!$A:$AR,41,FALSE)*88)/88*20</f>
        <v>0</v>
      </c>
      <c r="AR148" s="1">
        <f t="shared" si="24"/>
        <v>106.1780821917808</v>
      </c>
      <c r="AS148" s="38">
        <f t="shared" si="25"/>
        <v>1158.945615872422</v>
      </c>
      <c r="AT148" s="38">
        <f t="shared" si="26"/>
        <v>1435.9456158724217</v>
      </c>
      <c r="AW148" s="1">
        <f>(VLOOKUP(A:A,USD!A:AT,46,FALSE)*88)/88*20</f>
        <v>298.1704545454545</v>
      </c>
      <c r="AX148" s="1" t="e">
        <f>(VLOOKUP(A:A,USD!A:AU,47,FALSE)*88)/88*20</f>
        <v>#N/A</v>
      </c>
    </row>
    <row r="149" spans="1:50" hidden="1">
      <c r="A149" s="125">
        <v>925011</v>
      </c>
      <c r="B149" s="1" t="s">
        <v>393</v>
      </c>
      <c r="C149" s="1" t="s">
        <v>394</v>
      </c>
      <c r="D149" s="1" t="s">
        <v>71</v>
      </c>
      <c r="E149" s="1" t="s">
        <v>2067</v>
      </c>
      <c r="F149" s="1" t="str">
        <f>VLOOKUP(A:A,USD!A:F,6,FALSE)</f>
        <v>WTX</v>
      </c>
      <c r="G149" s="1" t="s">
        <v>439</v>
      </c>
      <c r="H149" s="1">
        <f>VLOOKUP(A:A,USD!A:R,8,FALSE)</f>
        <v>2</v>
      </c>
      <c r="I149" s="87">
        <f>(VLOOKUP($A:$A,USD!$A:$AL,9,FALSE)*88)/88*20</f>
        <v>95</v>
      </c>
      <c r="J149" s="87">
        <f>(VLOOKUP($A:$A,USD!$A:$AL,10,FALSE)*88)/88*20</f>
        <v>150</v>
      </c>
      <c r="K149" s="87">
        <f>(VLOOKUP($A:$A,USD!$A:$AL,11,FALSE)*88)/88*20</f>
        <v>210</v>
      </c>
      <c r="L149" s="87">
        <f>(VLOOKUP($A:$A,USD!$A:$AL,12,FALSE)*88)/88*20</f>
        <v>0</v>
      </c>
      <c r="M149" s="87">
        <f>(VLOOKUP($A:$A,USD!$A:$AL,13,FALSE)*88)/88*20</f>
        <v>32</v>
      </c>
      <c r="N149" s="87">
        <f>(VLOOKUP($A:$A,USD!$A:$AL,14,FALSE)*88)/88*20</f>
        <v>85</v>
      </c>
      <c r="O149" s="68">
        <f>(VLOOKUP($A:$A,USD!$A:$AL,15,FALSE)*88)/88*20</f>
        <v>37.916666666666671</v>
      </c>
      <c r="P149" s="87">
        <f>(VLOOKUP($A:$A,USD!$A:$AL,16,FALSE)*88)/88*20</f>
        <v>0</v>
      </c>
      <c r="Q149" s="68">
        <f t="shared" si="18"/>
        <v>609.91666666666663</v>
      </c>
      <c r="R149" s="68">
        <f t="shared" si="19"/>
        <v>332.91666666666669</v>
      </c>
      <c r="S149" s="68">
        <f>(VLOOKUP($A:$A,USD!$A:$AL,19,FALSE)*88)/88*20</f>
        <v>0</v>
      </c>
      <c r="T149" s="68">
        <f>(VLOOKUP($A:$A,USD!$A:$AL,20,FALSE)*88)/88*20</f>
        <v>0</v>
      </c>
      <c r="U149" s="68" cm="1">
        <f t="array" ref="U149">(_xlfn.XLOOKUP(1, (USD!$A:$A=$A149)*(USD!$E:$E=$E149), USD!$U:$U, "", 0)*88)/88*20</f>
        <v>236.70454545454547</v>
      </c>
      <c r="V149" s="68"/>
      <c r="W149" s="68">
        <f t="shared" si="20"/>
        <v>236.70454545454547</v>
      </c>
      <c r="X149" s="1">
        <f>(VLOOKUP($A:$A,USD!$A:$AL,24,FALSE)*88)/88*20</f>
        <v>54</v>
      </c>
      <c r="Y149" s="68">
        <f>(VLOOKUP($A:$A,USD!$A:$AL,25,FALSE)*88)/88*20</f>
        <v>50.4</v>
      </c>
      <c r="Z149" s="68">
        <f>(VLOOKUP($A:$A,USD!$A:$AL,26,FALSE)*88)/88*20</f>
        <v>26.25</v>
      </c>
      <c r="AB149" s="68">
        <f t="shared" si="21"/>
        <v>130.65</v>
      </c>
      <c r="AC149" s="68" cm="1">
        <f t="array" ref="AC149">_xlfn.XLOOKUP(A149&amp;E149, USD!$A:$A&amp;USD!$E:$E, USD!$AC:$AC, "")*20</f>
        <v>132.95454545454544</v>
      </c>
      <c r="AD149" s="68" cm="1">
        <f t="array" ref="AD149">_xlfn.XLOOKUP(A149&amp;E149, USD!$A:$A&amp;USD!$E:$E, USD!$AD:$AD, "")*20</f>
        <v>197.95454545454547</v>
      </c>
      <c r="AF149" s="68">
        <f t="shared" si="22"/>
        <v>330.90909090909088</v>
      </c>
      <c r="AG149" s="87">
        <f>(VLOOKUP($A:$A,USD!$A:$AL,33,FALSE)*88)/88*20</f>
        <v>28.814300000000003</v>
      </c>
      <c r="AH149" s="68">
        <f>(VLOOKUP($A:$A,USD!$A:$AL,34,FALSE)*88)/88*20</f>
        <v>6.973140495867769</v>
      </c>
      <c r="AI149" s="87">
        <f>(VLOOKUP($A:$A,USD!$A:$AL,35,FALSE)*88)/88*20</f>
        <v>12.587317427197677</v>
      </c>
      <c r="AJ149" s="87">
        <f>(VLOOKUP($A:$A,USD!$A:$AL,36,FALSE)*88)/88*20</f>
        <v>6.7351999999999999</v>
      </c>
      <c r="AL149" s="68">
        <f t="shared" si="23"/>
        <v>55.109957923065444</v>
      </c>
      <c r="AM149" s="87">
        <f>(VLOOKUP($A:$A,USD!$A:$AR,39,FALSE)*88)/88*20</f>
        <v>79.999999999999986</v>
      </c>
      <c r="AN149" s="68">
        <f>(VLOOKUP($A:$A,USD!$A:$AR,40,FALSE)*88)/88*20</f>
        <v>26.17808219178082</v>
      </c>
      <c r="AO149" s="1">
        <f>(VLOOKUP($A:$A,USD!$A:$AR,41,FALSE)*88)/88*20</f>
        <v>0</v>
      </c>
      <c r="AR149" s="1">
        <f t="shared" si="24"/>
        <v>106.1780821917808</v>
      </c>
      <c r="AS149" s="38">
        <f t="shared" si="25"/>
        <v>1192.4683431451492</v>
      </c>
      <c r="AT149" s="38">
        <f t="shared" si="26"/>
        <v>1469.4683431451492</v>
      </c>
      <c r="AW149" s="1">
        <f>(VLOOKUP(A:A,USD!A:AT,46,FALSE)*88)/88*20</f>
        <v>298.1704545454545</v>
      </c>
      <c r="AX149" s="1" t="e">
        <f>(VLOOKUP(A:A,USD!A:AU,47,FALSE)*88)/88*20</f>
        <v>#N/A</v>
      </c>
    </row>
    <row r="150" spans="1:50" hidden="1">
      <c r="A150" s="1">
        <v>476505</v>
      </c>
      <c r="B150" s="1" t="s">
        <v>395</v>
      </c>
      <c r="C150" s="1" t="s">
        <v>396</v>
      </c>
      <c r="D150" s="1" t="s">
        <v>128</v>
      </c>
      <c r="E150" s="1" t="str">
        <f>VLOOKUP(A:A,USD!A:E,5,FALSE)</f>
        <v>Memphis Rule 5</v>
      </c>
      <c r="F150" s="1" t="str">
        <f>VLOOKUP(A:A,USD!A:F,6,FALSE)</f>
        <v>MR5</v>
      </c>
      <c r="G150" s="1" t="str">
        <f>VLOOKUP(A:A,'Regions and Ports'!A:G,7,FALSE)</f>
        <v>Memphis</v>
      </c>
      <c r="H150" s="1">
        <f>VLOOKUP(A:A,USD!A:R,8,FALSE)</f>
        <v>1</v>
      </c>
      <c r="I150" s="87">
        <f>(VLOOKUP($A:$A,USD!$A:$AL,9,FALSE)*88)/88*20</f>
        <v>30</v>
      </c>
      <c r="J150" s="87">
        <f>(VLOOKUP($A:$A,USD!$A:$AL,10,FALSE)*88)/88*20</f>
        <v>75</v>
      </c>
      <c r="K150" s="87">
        <f>(VLOOKUP($A:$A,USD!$A:$AL,11,FALSE)*88)/88*20</f>
        <v>160</v>
      </c>
      <c r="L150" s="87">
        <f>(VLOOKUP($A:$A,USD!$A:$AL,12,FALSE)*88)/88*20</f>
        <v>61</v>
      </c>
      <c r="M150" s="87">
        <f>(VLOOKUP($A:$A,USD!$A:$AL,13,FALSE)*88)/88*20</f>
        <v>10</v>
      </c>
      <c r="N150" s="87">
        <f>(VLOOKUP($A:$A,USD!$A:$AL,14,FALSE)*88)/88*20</f>
        <v>63</v>
      </c>
      <c r="O150" s="68">
        <f>(VLOOKUP($A:$A,USD!$A:$AL,15,FALSE)*88)/88*20</f>
        <v>37.916666666666671</v>
      </c>
      <c r="P150" s="87">
        <f>(VLOOKUP($A:$A,USD!$A:$AL,16,FALSE)*88)/88*20</f>
        <v>0</v>
      </c>
      <c r="Q150" s="68">
        <f t="shared" si="18"/>
        <v>436.91666666666669</v>
      </c>
      <c r="R150" s="68">
        <f t="shared" si="19"/>
        <v>100.91666666666667</v>
      </c>
      <c r="S150" s="68">
        <f>(VLOOKUP($A:$A,USD!$A:$AL,19,FALSE)*88)/88*20</f>
        <v>0</v>
      </c>
      <c r="T150" s="68">
        <f>(VLOOKUP($A:$A,USD!$A:$AL,20,FALSE)*88)/88*20</f>
        <v>0</v>
      </c>
      <c r="U150" s="68">
        <f>(VLOOKUP($A:$A,USD!$A:$AL,21,FALSE)*88)/88*20</f>
        <v>217.61363636363637</v>
      </c>
      <c r="V150" s="68"/>
      <c r="W150" s="68">
        <f t="shared" si="20"/>
        <v>217.61363636363637</v>
      </c>
      <c r="X150" s="1">
        <f>(VLOOKUP($A:$A,USD!$A:$AL,24,FALSE)*88)/88*20</f>
        <v>50</v>
      </c>
      <c r="Y150" s="68">
        <f>(VLOOKUP($A:$A,USD!$A:$AL,25,FALSE)*88)/88*20</f>
        <v>33.6</v>
      </c>
      <c r="Z150" s="68">
        <f>(VLOOKUP($A:$A,USD!$A:$AL,26,FALSE)*88)/88*20</f>
        <v>26.25</v>
      </c>
      <c r="AB150" s="68">
        <f t="shared" si="21"/>
        <v>109.85</v>
      </c>
      <c r="AC150" s="68">
        <f>(VLOOKUP($A:$A,USD!$A:$AL,29,FALSE)*88)/88*20</f>
        <v>146.02272727272725</v>
      </c>
      <c r="AD150" s="68">
        <f>(VLOOKUP($A:$A,USD!$A:$AL,30,FALSE)*88)/88*20</f>
        <v>182.72727272727275</v>
      </c>
      <c r="AF150" s="68">
        <f t="shared" si="22"/>
        <v>328.75</v>
      </c>
      <c r="AG150" s="87">
        <f>(VLOOKUP($A:$A,USD!$A:$AL,33,FALSE)*88)/88*20</f>
        <v>28.814300000000003</v>
      </c>
      <c r="AH150" s="68">
        <f>(VLOOKUP($A:$A,USD!$A:$AL,34,FALSE)*88)/88*20</f>
        <v>6.973140495867769</v>
      </c>
      <c r="AI150" s="87">
        <f>(VLOOKUP($A:$A,USD!$A:$AL,35,FALSE)*88)/88*20</f>
        <v>12.587317427197677</v>
      </c>
      <c r="AJ150" s="87">
        <f>(VLOOKUP($A:$A,USD!$A:$AL,36,FALSE)*88)/88*20</f>
        <v>6.7351999999999999</v>
      </c>
      <c r="AL150" s="68">
        <f t="shared" si="23"/>
        <v>55.109957923065444</v>
      </c>
      <c r="AM150" s="87">
        <f>(VLOOKUP($A:$A,USD!$A:$AR,39,FALSE)*88)/88*20</f>
        <v>79.999999999999986</v>
      </c>
      <c r="AN150" s="68">
        <f>(VLOOKUP($A:$A,USD!$A:$AR,40,FALSE)*88)/88*20</f>
        <v>26.17808219178082</v>
      </c>
      <c r="AO150" s="1">
        <f>(VLOOKUP($A:$A,USD!$A:$AR,41,FALSE)*88)/88*20</f>
        <v>0</v>
      </c>
      <c r="AR150" s="1">
        <f t="shared" si="24"/>
        <v>106.1780821917808</v>
      </c>
      <c r="AS150" s="38">
        <f t="shared" si="25"/>
        <v>918.41834314514927</v>
      </c>
      <c r="AT150" s="38">
        <f t="shared" si="26"/>
        <v>1254.418343145149</v>
      </c>
      <c r="AW150" s="1">
        <f>(VLOOKUP(A:A,USD!A:AT,46,FALSE)*88)/88*20</f>
        <v>488.2</v>
      </c>
      <c r="AX150" s="1">
        <f>(VLOOKUP(A:A,USD!A:AU,47,FALSE)*88)/88*20</f>
        <v>509.77272727272725</v>
      </c>
    </row>
    <row r="151" spans="1:50" hidden="1">
      <c r="A151" s="1">
        <v>476510</v>
      </c>
      <c r="B151" s="1" t="s">
        <v>399</v>
      </c>
      <c r="C151" s="1" t="s">
        <v>396</v>
      </c>
      <c r="D151" s="1" t="s">
        <v>128</v>
      </c>
      <c r="E151" s="1" t="str">
        <f>VLOOKUP(A:A,USD!A:E,5,FALSE)</f>
        <v>Memphis Rule 5</v>
      </c>
      <c r="F151" s="1" t="str">
        <f>VLOOKUP(A:A,USD!A:F,6,FALSE)</f>
        <v>MR5</v>
      </c>
      <c r="G151" s="1" t="str">
        <f>VLOOKUP(A:A,'Regions and Ports'!A:G,7,FALSE)</f>
        <v>Memphis</v>
      </c>
      <c r="H151" s="1">
        <f>VLOOKUP(A:A,USD!A:R,8,FALSE)</f>
        <v>1</v>
      </c>
      <c r="I151" s="87">
        <f>(VLOOKUP($A:$A,USD!$A:$AL,9,FALSE)*88)/88*20</f>
        <v>30</v>
      </c>
      <c r="J151" s="87">
        <f>(VLOOKUP($A:$A,USD!$A:$AL,10,FALSE)*88)/88*20</f>
        <v>75</v>
      </c>
      <c r="K151" s="87">
        <f>(VLOOKUP($A:$A,USD!$A:$AL,11,FALSE)*88)/88*20</f>
        <v>160</v>
      </c>
      <c r="L151" s="87">
        <f>(VLOOKUP($A:$A,USD!$A:$AL,12,FALSE)*88)/88*20</f>
        <v>61</v>
      </c>
      <c r="M151" s="87">
        <f>(VLOOKUP($A:$A,USD!$A:$AL,13,FALSE)*88)/88*20</f>
        <v>10</v>
      </c>
      <c r="N151" s="87">
        <f>(VLOOKUP($A:$A,USD!$A:$AL,14,FALSE)*88)/88*20</f>
        <v>63</v>
      </c>
      <c r="O151" s="68">
        <f>(VLOOKUP($A:$A,USD!$A:$AL,15,FALSE)*88)/88*20</f>
        <v>37.916666666666671</v>
      </c>
      <c r="P151" s="87">
        <f>(VLOOKUP($A:$A,USD!$A:$AL,16,FALSE)*88)/88*20</f>
        <v>0</v>
      </c>
      <c r="Q151" s="68">
        <f t="shared" si="18"/>
        <v>436.91666666666669</v>
      </c>
      <c r="R151" s="68">
        <f t="shared" si="19"/>
        <v>100.91666666666667</v>
      </c>
      <c r="S151" s="68">
        <f>(VLOOKUP($A:$A,USD!$A:$AL,19,FALSE)*88)/88*20</f>
        <v>0</v>
      </c>
      <c r="T151" s="68">
        <f>(VLOOKUP($A:$A,USD!$A:$AL,20,FALSE)*88)/88*20</f>
        <v>0</v>
      </c>
      <c r="U151" s="68">
        <f>(VLOOKUP($A:$A,USD!$A:$AL,21,FALSE)*88)/88*20</f>
        <v>217.61363636363637</v>
      </c>
      <c r="V151" s="68"/>
      <c r="W151" s="68">
        <f t="shared" si="20"/>
        <v>217.61363636363637</v>
      </c>
      <c r="X151" s="1">
        <f>(VLOOKUP($A:$A,USD!$A:$AL,24,FALSE)*88)/88*20</f>
        <v>50</v>
      </c>
      <c r="Y151" s="68">
        <f>(VLOOKUP($A:$A,USD!$A:$AL,25,FALSE)*88)/88*20</f>
        <v>33.6</v>
      </c>
      <c r="Z151" s="68">
        <f>(VLOOKUP($A:$A,USD!$A:$AL,26,FALSE)*88)/88*20</f>
        <v>26.25</v>
      </c>
      <c r="AB151" s="68">
        <f t="shared" si="21"/>
        <v>109.85</v>
      </c>
      <c r="AC151" s="68">
        <f>(VLOOKUP($A:$A,USD!$A:$AL,29,FALSE)*88)/88*20</f>
        <v>146.02272727272725</v>
      </c>
      <c r="AD151" s="68">
        <f>(VLOOKUP($A:$A,USD!$A:$AL,30,FALSE)*88)/88*20</f>
        <v>182.72727272727275</v>
      </c>
      <c r="AF151" s="68">
        <f t="shared" si="22"/>
        <v>328.75</v>
      </c>
      <c r="AG151" s="87">
        <f>(VLOOKUP($A:$A,USD!$A:$AL,33,FALSE)*88)/88*20</f>
        <v>28.814300000000003</v>
      </c>
      <c r="AH151" s="68">
        <f>(VLOOKUP($A:$A,USD!$A:$AL,34,FALSE)*88)/88*20</f>
        <v>6.973140495867769</v>
      </c>
      <c r="AI151" s="87">
        <f>(VLOOKUP($A:$A,USD!$A:$AL,35,FALSE)*88)/88*20</f>
        <v>12.587317427197677</v>
      </c>
      <c r="AJ151" s="87">
        <f>(VLOOKUP($A:$A,USD!$A:$AL,36,FALSE)*88)/88*20</f>
        <v>6.7351999999999999</v>
      </c>
      <c r="AL151" s="68">
        <f t="shared" si="23"/>
        <v>55.109957923065444</v>
      </c>
      <c r="AM151" s="87">
        <f>(VLOOKUP($A:$A,USD!$A:$AR,39,FALSE)*88)/88*20</f>
        <v>79.999999999999986</v>
      </c>
      <c r="AN151" s="68">
        <f>(VLOOKUP($A:$A,USD!$A:$AR,40,FALSE)*88)/88*20</f>
        <v>26.17808219178082</v>
      </c>
      <c r="AO151" s="1">
        <f>(VLOOKUP($A:$A,USD!$A:$AR,41,FALSE)*88)/88*20</f>
        <v>0</v>
      </c>
      <c r="AR151" s="1">
        <f t="shared" si="24"/>
        <v>106.1780821917808</v>
      </c>
      <c r="AS151" s="38">
        <f t="shared" si="25"/>
        <v>918.41834314514927</v>
      </c>
      <c r="AT151" s="38">
        <f t="shared" si="26"/>
        <v>1254.418343145149</v>
      </c>
      <c r="AW151" s="1">
        <f>(VLOOKUP(A:A,USD!A:AT,46,FALSE)*88)/88*20</f>
        <v>488.2</v>
      </c>
      <c r="AX151" s="1">
        <f>(VLOOKUP(A:A,USD!A:AU,47,FALSE)*88)/88*20</f>
        <v>509.77272727272725</v>
      </c>
    </row>
    <row r="152" spans="1:50" hidden="1">
      <c r="A152" s="1">
        <v>476512</v>
      </c>
      <c r="B152" s="1" t="s">
        <v>398</v>
      </c>
      <c r="C152" s="1" t="s">
        <v>396</v>
      </c>
      <c r="D152" s="1" t="s">
        <v>128</v>
      </c>
      <c r="E152" s="1" t="str">
        <f>VLOOKUP(A:A,USD!A:E,5,FALSE)</f>
        <v>Memphis Rule 5</v>
      </c>
      <c r="F152" s="1" t="str">
        <f>VLOOKUP(A:A,USD!A:F,6,FALSE)</f>
        <v>MR5</v>
      </c>
      <c r="G152" s="1" t="str">
        <f>VLOOKUP(A:A,'Regions and Ports'!A:G,7,FALSE)</f>
        <v>Memphis</v>
      </c>
      <c r="H152" s="1">
        <f>VLOOKUP(A:A,USD!A:R,8,FALSE)</f>
        <v>1</v>
      </c>
      <c r="I152" s="87">
        <f>(VLOOKUP($A:$A,USD!$A:$AL,9,FALSE)*88)/88*20</f>
        <v>37</v>
      </c>
      <c r="J152" s="87">
        <f>(VLOOKUP($A:$A,USD!$A:$AL,10,FALSE)*88)/88*20</f>
        <v>80</v>
      </c>
      <c r="K152" s="87">
        <f>(VLOOKUP($A:$A,USD!$A:$AL,11,FALSE)*88)/88*20</f>
        <v>140</v>
      </c>
      <c r="L152" s="87">
        <f>(VLOOKUP($A:$A,USD!$A:$AL,12,FALSE)*88)/88*20</f>
        <v>61</v>
      </c>
      <c r="M152" s="87">
        <f>(VLOOKUP($A:$A,USD!$A:$AL,13,FALSE)*88)/88*20</f>
        <v>0</v>
      </c>
      <c r="N152" s="87">
        <f>(VLOOKUP($A:$A,USD!$A:$AL,14,FALSE)*88)/88*20</f>
        <v>60</v>
      </c>
      <c r="O152" s="68">
        <f>(VLOOKUP($A:$A,USD!$A:$AL,15,FALSE)*88)/88*20</f>
        <v>37.916666666666671</v>
      </c>
      <c r="P152" s="87">
        <f>(VLOOKUP($A:$A,USD!$A:$AL,16,FALSE)*88)/88*20</f>
        <v>0</v>
      </c>
      <c r="Q152" s="68">
        <f t="shared" si="18"/>
        <v>415.91666666666669</v>
      </c>
      <c r="R152" s="68">
        <f t="shared" si="19"/>
        <v>97.916666666666671</v>
      </c>
      <c r="S152" s="68">
        <f>(VLOOKUP($A:$A,USD!$A:$AL,19,FALSE)*88)/88*20</f>
        <v>0</v>
      </c>
      <c r="T152" s="68">
        <f>(VLOOKUP($A:$A,USD!$A:$AL,20,FALSE)*88)/88*20</f>
        <v>0</v>
      </c>
      <c r="U152" s="68">
        <f>(VLOOKUP($A:$A,USD!$A:$AL,21,FALSE)*88)/88*20</f>
        <v>217.61363636363637</v>
      </c>
      <c r="V152" s="68"/>
      <c r="W152" s="68">
        <f t="shared" si="20"/>
        <v>217.61363636363637</v>
      </c>
      <c r="X152" s="1">
        <f>(VLOOKUP($A:$A,USD!$A:$AL,24,FALSE)*88)/88*20</f>
        <v>50</v>
      </c>
      <c r="Y152" s="68">
        <f>(VLOOKUP($A:$A,USD!$A:$AL,25,FALSE)*88)/88*20</f>
        <v>33.6</v>
      </c>
      <c r="Z152" s="68">
        <f>(VLOOKUP($A:$A,USD!$A:$AL,26,FALSE)*88)/88*20</f>
        <v>26.25</v>
      </c>
      <c r="AB152" s="68">
        <f t="shared" si="21"/>
        <v>109.85</v>
      </c>
      <c r="AC152" s="68">
        <f>(VLOOKUP($A:$A,USD!$A:$AL,29,FALSE)*88)/88*20</f>
        <v>146.02272727272725</v>
      </c>
      <c r="AD152" s="68">
        <f>(VLOOKUP($A:$A,USD!$A:$AL,30,FALSE)*88)/88*20</f>
        <v>182.72727272727275</v>
      </c>
      <c r="AF152" s="68">
        <f t="shared" si="22"/>
        <v>328.75</v>
      </c>
      <c r="AG152" s="87">
        <f>(VLOOKUP($A:$A,USD!$A:$AL,33,FALSE)*88)/88*20</f>
        <v>28.814300000000003</v>
      </c>
      <c r="AH152" s="68">
        <f>(VLOOKUP($A:$A,USD!$A:$AL,34,FALSE)*88)/88*20</f>
        <v>6.973140495867769</v>
      </c>
      <c r="AI152" s="87">
        <f>(VLOOKUP($A:$A,USD!$A:$AL,35,FALSE)*88)/88*20</f>
        <v>12.587317427197677</v>
      </c>
      <c r="AJ152" s="87">
        <f>(VLOOKUP($A:$A,USD!$A:$AL,36,FALSE)*88)/88*20</f>
        <v>6.7351999999999999</v>
      </c>
      <c r="AL152" s="68">
        <f t="shared" si="23"/>
        <v>55.109957923065444</v>
      </c>
      <c r="AM152" s="87">
        <f>(VLOOKUP($A:$A,USD!$A:$AR,39,FALSE)*88)/88*20</f>
        <v>79.999999999999986</v>
      </c>
      <c r="AN152" s="68">
        <f>(VLOOKUP($A:$A,USD!$A:$AR,40,FALSE)*88)/88*20</f>
        <v>26.17808219178082</v>
      </c>
      <c r="AO152" s="1">
        <f>(VLOOKUP($A:$A,USD!$A:$AR,41,FALSE)*88)/88*20</f>
        <v>0</v>
      </c>
      <c r="AR152" s="1">
        <f t="shared" si="24"/>
        <v>106.1780821917808</v>
      </c>
      <c r="AS152" s="38">
        <f t="shared" si="25"/>
        <v>915.41834314514927</v>
      </c>
      <c r="AT152" s="38">
        <f t="shared" si="26"/>
        <v>1233.418343145149</v>
      </c>
      <c r="AW152" s="1">
        <f>(VLOOKUP(A:A,USD!A:AT,46,FALSE)*88)/88*20</f>
        <v>488.2</v>
      </c>
      <c r="AX152" s="1">
        <f>(VLOOKUP(A:A,USD!A:AU,47,FALSE)*88)/88*20</f>
        <v>509.77272727272725</v>
      </c>
    </row>
    <row r="153" spans="1:50" hidden="1">
      <c r="A153" s="1">
        <v>710530</v>
      </c>
      <c r="B153" s="1" t="s">
        <v>401</v>
      </c>
      <c r="C153" s="1" t="s">
        <v>402</v>
      </c>
      <c r="D153" s="1" t="s">
        <v>132</v>
      </c>
      <c r="E153" s="1" t="str">
        <f>VLOOKUP(A:A,USD!A:E,5,FALSE)</f>
        <v>Eastern Rule 5</v>
      </c>
      <c r="F153" s="1" t="str">
        <f>VLOOKUP(A:A,USD!A:F,6,FALSE)</f>
        <v>ER5</v>
      </c>
      <c r="G153" s="1" t="str">
        <f>VLOOKUP(A:A,'Regions and Ports'!A:G,7,FALSE)</f>
        <v>Savannah</v>
      </c>
      <c r="H153" s="1">
        <f>VLOOKUP(A:A,USD!A:R,8,FALSE)</f>
        <v>1</v>
      </c>
      <c r="I153" s="87">
        <f>(VLOOKUP($A:$A,USD!$A:$AL,9,FALSE)*88)/88*20</f>
        <v>80</v>
      </c>
      <c r="J153" s="87">
        <f>(VLOOKUP($A:$A,USD!$A:$AL,10,FALSE)*88)/88*20</f>
        <v>97</v>
      </c>
      <c r="K153" s="87">
        <f>(VLOOKUP($A:$A,USD!$A:$AL,11,FALSE)*88)/88*20</f>
        <v>0</v>
      </c>
      <c r="L153" s="87">
        <f>(VLOOKUP($A:$A,USD!$A:$AL,12,FALSE)*88)/88*20</f>
        <v>0</v>
      </c>
      <c r="M153" s="87">
        <f>(VLOOKUP($A:$A,USD!$A:$AL,13,FALSE)*88)/88*20</f>
        <v>0</v>
      </c>
      <c r="N153" s="87">
        <f>(VLOOKUP($A:$A,USD!$A:$AL,14,FALSE)*88)/88*20</f>
        <v>60</v>
      </c>
      <c r="O153" s="68">
        <f>(VLOOKUP($A:$A,USD!$A:$AL,15,FALSE)*88)/88*20</f>
        <v>37.916666666666671</v>
      </c>
      <c r="P153" s="87">
        <f>(VLOOKUP($A:$A,USD!$A:$AL,16,FALSE)*88)/88*20</f>
        <v>0</v>
      </c>
      <c r="Q153" s="68">
        <f t="shared" si="18"/>
        <v>274.91666666666669</v>
      </c>
      <c r="R153" s="68">
        <f t="shared" si="19"/>
        <v>97.916666666666671</v>
      </c>
      <c r="S153" s="68">
        <f>(VLOOKUP($A:$A,USD!$A:$AL,19,FALSE)*88)/88*20</f>
        <v>0</v>
      </c>
      <c r="T153" s="68">
        <f>(VLOOKUP($A:$A,USD!$A:$AL,20,FALSE)*88)/88*20</f>
        <v>0</v>
      </c>
      <c r="U153" s="68">
        <f>(VLOOKUP($A:$A,USD!$A:$AL,21,FALSE)*88)/88*20</f>
        <v>270.9375</v>
      </c>
      <c r="V153" s="68"/>
      <c r="W153" s="68">
        <f t="shared" si="20"/>
        <v>270.9375</v>
      </c>
      <c r="X153" s="1">
        <f>(VLOOKUP($A:$A,USD!$A:$AL,24,FALSE)*88)/88*20</f>
        <v>52</v>
      </c>
      <c r="Y153" s="68">
        <f>(VLOOKUP($A:$A,USD!$A:$AL,25,FALSE)*88)/88*20</f>
        <v>50.4</v>
      </c>
      <c r="Z153" s="68">
        <f>(VLOOKUP($A:$A,USD!$A:$AL,26,FALSE)*88)/88*20</f>
        <v>26.25</v>
      </c>
      <c r="AB153" s="68">
        <f t="shared" si="21"/>
        <v>128.65</v>
      </c>
      <c r="AC153" s="68">
        <f>(VLOOKUP($A:$A,USD!$A:$AL,29,FALSE)*88)/88*20</f>
        <v>110.22727272727273</v>
      </c>
      <c r="AD153" s="68">
        <f>(VLOOKUP($A:$A,USD!$A:$AL,30,FALSE)*88)/88*20</f>
        <v>107.04545454545455</v>
      </c>
      <c r="AF153" s="68">
        <f t="shared" si="22"/>
        <v>217.27272727272728</v>
      </c>
      <c r="AG153" s="87">
        <f>(VLOOKUP($A:$A,USD!$A:$AL,33,FALSE)*88)/88*20</f>
        <v>28.814300000000003</v>
      </c>
      <c r="AH153" s="68">
        <f>(VLOOKUP($A:$A,USD!$A:$AL,34,FALSE)*88)/88*20</f>
        <v>6.973140495867769</v>
      </c>
      <c r="AI153" s="87">
        <f>(VLOOKUP($A:$A,USD!$A:$AL,35,FALSE)*88)/88*20</f>
        <v>12.587317427197677</v>
      </c>
      <c r="AJ153" s="87">
        <f>(VLOOKUP($A:$A,USD!$A:$AL,36,FALSE)*88)/88*20</f>
        <v>6.7351999999999999</v>
      </c>
      <c r="AL153" s="68">
        <f t="shared" si="23"/>
        <v>55.109957923065444</v>
      </c>
      <c r="AM153" s="87">
        <f>(VLOOKUP($A:$A,USD!$A:$AR,39,FALSE)*88)/88*20</f>
        <v>79.999999999999986</v>
      </c>
      <c r="AN153" s="68">
        <f>(VLOOKUP($A:$A,USD!$A:$AR,40,FALSE)*88)/88*20</f>
        <v>26.17808219178082</v>
      </c>
      <c r="AO153" s="1">
        <f>(VLOOKUP($A:$A,USD!$A:$AR,41,FALSE)*88)/88*20</f>
        <v>0</v>
      </c>
      <c r="AR153" s="1">
        <f t="shared" si="24"/>
        <v>106.1780821917808</v>
      </c>
      <c r="AS153" s="38">
        <f t="shared" si="25"/>
        <v>876.06493405424021</v>
      </c>
      <c r="AT153" s="38">
        <f t="shared" si="26"/>
        <v>1053.0649340542402</v>
      </c>
      <c r="AW153" s="1" t="e">
        <f>(VLOOKUP(A:A,USD!A:AT,46,FALSE)*88)/88*20</f>
        <v>#N/A</v>
      </c>
      <c r="AX153" s="1">
        <f>(VLOOKUP(A:A,USD!A:AU,47,FALSE)*88)/88*20</f>
        <v>146.02272727272725</v>
      </c>
    </row>
    <row r="154" spans="1:50" hidden="1">
      <c r="A154" s="1">
        <v>477005</v>
      </c>
      <c r="B154" s="1" t="s">
        <v>404</v>
      </c>
      <c r="C154" s="1" t="s">
        <v>405</v>
      </c>
      <c r="D154" s="1" t="s">
        <v>128</v>
      </c>
      <c r="E154" s="1" t="str">
        <f>VLOOKUP(A:A,USD!A:E,5,FALSE)</f>
        <v>Memphis Rule 5</v>
      </c>
      <c r="F154" s="1" t="str">
        <f>VLOOKUP(A:A,USD!A:F,6,FALSE)</f>
        <v>MR5</v>
      </c>
      <c r="G154" s="1" t="str">
        <f>VLOOKUP(A:A,'Regions and Ports'!A:G,7,FALSE)</f>
        <v>Memphis</v>
      </c>
      <c r="H154" s="1">
        <f>VLOOKUP(A:A,USD!A:R,8,FALSE)</f>
        <v>1</v>
      </c>
      <c r="I154" s="87">
        <f>(VLOOKUP($A:$A,USD!$A:$AL,9,FALSE)*88)/88*20</f>
        <v>30</v>
      </c>
      <c r="J154" s="87">
        <f>(VLOOKUP($A:$A,USD!$A:$AL,10,FALSE)*88)/88*20</f>
        <v>75</v>
      </c>
      <c r="K154" s="87">
        <f>(VLOOKUP($A:$A,USD!$A:$AL,11,FALSE)*88)/88*20</f>
        <v>160</v>
      </c>
      <c r="L154" s="87">
        <f>(VLOOKUP($A:$A,USD!$A:$AL,12,FALSE)*88)/88*20</f>
        <v>61</v>
      </c>
      <c r="M154" s="87">
        <f>(VLOOKUP($A:$A,USD!$A:$AL,13,FALSE)*88)/88*20</f>
        <v>10</v>
      </c>
      <c r="N154" s="87">
        <f>(VLOOKUP($A:$A,USD!$A:$AL,14,FALSE)*88)/88*20</f>
        <v>63</v>
      </c>
      <c r="O154" s="68">
        <f>(VLOOKUP($A:$A,USD!$A:$AL,15,FALSE)*88)/88*20</f>
        <v>37.916666666666671</v>
      </c>
      <c r="P154" s="87">
        <f>(VLOOKUP($A:$A,USD!$A:$AL,16,FALSE)*88)/88*20</f>
        <v>0</v>
      </c>
      <c r="Q154" s="68">
        <f t="shared" si="18"/>
        <v>436.91666666666669</v>
      </c>
      <c r="R154" s="68">
        <f t="shared" si="19"/>
        <v>100.91666666666667</v>
      </c>
      <c r="S154" s="68">
        <f>(VLOOKUP($A:$A,USD!$A:$AL,19,FALSE)*88)/88*20</f>
        <v>0</v>
      </c>
      <c r="T154" s="68">
        <f>(VLOOKUP($A:$A,USD!$A:$AL,20,FALSE)*88)/88*20</f>
        <v>0</v>
      </c>
      <c r="U154" s="68">
        <f>(VLOOKUP($A:$A,USD!$A:$AL,21,FALSE)*88)/88*20</f>
        <v>200.56818181818184</v>
      </c>
      <c r="V154" s="68"/>
      <c r="W154" s="68">
        <f t="shared" si="20"/>
        <v>200.56818181818184</v>
      </c>
      <c r="X154" s="1">
        <f>(VLOOKUP($A:$A,USD!$A:$AL,24,FALSE)*88)/88*20</f>
        <v>50</v>
      </c>
      <c r="Y154" s="68">
        <f>(VLOOKUP($A:$A,USD!$A:$AL,25,FALSE)*88)/88*20</f>
        <v>33.6</v>
      </c>
      <c r="Z154" s="68">
        <f>(VLOOKUP($A:$A,USD!$A:$AL,26,FALSE)*88)/88*20</f>
        <v>26.25</v>
      </c>
      <c r="AB154" s="68">
        <f t="shared" si="21"/>
        <v>109.85</v>
      </c>
      <c r="AC154" s="68">
        <f>(VLOOKUP($A:$A,USD!$A:$AL,29,FALSE)*88)/88*20</f>
        <v>146.02272727272725</v>
      </c>
      <c r="AD154" s="68">
        <f>(VLOOKUP($A:$A,USD!$A:$AL,30,FALSE)*88)/88*20</f>
        <v>182.72727272727275</v>
      </c>
      <c r="AF154" s="68">
        <f t="shared" si="22"/>
        <v>328.75</v>
      </c>
      <c r="AG154" s="87">
        <f>(VLOOKUP($A:$A,USD!$A:$AL,33,FALSE)*88)/88*20</f>
        <v>28.814300000000003</v>
      </c>
      <c r="AH154" s="68">
        <f>(VLOOKUP($A:$A,USD!$A:$AL,34,FALSE)*88)/88*20</f>
        <v>6.973140495867769</v>
      </c>
      <c r="AI154" s="87">
        <f>(VLOOKUP($A:$A,USD!$A:$AL,35,FALSE)*88)/88*20</f>
        <v>12.587317427197677</v>
      </c>
      <c r="AJ154" s="87">
        <f>(VLOOKUP($A:$A,USD!$A:$AL,36,FALSE)*88)/88*20</f>
        <v>6.7351999999999999</v>
      </c>
      <c r="AL154" s="68">
        <f t="shared" si="23"/>
        <v>55.109957923065444</v>
      </c>
      <c r="AM154" s="87">
        <f>(VLOOKUP($A:$A,USD!$A:$AR,39,FALSE)*88)/88*20</f>
        <v>79.999999999999986</v>
      </c>
      <c r="AN154" s="68">
        <f>(VLOOKUP($A:$A,USD!$A:$AR,40,FALSE)*88)/88*20</f>
        <v>26.17808219178082</v>
      </c>
      <c r="AO154" s="1">
        <f>(VLOOKUP($A:$A,USD!$A:$AR,41,FALSE)*88)/88*20</f>
        <v>0</v>
      </c>
      <c r="AR154" s="1">
        <f t="shared" si="24"/>
        <v>106.1780821917808</v>
      </c>
      <c r="AS154" s="38">
        <f t="shared" si="25"/>
        <v>901.37288859969476</v>
      </c>
      <c r="AT154" s="38">
        <f t="shared" si="26"/>
        <v>1237.3728885996945</v>
      </c>
      <c r="AW154" s="1">
        <f>(VLOOKUP(A:A,USD!A:AT,46,FALSE)*88)/88*20</f>
        <v>485.95681818181816</v>
      </c>
      <c r="AX154" s="1">
        <f>(VLOOKUP(A:A,USD!A:AU,47,FALSE)*88)/88*20</f>
        <v>505.68181818181819</v>
      </c>
    </row>
    <row r="155" spans="1:50" hidden="1">
      <c r="A155" s="1">
        <v>790990</v>
      </c>
      <c r="B155" s="1" t="s">
        <v>407</v>
      </c>
      <c r="C155" s="1" t="s">
        <v>2206</v>
      </c>
      <c r="D155" s="1" t="s">
        <v>168</v>
      </c>
      <c r="E155" s="1" t="str">
        <f>VLOOKUP(A:A,USD!A:E,5,FALSE)</f>
        <v>Memphis Rule 5</v>
      </c>
      <c r="F155" s="1" t="str">
        <f>VLOOKUP(A:A,USD!A:F,6,FALSE)</f>
        <v>MR5</v>
      </c>
      <c r="G155" s="1" t="str">
        <f>VLOOKUP(A:A,'Regions and Ports'!A:G,7,FALSE)</f>
        <v>Memphis</v>
      </c>
      <c r="H155" s="1">
        <f>VLOOKUP(A:A,USD!A:R,8,FALSE)</f>
        <v>1</v>
      </c>
      <c r="I155" s="87">
        <f>(VLOOKUP($A:$A,USD!$A:$AL,9,FALSE)*88)/88*20</f>
        <v>0</v>
      </c>
      <c r="J155" s="87">
        <f>(VLOOKUP($A:$A,USD!$A:$AL,10,FALSE)*88)/88*20</f>
        <v>280</v>
      </c>
      <c r="K155" s="87">
        <f>(VLOOKUP($A:$A,USD!$A:$AL,11,FALSE)*88)/88*20</f>
        <v>0</v>
      </c>
      <c r="L155" s="87">
        <f>(VLOOKUP($A:$A,USD!$A:$AL,12,FALSE)*88)/88*20</f>
        <v>61</v>
      </c>
      <c r="M155" s="87">
        <f>(VLOOKUP($A:$A,USD!$A:$AL,13,FALSE)*88)/88*20</f>
        <v>0</v>
      </c>
      <c r="N155" s="87">
        <f>(VLOOKUP($A:$A,USD!$A:$AL,14,FALSE)*88)/88*20</f>
        <v>74</v>
      </c>
      <c r="O155" s="68">
        <f>(VLOOKUP($A:$A,USD!$A:$AL,15,FALSE)*88)/88*20</f>
        <v>37.916666666666671</v>
      </c>
      <c r="P155" s="87">
        <f>(VLOOKUP($A:$A,USD!$A:$AL,16,FALSE)*88)/88*20</f>
        <v>0</v>
      </c>
      <c r="Q155" s="68">
        <f t="shared" si="18"/>
        <v>452.91666666666669</v>
      </c>
      <c r="R155" s="68">
        <f t="shared" si="19"/>
        <v>111.91666666666667</v>
      </c>
      <c r="S155" s="68">
        <f>(VLOOKUP($A:$A,USD!$A:$AL,19,FALSE)*88)/88*20</f>
        <v>0</v>
      </c>
      <c r="T155" s="68">
        <f>(VLOOKUP($A:$A,USD!$A:$AL,20,FALSE)*88)/88*20</f>
        <v>0</v>
      </c>
      <c r="U155" s="68">
        <f>(VLOOKUP($A:$A,USD!$A:$AL,21,FALSE)*88)/88*20</f>
        <v>180.11363636363637</v>
      </c>
      <c r="V155" s="68"/>
      <c r="W155" s="68">
        <f t="shared" si="20"/>
        <v>180.11363636363637</v>
      </c>
      <c r="X155" s="1">
        <f>(VLOOKUP($A:$A,USD!$A:$AL,24,FALSE)*88)/88*20</f>
        <v>50</v>
      </c>
      <c r="Y155" s="68">
        <f>(VLOOKUP($A:$A,USD!$A:$AL,25,FALSE)*88)/88*20</f>
        <v>33.6</v>
      </c>
      <c r="Z155" s="68">
        <f>(VLOOKUP($A:$A,USD!$A:$AL,26,FALSE)*88)/88*20</f>
        <v>26.25</v>
      </c>
      <c r="AB155" s="68">
        <f t="shared" si="21"/>
        <v>109.85</v>
      </c>
      <c r="AC155" s="68">
        <f>(VLOOKUP($A:$A,USD!$A:$AL,29,FALSE)*88)/88*20</f>
        <v>146.02272727272725</v>
      </c>
      <c r="AD155" s="68">
        <f>(VLOOKUP($A:$A,USD!$A:$AL,30,FALSE)*88)/88*20</f>
        <v>182.72727272727275</v>
      </c>
      <c r="AF155" s="68">
        <f t="shared" si="22"/>
        <v>328.75</v>
      </c>
      <c r="AG155" s="87">
        <f>(VLOOKUP($A:$A,USD!$A:$AL,33,FALSE)*88)/88*20</f>
        <v>28.814300000000003</v>
      </c>
      <c r="AH155" s="68">
        <f>(VLOOKUP($A:$A,USD!$A:$AL,34,FALSE)*88)/88*20</f>
        <v>6.973140495867769</v>
      </c>
      <c r="AI155" s="87">
        <f>(VLOOKUP($A:$A,USD!$A:$AL,35,FALSE)*88)/88*20</f>
        <v>12.587317427197677</v>
      </c>
      <c r="AJ155" s="87">
        <f>(VLOOKUP($A:$A,USD!$A:$AL,36,FALSE)*88)/88*20</f>
        <v>6.7351999999999999</v>
      </c>
      <c r="AL155" s="68">
        <f t="shared" si="23"/>
        <v>55.109957923065444</v>
      </c>
      <c r="AM155" s="87">
        <f>(VLOOKUP($A:$A,USD!$A:$AR,39,FALSE)*88)/88*20</f>
        <v>79.999999999999986</v>
      </c>
      <c r="AN155" s="68">
        <f>(VLOOKUP($A:$A,USD!$A:$AR,40,FALSE)*88)/88*20</f>
        <v>26.17808219178082</v>
      </c>
      <c r="AO155" s="1">
        <f>(VLOOKUP($A:$A,USD!$A:$AR,41,FALSE)*88)/88*20</f>
        <v>0</v>
      </c>
      <c r="AR155" s="1">
        <f t="shared" si="24"/>
        <v>106.1780821917808</v>
      </c>
      <c r="AS155" s="38">
        <f t="shared" si="25"/>
        <v>891.91834314514927</v>
      </c>
      <c r="AT155" s="38">
        <f t="shared" si="26"/>
        <v>1232.918343145149</v>
      </c>
      <c r="AW155" s="1">
        <f>(VLOOKUP(A:A,USD!A:AT,46,FALSE)*88)/88*20</f>
        <v>539.79318181818189</v>
      </c>
      <c r="AX155" s="1">
        <f>(VLOOKUP(A:A,USD!A:AU,47,FALSE)*88)/88*20</f>
        <v>418.75</v>
      </c>
    </row>
    <row r="156" spans="1:50" hidden="1">
      <c r="A156" s="1">
        <v>866503</v>
      </c>
      <c r="B156" s="1" t="s">
        <v>409</v>
      </c>
      <c r="C156" s="1" t="s">
        <v>410</v>
      </c>
      <c r="D156" s="1" t="s">
        <v>71</v>
      </c>
      <c r="E156" s="1" t="str">
        <f>VLOOKUP(A:A,USD!A:E,5,FALSE)</f>
        <v>STEX</v>
      </c>
      <c r="F156" s="1" t="str">
        <f>VLOOKUP(A:A,USD!A:F,6,FALSE)</f>
        <v>STX</v>
      </c>
      <c r="G156" s="1" t="str">
        <f>VLOOKUP(A:A,'Regions and Ports'!A:G,7,FALSE)</f>
        <v>Houston</v>
      </c>
      <c r="H156" s="1">
        <f>VLOOKUP(A:A,USD!A:R,8,FALSE)</f>
        <v>3</v>
      </c>
      <c r="I156" s="87">
        <f>(VLOOKUP($A:$A,USD!$A:$AL,9,FALSE)*88)/88*20</f>
        <v>60</v>
      </c>
      <c r="J156" s="87">
        <f>(VLOOKUP($A:$A,USD!$A:$AL,10,FALSE)*88)/88*20</f>
        <v>190</v>
      </c>
      <c r="K156" s="87">
        <f>(VLOOKUP($A:$A,USD!$A:$AL,11,FALSE)*88)/88*20</f>
        <v>160</v>
      </c>
      <c r="L156" s="87">
        <f>(VLOOKUP($A:$A,USD!$A:$AL,12,FALSE)*88)/88*20</f>
        <v>0</v>
      </c>
      <c r="M156" s="87">
        <f>(VLOOKUP($A:$A,USD!$A:$AL,13,FALSE)*88)/88*20</f>
        <v>0</v>
      </c>
      <c r="N156" s="87">
        <f>(VLOOKUP($A:$A,USD!$A:$AL,14,FALSE)*88)/88*20</f>
        <v>60</v>
      </c>
      <c r="O156" s="68">
        <f>(VLOOKUP($A:$A,USD!$A:$AL,15,FALSE)*88)/88*20</f>
        <v>37.916666666666671</v>
      </c>
      <c r="P156" s="87">
        <f>(VLOOKUP($A:$A,USD!$A:$AL,16,FALSE)*88)/88*20</f>
        <v>0</v>
      </c>
      <c r="Q156" s="68">
        <f t="shared" si="18"/>
        <v>507.91666666666669</v>
      </c>
      <c r="R156" s="68">
        <f t="shared" si="19"/>
        <v>447.91666666666669</v>
      </c>
      <c r="S156" s="68">
        <f>(VLOOKUP($A:$A,USD!$A:$AL,19,FALSE)*88)/88*20</f>
        <v>0</v>
      </c>
      <c r="T156" s="68">
        <f>(VLOOKUP($A:$A,USD!$A:$AL,20,FALSE)*88)/88*20</f>
        <v>0</v>
      </c>
      <c r="U156" s="68">
        <f>(VLOOKUP($A:$A,USD!$A:$AL,21,FALSE)*88)/88*20</f>
        <v>318.18181818181819</v>
      </c>
      <c r="V156" s="68"/>
      <c r="W156" s="68">
        <f t="shared" si="20"/>
        <v>318.18181818181819</v>
      </c>
      <c r="X156" s="1">
        <f>(VLOOKUP($A:$A,USD!$A:$AL,24,FALSE)*88)/88*20</f>
        <v>54</v>
      </c>
      <c r="Y156" s="68">
        <f>(VLOOKUP($A:$A,USD!$A:$AL,25,FALSE)*88)/88*20</f>
        <v>50.4</v>
      </c>
      <c r="Z156" s="68">
        <f>(VLOOKUP($A:$A,USD!$A:$AL,26,FALSE)*88)/88*20</f>
        <v>26.25</v>
      </c>
      <c r="AB156" s="68">
        <f t="shared" si="21"/>
        <v>130.65</v>
      </c>
      <c r="AC156" s="68">
        <f>(VLOOKUP($A:$A,USD!$A:$AL,29,FALSE)*88)/88*20</f>
        <v>132.95454545454544</v>
      </c>
      <c r="AD156" s="68">
        <f>(VLOOKUP($A:$A,USD!$A:$AL,30,FALSE)*88)/88*20</f>
        <v>197.95454545454547</v>
      </c>
      <c r="AF156" s="68">
        <f t="shared" si="22"/>
        <v>330.90909090909088</v>
      </c>
      <c r="AG156" s="87">
        <f>(VLOOKUP($A:$A,USD!$A:$AL,33,FALSE)*88)/88*20</f>
        <v>28.814300000000003</v>
      </c>
      <c r="AH156" s="68">
        <f>(VLOOKUP($A:$A,USD!$A:$AL,34,FALSE)*88)/88*20</f>
        <v>6.973140495867769</v>
      </c>
      <c r="AI156" s="87">
        <f>(VLOOKUP($A:$A,USD!$A:$AL,35,FALSE)*88)/88*20</f>
        <v>12.587317427197677</v>
      </c>
      <c r="AJ156" s="87">
        <f>(VLOOKUP($A:$A,USD!$A:$AL,36,FALSE)*88)/88*20</f>
        <v>6.7351999999999999</v>
      </c>
      <c r="AL156" s="68">
        <f t="shared" si="23"/>
        <v>55.109957923065444</v>
      </c>
      <c r="AM156" s="87">
        <f>(VLOOKUP($A:$A,USD!$A:$AR,39,FALSE)*88)/88*20</f>
        <v>79.999999999999986</v>
      </c>
      <c r="AN156" s="68">
        <f>(VLOOKUP($A:$A,USD!$A:$AR,40,FALSE)*88)/88*20</f>
        <v>26.17808219178082</v>
      </c>
      <c r="AO156" s="1">
        <f>(VLOOKUP($A:$A,USD!$A:$AR,41,FALSE)*88)/88*20</f>
        <v>0</v>
      </c>
      <c r="AR156" s="1">
        <f t="shared" si="24"/>
        <v>106.1780821917808</v>
      </c>
      <c r="AS156" s="38">
        <f t="shared" si="25"/>
        <v>1388.9456158724217</v>
      </c>
      <c r="AT156" s="38">
        <f t="shared" si="26"/>
        <v>1448.9456158724217</v>
      </c>
      <c r="AW156" s="1" t="e">
        <f>(VLOOKUP(A:A,USD!A:AT,46,FALSE)*88)/88*20</f>
        <v>#N/A</v>
      </c>
      <c r="AX156" s="1" t="e">
        <f>(VLOOKUP(A:A,USD!A:AU,47,FALSE)*88)/88*20</f>
        <v>#N/A</v>
      </c>
    </row>
    <row r="157" spans="1:50" hidden="1">
      <c r="A157" s="1">
        <v>866505</v>
      </c>
      <c r="B157" s="1" t="s">
        <v>412</v>
      </c>
      <c r="C157" s="1" t="s">
        <v>410</v>
      </c>
      <c r="D157" s="1" t="s">
        <v>71</v>
      </c>
      <c r="E157" s="1" t="str">
        <f>VLOOKUP(A:A,USD!A:E,5,FALSE)</f>
        <v>STEX</v>
      </c>
      <c r="F157" s="1" t="str">
        <f>VLOOKUP(A:A,USD!A:F,6,FALSE)</f>
        <v>STX</v>
      </c>
      <c r="G157" s="1" t="str">
        <f>VLOOKUP(A:A,'Regions and Ports'!A:G,7,FALSE)</f>
        <v>Houston</v>
      </c>
      <c r="H157" s="1">
        <f>VLOOKUP(A:A,USD!A:R,8,FALSE)</f>
        <v>3</v>
      </c>
      <c r="I157" s="87">
        <f>(VLOOKUP($A:$A,USD!$A:$AL,9,FALSE)*88)/88*20</f>
        <v>60</v>
      </c>
      <c r="J157" s="87">
        <f>(VLOOKUP($A:$A,USD!$A:$AL,10,FALSE)*88)/88*20</f>
        <v>180</v>
      </c>
      <c r="K157" s="87">
        <f>(VLOOKUP($A:$A,USD!$A:$AL,11,FALSE)*88)/88*20</f>
        <v>160</v>
      </c>
      <c r="L157" s="87">
        <f>(VLOOKUP($A:$A,USD!$A:$AL,12,FALSE)*88)/88*20</f>
        <v>0</v>
      </c>
      <c r="M157" s="87">
        <f>(VLOOKUP($A:$A,USD!$A:$AL,13,FALSE)*88)/88*20</f>
        <v>0</v>
      </c>
      <c r="N157" s="87">
        <f>(VLOOKUP($A:$A,USD!$A:$AL,14,FALSE)*88)/88*20</f>
        <v>56</v>
      </c>
      <c r="O157" s="68">
        <f>(VLOOKUP($A:$A,USD!$A:$AL,15,FALSE)*88)/88*20</f>
        <v>37.916666666666671</v>
      </c>
      <c r="P157" s="87">
        <f>(VLOOKUP($A:$A,USD!$A:$AL,16,FALSE)*88)/88*20</f>
        <v>0</v>
      </c>
      <c r="Q157" s="68">
        <f t="shared" si="18"/>
        <v>493.91666666666669</v>
      </c>
      <c r="R157" s="68">
        <f t="shared" si="19"/>
        <v>433.91666666666669</v>
      </c>
      <c r="S157" s="68">
        <f>(VLOOKUP($A:$A,USD!$A:$AL,19,FALSE)*88)/88*20</f>
        <v>0</v>
      </c>
      <c r="T157" s="68">
        <f>(VLOOKUP($A:$A,USD!$A:$AL,20,FALSE)*88)/88*20</f>
        <v>0</v>
      </c>
      <c r="U157" s="68">
        <f>(VLOOKUP($A:$A,USD!$A:$AL,21,FALSE)*88)/88*20</f>
        <v>318.18181818181819</v>
      </c>
      <c r="V157" s="68"/>
      <c r="W157" s="68">
        <f t="shared" si="20"/>
        <v>318.18181818181819</v>
      </c>
      <c r="X157" s="1">
        <f>(VLOOKUP($A:$A,USD!$A:$AL,24,FALSE)*88)/88*20</f>
        <v>54</v>
      </c>
      <c r="Y157" s="68">
        <f>(VLOOKUP($A:$A,USD!$A:$AL,25,FALSE)*88)/88*20</f>
        <v>50.4</v>
      </c>
      <c r="Z157" s="68">
        <f>(VLOOKUP($A:$A,USD!$A:$AL,26,FALSE)*88)/88*20</f>
        <v>26.25</v>
      </c>
      <c r="AB157" s="68">
        <f t="shared" si="21"/>
        <v>130.65</v>
      </c>
      <c r="AC157" s="68">
        <f>(VLOOKUP($A:$A,USD!$A:$AL,29,FALSE)*88)/88*20</f>
        <v>132.95454545454544</v>
      </c>
      <c r="AD157" s="68">
        <f>(VLOOKUP($A:$A,USD!$A:$AL,30,FALSE)*88)/88*20</f>
        <v>197.95454545454547</v>
      </c>
      <c r="AF157" s="68">
        <f t="shared" si="22"/>
        <v>330.90909090909088</v>
      </c>
      <c r="AG157" s="87">
        <f>(VLOOKUP($A:$A,USD!$A:$AL,33,FALSE)*88)/88*20</f>
        <v>28.814300000000003</v>
      </c>
      <c r="AH157" s="68">
        <f>(VLOOKUP($A:$A,USD!$A:$AL,34,FALSE)*88)/88*20</f>
        <v>6.973140495867769</v>
      </c>
      <c r="AI157" s="87">
        <f>(VLOOKUP($A:$A,USD!$A:$AL,35,FALSE)*88)/88*20</f>
        <v>12.587317427197677</v>
      </c>
      <c r="AJ157" s="87">
        <f>(VLOOKUP($A:$A,USD!$A:$AL,36,FALSE)*88)/88*20</f>
        <v>6.7351999999999999</v>
      </c>
      <c r="AL157" s="68">
        <f t="shared" si="23"/>
        <v>55.109957923065444</v>
      </c>
      <c r="AM157" s="87">
        <f>(VLOOKUP($A:$A,USD!$A:$AR,39,FALSE)*88)/88*20</f>
        <v>79.999999999999986</v>
      </c>
      <c r="AN157" s="68">
        <f>(VLOOKUP($A:$A,USD!$A:$AR,40,FALSE)*88)/88*20</f>
        <v>26.17808219178082</v>
      </c>
      <c r="AO157" s="1">
        <f>(VLOOKUP($A:$A,USD!$A:$AR,41,FALSE)*88)/88*20</f>
        <v>0</v>
      </c>
      <c r="AR157" s="1">
        <f t="shared" si="24"/>
        <v>106.1780821917808</v>
      </c>
      <c r="AS157" s="38">
        <f t="shared" si="25"/>
        <v>1374.9456158724217</v>
      </c>
      <c r="AT157" s="38">
        <f t="shared" si="26"/>
        <v>1434.9456158724217</v>
      </c>
      <c r="AW157" s="1" t="e">
        <f>(VLOOKUP(A:A,USD!A:AT,46,FALSE)*88)/88*20</f>
        <v>#N/A</v>
      </c>
      <c r="AX157" s="1" t="e">
        <f>(VLOOKUP(A:A,USD!A:AU,47,FALSE)*88)/88*20</f>
        <v>#N/A</v>
      </c>
    </row>
    <row r="158" spans="1:50">
      <c r="A158" s="1">
        <v>51005</v>
      </c>
      <c r="B158" s="1" t="s">
        <v>413</v>
      </c>
      <c r="C158" s="1" t="s">
        <v>414</v>
      </c>
      <c r="D158" s="1" t="s">
        <v>65</v>
      </c>
      <c r="E158" s="1" t="str">
        <f>VLOOKUP(A:A,USD!A:E,5,FALSE)</f>
        <v>Eastern Rule 5</v>
      </c>
      <c r="F158" s="1" t="str">
        <f>VLOOKUP(A:A,USD!A:F,6,FALSE)</f>
        <v>ER5</v>
      </c>
      <c r="G158" s="1" t="str">
        <f>VLOOKUP(A:A,'Regions and Ports'!A:G,7,FALSE)</f>
        <v>Savannah</v>
      </c>
      <c r="H158" s="1">
        <f>VLOOKUP(A:A,USD!A:R,8,FALSE)</f>
        <v>1</v>
      </c>
      <c r="I158" s="87">
        <f>(VLOOKUP($A:$A,USD!$A:$AL,9,FALSE)*88)/88*20</f>
        <v>0</v>
      </c>
      <c r="J158" s="87">
        <f>(VLOOKUP($A:$A,USD!$A:$AL,10,FALSE)*88)/88*20</f>
        <v>0</v>
      </c>
      <c r="K158" s="87">
        <f>(VLOOKUP($A:$A,USD!$A:$AL,11,FALSE)*88)/88*20</f>
        <v>0</v>
      </c>
      <c r="L158" s="87">
        <f>(VLOOKUP($A:$A,USD!$A:$AL,12,FALSE)*88)/88*20</f>
        <v>0</v>
      </c>
      <c r="M158" s="87">
        <f>(VLOOKUP($A:$A,USD!$A:$AL,13,FALSE)*88)/88*20</f>
        <v>0</v>
      </c>
      <c r="N158" s="87">
        <f>(VLOOKUP($A:$A,USD!$A:$AL,14,FALSE)*88)/88*20</f>
        <v>60</v>
      </c>
      <c r="O158" s="68">
        <f>(VLOOKUP($A:$A,USD!$A:$AL,15,FALSE)*88)/88*20</f>
        <v>37.916666666666671</v>
      </c>
      <c r="P158" s="87">
        <f>(VLOOKUP($A:$A,USD!$A:$AL,16,FALSE)*88)/88*20</f>
        <v>0</v>
      </c>
      <c r="Q158" s="68">
        <f t="shared" si="18"/>
        <v>97.916666666666671</v>
      </c>
      <c r="R158" s="68">
        <f t="shared" si="19"/>
        <v>97.916666666666671</v>
      </c>
      <c r="S158" s="68">
        <f>(VLOOKUP($A:$A,USD!$A:$AL,19,FALSE)*88)/88*20</f>
        <v>0</v>
      </c>
      <c r="T158" s="68">
        <f>(VLOOKUP($A:$A,USD!$A:$AL,20,FALSE)*88)/88*20</f>
        <v>0</v>
      </c>
      <c r="U158" s="68">
        <f>(VLOOKUP($A:$A,USD!$A:$AL,21,FALSE)*88)/88*20</f>
        <v>290.4829545454545</v>
      </c>
      <c r="V158" s="68"/>
      <c r="W158" s="68">
        <f t="shared" si="20"/>
        <v>290.4829545454545</v>
      </c>
      <c r="X158" s="1">
        <f>(VLOOKUP($A:$A,USD!$A:$AL,24,FALSE)*88)/88*20</f>
        <v>52</v>
      </c>
      <c r="Y158" s="68">
        <f>(VLOOKUP($A:$A,USD!$A:$AL,25,FALSE)*88)/88*20</f>
        <v>50.4</v>
      </c>
      <c r="Z158" s="68">
        <f>(VLOOKUP($A:$A,USD!$A:$AL,26,FALSE)*88)/88*20</f>
        <v>26.25</v>
      </c>
      <c r="AB158" s="68">
        <f t="shared" si="21"/>
        <v>128.65</v>
      </c>
      <c r="AC158" s="68">
        <f>(VLOOKUP($A:$A,USD!$A:$AL,29,FALSE)*88)/88*20</f>
        <v>110.22727272727273</v>
      </c>
      <c r="AD158" s="68">
        <f>(VLOOKUP($A:$A,USD!$A:$AL,30,FALSE)*88)/88*20</f>
        <v>107.04545454545455</v>
      </c>
      <c r="AF158" s="68">
        <f t="shared" si="22"/>
        <v>217.27272727272728</v>
      </c>
      <c r="AG158" s="87">
        <f>(VLOOKUP($A:$A,USD!$A:$AL,33,FALSE)*88)/88*20</f>
        <v>28.814300000000003</v>
      </c>
      <c r="AH158" s="68">
        <f>(VLOOKUP($A:$A,USD!$A:$AL,34,FALSE)*88)/88*20</f>
        <v>6.973140495867769</v>
      </c>
      <c r="AI158" s="87">
        <f>(VLOOKUP($A:$A,USD!$A:$AL,35,FALSE)*88)/88*20</f>
        <v>12.587317427197677</v>
      </c>
      <c r="AJ158" s="87">
        <f>(VLOOKUP($A:$A,USD!$A:$AL,36,FALSE)*88)/88*20</f>
        <v>6.7351999999999999</v>
      </c>
      <c r="AL158" s="68">
        <f t="shared" si="23"/>
        <v>55.109957923065444</v>
      </c>
      <c r="AM158" s="87">
        <f>(VLOOKUP($A:$A,USD!$A:$AR,39,FALSE)*88)/88*20</f>
        <v>79.999999999999986</v>
      </c>
      <c r="AN158" s="68">
        <f>(VLOOKUP($A:$A,USD!$A:$AR,40,FALSE)*88)/88*20</f>
        <v>26.17808219178082</v>
      </c>
      <c r="AO158" s="1">
        <f>(VLOOKUP($A:$A,USD!$A:$AR,41,FALSE)*88)/88*20</f>
        <v>0</v>
      </c>
      <c r="AR158" s="1">
        <f t="shared" si="24"/>
        <v>106.1780821917808</v>
      </c>
      <c r="AS158" s="38">
        <f t="shared" si="25"/>
        <v>895.61038859969472</v>
      </c>
      <c r="AT158" s="38">
        <f t="shared" si="26"/>
        <v>895.61038859969472</v>
      </c>
      <c r="AW158" s="1" t="e">
        <f>(VLOOKUP(A:A,USD!A:AT,46,FALSE)*88)/88*20</f>
        <v>#N/A</v>
      </c>
      <c r="AX158" s="1">
        <f>(VLOOKUP(A:A,USD!A:AU,47,FALSE)*88)/88*20</f>
        <v>357.38636363636368</v>
      </c>
    </row>
    <row r="159" spans="1:50" hidden="1">
      <c r="A159" s="1">
        <v>712575</v>
      </c>
      <c r="B159" s="1" t="s">
        <v>416</v>
      </c>
      <c r="C159" s="1" t="s">
        <v>417</v>
      </c>
      <c r="D159" s="1" t="s">
        <v>132</v>
      </c>
      <c r="E159" s="1" t="str">
        <f>VLOOKUP(A:A,USD!A:E,5,FALSE)</f>
        <v>Eastern Rule 5</v>
      </c>
      <c r="F159" s="1" t="str">
        <f>VLOOKUP(A:A,USD!A:F,6,FALSE)</f>
        <v>ER5</v>
      </c>
      <c r="G159" s="1" t="str">
        <f>VLOOKUP(A:A,'Regions and Ports'!A:G,7,FALSE)</f>
        <v>Savannah</v>
      </c>
      <c r="H159" s="1">
        <f>VLOOKUP(A:A,USD!A:R,8,FALSE)</f>
        <v>1</v>
      </c>
      <c r="I159" s="87">
        <f>(VLOOKUP($A:$A,USD!$A:$AL,9,FALSE)*88)/88*20</f>
        <v>60</v>
      </c>
      <c r="J159" s="87">
        <f>(VLOOKUP($A:$A,USD!$A:$AL,10,FALSE)*88)/88*20</f>
        <v>120</v>
      </c>
      <c r="K159" s="87">
        <f>(VLOOKUP($A:$A,USD!$A:$AL,11,FALSE)*88)/88*20</f>
        <v>0</v>
      </c>
      <c r="L159" s="87">
        <f>(VLOOKUP($A:$A,USD!$A:$AL,12,FALSE)*88)/88*20</f>
        <v>0</v>
      </c>
      <c r="M159" s="87">
        <f>(VLOOKUP($A:$A,USD!$A:$AL,13,FALSE)*88)/88*20</f>
        <v>10</v>
      </c>
      <c r="N159" s="87">
        <f>(VLOOKUP($A:$A,USD!$A:$AL,14,FALSE)*88)/88*20</f>
        <v>55</v>
      </c>
      <c r="O159" s="68">
        <f>(VLOOKUP($A:$A,USD!$A:$AL,15,FALSE)*88)/88*20</f>
        <v>37.916666666666671</v>
      </c>
      <c r="P159" s="87">
        <f>(VLOOKUP($A:$A,USD!$A:$AL,16,FALSE)*88)/88*20</f>
        <v>0</v>
      </c>
      <c r="Q159" s="68">
        <f t="shared" si="18"/>
        <v>282.91666666666669</v>
      </c>
      <c r="R159" s="68">
        <f t="shared" si="19"/>
        <v>92.916666666666671</v>
      </c>
      <c r="S159" s="68">
        <f>(VLOOKUP($A:$A,USD!$A:$AL,19,FALSE)*88)/88*20</f>
        <v>0</v>
      </c>
      <c r="T159" s="68">
        <f>(VLOOKUP($A:$A,USD!$A:$AL,20,FALSE)*88)/88*20</f>
        <v>0</v>
      </c>
      <c r="U159" s="68">
        <f>(VLOOKUP($A:$A,USD!$A:$AL,21,FALSE)*88)/88*20</f>
        <v>230.29090909090908</v>
      </c>
      <c r="V159" s="68"/>
      <c r="W159" s="68">
        <f t="shared" si="20"/>
        <v>230.29090909090908</v>
      </c>
      <c r="X159" s="1">
        <f>(VLOOKUP($A:$A,USD!$A:$AL,24,FALSE)*88)/88*20</f>
        <v>52</v>
      </c>
      <c r="Y159" s="68">
        <f>(VLOOKUP($A:$A,USD!$A:$AL,25,FALSE)*88)/88*20</f>
        <v>50.4</v>
      </c>
      <c r="Z159" s="68">
        <f>(VLOOKUP($A:$A,USD!$A:$AL,26,FALSE)*88)/88*20</f>
        <v>26.25</v>
      </c>
      <c r="AB159" s="68">
        <f t="shared" si="21"/>
        <v>128.65</v>
      </c>
      <c r="AC159" s="68">
        <f>(VLOOKUP($A:$A,USD!$A:$AL,29,FALSE)*88)/88*20</f>
        <v>110.22727272727273</v>
      </c>
      <c r="AD159" s="68">
        <f>(VLOOKUP($A:$A,USD!$A:$AL,30,FALSE)*88)/88*20</f>
        <v>107.04545454545455</v>
      </c>
      <c r="AF159" s="68">
        <f t="shared" si="22"/>
        <v>217.27272727272728</v>
      </c>
      <c r="AG159" s="87">
        <f>(VLOOKUP($A:$A,USD!$A:$AL,33,FALSE)*88)/88*20</f>
        <v>28.814300000000003</v>
      </c>
      <c r="AH159" s="68">
        <f>(VLOOKUP($A:$A,USD!$A:$AL,34,FALSE)*88)/88*20</f>
        <v>6.973140495867769</v>
      </c>
      <c r="AI159" s="87">
        <f>(VLOOKUP($A:$A,USD!$A:$AL,35,FALSE)*88)/88*20</f>
        <v>12.587317427197677</v>
      </c>
      <c r="AJ159" s="87">
        <f>(VLOOKUP($A:$A,USD!$A:$AL,36,FALSE)*88)/88*20</f>
        <v>6.7351999999999999</v>
      </c>
      <c r="AL159" s="68">
        <f t="shared" si="23"/>
        <v>55.109957923065444</v>
      </c>
      <c r="AM159" s="87">
        <f>(VLOOKUP($A:$A,USD!$A:$AR,39,FALSE)*88)/88*20</f>
        <v>79.999999999999986</v>
      </c>
      <c r="AN159" s="68">
        <f>(VLOOKUP($A:$A,USD!$A:$AR,40,FALSE)*88)/88*20</f>
        <v>26.17808219178082</v>
      </c>
      <c r="AO159" s="1">
        <f>(VLOOKUP($A:$A,USD!$A:$AR,41,FALSE)*88)/88*20</f>
        <v>0</v>
      </c>
      <c r="AR159" s="1">
        <f t="shared" si="24"/>
        <v>106.1780821917808</v>
      </c>
      <c r="AS159" s="38">
        <f t="shared" si="25"/>
        <v>830.41834314514927</v>
      </c>
      <c r="AT159" s="38">
        <f t="shared" si="26"/>
        <v>1020.4183431451493</v>
      </c>
      <c r="AW159" s="1" t="e">
        <f>(VLOOKUP(A:A,USD!A:AT,46,FALSE)*88)/88*20</f>
        <v>#N/A</v>
      </c>
      <c r="AX159" s="1">
        <f>(VLOOKUP(A:A,USD!A:AU,47,FALSE)*88)/88*20</f>
        <v>183.52272727272725</v>
      </c>
    </row>
    <row r="160" spans="1:50" hidden="1">
      <c r="A160" s="1">
        <v>273518</v>
      </c>
      <c r="B160" s="1" t="s">
        <v>419</v>
      </c>
      <c r="C160" s="1" t="s">
        <v>420</v>
      </c>
      <c r="D160" s="1" t="s">
        <v>76</v>
      </c>
      <c r="E160" s="1" t="str">
        <f>VLOOKUP(A:A,USD!A:E,5,FALSE)</f>
        <v>GA 30 Day</v>
      </c>
      <c r="F160" s="1" t="str">
        <f>VLOOKUP(A:A,USD!A:F,6,FALSE)</f>
        <v>ER5</v>
      </c>
      <c r="G160" s="1" t="str">
        <f>VLOOKUP(A:A,'Regions and Ports'!A:G,7,FALSE)</f>
        <v>Savannah</v>
      </c>
      <c r="H160" s="1">
        <f>VLOOKUP(A:A,USD!A:R,8,FALSE)</f>
        <v>4</v>
      </c>
      <c r="I160" s="87">
        <f>(VLOOKUP($A:$A,USD!$A:$AL,9,FALSE)*88)/88*20</f>
        <v>80</v>
      </c>
      <c r="J160" s="87">
        <f>(VLOOKUP($A:$A,USD!$A:$AL,10,FALSE)*88)/88*20</f>
        <v>0</v>
      </c>
      <c r="K160" s="87">
        <f>(VLOOKUP($A:$A,USD!$A:$AL,11,FALSE)*88)/88*20</f>
        <v>0</v>
      </c>
      <c r="L160" s="87">
        <f>(VLOOKUP($A:$A,USD!$A:$AL,12,FALSE)*88)/88*20</f>
        <v>0</v>
      </c>
      <c r="M160" s="87">
        <f>(VLOOKUP($A:$A,USD!$A:$AL,13,FALSE)*88)/88*20</f>
        <v>0</v>
      </c>
      <c r="N160" s="87">
        <f>(VLOOKUP($A:$A,USD!$A:$AL,14,FALSE)*88)/88*20</f>
        <v>60</v>
      </c>
      <c r="O160" s="68">
        <f>(VLOOKUP($A:$A,USD!$A:$AL,15,FALSE)*88)/88*20</f>
        <v>37.916666666666671</v>
      </c>
      <c r="P160" s="87">
        <f>(VLOOKUP($A:$A,USD!$A:$AL,16,FALSE)*88)/88*20</f>
        <v>0</v>
      </c>
      <c r="Q160" s="68">
        <f t="shared" si="18"/>
        <v>177.91666666666669</v>
      </c>
      <c r="R160" s="68">
        <f t="shared" si="19"/>
        <v>37.916666666666671</v>
      </c>
      <c r="S160" s="68">
        <f>(VLOOKUP($A:$A,USD!$A:$AL,19,FALSE)*88)/88*20</f>
        <v>0</v>
      </c>
      <c r="T160" s="68">
        <f>(VLOOKUP($A:$A,USD!$A:$AL,20,FALSE)*88)/88*20</f>
        <v>0</v>
      </c>
      <c r="U160" s="68">
        <f>(VLOOKUP($A:$A,USD!$A:$AL,21,FALSE)*88)/88*20</f>
        <v>216.08636363636364</v>
      </c>
      <c r="V160" s="68"/>
      <c r="W160" s="68">
        <f t="shared" si="20"/>
        <v>216.08636363636364</v>
      </c>
      <c r="X160" s="1">
        <f>(VLOOKUP($A:$A,USD!$A:$AL,24,FALSE)*88)/88*20</f>
        <v>52</v>
      </c>
      <c r="Y160" s="68">
        <f>(VLOOKUP($A:$A,USD!$A:$AL,25,FALSE)*88)/88*20</f>
        <v>50.4</v>
      </c>
      <c r="Z160" s="68">
        <f>(VLOOKUP($A:$A,USD!$A:$AL,26,FALSE)*88)/88*20</f>
        <v>26.25</v>
      </c>
      <c r="AB160" s="68">
        <f t="shared" si="21"/>
        <v>128.65</v>
      </c>
      <c r="AC160" s="68">
        <f>(VLOOKUP($A:$A,USD!$A:$AL,29,FALSE)*88)/88*20</f>
        <v>110.22727272727273</v>
      </c>
      <c r="AD160" s="68">
        <f>(VLOOKUP($A:$A,USD!$A:$AL,30,FALSE)*88)/88*20</f>
        <v>107.04545454545455</v>
      </c>
      <c r="AF160" s="68">
        <f t="shared" si="22"/>
        <v>217.27272727272728</v>
      </c>
      <c r="AG160" s="87">
        <f>(VLOOKUP($A:$A,USD!$A:$AL,33,FALSE)*88)/88*20</f>
        <v>28.814300000000003</v>
      </c>
      <c r="AH160" s="68">
        <f>(VLOOKUP($A:$A,USD!$A:$AL,34,FALSE)*88)/88*20</f>
        <v>6.973140495867769</v>
      </c>
      <c r="AI160" s="87">
        <f>(VLOOKUP($A:$A,USD!$A:$AL,35,FALSE)*88)/88*20</f>
        <v>12.587317427197677</v>
      </c>
      <c r="AJ160" s="87">
        <f>(VLOOKUP($A:$A,USD!$A:$AL,36,FALSE)*88)/88*20</f>
        <v>6.7351999999999999</v>
      </c>
      <c r="AL160" s="68">
        <f t="shared" si="23"/>
        <v>55.109957923065444</v>
      </c>
      <c r="AM160" s="87">
        <f>(VLOOKUP($A:$A,USD!$A:$AR,39,FALSE)*88)/88*20</f>
        <v>79.999999999999986</v>
      </c>
      <c r="AN160" s="68">
        <f>(VLOOKUP($A:$A,USD!$A:$AR,40,FALSE)*88)/88*20</f>
        <v>26.17808219178082</v>
      </c>
      <c r="AO160" s="1">
        <f>(VLOOKUP($A:$A,USD!$A:$AR,41,FALSE)*88)/88*20</f>
        <v>0</v>
      </c>
      <c r="AR160" s="1">
        <f t="shared" si="24"/>
        <v>106.1780821917808</v>
      </c>
      <c r="AS160" s="38">
        <f t="shared" si="25"/>
        <v>761.21379769060377</v>
      </c>
      <c r="AT160" s="38">
        <f t="shared" si="26"/>
        <v>901.21379769060377</v>
      </c>
      <c r="AW160" s="1">
        <f>(VLOOKUP(A:A,USD!A:AT,46,FALSE)*88)/88*20</f>
        <v>529.85909090909081</v>
      </c>
      <c r="AX160" s="1">
        <f>(VLOOKUP(A:A,USD!A:AU,47,FALSE)*88)/88*20</f>
        <v>301.47727272727275</v>
      </c>
    </row>
    <row r="161" spans="1:50" hidden="1">
      <c r="A161" s="1">
        <v>517010</v>
      </c>
      <c r="B161" s="1" t="s">
        <v>422</v>
      </c>
      <c r="C161" s="1" t="s">
        <v>423</v>
      </c>
      <c r="D161" s="1" t="s">
        <v>190</v>
      </c>
      <c r="E161" s="1" t="str">
        <f>VLOOKUP(A:A,USD!A:E,5,FALSE)</f>
        <v>Memphis Rule 5</v>
      </c>
      <c r="F161" s="1" t="str">
        <f>VLOOKUP(A:A,USD!A:F,6,FALSE)</f>
        <v>MR5</v>
      </c>
      <c r="G161" s="1" t="str">
        <f>VLOOKUP(A:A,'Regions and Ports'!A:G,7,FALSE)</f>
        <v>Memphis</v>
      </c>
      <c r="H161" s="1">
        <f>VLOOKUP(A:A,USD!A:R,8,FALSE)</f>
        <v>1</v>
      </c>
      <c r="I161" s="87">
        <f>(VLOOKUP($A:$A,USD!$A:$AL,9,FALSE)*88)/88*20</f>
        <v>42</v>
      </c>
      <c r="J161" s="87">
        <f>(VLOOKUP($A:$A,USD!$A:$AL,10,FALSE)*88)/88*20</f>
        <v>415</v>
      </c>
      <c r="K161" s="87">
        <f>(VLOOKUP($A:$A,USD!$A:$AL,11,FALSE)*88)/88*20</f>
        <v>0</v>
      </c>
      <c r="L161" s="87">
        <f>(VLOOKUP($A:$A,USD!$A:$AL,12,FALSE)*88)/88*20</f>
        <v>0</v>
      </c>
      <c r="M161" s="87">
        <f>(VLOOKUP($A:$A,USD!$A:$AL,13,FALSE)*88)/88*20</f>
        <v>10</v>
      </c>
      <c r="N161" s="87">
        <f>(VLOOKUP($A:$A,USD!$A:$AL,14,FALSE)*88)/88*20</f>
        <v>65</v>
      </c>
      <c r="O161" s="68">
        <f>(VLOOKUP($A:$A,USD!$A:$AL,15,FALSE)*88)/88*20</f>
        <v>37.916666666666671</v>
      </c>
      <c r="P161" s="87">
        <f>(VLOOKUP($A:$A,USD!$A:$AL,16,FALSE)*88)/88*20</f>
        <v>0</v>
      </c>
      <c r="Q161" s="68">
        <f t="shared" si="18"/>
        <v>569.91666666666663</v>
      </c>
      <c r="R161" s="68">
        <f t="shared" si="19"/>
        <v>102.91666666666667</v>
      </c>
      <c r="S161" s="68">
        <f>(VLOOKUP($A:$A,USD!$A:$AL,19,FALSE)*88)/88*20</f>
        <v>0</v>
      </c>
      <c r="T161" s="68">
        <f>(VLOOKUP($A:$A,USD!$A:$AL,20,FALSE)*88)/88*20</f>
        <v>0</v>
      </c>
      <c r="U161" s="68">
        <f>(VLOOKUP($A:$A,USD!$A:$AL,21,FALSE)*88)/88*20</f>
        <v>215.34659090909091</v>
      </c>
      <c r="V161" s="68"/>
      <c r="W161" s="68">
        <f t="shared" si="20"/>
        <v>215.34659090909091</v>
      </c>
      <c r="X161" s="1">
        <f>(VLOOKUP($A:$A,USD!$A:$AL,24,FALSE)*88)/88*20</f>
        <v>50</v>
      </c>
      <c r="Y161" s="68">
        <f>(VLOOKUP($A:$A,USD!$A:$AL,25,FALSE)*88)/88*20</f>
        <v>33.6</v>
      </c>
      <c r="Z161" s="68">
        <f>(VLOOKUP($A:$A,USD!$A:$AL,26,FALSE)*88)/88*20</f>
        <v>26.25</v>
      </c>
      <c r="AB161" s="68">
        <f t="shared" si="21"/>
        <v>109.85</v>
      </c>
      <c r="AC161" s="68">
        <f>(VLOOKUP($A:$A,USD!$A:$AL,29,FALSE)*88)/88*20</f>
        <v>146.02272727272725</v>
      </c>
      <c r="AD161" s="68">
        <f>(VLOOKUP($A:$A,USD!$A:$AL,30,FALSE)*88)/88*20</f>
        <v>182.72727272727275</v>
      </c>
      <c r="AF161" s="68">
        <f t="shared" si="22"/>
        <v>328.75</v>
      </c>
      <c r="AG161" s="87">
        <f>(VLOOKUP($A:$A,USD!$A:$AL,33,FALSE)*88)/88*20</f>
        <v>28.814300000000003</v>
      </c>
      <c r="AH161" s="68">
        <f>(VLOOKUP($A:$A,USD!$A:$AL,34,FALSE)*88)/88*20</f>
        <v>6.973140495867769</v>
      </c>
      <c r="AI161" s="87">
        <f>(VLOOKUP($A:$A,USD!$A:$AL,35,FALSE)*88)/88*20</f>
        <v>12.587317427197677</v>
      </c>
      <c r="AJ161" s="87">
        <f>(VLOOKUP($A:$A,USD!$A:$AL,36,FALSE)*88)/88*20</f>
        <v>6.7351999999999999</v>
      </c>
      <c r="AL161" s="68">
        <f t="shared" si="23"/>
        <v>55.109957923065444</v>
      </c>
      <c r="AM161" s="87">
        <f>(VLOOKUP($A:$A,USD!$A:$AR,39,FALSE)*88)/88*20</f>
        <v>79.999999999999986</v>
      </c>
      <c r="AN161" s="68">
        <f>(VLOOKUP($A:$A,USD!$A:$AR,40,FALSE)*88)/88*20</f>
        <v>26.17808219178082</v>
      </c>
      <c r="AO161" s="1">
        <f>(VLOOKUP($A:$A,USD!$A:$AR,41,FALSE)*88)/88*20</f>
        <v>0</v>
      </c>
      <c r="AR161" s="1">
        <f t="shared" si="24"/>
        <v>106.1780821917808</v>
      </c>
      <c r="AS161" s="38">
        <f t="shared" si="25"/>
        <v>918.15129769060377</v>
      </c>
      <c r="AT161" s="38">
        <f t="shared" si="26"/>
        <v>1385.1512976906035</v>
      </c>
      <c r="AW161" s="1">
        <f>(VLOOKUP(A:A,USD!A:AT,46,FALSE)*88)/88*20</f>
        <v>567.03181818181815</v>
      </c>
      <c r="AX161" s="1">
        <f>(VLOOKUP(A:A,USD!A:AU,47,FALSE)*88)/88*20</f>
        <v>501.93181818181819</v>
      </c>
    </row>
    <row r="162" spans="1:50" hidden="1">
      <c r="A162" s="1">
        <v>270800</v>
      </c>
      <c r="B162" s="1" t="s">
        <v>424</v>
      </c>
      <c r="C162" s="1" t="s">
        <v>425</v>
      </c>
      <c r="D162" s="1" t="s">
        <v>76</v>
      </c>
      <c r="E162" s="1" t="str">
        <f>VLOOKUP(A:A,USD!A:E,5,FALSE)</f>
        <v>GA 30 Day</v>
      </c>
      <c r="F162" s="1" t="str">
        <f>VLOOKUP(A:A,USD!A:F,6,FALSE)</f>
        <v>ER5</v>
      </c>
      <c r="G162" s="1" t="str">
        <f>VLOOKUP(A:A,'Regions and Ports'!A:G,7,FALSE)</f>
        <v>Savannah</v>
      </c>
      <c r="H162" s="1">
        <f>VLOOKUP(A:A,USD!A:R,8,FALSE)</f>
        <v>4</v>
      </c>
      <c r="I162" s="87">
        <f>(VLOOKUP($A:$A,USD!$A:$AL,9,FALSE)*88)/88*20</f>
        <v>59</v>
      </c>
      <c r="J162" s="87">
        <f>(VLOOKUP($A:$A,USD!$A:$AL,10,FALSE)*88)/88*20</f>
        <v>100</v>
      </c>
      <c r="K162" s="87">
        <f>(VLOOKUP($A:$A,USD!$A:$AL,11,FALSE)*88)/88*20</f>
        <v>0</v>
      </c>
      <c r="L162" s="87">
        <f>(VLOOKUP($A:$A,USD!$A:$AL,12,FALSE)*88)/88*20</f>
        <v>0</v>
      </c>
      <c r="M162" s="87">
        <f>(VLOOKUP($A:$A,USD!$A:$AL,13,FALSE)*88)/88*20</f>
        <v>0</v>
      </c>
      <c r="N162" s="87">
        <f>(VLOOKUP($A:$A,USD!$A:$AL,14,FALSE)*88)/88*20</f>
        <v>60</v>
      </c>
      <c r="O162" s="68">
        <f>(VLOOKUP($A:$A,USD!$A:$AL,15,FALSE)*88)/88*20</f>
        <v>37.916666666666671</v>
      </c>
      <c r="P162" s="87">
        <f>(VLOOKUP($A:$A,USD!$A:$AL,16,FALSE)*88)/88*20</f>
        <v>0</v>
      </c>
      <c r="Q162" s="68">
        <f t="shared" si="18"/>
        <v>256.91666666666669</v>
      </c>
      <c r="R162" s="68">
        <f t="shared" si="19"/>
        <v>37.916666666666671</v>
      </c>
      <c r="S162" s="68">
        <f>(VLOOKUP($A:$A,USD!$A:$AL,19,FALSE)*88)/88*20</f>
        <v>0</v>
      </c>
      <c r="T162" s="68">
        <f>(VLOOKUP($A:$A,USD!$A:$AL,20,FALSE)*88)/88*20</f>
        <v>0</v>
      </c>
      <c r="U162" s="68">
        <f>(VLOOKUP($A:$A,USD!$A:$AL,21,FALSE)*88)/88*20</f>
        <v>182.7409090909091</v>
      </c>
      <c r="V162" s="68"/>
      <c r="W162" s="68">
        <f t="shared" si="20"/>
        <v>182.7409090909091</v>
      </c>
      <c r="X162" s="1">
        <f>(VLOOKUP($A:$A,USD!$A:$AL,24,FALSE)*88)/88*20</f>
        <v>52</v>
      </c>
      <c r="Y162" s="68">
        <f>(VLOOKUP($A:$A,USD!$A:$AL,25,FALSE)*88)/88*20</f>
        <v>50.4</v>
      </c>
      <c r="Z162" s="68">
        <f>(VLOOKUP($A:$A,USD!$A:$AL,26,FALSE)*88)/88*20</f>
        <v>26.25</v>
      </c>
      <c r="AB162" s="68">
        <f t="shared" si="21"/>
        <v>128.65</v>
      </c>
      <c r="AC162" s="68">
        <f>(VLOOKUP($A:$A,USD!$A:$AL,29,FALSE)*88)/88*20</f>
        <v>110.22727272727273</v>
      </c>
      <c r="AD162" s="68">
        <f>(VLOOKUP($A:$A,USD!$A:$AL,30,FALSE)*88)/88*20</f>
        <v>107.04545454545455</v>
      </c>
      <c r="AF162" s="68">
        <f t="shared" si="22"/>
        <v>217.27272727272728</v>
      </c>
      <c r="AG162" s="87">
        <f>(VLOOKUP($A:$A,USD!$A:$AL,33,FALSE)*88)/88*20</f>
        <v>28.814300000000003</v>
      </c>
      <c r="AH162" s="68">
        <f>(VLOOKUP($A:$A,USD!$A:$AL,34,FALSE)*88)/88*20</f>
        <v>6.973140495867769</v>
      </c>
      <c r="AI162" s="87">
        <f>(VLOOKUP($A:$A,USD!$A:$AL,35,FALSE)*88)/88*20</f>
        <v>12.587317427197677</v>
      </c>
      <c r="AJ162" s="87">
        <f>(VLOOKUP($A:$A,USD!$A:$AL,36,FALSE)*88)/88*20</f>
        <v>6.7351999999999999</v>
      </c>
      <c r="AL162" s="68">
        <f t="shared" si="23"/>
        <v>55.109957923065444</v>
      </c>
      <c r="AM162" s="87">
        <f>(VLOOKUP($A:$A,USD!$A:$AR,39,FALSE)*88)/88*20</f>
        <v>79.999999999999986</v>
      </c>
      <c r="AN162" s="68">
        <f>(VLOOKUP($A:$A,USD!$A:$AR,40,FALSE)*88)/88*20</f>
        <v>26.17808219178082</v>
      </c>
      <c r="AO162" s="1">
        <f>(VLOOKUP($A:$A,USD!$A:$AR,41,FALSE)*88)/88*20</f>
        <v>0</v>
      </c>
      <c r="AR162" s="1">
        <f t="shared" si="24"/>
        <v>106.1780821917808</v>
      </c>
      <c r="AS162" s="38">
        <f t="shared" si="25"/>
        <v>727.86834314514931</v>
      </c>
      <c r="AT162" s="38">
        <f t="shared" si="26"/>
        <v>946.86834314514931</v>
      </c>
      <c r="AW162" s="1" t="e">
        <f>(VLOOKUP(A:A,USD!A:AT,46,FALSE)*88)/88*20</f>
        <v>#N/A</v>
      </c>
      <c r="AX162" s="1" t="e">
        <f>(VLOOKUP(A:A,USD!A:AU,47,FALSE)*88)/88*20</f>
        <v>#N/A</v>
      </c>
    </row>
    <row r="163" spans="1:50" hidden="1">
      <c r="A163" s="1">
        <v>274301</v>
      </c>
      <c r="B163" s="1" t="s">
        <v>427</v>
      </c>
      <c r="C163" s="1" t="s">
        <v>428</v>
      </c>
      <c r="D163" s="1" t="s">
        <v>76</v>
      </c>
      <c r="E163" s="1" t="str">
        <f>VLOOKUP(A:A,USD!A:E,5,FALSE)</f>
        <v>GA 30 Day</v>
      </c>
      <c r="F163" s="1" t="str">
        <f>VLOOKUP(A:A,USD!A:F,6,FALSE)</f>
        <v>ER5</v>
      </c>
      <c r="G163" s="1" t="str">
        <f>VLOOKUP(A:A,'Regions and Ports'!A:G,7,FALSE)</f>
        <v>Savannah</v>
      </c>
      <c r="H163" s="1">
        <f>VLOOKUP(A:A,USD!A:R,8,FALSE)</f>
        <v>4</v>
      </c>
      <c r="I163" s="87">
        <f>(VLOOKUP($A:$A,USD!$A:$AL,9,FALSE)*88)/88*20</f>
        <v>59</v>
      </c>
      <c r="J163" s="87">
        <f>(VLOOKUP($A:$A,USD!$A:$AL,10,FALSE)*88)/88*20</f>
        <v>100</v>
      </c>
      <c r="K163" s="87">
        <f>(VLOOKUP($A:$A,USD!$A:$AL,11,FALSE)*88)/88*20</f>
        <v>0</v>
      </c>
      <c r="L163" s="87">
        <f>(VLOOKUP($A:$A,USD!$A:$AL,12,FALSE)*88)/88*20</f>
        <v>0</v>
      </c>
      <c r="M163" s="87">
        <f>(VLOOKUP($A:$A,USD!$A:$AL,13,FALSE)*88)/88*20</f>
        <v>0</v>
      </c>
      <c r="N163" s="87">
        <f>(VLOOKUP($A:$A,USD!$A:$AL,14,FALSE)*88)/88*20</f>
        <v>60</v>
      </c>
      <c r="O163" s="68">
        <f>(VLOOKUP($A:$A,USD!$A:$AL,15,FALSE)*88)/88*20</f>
        <v>37.916666666666671</v>
      </c>
      <c r="P163" s="87">
        <f>(VLOOKUP($A:$A,USD!$A:$AL,16,FALSE)*88)/88*20</f>
        <v>0</v>
      </c>
      <c r="Q163" s="68">
        <f t="shared" si="18"/>
        <v>256.91666666666669</v>
      </c>
      <c r="R163" s="68">
        <f t="shared" si="19"/>
        <v>37.916666666666671</v>
      </c>
      <c r="S163" s="68">
        <f>(VLOOKUP($A:$A,USD!$A:$AL,19,FALSE)*88)/88*20</f>
        <v>0</v>
      </c>
      <c r="T163" s="68">
        <f>(VLOOKUP($A:$A,USD!$A:$AL,20,FALSE)*88)/88*20</f>
        <v>0</v>
      </c>
      <c r="U163" s="68">
        <f>(VLOOKUP($A:$A,USD!$A:$AL,21,FALSE)*88)/88*20</f>
        <v>166.1585227272727</v>
      </c>
      <c r="V163" s="68"/>
      <c r="W163" s="68">
        <f t="shared" si="20"/>
        <v>166.1585227272727</v>
      </c>
      <c r="X163" s="1">
        <f>(VLOOKUP($A:$A,USD!$A:$AL,24,FALSE)*88)/88*20</f>
        <v>52</v>
      </c>
      <c r="Y163" s="68">
        <f>(VLOOKUP($A:$A,USD!$A:$AL,25,FALSE)*88)/88*20</f>
        <v>50.4</v>
      </c>
      <c r="Z163" s="68">
        <f>(VLOOKUP($A:$A,USD!$A:$AL,26,FALSE)*88)/88*20</f>
        <v>26.25</v>
      </c>
      <c r="AB163" s="68">
        <f t="shared" si="21"/>
        <v>128.65</v>
      </c>
      <c r="AC163" s="68">
        <f>(VLOOKUP($A:$A,USD!$A:$AL,29,FALSE)*88)/88*20</f>
        <v>110.22727272727273</v>
      </c>
      <c r="AD163" s="68">
        <f>(VLOOKUP($A:$A,USD!$A:$AL,30,FALSE)*88)/88*20</f>
        <v>107.04545454545455</v>
      </c>
      <c r="AF163" s="68">
        <f t="shared" si="22"/>
        <v>217.27272727272728</v>
      </c>
      <c r="AG163" s="87">
        <f>(VLOOKUP($A:$A,USD!$A:$AL,33,FALSE)*88)/88*20</f>
        <v>28.814300000000003</v>
      </c>
      <c r="AH163" s="68">
        <f>(VLOOKUP($A:$A,USD!$A:$AL,34,FALSE)*88)/88*20</f>
        <v>6.973140495867769</v>
      </c>
      <c r="AI163" s="87">
        <f>(VLOOKUP($A:$A,USD!$A:$AL,35,FALSE)*88)/88*20</f>
        <v>12.587317427197677</v>
      </c>
      <c r="AJ163" s="87">
        <f>(VLOOKUP($A:$A,USD!$A:$AL,36,FALSE)*88)/88*20</f>
        <v>6.7351999999999999</v>
      </c>
      <c r="AL163" s="68">
        <f t="shared" si="23"/>
        <v>55.109957923065444</v>
      </c>
      <c r="AM163" s="87">
        <f>(VLOOKUP($A:$A,USD!$A:$AR,39,FALSE)*88)/88*20</f>
        <v>79.999999999999986</v>
      </c>
      <c r="AN163" s="68">
        <f>(VLOOKUP($A:$A,USD!$A:$AR,40,FALSE)*88)/88*20</f>
        <v>26.17808219178082</v>
      </c>
      <c r="AO163" s="1">
        <f>(VLOOKUP($A:$A,USD!$A:$AR,41,FALSE)*88)/88*20</f>
        <v>0</v>
      </c>
      <c r="AR163" s="1">
        <f t="shared" si="24"/>
        <v>106.1780821917808</v>
      </c>
      <c r="AS163" s="38">
        <f t="shared" si="25"/>
        <v>711.28595678151282</v>
      </c>
      <c r="AT163" s="38">
        <f t="shared" si="26"/>
        <v>930.28595678151282</v>
      </c>
      <c r="AW163" s="1">
        <f>(VLOOKUP(A:A,USD!A:AT,46,FALSE)*88)/88*20</f>
        <v>527.6159090909091</v>
      </c>
      <c r="AX163" s="1">
        <f>(VLOOKUP(A:A,USD!A:AU,47,FALSE)*88)/88*20</f>
        <v>309.65909090909088</v>
      </c>
    </row>
    <row r="164" spans="1:50">
      <c r="A164" s="1">
        <v>52020</v>
      </c>
      <c r="B164" s="1" t="s">
        <v>429</v>
      </c>
      <c r="C164" s="1" t="s">
        <v>430</v>
      </c>
      <c r="D164" s="1" t="s">
        <v>65</v>
      </c>
      <c r="E164" s="1" t="str">
        <f>VLOOKUP(A:A,USD!A:E,5,FALSE)</f>
        <v>Eastern Rule 5</v>
      </c>
      <c r="F164" s="1" t="str">
        <f>VLOOKUP(A:A,USD!A:F,6,FALSE)</f>
        <v>ER5</v>
      </c>
      <c r="G164" s="1" t="str">
        <f>VLOOKUP(A:A,'Regions and Ports'!A:G,7,FALSE)</f>
        <v>Savannah</v>
      </c>
      <c r="H164" s="1">
        <f>VLOOKUP(A:A,USD!A:R,8,FALSE)</f>
        <v>1</v>
      </c>
      <c r="I164" s="87">
        <f>(VLOOKUP($A:$A,USD!$A:$AL,9,FALSE)*88)/88*20</f>
        <v>0</v>
      </c>
      <c r="J164" s="87">
        <f>(VLOOKUP($A:$A,USD!$A:$AL,10,FALSE)*88)/88*20</f>
        <v>0</v>
      </c>
      <c r="K164" s="87">
        <f>(VLOOKUP($A:$A,USD!$A:$AL,11,FALSE)*88)/88*20</f>
        <v>0</v>
      </c>
      <c r="L164" s="87">
        <f>(VLOOKUP($A:$A,USD!$A:$AL,12,FALSE)*88)/88*20</f>
        <v>0</v>
      </c>
      <c r="M164" s="87">
        <f>(VLOOKUP($A:$A,USD!$A:$AL,13,FALSE)*88)/88*20</f>
        <v>0</v>
      </c>
      <c r="N164" s="87">
        <f>(VLOOKUP($A:$A,USD!$A:$AL,14,FALSE)*88)/88*20</f>
        <v>57</v>
      </c>
      <c r="O164" s="68">
        <f>(VLOOKUP($A:$A,USD!$A:$AL,15,FALSE)*88)/88*20</f>
        <v>37.916666666666671</v>
      </c>
      <c r="P164" s="87">
        <f>(VLOOKUP($A:$A,USD!$A:$AL,16,FALSE)*88)/88*20</f>
        <v>0</v>
      </c>
      <c r="Q164" s="68">
        <f t="shared" si="18"/>
        <v>94.916666666666671</v>
      </c>
      <c r="R164" s="68">
        <f t="shared" si="19"/>
        <v>94.916666666666671</v>
      </c>
      <c r="S164" s="68">
        <f>(VLOOKUP($A:$A,USD!$A:$AL,19,FALSE)*88)/88*20</f>
        <v>0</v>
      </c>
      <c r="T164" s="68">
        <f>(VLOOKUP($A:$A,USD!$A:$AL,20,FALSE)*88)/88*20</f>
        <v>0</v>
      </c>
      <c r="U164" s="68">
        <f>(VLOOKUP($A:$A,USD!$A:$AL,21,FALSE)*88)/88*20</f>
        <v>280.41590909090905</v>
      </c>
      <c r="V164" s="68"/>
      <c r="W164" s="68">
        <f t="shared" si="20"/>
        <v>280.41590909090905</v>
      </c>
      <c r="X164" s="1">
        <f>(VLOOKUP($A:$A,USD!$A:$AL,24,FALSE)*88)/88*20</f>
        <v>52</v>
      </c>
      <c r="Y164" s="68">
        <f>(VLOOKUP($A:$A,USD!$A:$AL,25,FALSE)*88)/88*20</f>
        <v>50.4</v>
      </c>
      <c r="Z164" s="68">
        <f>(VLOOKUP($A:$A,USD!$A:$AL,26,FALSE)*88)/88*20</f>
        <v>26.25</v>
      </c>
      <c r="AB164" s="68">
        <f t="shared" si="21"/>
        <v>128.65</v>
      </c>
      <c r="AC164" s="68">
        <f>(VLOOKUP($A:$A,USD!$A:$AL,29,FALSE)*88)/88*20</f>
        <v>110.22727272727273</v>
      </c>
      <c r="AD164" s="68">
        <f>(VLOOKUP($A:$A,USD!$A:$AL,30,FALSE)*88)/88*20</f>
        <v>107.04545454545455</v>
      </c>
      <c r="AF164" s="68">
        <f t="shared" si="22"/>
        <v>217.27272727272728</v>
      </c>
      <c r="AG164" s="87">
        <f>(VLOOKUP($A:$A,USD!$A:$AL,33,FALSE)*88)/88*20</f>
        <v>28.814300000000003</v>
      </c>
      <c r="AH164" s="68">
        <f>(VLOOKUP($A:$A,USD!$A:$AL,34,FALSE)*88)/88*20</f>
        <v>6.973140495867769</v>
      </c>
      <c r="AI164" s="87">
        <f>(VLOOKUP($A:$A,USD!$A:$AL,35,FALSE)*88)/88*20</f>
        <v>12.587317427197677</v>
      </c>
      <c r="AJ164" s="87">
        <f>(VLOOKUP($A:$A,USD!$A:$AL,36,FALSE)*88)/88*20</f>
        <v>6.7351999999999999</v>
      </c>
      <c r="AL164" s="68">
        <f t="shared" si="23"/>
        <v>55.109957923065444</v>
      </c>
      <c r="AM164" s="87">
        <f>(VLOOKUP($A:$A,USD!$A:$AR,39,FALSE)*88)/88*20</f>
        <v>79.999999999999986</v>
      </c>
      <c r="AN164" s="68">
        <f>(VLOOKUP($A:$A,USD!$A:$AR,40,FALSE)*88)/88*20</f>
        <v>26.17808219178082</v>
      </c>
      <c r="AO164" s="1">
        <f>(VLOOKUP($A:$A,USD!$A:$AR,41,FALSE)*88)/88*20</f>
        <v>0</v>
      </c>
      <c r="AR164" s="1">
        <f t="shared" si="24"/>
        <v>106.1780821917808</v>
      </c>
      <c r="AS164" s="38">
        <f t="shared" si="25"/>
        <v>882.54334314514927</v>
      </c>
      <c r="AT164" s="38">
        <f t="shared" si="26"/>
        <v>882.54334314514927</v>
      </c>
      <c r="AW164" s="1" t="e">
        <f>(VLOOKUP(A:A,USD!A:AT,46,FALSE)*88)/88*20</f>
        <v>#N/A</v>
      </c>
      <c r="AX164" s="1">
        <f>(VLOOKUP(A:A,USD!A:AU,47,FALSE)*88)/88*20</f>
        <v>335.22727272727275</v>
      </c>
    </row>
    <row r="165" spans="1:50" hidden="1">
      <c r="A165" s="1">
        <v>570240</v>
      </c>
      <c r="B165" s="1" t="s">
        <v>431</v>
      </c>
      <c r="C165" s="1" t="s">
        <v>432</v>
      </c>
      <c r="D165" s="1" t="s">
        <v>136</v>
      </c>
      <c r="E165" s="1" t="str">
        <f>VLOOKUP(A:A,USD!A:E,5,FALSE)</f>
        <v>Eastern Rule 5</v>
      </c>
      <c r="F165" s="1" t="str">
        <f>VLOOKUP(A:A,USD!A:F,6,FALSE)</f>
        <v>ER5</v>
      </c>
      <c r="G165" s="1" t="str">
        <f>VLOOKUP(A:A,'Regions and Ports'!A:G,7,FALSE)</f>
        <v>Savannah</v>
      </c>
      <c r="H165" s="1">
        <f>VLOOKUP(A:A,USD!A:R,8,FALSE)</f>
        <v>1</v>
      </c>
      <c r="I165" s="87">
        <f>(VLOOKUP($A:$A,USD!$A:$AL,9,FALSE)*88)/88*20</f>
        <v>40</v>
      </c>
      <c r="J165" s="87">
        <f>(VLOOKUP($A:$A,USD!$A:$AL,10,FALSE)*88)/88*20</f>
        <v>80</v>
      </c>
      <c r="K165" s="87">
        <f>(VLOOKUP($A:$A,USD!$A:$AL,11,FALSE)*88)/88*20</f>
        <v>0</v>
      </c>
      <c r="L165" s="87">
        <f>(VLOOKUP($A:$A,USD!$A:$AL,12,FALSE)*88)/88*20</f>
        <v>0</v>
      </c>
      <c r="M165" s="87">
        <f>(VLOOKUP($A:$A,USD!$A:$AL,13,FALSE)*88)/88*20</f>
        <v>15</v>
      </c>
      <c r="N165" s="87">
        <f>(VLOOKUP($A:$A,USD!$A:$AL,14,FALSE)*88)/88*20</f>
        <v>34</v>
      </c>
      <c r="O165" s="68">
        <f>(VLOOKUP($A:$A,USD!$A:$AL,15,FALSE)*88)/88*20</f>
        <v>37.916666666666671</v>
      </c>
      <c r="P165" s="87">
        <f>(VLOOKUP($A:$A,USD!$A:$AL,16,FALSE)*88)/88*20</f>
        <v>0</v>
      </c>
      <c r="Q165" s="68">
        <f t="shared" si="18"/>
        <v>206.91666666666669</v>
      </c>
      <c r="R165" s="68">
        <f t="shared" si="19"/>
        <v>71.916666666666671</v>
      </c>
      <c r="S165" s="68">
        <f>(VLOOKUP($A:$A,USD!$A:$AL,19,FALSE)*88)/88*20</f>
        <v>0</v>
      </c>
      <c r="T165" s="68">
        <f>(VLOOKUP($A:$A,USD!$A:$AL,20,FALSE)*88)/88*20</f>
        <v>0</v>
      </c>
      <c r="U165" s="68" t="e">
        <f>(VLOOKUP($A:$A,USD!$A:$AL,21,FALSE)*88)/88*20</f>
        <v>#N/A</v>
      </c>
      <c r="V165" s="68"/>
      <c r="W165" s="68" t="e">
        <f t="shared" si="20"/>
        <v>#N/A</v>
      </c>
      <c r="X165" s="1">
        <f>(VLOOKUP($A:$A,USD!$A:$AL,24,FALSE)*88)/88*20</f>
        <v>52</v>
      </c>
      <c r="Y165" s="68">
        <f>(VLOOKUP($A:$A,USD!$A:$AL,25,FALSE)*88)/88*20</f>
        <v>50.4</v>
      </c>
      <c r="Z165" s="68">
        <f>(VLOOKUP($A:$A,USD!$A:$AL,26,FALSE)*88)/88*20</f>
        <v>26.25</v>
      </c>
      <c r="AB165" s="68">
        <f t="shared" si="21"/>
        <v>128.65</v>
      </c>
      <c r="AC165" s="68">
        <f>(VLOOKUP($A:$A,USD!$A:$AL,29,FALSE)*88)/88*20</f>
        <v>110.22727272727273</v>
      </c>
      <c r="AD165" s="68">
        <f>(VLOOKUP($A:$A,USD!$A:$AL,30,FALSE)*88)/88*20</f>
        <v>107.04545454545455</v>
      </c>
      <c r="AF165" s="68">
        <f t="shared" si="22"/>
        <v>217.27272727272728</v>
      </c>
      <c r="AG165" s="87">
        <f>(VLOOKUP($A:$A,USD!$A:$AL,33,FALSE)*88)/88*20</f>
        <v>28.814300000000003</v>
      </c>
      <c r="AH165" s="68">
        <f>(VLOOKUP($A:$A,USD!$A:$AL,34,FALSE)*88)/88*20</f>
        <v>6.973140495867769</v>
      </c>
      <c r="AI165" s="87">
        <f>(VLOOKUP($A:$A,USD!$A:$AL,35,FALSE)*88)/88*20</f>
        <v>12.587317427197677</v>
      </c>
      <c r="AJ165" s="87">
        <f>(VLOOKUP($A:$A,USD!$A:$AL,36,FALSE)*88)/88*20</f>
        <v>6.7351999999999999</v>
      </c>
      <c r="AL165" s="68">
        <f t="shared" si="23"/>
        <v>55.109957923065444</v>
      </c>
      <c r="AM165" s="87">
        <f>(VLOOKUP($A:$A,USD!$A:$AR,39,FALSE)*88)/88*20</f>
        <v>79.999999999999986</v>
      </c>
      <c r="AN165" s="68">
        <f>(VLOOKUP($A:$A,USD!$A:$AR,40,FALSE)*88)/88*20</f>
        <v>26.17808219178082</v>
      </c>
      <c r="AO165" s="1">
        <f>(VLOOKUP($A:$A,USD!$A:$AR,41,FALSE)*88)/88*20</f>
        <v>0</v>
      </c>
      <c r="AR165" s="1">
        <f t="shared" si="24"/>
        <v>106.1780821917808</v>
      </c>
      <c r="AS165" s="38" t="e">
        <f t="shared" si="25"/>
        <v>#N/A</v>
      </c>
      <c r="AT165" s="38" t="e">
        <f t="shared" si="26"/>
        <v>#N/A</v>
      </c>
      <c r="AW165" s="1" t="e">
        <f>(VLOOKUP(A:A,USD!A:AT,46,FALSE)*88)/88*20</f>
        <v>#N/A</v>
      </c>
      <c r="AX165" s="1" t="e">
        <f>(VLOOKUP(A:A,USD!A:AU,47,FALSE)*88)/88*20</f>
        <v>#N/A</v>
      </c>
    </row>
    <row r="166" spans="1:50">
      <c r="A166" s="1">
        <v>52650</v>
      </c>
      <c r="B166" s="1" t="s">
        <v>434</v>
      </c>
      <c r="C166" s="1" t="s">
        <v>435</v>
      </c>
      <c r="D166" s="1" t="s">
        <v>65</v>
      </c>
      <c r="E166" s="1" t="str">
        <f>VLOOKUP(A:A,USD!A:E,5,FALSE)</f>
        <v>Eastern Rule 5</v>
      </c>
      <c r="F166" s="1" t="str">
        <f>VLOOKUP(A:A,USD!A:F,6,FALSE)</f>
        <v>ER5</v>
      </c>
      <c r="G166" s="1" t="str">
        <f>VLOOKUP(A:A,'Regions and Ports'!A:G,7,FALSE)</f>
        <v>Memphis</v>
      </c>
      <c r="H166" s="1">
        <f>VLOOKUP(A:A,USD!A:R,8,FALSE)</f>
        <v>1</v>
      </c>
      <c r="I166" s="87">
        <f>(VLOOKUP($A:$A,USD!$A:$AL,9,FALSE)*88)/88*20</f>
        <v>53</v>
      </c>
      <c r="J166" s="87">
        <f>(VLOOKUP($A:$A,USD!$A:$AL,10,FALSE)*88)/88*20</f>
        <v>120</v>
      </c>
      <c r="K166" s="87">
        <f>(VLOOKUP($A:$A,USD!$A:$AL,11,FALSE)*88)/88*20</f>
        <v>150</v>
      </c>
      <c r="L166" s="87">
        <f>(VLOOKUP($A:$A,USD!$A:$AL,12,FALSE)*88)/88*20</f>
        <v>0</v>
      </c>
      <c r="M166" s="87">
        <f>(VLOOKUP($A:$A,USD!$A:$AL,13,FALSE)*88)/88*20</f>
        <v>0</v>
      </c>
      <c r="N166" s="87">
        <f>(VLOOKUP($A:$A,USD!$A:$AL,14,FALSE)*88)/88*20</f>
        <v>60</v>
      </c>
      <c r="O166" s="68">
        <f>(VLOOKUP($A:$A,USD!$A:$AL,15,FALSE)*88)/88*20</f>
        <v>37.916666666666671</v>
      </c>
      <c r="P166" s="87">
        <f>(VLOOKUP($A:$A,USD!$A:$AL,16,FALSE)*88)/88*20</f>
        <v>0</v>
      </c>
      <c r="Q166" s="68">
        <f t="shared" si="18"/>
        <v>420.91666666666669</v>
      </c>
      <c r="R166" s="68">
        <f t="shared" si="19"/>
        <v>97.916666666666671</v>
      </c>
      <c r="S166" s="68">
        <f>(VLOOKUP($A:$A,USD!$A:$AL,19,FALSE)*88)/88*20</f>
        <v>0</v>
      </c>
      <c r="T166" s="68">
        <f>(VLOOKUP($A:$A,USD!$A:$AL,20,FALSE)*88)/88*20</f>
        <v>0</v>
      </c>
      <c r="U166" s="68">
        <f>(VLOOKUP($A:$A,USD!$A:$AL,21,FALSE)*88)/88*20</f>
        <v>229.20454545454547</v>
      </c>
      <c r="V166" s="68"/>
      <c r="W166" s="68">
        <f t="shared" si="20"/>
        <v>229.20454545454547</v>
      </c>
      <c r="X166" s="1">
        <f>(VLOOKUP($A:$A,USD!$A:$AL,24,FALSE)*88)/88*20</f>
        <v>50</v>
      </c>
      <c r="Y166" s="68">
        <f>(VLOOKUP($A:$A,USD!$A:$AL,25,FALSE)*88)/88*20</f>
        <v>33.6</v>
      </c>
      <c r="Z166" s="68">
        <f>(VLOOKUP($A:$A,USD!$A:$AL,26,FALSE)*88)/88*20</f>
        <v>26.25</v>
      </c>
      <c r="AB166" s="68">
        <f t="shared" si="21"/>
        <v>109.85</v>
      </c>
      <c r="AC166" s="68">
        <f>(VLOOKUP($A:$A,USD!$A:$AL,29,FALSE)*88)/88*20</f>
        <v>146.02272727272725</v>
      </c>
      <c r="AD166" s="68">
        <f>(VLOOKUP($A:$A,USD!$A:$AL,30,FALSE)*88)/88*20</f>
        <v>182.72727272727275</v>
      </c>
      <c r="AF166" s="68">
        <f t="shared" si="22"/>
        <v>328.75</v>
      </c>
      <c r="AG166" s="87">
        <f>(VLOOKUP($A:$A,USD!$A:$AL,33,FALSE)*88)/88*20</f>
        <v>28.814300000000003</v>
      </c>
      <c r="AH166" s="68">
        <f>(VLOOKUP($A:$A,USD!$A:$AL,34,FALSE)*88)/88*20</f>
        <v>6.973140495867769</v>
      </c>
      <c r="AI166" s="87">
        <f>(VLOOKUP($A:$A,USD!$A:$AL,35,FALSE)*88)/88*20</f>
        <v>12.587317427197677</v>
      </c>
      <c r="AJ166" s="87">
        <f>(VLOOKUP($A:$A,USD!$A:$AL,36,FALSE)*88)/88*20</f>
        <v>6.7351999999999999</v>
      </c>
      <c r="AL166" s="68">
        <f t="shared" si="23"/>
        <v>55.109957923065444</v>
      </c>
      <c r="AM166" s="87">
        <f>(VLOOKUP($A:$A,USD!$A:$AR,39,FALSE)*88)/88*20</f>
        <v>79.999999999999986</v>
      </c>
      <c r="AN166" s="68">
        <f>(VLOOKUP($A:$A,USD!$A:$AR,40,FALSE)*88)/88*20</f>
        <v>26.17808219178082</v>
      </c>
      <c r="AO166" s="1">
        <f>(VLOOKUP($A:$A,USD!$A:$AR,41,FALSE)*88)/88*20</f>
        <v>0</v>
      </c>
      <c r="AR166" s="1">
        <f t="shared" si="24"/>
        <v>106.1780821917808</v>
      </c>
      <c r="AS166" s="38">
        <f t="shared" si="25"/>
        <v>927.00925223605839</v>
      </c>
      <c r="AT166" s="38">
        <f t="shared" si="26"/>
        <v>1250.0092522360583</v>
      </c>
      <c r="AW166" s="1" t="e">
        <f>(VLOOKUP(A:A,USD!A:AT,46,FALSE)*88)/88*20</f>
        <v>#N/A</v>
      </c>
      <c r="AX166" s="1">
        <f>(VLOOKUP(A:A,USD!A:AU,47,FALSE)*88)/88*20</f>
        <v>353.97727272727275</v>
      </c>
    </row>
    <row r="167" spans="1:50" hidden="1">
      <c r="A167" s="1">
        <v>565806</v>
      </c>
      <c r="B167" s="1" t="s">
        <v>436</v>
      </c>
      <c r="C167" s="1" t="s">
        <v>437</v>
      </c>
      <c r="D167" s="1" t="s">
        <v>136</v>
      </c>
      <c r="E167" s="1" t="str">
        <f>VLOOKUP(A:A,USD!A:E,5,FALSE)</f>
        <v>Eastern Rule 5</v>
      </c>
      <c r="F167" s="1" t="str">
        <f>VLOOKUP(A:A,USD!A:F,6,FALSE)</f>
        <v>ER5</v>
      </c>
      <c r="G167" s="1" t="str">
        <f>VLOOKUP(A:A,'Regions and Ports'!A:G,7,FALSE)</f>
        <v>Savannah</v>
      </c>
      <c r="H167" s="1">
        <f>VLOOKUP(A:A,USD!A:R,8,FALSE)</f>
        <v>1</v>
      </c>
      <c r="I167" s="87">
        <f>(VLOOKUP($A:$A,USD!$A:$AL,9,FALSE)*88)/88*20</f>
        <v>80</v>
      </c>
      <c r="J167" s="87">
        <f>(VLOOKUP($A:$A,USD!$A:$AL,10,FALSE)*88)/88*20</f>
        <v>90</v>
      </c>
      <c r="K167" s="87">
        <f>(VLOOKUP($A:$A,USD!$A:$AL,11,FALSE)*88)/88*20</f>
        <v>0</v>
      </c>
      <c r="L167" s="87">
        <f>(VLOOKUP($A:$A,USD!$A:$AL,12,FALSE)*88)/88*20</f>
        <v>0</v>
      </c>
      <c r="M167" s="87">
        <f>(VLOOKUP($A:$A,USD!$A:$AL,13,FALSE)*88)/88*20</f>
        <v>0</v>
      </c>
      <c r="N167" s="87">
        <f>(VLOOKUP($A:$A,USD!$A:$AL,14,FALSE)*88)/88*20</f>
        <v>37</v>
      </c>
      <c r="O167" s="68">
        <f>(VLOOKUP($A:$A,USD!$A:$AL,15,FALSE)*88)/88*20</f>
        <v>37.916666666666671</v>
      </c>
      <c r="P167" s="87">
        <f>(VLOOKUP($A:$A,USD!$A:$AL,16,FALSE)*88)/88*20</f>
        <v>0</v>
      </c>
      <c r="Q167" s="68">
        <f t="shared" si="18"/>
        <v>244.91666666666669</v>
      </c>
      <c r="R167" s="68">
        <f t="shared" si="19"/>
        <v>74.916666666666671</v>
      </c>
      <c r="S167" s="68">
        <f>(VLOOKUP($A:$A,USD!$A:$AL,19,FALSE)*88)/88*20</f>
        <v>0</v>
      </c>
      <c r="T167" s="68">
        <f>(VLOOKUP($A:$A,USD!$A:$AL,20,FALSE)*88)/88*20</f>
        <v>0</v>
      </c>
      <c r="U167" s="68">
        <f>(VLOOKUP($A:$A,USD!$A:$AL,21,FALSE)*88)/88*20</f>
        <v>280.45000000000005</v>
      </c>
      <c r="V167" s="68"/>
      <c r="W167" s="68">
        <f t="shared" si="20"/>
        <v>280.45000000000005</v>
      </c>
      <c r="X167" s="1">
        <f>(VLOOKUP($A:$A,USD!$A:$AL,24,FALSE)*88)/88*20</f>
        <v>52</v>
      </c>
      <c r="Y167" s="68">
        <f>(VLOOKUP($A:$A,USD!$A:$AL,25,FALSE)*88)/88*20</f>
        <v>50.4</v>
      </c>
      <c r="Z167" s="68">
        <f>(VLOOKUP($A:$A,USD!$A:$AL,26,FALSE)*88)/88*20</f>
        <v>26.25</v>
      </c>
      <c r="AB167" s="68">
        <f t="shared" si="21"/>
        <v>128.65</v>
      </c>
      <c r="AC167" s="68">
        <f>(VLOOKUP($A:$A,USD!$A:$AL,29,FALSE)*88)/88*20</f>
        <v>110.22727272727273</v>
      </c>
      <c r="AD167" s="68">
        <f>(VLOOKUP($A:$A,USD!$A:$AL,30,FALSE)*88)/88*20</f>
        <v>107.04545454545455</v>
      </c>
      <c r="AF167" s="68">
        <f t="shared" si="22"/>
        <v>217.27272727272728</v>
      </c>
      <c r="AG167" s="87">
        <f>(VLOOKUP($A:$A,USD!$A:$AL,33,FALSE)*88)/88*20</f>
        <v>28.814300000000003</v>
      </c>
      <c r="AH167" s="68">
        <f>(VLOOKUP($A:$A,USD!$A:$AL,34,FALSE)*88)/88*20</f>
        <v>6.973140495867769</v>
      </c>
      <c r="AI167" s="87">
        <f>(VLOOKUP($A:$A,USD!$A:$AL,35,FALSE)*88)/88*20</f>
        <v>12.587317427197677</v>
      </c>
      <c r="AJ167" s="87">
        <f>(VLOOKUP($A:$A,USD!$A:$AL,36,FALSE)*88)/88*20</f>
        <v>6.7351999999999999</v>
      </c>
      <c r="AL167" s="68">
        <f t="shared" si="23"/>
        <v>55.109957923065444</v>
      </c>
      <c r="AM167" s="87">
        <f>(VLOOKUP($A:$A,USD!$A:$AR,39,FALSE)*88)/88*20</f>
        <v>79.999999999999986</v>
      </c>
      <c r="AN167" s="68">
        <f>(VLOOKUP($A:$A,USD!$A:$AR,40,FALSE)*88)/88*20</f>
        <v>26.17808219178082</v>
      </c>
      <c r="AO167" s="1">
        <f>(VLOOKUP($A:$A,USD!$A:$AR,41,FALSE)*88)/88*20</f>
        <v>0</v>
      </c>
      <c r="AR167" s="1">
        <f t="shared" si="24"/>
        <v>106.1780821917808</v>
      </c>
      <c r="AS167" s="38">
        <f t="shared" si="25"/>
        <v>862.57743405424026</v>
      </c>
      <c r="AT167" s="38">
        <f t="shared" si="26"/>
        <v>1032.5774340542403</v>
      </c>
      <c r="AW167" s="1" t="e">
        <f>(VLOOKUP(A:A,USD!A:AT,46,FALSE)*88)/88*20</f>
        <v>#N/A</v>
      </c>
      <c r="AX167" s="1">
        <f>(VLOOKUP(A:A,USD!A:AU,47,FALSE)*88)/88*20</f>
        <v>249.65909090909091</v>
      </c>
    </row>
    <row r="168" spans="1:50" hidden="1">
      <c r="A168" s="1">
        <v>858063</v>
      </c>
      <c r="B168" s="1" t="s">
        <v>438</v>
      </c>
      <c r="C168" s="1" t="s">
        <v>439</v>
      </c>
      <c r="D168" s="1" t="s">
        <v>71</v>
      </c>
      <c r="E168" s="1" t="str">
        <f>VLOOKUP(A:A,USD!A:E,5,FALSE)</f>
        <v>STEX</v>
      </c>
      <c r="F168" s="1" t="str">
        <f>VLOOKUP(A:A,USD!A:F,6,FALSE)</f>
        <v>STX</v>
      </c>
      <c r="G168" s="1" t="str">
        <f>VLOOKUP(A:A,'Regions and Ports'!A:G,7,FALSE)</f>
        <v>Houston</v>
      </c>
      <c r="H168" s="1">
        <f>VLOOKUP(A:A,USD!A:R,8,FALSE)</f>
        <v>3</v>
      </c>
      <c r="I168" s="87">
        <f>(VLOOKUP($A:$A,USD!$A:$AL,9,FALSE)*88)/88*20</f>
        <v>95</v>
      </c>
      <c r="J168" s="87">
        <f>(VLOOKUP($A:$A,USD!$A:$AL,10,FALSE)*88)/88*20</f>
        <v>150</v>
      </c>
      <c r="K168" s="87">
        <f>(VLOOKUP($A:$A,USD!$A:$AL,11,FALSE)*88)/88*20</f>
        <v>210</v>
      </c>
      <c r="L168" s="87">
        <f>(VLOOKUP($A:$A,USD!$A:$AL,12,FALSE)*88)/88*20</f>
        <v>0</v>
      </c>
      <c r="M168" s="87">
        <f>(VLOOKUP($A:$A,USD!$A:$AL,13,FALSE)*88)/88*20</f>
        <v>32</v>
      </c>
      <c r="N168" s="87">
        <f>(VLOOKUP($A:$A,USD!$A:$AL,14,FALSE)*88)/88*20</f>
        <v>85</v>
      </c>
      <c r="O168" s="68">
        <f>(VLOOKUP($A:$A,USD!$A:$AL,15,FALSE)*88)/88*20</f>
        <v>37.916666666666671</v>
      </c>
      <c r="P168" s="87">
        <f>(VLOOKUP($A:$A,USD!$A:$AL,16,FALSE)*88)/88*20</f>
        <v>0</v>
      </c>
      <c r="Q168" s="68">
        <f t="shared" si="18"/>
        <v>609.91666666666663</v>
      </c>
      <c r="R168" s="68">
        <f t="shared" si="19"/>
        <v>482.91666666666669</v>
      </c>
      <c r="S168" s="68">
        <f>(VLOOKUP($A:$A,USD!$A:$AL,19,FALSE)*88)/88*20</f>
        <v>0</v>
      </c>
      <c r="T168" s="68">
        <f>(VLOOKUP($A:$A,USD!$A:$AL,20,FALSE)*88)/88*20</f>
        <v>0</v>
      </c>
      <c r="U168" s="68">
        <f>(VLOOKUP($A:$A,USD!$A:$AL,21,FALSE)*88)/88*20</f>
        <v>130.68181818181819</v>
      </c>
      <c r="V168" s="68"/>
      <c r="W168" s="68">
        <f t="shared" si="20"/>
        <v>130.68181818181819</v>
      </c>
      <c r="X168" s="1">
        <f>(VLOOKUP($A:$A,USD!$A:$AL,24,FALSE)*88)/88*20</f>
        <v>54</v>
      </c>
      <c r="Y168" s="68">
        <f>(VLOOKUP($A:$A,USD!$A:$AL,25,FALSE)*88)/88*20</f>
        <v>50.4</v>
      </c>
      <c r="Z168" s="68">
        <f>(VLOOKUP($A:$A,USD!$A:$AL,26,FALSE)*88)/88*20</f>
        <v>26.25</v>
      </c>
      <c r="AB168" s="68">
        <f t="shared" si="21"/>
        <v>130.65</v>
      </c>
      <c r="AC168" s="68">
        <f>(VLOOKUP($A:$A,USD!$A:$AL,29,FALSE)*88)/88*20</f>
        <v>132.95454545454544</v>
      </c>
      <c r="AD168" s="68">
        <f>(VLOOKUP($A:$A,USD!$A:$AL,30,FALSE)*88)/88*20</f>
        <v>197.95454545454547</v>
      </c>
      <c r="AF168" s="68">
        <f t="shared" si="22"/>
        <v>330.90909090909088</v>
      </c>
      <c r="AG168" s="87">
        <f>(VLOOKUP($A:$A,USD!$A:$AL,33,FALSE)*88)/88*20</f>
        <v>28.814300000000003</v>
      </c>
      <c r="AH168" s="68">
        <f>(VLOOKUP($A:$A,USD!$A:$AL,34,FALSE)*88)/88*20</f>
        <v>6.973140495867769</v>
      </c>
      <c r="AI168" s="87">
        <f>(VLOOKUP($A:$A,USD!$A:$AL,35,FALSE)*88)/88*20</f>
        <v>12.587317427197677</v>
      </c>
      <c r="AJ168" s="87">
        <f>(VLOOKUP($A:$A,USD!$A:$AL,36,FALSE)*88)/88*20</f>
        <v>6.7351999999999999</v>
      </c>
      <c r="AL168" s="68">
        <f t="shared" si="23"/>
        <v>55.109957923065444</v>
      </c>
      <c r="AM168" s="87">
        <f>(VLOOKUP($A:$A,USD!$A:$AR,39,FALSE)*88)/88*20</f>
        <v>79.999999999999986</v>
      </c>
      <c r="AN168" s="68">
        <f>(VLOOKUP($A:$A,USD!$A:$AR,40,FALSE)*88)/88*20</f>
        <v>26.17808219178082</v>
      </c>
      <c r="AO168" s="1">
        <f>(VLOOKUP($A:$A,USD!$A:$AR,41,FALSE)*88)/88*20</f>
        <v>0</v>
      </c>
      <c r="AR168" s="1">
        <f t="shared" si="24"/>
        <v>106.1780821917808</v>
      </c>
      <c r="AS168" s="38">
        <f t="shared" si="25"/>
        <v>1236.4456158724217</v>
      </c>
      <c r="AT168" s="38">
        <f t="shared" si="26"/>
        <v>1363.4456158724217</v>
      </c>
      <c r="AW168" s="1">
        <f>(VLOOKUP(A:A,USD!A:AT,46,FALSE)*88)/88*20</f>
        <v>437.24772727272722</v>
      </c>
      <c r="AX168" s="1" t="e">
        <f>(VLOOKUP(A:A,USD!A:AU,47,FALSE)*88)/88*20</f>
        <v>#N/A</v>
      </c>
    </row>
    <row r="169" spans="1:50" hidden="1">
      <c r="A169" s="1">
        <v>871048</v>
      </c>
      <c r="B169" s="1" t="s">
        <v>441</v>
      </c>
      <c r="C169" s="1" t="s">
        <v>439</v>
      </c>
      <c r="D169" s="1" t="s">
        <v>71</v>
      </c>
      <c r="E169" s="1" t="str">
        <f>VLOOKUP(A:A,USD!A:E,5,FALSE)</f>
        <v>STEX</v>
      </c>
      <c r="F169" s="1" t="str">
        <f>VLOOKUP(A:A,USD!A:F,6,FALSE)</f>
        <v>STX</v>
      </c>
      <c r="G169" s="1" t="str">
        <f>VLOOKUP(A:A,'Regions and Ports'!A:G,7,FALSE)</f>
        <v>Houston</v>
      </c>
      <c r="H169" s="1">
        <f>VLOOKUP(A:A,USD!A:R,8,FALSE)</f>
        <v>3</v>
      </c>
      <c r="I169" s="87">
        <f>(VLOOKUP($A:$A,USD!$A:$AL,9,FALSE)*88)/88*20</f>
        <v>100</v>
      </c>
      <c r="J169" s="87">
        <f>(VLOOKUP($A:$A,USD!$A:$AL,10,FALSE)*88)/88*20</f>
        <v>140</v>
      </c>
      <c r="K169" s="87">
        <f>(VLOOKUP($A:$A,USD!$A:$AL,11,FALSE)*88)/88*20</f>
        <v>190</v>
      </c>
      <c r="L169" s="87">
        <f>(VLOOKUP($A:$A,USD!$A:$AL,12,FALSE)*88)/88*20</f>
        <v>0</v>
      </c>
      <c r="M169" s="87">
        <f>(VLOOKUP($A:$A,USD!$A:$AL,13,FALSE)*88)/88*20</f>
        <v>10</v>
      </c>
      <c r="N169" s="87">
        <f>(VLOOKUP($A:$A,USD!$A:$AL,14,FALSE)*88)/88*20</f>
        <v>80</v>
      </c>
      <c r="O169" s="68">
        <f>(VLOOKUP($A:$A,USD!$A:$AL,15,FALSE)*88)/88*20</f>
        <v>37.916666666666671</v>
      </c>
      <c r="P169" s="87">
        <f>(VLOOKUP($A:$A,USD!$A:$AL,16,FALSE)*88)/88*20</f>
        <v>0</v>
      </c>
      <c r="Q169" s="68">
        <f t="shared" si="18"/>
        <v>557.91666666666663</v>
      </c>
      <c r="R169" s="68">
        <f t="shared" si="19"/>
        <v>447.91666666666669</v>
      </c>
      <c r="S169" s="68">
        <f>(VLOOKUP($A:$A,USD!$A:$AL,19,FALSE)*88)/88*20</f>
        <v>0</v>
      </c>
      <c r="T169" s="68">
        <f>(VLOOKUP($A:$A,USD!$A:$AL,20,FALSE)*88)/88*20</f>
        <v>0</v>
      </c>
      <c r="U169" s="68">
        <f>(VLOOKUP($A:$A,USD!$A:$AL,21,FALSE)*88)/88*20</f>
        <v>130.68181818181819</v>
      </c>
      <c r="V169" s="68"/>
      <c r="W169" s="68">
        <f t="shared" si="20"/>
        <v>130.68181818181819</v>
      </c>
      <c r="X169" s="1">
        <f>(VLOOKUP($A:$A,USD!$A:$AL,24,FALSE)*88)/88*20</f>
        <v>54</v>
      </c>
      <c r="Y169" s="68">
        <f>(VLOOKUP($A:$A,USD!$A:$AL,25,FALSE)*88)/88*20</f>
        <v>50.4</v>
      </c>
      <c r="Z169" s="68">
        <f>(VLOOKUP($A:$A,USD!$A:$AL,26,FALSE)*88)/88*20</f>
        <v>26.25</v>
      </c>
      <c r="AB169" s="68">
        <f t="shared" si="21"/>
        <v>130.65</v>
      </c>
      <c r="AC169" s="68">
        <f>(VLOOKUP($A:$A,USD!$A:$AL,29,FALSE)*88)/88*20</f>
        <v>132.95454545454544</v>
      </c>
      <c r="AD169" s="68">
        <f>(VLOOKUP($A:$A,USD!$A:$AL,30,FALSE)*88)/88*20</f>
        <v>197.95454545454547</v>
      </c>
      <c r="AF169" s="68">
        <f t="shared" si="22"/>
        <v>330.90909090909088</v>
      </c>
      <c r="AG169" s="87">
        <f>(VLOOKUP($A:$A,USD!$A:$AL,33,FALSE)*88)/88*20</f>
        <v>28.814300000000003</v>
      </c>
      <c r="AH169" s="68">
        <f>(VLOOKUP($A:$A,USD!$A:$AL,34,FALSE)*88)/88*20</f>
        <v>6.973140495867769</v>
      </c>
      <c r="AI169" s="87">
        <f>(VLOOKUP($A:$A,USD!$A:$AL,35,FALSE)*88)/88*20</f>
        <v>12.587317427197677</v>
      </c>
      <c r="AJ169" s="87">
        <f>(VLOOKUP($A:$A,USD!$A:$AL,36,FALSE)*88)/88*20</f>
        <v>6.7351999999999999</v>
      </c>
      <c r="AL169" s="68">
        <f t="shared" si="23"/>
        <v>55.109957923065444</v>
      </c>
      <c r="AM169" s="87">
        <f>(VLOOKUP($A:$A,USD!$A:$AR,39,FALSE)*88)/88*20</f>
        <v>79.999999999999986</v>
      </c>
      <c r="AN169" s="68">
        <f>(VLOOKUP($A:$A,USD!$A:$AR,40,FALSE)*88)/88*20</f>
        <v>26.17808219178082</v>
      </c>
      <c r="AO169" s="1">
        <f>(VLOOKUP($A:$A,USD!$A:$AR,41,FALSE)*88)/88*20</f>
        <v>0</v>
      </c>
      <c r="AR169" s="1">
        <f t="shared" si="24"/>
        <v>106.1780821917808</v>
      </c>
      <c r="AS169" s="38">
        <f t="shared" si="25"/>
        <v>1201.4456158724217</v>
      </c>
      <c r="AT169" s="38">
        <f t="shared" si="26"/>
        <v>1311.4456158724217</v>
      </c>
      <c r="AW169" s="1">
        <f>(VLOOKUP(A:A,USD!A:AT,46,FALSE)*88)/88*20</f>
        <v>437.24772727272722</v>
      </c>
      <c r="AX169" s="1" t="e">
        <f>(VLOOKUP(A:A,USD!A:AU,47,FALSE)*88)/88*20</f>
        <v>#N/A</v>
      </c>
    </row>
    <row r="170" spans="1:50" hidden="1">
      <c r="A170" s="1">
        <v>871049</v>
      </c>
      <c r="B170" s="1" t="s">
        <v>443</v>
      </c>
      <c r="C170" s="1" t="s">
        <v>439</v>
      </c>
      <c r="D170" s="1" t="s">
        <v>71</v>
      </c>
      <c r="E170" s="1" t="str">
        <f>VLOOKUP(A:A,USD!A:E,5,FALSE)</f>
        <v>STEX</v>
      </c>
      <c r="F170" s="1" t="str">
        <f>VLOOKUP(A:A,USD!A:F,6,FALSE)</f>
        <v>STX</v>
      </c>
      <c r="G170" s="1" t="str">
        <f>VLOOKUP(A:A,'Regions and Ports'!A:G,7,FALSE)</f>
        <v>Houston</v>
      </c>
      <c r="H170" s="1">
        <f>VLOOKUP(A:A,USD!A:R,8,FALSE)</f>
        <v>3</v>
      </c>
      <c r="I170" s="87">
        <f>(VLOOKUP($A:$A,USD!$A:$AL,9,FALSE)*88)/88*20</f>
        <v>100</v>
      </c>
      <c r="J170" s="87">
        <f>(VLOOKUP($A:$A,USD!$A:$AL,10,FALSE)*88)/88*20</f>
        <v>140</v>
      </c>
      <c r="K170" s="87">
        <f>(VLOOKUP($A:$A,USD!$A:$AL,11,FALSE)*88)/88*20</f>
        <v>190</v>
      </c>
      <c r="L170" s="87">
        <f>(VLOOKUP($A:$A,USD!$A:$AL,12,FALSE)*88)/88*20</f>
        <v>0</v>
      </c>
      <c r="M170" s="87">
        <f>(VLOOKUP($A:$A,USD!$A:$AL,13,FALSE)*88)/88*20</f>
        <v>0</v>
      </c>
      <c r="N170" s="87">
        <f>(VLOOKUP($A:$A,USD!$A:$AL,14,FALSE)*88)/88*20</f>
        <v>80</v>
      </c>
      <c r="O170" s="68">
        <f>(VLOOKUP($A:$A,USD!$A:$AL,15,FALSE)*88)/88*20</f>
        <v>37.916666666666671</v>
      </c>
      <c r="P170" s="87">
        <f>(VLOOKUP($A:$A,USD!$A:$AL,16,FALSE)*88)/88*20</f>
        <v>0</v>
      </c>
      <c r="Q170" s="68">
        <f t="shared" si="18"/>
        <v>547.91666666666663</v>
      </c>
      <c r="R170" s="68">
        <f t="shared" si="19"/>
        <v>447.91666666666669</v>
      </c>
      <c r="S170" s="68">
        <f>(VLOOKUP($A:$A,USD!$A:$AL,19,FALSE)*88)/88*20</f>
        <v>0</v>
      </c>
      <c r="T170" s="68">
        <f>(VLOOKUP($A:$A,USD!$A:$AL,20,FALSE)*88)/88*20</f>
        <v>0</v>
      </c>
      <c r="U170" s="68">
        <f>(VLOOKUP($A:$A,USD!$A:$AL,21,FALSE)*88)/88*20</f>
        <v>130.68181818181819</v>
      </c>
      <c r="V170" s="68"/>
      <c r="W170" s="68">
        <f t="shared" si="20"/>
        <v>130.68181818181819</v>
      </c>
      <c r="X170" s="1">
        <f>(VLOOKUP($A:$A,USD!$A:$AL,24,FALSE)*88)/88*20</f>
        <v>54</v>
      </c>
      <c r="Y170" s="68">
        <f>(VLOOKUP($A:$A,USD!$A:$AL,25,FALSE)*88)/88*20</f>
        <v>50.4</v>
      </c>
      <c r="Z170" s="68">
        <f>(VLOOKUP($A:$A,USD!$A:$AL,26,FALSE)*88)/88*20</f>
        <v>26.25</v>
      </c>
      <c r="AB170" s="68">
        <f t="shared" si="21"/>
        <v>130.65</v>
      </c>
      <c r="AC170" s="68">
        <f>(VLOOKUP($A:$A,USD!$A:$AL,29,FALSE)*88)/88*20</f>
        <v>132.95454545454544</v>
      </c>
      <c r="AD170" s="68">
        <f>(VLOOKUP($A:$A,USD!$A:$AL,30,FALSE)*88)/88*20</f>
        <v>197.95454545454547</v>
      </c>
      <c r="AF170" s="68">
        <f t="shared" si="22"/>
        <v>330.90909090909088</v>
      </c>
      <c r="AG170" s="87">
        <f>(VLOOKUP($A:$A,USD!$A:$AL,33,FALSE)*88)/88*20</f>
        <v>28.814300000000003</v>
      </c>
      <c r="AH170" s="68">
        <f>(VLOOKUP($A:$A,USD!$A:$AL,34,FALSE)*88)/88*20</f>
        <v>6.973140495867769</v>
      </c>
      <c r="AI170" s="87">
        <f>(VLOOKUP($A:$A,USD!$A:$AL,35,FALSE)*88)/88*20</f>
        <v>12.587317427197677</v>
      </c>
      <c r="AJ170" s="87">
        <f>(VLOOKUP($A:$A,USD!$A:$AL,36,FALSE)*88)/88*20</f>
        <v>6.7351999999999999</v>
      </c>
      <c r="AL170" s="68">
        <f t="shared" si="23"/>
        <v>55.109957923065444</v>
      </c>
      <c r="AM170" s="87">
        <f>(VLOOKUP($A:$A,USD!$A:$AR,39,FALSE)*88)/88*20</f>
        <v>79.999999999999986</v>
      </c>
      <c r="AN170" s="68">
        <f>(VLOOKUP($A:$A,USD!$A:$AR,40,FALSE)*88)/88*20</f>
        <v>26.17808219178082</v>
      </c>
      <c r="AO170" s="1">
        <f>(VLOOKUP($A:$A,USD!$A:$AR,41,FALSE)*88)/88*20</f>
        <v>0</v>
      </c>
      <c r="AR170" s="1">
        <f t="shared" si="24"/>
        <v>106.1780821917808</v>
      </c>
      <c r="AS170" s="38">
        <f t="shared" si="25"/>
        <v>1201.4456158724217</v>
      </c>
      <c r="AT170" s="38">
        <f t="shared" si="26"/>
        <v>1301.4456158724217</v>
      </c>
      <c r="AW170" s="1">
        <f>(VLOOKUP(A:A,USD!A:AT,46,FALSE)*88)/88*20</f>
        <v>437.24772727272722</v>
      </c>
      <c r="AX170" s="1" t="e">
        <f>(VLOOKUP(A:A,USD!A:AU,47,FALSE)*88)/88*20</f>
        <v>#N/A</v>
      </c>
    </row>
    <row r="171" spans="1:50" hidden="1">
      <c r="A171" s="1">
        <v>791730</v>
      </c>
      <c r="B171" s="1" t="s">
        <v>444</v>
      </c>
      <c r="C171" s="1" t="s">
        <v>445</v>
      </c>
      <c r="D171" s="1" t="s">
        <v>168</v>
      </c>
      <c r="E171" s="1" t="str">
        <f>VLOOKUP(A:A,USD!A:E,5,FALSE)</f>
        <v>Memphis Rule 5</v>
      </c>
      <c r="F171" s="1" t="str">
        <f>VLOOKUP(A:A,USD!A:F,6,FALSE)</f>
        <v>MR5</v>
      </c>
      <c r="G171" s="1" t="str">
        <f>VLOOKUP(A:A,'Regions and Ports'!A:G,7,FALSE)</f>
        <v>Memphis</v>
      </c>
      <c r="H171" s="1">
        <f>VLOOKUP(A:A,USD!A:R,8,FALSE)</f>
        <v>1</v>
      </c>
      <c r="I171" s="87">
        <f>(VLOOKUP($A:$A,USD!$A:$AL,9,FALSE)*88)/88*20</f>
        <v>0</v>
      </c>
      <c r="J171" s="87">
        <f>(VLOOKUP($A:$A,USD!$A:$AL,10,FALSE)*88)/88*20</f>
        <v>289</v>
      </c>
      <c r="K171" s="87">
        <f>(VLOOKUP($A:$A,USD!$A:$AL,11,FALSE)*88)/88*20</f>
        <v>0</v>
      </c>
      <c r="L171" s="87">
        <f>(VLOOKUP($A:$A,USD!$A:$AL,12,FALSE)*88)/88*20</f>
        <v>61</v>
      </c>
      <c r="M171" s="87">
        <f>(VLOOKUP($A:$A,USD!$A:$AL,13,FALSE)*88)/88*20</f>
        <v>0</v>
      </c>
      <c r="N171" s="87">
        <f>(VLOOKUP($A:$A,USD!$A:$AL,14,FALSE)*88)/88*20</f>
        <v>80</v>
      </c>
      <c r="O171" s="68">
        <f>(VLOOKUP($A:$A,USD!$A:$AL,15,FALSE)*88)/88*20</f>
        <v>37.916666666666671</v>
      </c>
      <c r="P171" s="87">
        <f>(VLOOKUP($A:$A,USD!$A:$AL,16,FALSE)*88)/88*20</f>
        <v>0</v>
      </c>
      <c r="Q171" s="68">
        <f t="shared" si="18"/>
        <v>467.91666666666669</v>
      </c>
      <c r="R171" s="68">
        <f t="shared" si="19"/>
        <v>117.91666666666667</v>
      </c>
      <c r="S171" s="68">
        <f>(VLOOKUP($A:$A,USD!$A:$AL,19,FALSE)*88)/88*20</f>
        <v>0</v>
      </c>
      <c r="T171" s="68">
        <f>(VLOOKUP($A:$A,USD!$A:$AL,20,FALSE)*88)/88*20</f>
        <v>0</v>
      </c>
      <c r="U171" s="68">
        <f>(VLOOKUP($A:$A,USD!$A:$AL,21,FALSE)*88)/88*20</f>
        <v>146.02272727272725</v>
      </c>
      <c r="V171" s="68"/>
      <c r="W171" s="68">
        <f t="shared" si="20"/>
        <v>146.02272727272725</v>
      </c>
      <c r="X171" s="1">
        <f>(VLOOKUP($A:$A,USD!$A:$AL,24,FALSE)*88)/88*20</f>
        <v>50</v>
      </c>
      <c r="Y171" s="68">
        <f>(VLOOKUP($A:$A,USD!$A:$AL,25,FALSE)*88)/88*20</f>
        <v>33.6</v>
      </c>
      <c r="Z171" s="68">
        <f>(VLOOKUP($A:$A,USD!$A:$AL,26,FALSE)*88)/88*20</f>
        <v>26.25</v>
      </c>
      <c r="AB171" s="68">
        <f t="shared" si="21"/>
        <v>109.85</v>
      </c>
      <c r="AC171" s="68">
        <f>(VLOOKUP($A:$A,USD!$A:$AL,29,FALSE)*88)/88*20</f>
        <v>146.02272727272725</v>
      </c>
      <c r="AD171" s="68">
        <f>(VLOOKUP($A:$A,USD!$A:$AL,30,FALSE)*88)/88*20</f>
        <v>182.72727272727275</v>
      </c>
      <c r="AF171" s="68">
        <f t="shared" si="22"/>
        <v>328.75</v>
      </c>
      <c r="AG171" s="87">
        <f>(VLOOKUP($A:$A,USD!$A:$AL,33,FALSE)*88)/88*20</f>
        <v>28.814300000000003</v>
      </c>
      <c r="AH171" s="68">
        <f>(VLOOKUP($A:$A,USD!$A:$AL,34,FALSE)*88)/88*20</f>
        <v>6.973140495867769</v>
      </c>
      <c r="AI171" s="87">
        <f>(VLOOKUP($A:$A,USD!$A:$AL,35,FALSE)*88)/88*20</f>
        <v>12.587317427197677</v>
      </c>
      <c r="AJ171" s="87">
        <f>(VLOOKUP($A:$A,USD!$A:$AL,36,FALSE)*88)/88*20</f>
        <v>6.7351999999999999</v>
      </c>
      <c r="AL171" s="68">
        <f t="shared" si="23"/>
        <v>55.109957923065444</v>
      </c>
      <c r="AM171" s="87">
        <f>(VLOOKUP($A:$A,USD!$A:$AR,39,FALSE)*88)/88*20</f>
        <v>79.999999999999986</v>
      </c>
      <c r="AN171" s="68">
        <f>(VLOOKUP($A:$A,USD!$A:$AR,40,FALSE)*88)/88*20</f>
        <v>26.17808219178082</v>
      </c>
      <c r="AO171" s="1">
        <f>(VLOOKUP($A:$A,USD!$A:$AR,41,FALSE)*88)/88*20</f>
        <v>0</v>
      </c>
      <c r="AR171" s="1">
        <f t="shared" si="24"/>
        <v>106.1780821917808</v>
      </c>
      <c r="AS171" s="38">
        <f t="shared" si="25"/>
        <v>863.82743405424014</v>
      </c>
      <c r="AT171" s="38">
        <f t="shared" si="26"/>
        <v>1213.82743405424</v>
      </c>
      <c r="AW171" s="1" t="e">
        <f>(VLOOKUP(A:A,USD!A:AT,46,FALSE)*88)/88*20</f>
        <v>#N/A</v>
      </c>
      <c r="AX171" s="1" t="e">
        <f>(VLOOKUP(A:A,USD!A:AU,47,FALSE)*88)/88*20</f>
        <v>#N/A</v>
      </c>
    </row>
    <row r="172" spans="1:50" hidden="1">
      <c r="A172" s="1">
        <v>480505</v>
      </c>
      <c r="B172" s="1" t="s">
        <v>447</v>
      </c>
      <c r="C172" s="1" t="s">
        <v>448</v>
      </c>
      <c r="D172" s="1" t="s">
        <v>128</v>
      </c>
      <c r="E172" s="1" t="str">
        <f>VLOOKUP(A:A,USD!A:E,5,FALSE)</f>
        <v>Memphis Rule 5</v>
      </c>
      <c r="F172" s="1" t="str">
        <f>VLOOKUP(A:A,USD!A:F,6,FALSE)</f>
        <v>MR5</v>
      </c>
      <c r="G172" s="1" t="str">
        <f>VLOOKUP(A:A,'Regions and Ports'!A:G,7,FALSE)</f>
        <v>Memphis</v>
      </c>
      <c r="H172" s="1">
        <f>VLOOKUP(A:A,USD!A:R,8,FALSE)</f>
        <v>1</v>
      </c>
      <c r="I172" s="87">
        <f>(VLOOKUP($A:$A,USD!$A:$AL,9,FALSE)*88)/88*20</f>
        <v>37</v>
      </c>
      <c r="J172" s="87">
        <f>(VLOOKUP($A:$A,USD!$A:$AL,10,FALSE)*88)/88*20</f>
        <v>80</v>
      </c>
      <c r="K172" s="87">
        <f>(VLOOKUP($A:$A,USD!$A:$AL,11,FALSE)*88)/88*20</f>
        <v>140</v>
      </c>
      <c r="L172" s="87">
        <f>(VLOOKUP($A:$A,USD!$A:$AL,12,FALSE)*88)/88*20</f>
        <v>61</v>
      </c>
      <c r="M172" s="87">
        <f>(VLOOKUP($A:$A,USD!$A:$AL,13,FALSE)*88)/88*20</f>
        <v>0</v>
      </c>
      <c r="N172" s="87">
        <f>(VLOOKUP($A:$A,USD!$A:$AL,14,FALSE)*88)/88*20</f>
        <v>60</v>
      </c>
      <c r="O172" s="68">
        <f>(VLOOKUP($A:$A,USD!$A:$AL,15,FALSE)*88)/88*20</f>
        <v>37.916666666666671</v>
      </c>
      <c r="P172" s="87">
        <f>(VLOOKUP($A:$A,USD!$A:$AL,16,FALSE)*88)/88*20</f>
        <v>0</v>
      </c>
      <c r="Q172" s="68">
        <f t="shared" si="18"/>
        <v>415.91666666666669</v>
      </c>
      <c r="R172" s="68">
        <f t="shared" si="19"/>
        <v>97.916666666666671</v>
      </c>
      <c r="S172" s="68">
        <f>(VLOOKUP($A:$A,USD!$A:$AL,19,FALSE)*88)/88*20</f>
        <v>0</v>
      </c>
      <c r="T172" s="68">
        <f>(VLOOKUP($A:$A,USD!$A:$AL,20,FALSE)*88)/88*20</f>
        <v>0</v>
      </c>
      <c r="U172" s="68">
        <f>(VLOOKUP($A:$A,USD!$A:$AL,21,FALSE)*88)/88*20</f>
        <v>201.25</v>
      </c>
      <c r="V172" s="68"/>
      <c r="W172" s="68">
        <f t="shared" si="20"/>
        <v>201.25</v>
      </c>
      <c r="X172" s="1">
        <f>(VLOOKUP($A:$A,USD!$A:$AL,24,FALSE)*88)/88*20</f>
        <v>50</v>
      </c>
      <c r="Y172" s="68">
        <f>(VLOOKUP($A:$A,USD!$A:$AL,25,FALSE)*88)/88*20</f>
        <v>33.6</v>
      </c>
      <c r="Z172" s="68">
        <f>(VLOOKUP($A:$A,USD!$A:$AL,26,FALSE)*88)/88*20</f>
        <v>26.25</v>
      </c>
      <c r="AB172" s="68">
        <f t="shared" si="21"/>
        <v>109.85</v>
      </c>
      <c r="AC172" s="68">
        <f>(VLOOKUP($A:$A,USD!$A:$AL,29,FALSE)*88)/88*20</f>
        <v>146.02272727272725</v>
      </c>
      <c r="AD172" s="68">
        <f>(VLOOKUP($A:$A,USD!$A:$AL,30,FALSE)*88)/88*20</f>
        <v>182.72727272727275</v>
      </c>
      <c r="AF172" s="68">
        <f t="shared" si="22"/>
        <v>328.75</v>
      </c>
      <c r="AG172" s="87">
        <f>(VLOOKUP($A:$A,USD!$A:$AL,33,FALSE)*88)/88*20</f>
        <v>28.814300000000003</v>
      </c>
      <c r="AH172" s="68">
        <f>(VLOOKUP($A:$A,USD!$A:$AL,34,FALSE)*88)/88*20</f>
        <v>6.973140495867769</v>
      </c>
      <c r="AI172" s="87">
        <f>(VLOOKUP($A:$A,USD!$A:$AL,35,FALSE)*88)/88*20</f>
        <v>12.587317427197677</v>
      </c>
      <c r="AJ172" s="87">
        <f>(VLOOKUP($A:$A,USD!$A:$AL,36,FALSE)*88)/88*20</f>
        <v>6.7351999999999999</v>
      </c>
      <c r="AL172" s="68">
        <f t="shared" si="23"/>
        <v>55.109957923065444</v>
      </c>
      <c r="AM172" s="87">
        <f>(VLOOKUP($A:$A,USD!$A:$AR,39,FALSE)*88)/88*20</f>
        <v>79.999999999999986</v>
      </c>
      <c r="AN172" s="68">
        <f>(VLOOKUP($A:$A,USD!$A:$AR,40,FALSE)*88)/88*20</f>
        <v>26.17808219178082</v>
      </c>
      <c r="AO172" s="1">
        <f>(VLOOKUP($A:$A,USD!$A:$AR,41,FALSE)*88)/88*20</f>
        <v>0</v>
      </c>
      <c r="AR172" s="1">
        <f t="shared" si="24"/>
        <v>106.1780821917808</v>
      </c>
      <c r="AS172" s="38">
        <f t="shared" si="25"/>
        <v>899.05470678151289</v>
      </c>
      <c r="AT172" s="38">
        <f t="shared" si="26"/>
        <v>1217.054706781513</v>
      </c>
      <c r="AW172" s="1">
        <f>(VLOOKUP(A:A,USD!A:AT,46,FALSE)*88)/88*20</f>
        <v>441.09318181818185</v>
      </c>
      <c r="AX172" s="1">
        <f>(VLOOKUP(A:A,USD!A:AU,47,FALSE)*88)/88*20</f>
        <v>497.15909090909093</v>
      </c>
    </row>
    <row r="173" spans="1:50" hidden="1">
      <c r="A173" s="1">
        <v>481005</v>
      </c>
      <c r="B173" s="1" t="s">
        <v>450</v>
      </c>
      <c r="C173" s="1" t="s">
        <v>451</v>
      </c>
      <c r="D173" s="1" t="s">
        <v>128</v>
      </c>
      <c r="E173" s="1" t="str">
        <f>VLOOKUP(A:A,USD!A:E,5,FALSE)</f>
        <v>Memphis Rule 5</v>
      </c>
      <c r="F173" s="1" t="str">
        <f>VLOOKUP(A:A,USD!A:F,6,FALSE)</f>
        <v>MR5</v>
      </c>
      <c r="G173" s="1" t="str">
        <f>VLOOKUP(A:A,'Regions and Ports'!A:G,7,FALSE)</f>
        <v>Memphis</v>
      </c>
      <c r="H173" s="1">
        <f>VLOOKUP(A:A,USD!A:R,8,FALSE)</f>
        <v>1</v>
      </c>
      <c r="I173" s="87">
        <f>(VLOOKUP($A:$A,USD!$A:$AL,9,FALSE)*88)/88*20</f>
        <v>30</v>
      </c>
      <c r="J173" s="87">
        <f>(VLOOKUP($A:$A,USD!$A:$AL,10,FALSE)*88)/88*20</f>
        <v>75</v>
      </c>
      <c r="K173" s="87">
        <f>(VLOOKUP($A:$A,USD!$A:$AL,11,FALSE)*88)/88*20</f>
        <v>160</v>
      </c>
      <c r="L173" s="87">
        <f>(VLOOKUP($A:$A,USD!$A:$AL,12,FALSE)*88)/88*20</f>
        <v>61</v>
      </c>
      <c r="M173" s="87">
        <f>(VLOOKUP($A:$A,USD!$A:$AL,13,FALSE)*88)/88*20</f>
        <v>10</v>
      </c>
      <c r="N173" s="87">
        <f>(VLOOKUP($A:$A,USD!$A:$AL,14,FALSE)*88)/88*20</f>
        <v>63</v>
      </c>
      <c r="O173" s="68">
        <f>(VLOOKUP($A:$A,USD!$A:$AL,15,FALSE)*88)/88*20</f>
        <v>37.916666666666671</v>
      </c>
      <c r="P173" s="87">
        <f>(VLOOKUP($A:$A,USD!$A:$AL,16,FALSE)*88)/88*20</f>
        <v>0</v>
      </c>
      <c r="Q173" s="68">
        <f t="shared" si="18"/>
        <v>436.91666666666669</v>
      </c>
      <c r="R173" s="68">
        <f t="shared" si="19"/>
        <v>100.91666666666667</v>
      </c>
      <c r="S173" s="68">
        <f>(VLOOKUP($A:$A,USD!$A:$AL,19,FALSE)*88)/88*20</f>
        <v>0</v>
      </c>
      <c r="T173" s="68">
        <f>(VLOOKUP($A:$A,USD!$A:$AL,20,FALSE)*88)/88*20</f>
        <v>0</v>
      </c>
      <c r="U173" s="68">
        <f>(VLOOKUP($A:$A,USD!$A:$AL,21,FALSE)*88)/88*20</f>
        <v>241.47727272727275</v>
      </c>
      <c r="V173" s="68"/>
      <c r="W173" s="68">
        <f t="shared" si="20"/>
        <v>241.47727272727275</v>
      </c>
      <c r="X173" s="1">
        <f>(VLOOKUP($A:$A,USD!$A:$AL,24,FALSE)*88)/88*20</f>
        <v>50</v>
      </c>
      <c r="Y173" s="68">
        <f>(VLOOKUP($A:$A,USD!$A:$AL,25,FALSE)*88)/88*20</f>
        <v>33.6</v>
      </c>
      <c r="Z173" s="68">
        <f>(VLOOKUP($A:$A,USD!$A:$AL,26,FALSE)*88)/88*20</f>
        <v>26.25</v>
      </c>
      <c r="AB173" s="68">
        <f t="shared" si="21"/>
        <v>109.85</v>
      </c>
      <c r="AC173" s="68">
        <f>(VLOOKUP($A:$A,USD!$A:$AL,29,FALSE)*88)/88*20</f>
        <v>146.02272727272725</v>
      </c>
      <c r="AD173" s="68">
        <f>(VLOOKUP($A:$A,USD!$A:$AL,30,FALSE)*88)/88*20</f>
        <v>182.72727272727275</v>
      </c>
      <c r="AF173" s="68">
        <f t="shared" si="22"/>
        <v>328.75</v>
      </c>
      <c r="AG173" s="87">
        <f>(VLOOKUP($A:$A,USD!$A:$AL,33,FALSE)*88)/88*20</f>
        <v>28.814300000000003</v>
      </c>
      <c r="AH173" s="68">
        <f>(VLOOKUP($A:$A,USD!$A:$AL,34,FALSE)*88)/88*20</f>
        <v>6.973140495867769</v>
      </c>
      <c r="AI173" s="87">
        <f>(VLOOKUP($A:$A,USD!$A:$AL,35,FALSE)*88)/88*20</f>
        <v>12.587317427197677</v>
      </c>
      <c r="AJ173" s="87">
        <f>(VLOOKUP($A:$A,USD!$A:$AL,36,FALSE)*88)/88*20</f>
        <v>6.7351999999999999</v>
      </c>
      <c r="AL173" s="68">
        <f t="shared" si="23"/>
        <v>55.109957923065444</v>
      </c>
      <c r="AM173" s="87">
        <f>(VLOOKUP($A:$A,USD!$A:$AR,39,FALSE)*88)/88*20</f>
        <v>79.999999999999986</v>
      </c>
      <c r="AN173" s="68">
        <f>(VLOOKUP($A:$A,USD!$A:$AR,40,FALSE)*88)/88*20</f>
        <v>26.17808219178082</v>
      </c>
      <c r="AO173" s="1">
        <f>(VLOOKUP($A:$A,USD!$A:$AR,41,FALSE)*88)/88*20</f>
        <v>0</v>
      </c>
      <c r="AR173" s="1">
        <f t="shared" si="24"/>
        <v>106.1780821917808</v>
      </c>
      <c r="AS173" s="38">
        <f t="shared" si="25"/>
        <v>942.28197950878564</v>
      </c>
      <c r="AT173" s="38">
        <f t="shared" si="26"/>
        <v>1278.2819795087855</v>
      </c>
      <c r="AW173" s="1">
        <f>(VLOOKUP(A:A,USD!A:AT,46,FALSE)*88)/88*20</f>
        <v>466.72954545454553</v>
      </c>
      <c r="AX173" s="1">
        <f>(VLOOKUP(A:A,USD!A:AU,47,FALSE)*88)/88*20</f>
        <v>498.86363636363632</v>
      </c>
    </row>
    <row r="174" spans="1:50" hidden="1">
      <c r="A174" s="1">
        <v>481010</v>
      </c>
      <c r="B174" s="1" t="s">
        <v>452</v>
      </c>
      <c r="C174" s="1" t="s">
        <v>451</v>
      </c>
      <c r="D174" s="1" t="s">
        <v>128</v>
      </c>
      <c r="E174" s="1" t="str">
        <f>VLOOKUP(A:A,USD!A:E,5,FALSE)</f>
        <v>Memphis Rule 5</v>
      </c>
      <c r="F174" s="1" t="str">
        <f>VLOOKUP(A:A,USD!A:F,6,FALSE)</f>
        <v>MR5</v>
      </c>
      <c r="G174" s="1" t="str">
        <f>VLOOKUP(A:A,'Regions and Ports'!A:G,7,FALSE)</f>
        <v>Memphis</v>
      </c>
      <c r="H174" s="1">
        <f>VLOOKUP(A:A,USD!A:R,8,FALSE)</f>
        <v>1</v>
      </c>
      <c r="I174" s="87">
        <f>(VLOOKUP($A:$A,USD!$A:$AL,9,FALSE)*88)/88*20</f>
        <v>30</v>
      </c>
      <c r="J174" s="87">
        <f>(VLOOKUP($A:$A,USD!$A:$AL,10,FALSE)*88)/88*20</f>
        <v>75</v>
      </c>
      <c r="K174" s="87">
        <f>(VLOOKUP($A:$A,USD!$A:$AL,11,FALSE)*88)/88*20</f>
        <v>160</v>
      </c>
      <c r="L174" s="87">
        <f>(VLOOKUP($A:$A,USD!$A:$AL,12,FALSE)*88)/88*20</f>
        <v>61</v>
      </c>
      <c r="M174" s="87">
        <f>(VLOOKUP($A:$A,USD!$A:$AL,13,FALSE)*88)/88*20</f>
        <v>10</v>
      </c>
      <c r="N174" s="87">
        <f>(VLOOKUP($A:$A,USD!$A:$AL,14,FALSE)*88)/88*20</f>
        <v>63</v>
      </c>
      <c r="O174" s="68">
        <f>(VLOOKUP($A:$A,USD!$A:$AL,15,FALSE)*88)/88*20</f>
        <v>37.916666666666671</v>
      </c>
      <c r="P174" s="87">
        <f>(VLOOKUP($A:$A,USD!$A:$AL,16,FALSE)*88)/88*20</f>
        <v>0</v>
      </c>
      <c r="Q174" s="68">
        <f t="shared" si="18"/>
        <v>436.91666666666669</v>
      </c>
      <c r="R174" s="68">
        <f t="shared" si="19"/>
        <v>100.91666666666667</v>
      </c>
      <c r="S174" s="68">
        <f>(VLOOKUP($A:$A,USD!$A:$AL,19,FALSE)*88)/88*20</f>
        <v>0</v>
      </c>
      <c r="T174" s="68">
        <f>(VLOOKUP($A:$A,USD!$A:$AL,20,FALSE)*88)/88*20</f>
        <v>0</v>
      </c>
      <c r="U174" s="68">
        <f>(VLOOKUP($A:$A,USD!$A:$AL,21,FALSE)*88)/88*20</f>
        <v>241.47727272727275</v>
      </c>
      <c r="V174" s="68"/>
      <c r="W174" s="68">
        <f t="shared" si="20"/>
        <v>241.47727272727275</v>
      </c>
      <c r="X174" s="1">
        <f>(VLOOKUP($A:$A,USD!$A:$AL,24,FALSE)*88)/88*20</f>
        <v>50</v>
      </c>
      <c r="Y174" s="68">
        <f>(VLOOKUP($A:$A,USD!$A:$AL,25,FALSE)*88)/88*20</f>
        <v>33.6</v>
      </c>
      <c r="Z174" s="68">
        <f>(VLOOKUP($A:$A,USD!$A:$AL,26,FALSE)*88)/88*20</f>
        <v>26.25</v>
      </c>
      <c r="AB174" s="68">
        <f t="shared" si="21"/>
        <v>109.85</v>
      </c>
      <c r="AC174" s="68">
        <f>(VLOOKUP($A:$A,USD!$A:$AL,29,FALSE)*88)/88*20</f>
        <v>146.02272727272725</v>
      </c>
      <c r="AD174" s="68">
        <f>(VLOOKUP($A:$A,USD!$A:$AL,30,FALSE)*88)/88*20</f>
        <v>182.72727272727275</v>
      </c>
      <c r="AF174" s="68">
        <f t="shared" si="22"/>
        <v>328.75</v>
      </c>
      <c r="AG174" s="87">
        <f>(VLOOKUP($A:$A,USD!$A:$AL,33,FALSE)*88)/88*20</f>
        <v>28.814300000000003</v>
      </c>
      <c r="AH174" s="68">
        <f>(VLOOKUP($A:$A,USD!$A:$AL,34,FALSE)*88)/88*20</f>
        <v>6.973140495867769</v>
      </c>
      <c r="AI174" s="87">
        <f>(VLOOKUP($A:$A,USD!$A:$AL,35,FALSE)*88)/88*20</f>
        <v>12.587317427197677</v>
      </c>
      <c r="AJ174" s="87">
        <f>(VLOOKUP($A:$A,USD!$A:$AL,36,FALSE)*88)/88*20</f>
        <v>6.7351999999999999</v>
      </c>
      <c r="AL174" s="68">
        <f t="shared" si="23"/>
        <v>55.109957923065444</v>
      </c>
      <c r="AM174" s="87">
        <f>(VLOOKUP($A:$A,USD!$A:$AR,39,FALSE)*88)/88*20</f>
        <v>79.999999999999986</v>
      </c>
      <c r="AN174" s="68">
        <f>(VLOOKUP($A:$A,USD!$A:$AR,40,FALSE)*88)/88*20</f>
        <v>26.17808219178082</v>
      </c>
      <c r="AO174" s="1">
        <f>(VLOOKUP($A:$A,USD!$A:$AR,41,FALSE)*88)/88*20</f>
        <v>0</v>
      </c>
      <c r="AR174" s="1">
        <f t="shared" si="24"/>
        <v>106.1780821917808</v>
      </c>
      <c r="AS174" s="38">
        <f t="shared" si="25"/>
        <v>942.28197950878564</v>
      </c>
      <c r="AT174" s="38">
        <f t="shared" si="26"/>
        <v>1278.2819795087855</v>
      </c>
      <c r="AW174" s="1">
        <f>(VLOOKUP(A:A,USD!A:AT,46,FALSE)*88)/88*20</f>
        <v>466.72954545454553</v>
      </c>
      <c r="AX174" s="1">
        <f>(VLOOKUP(A:A,USD!A:AU,47,FALSE)*88)/88*20</f>
        <v>498.86363636363632</v>
      </c>
    </row>
    <row r="175" spans="1:50" hidden="1">
      <c r="A175" s="1">
        <v>576503</v>
      </c>
      <c r="B175" s="1" t="s">
        <v>195</v>
      </c>
      <c r="C175" s="1" t="s">
        <v>454</v>
      </c>
      <c r="D175" s="1" t="s">
        <v>136</v>
      </c>
      <c r="E175" s="1" t="str">
        <f>VLOOKUP(A:A,USD!A:E,5,FALSE)</f>
        <v>Eastern Rule 5</v>
      </c>
      <c r="F175" s="1" t="str">
        <f>VLOOKUP(A:A,USD!A:F,6,FALSE)</f>
        <v>ER5</v>
      </c>
      <c r="G175" s="1" t="str">
        <f>VLOOKUP(A:A,'Regions and Ports'!A:G,7,FALSE)</f>
        <v>Savannah</v>
      </c>
      <c r="H175" s="1">
        <f>VLOOKUP(A:A,USD!A:R,8,FALSE)</f>
        <v>1</v>
      </c>
      <c r="I175" s="87">
        <f>(VLOOKUP($A:$A,USD!$A:$AL,9,FALSE)*88)/88*20</f>
        <v>75</v>
      </c>
      <c r="J175" s="87">
        <f>(VLOOKUP($A:$A,USD!$A:$AL,10,FALSE)*88)/88*20</f>
        <v>85</v>
      </c>
      <c r="K175" s="87">
        <f>(VLOOKUP($A:$A,USD!$A:$AL,11,FALSE)*88)/88*20</f>
        <v>0</v>
      </c>
      <c r="L175" s="87">
        <f>(VLOOKUP($A:$A,USD!$A:$AL,12,FALSE)*88)/88*20</f>
        <v>0</v>
      </c>
      <c r="M175" s="87">
        <f>(VLOOKUP($A:$A,USD!$A:$AL,13,FALSE)*88)/88*20</f>
        <v>5</v>
      </c>
      <c r="N175" s="87">
        <f>(VLOOKUP($A:$A,USD!$A:$AL,14,FALSE)*88)/88*20</f>
        <v>50</v>
      </c>
      <c r="O175" s="68">
        <f>(VLOOKUP($A:$A,USD!$A:$AL,15,FALSE)*88)/88*20</f>
        <v>37.916666666666671</v>
      </c>
      <c r="P175" s="87">
        <f>(VLOOKUP($A:$A,USD!$A:$AL,16,FALSE)*88)/88*20</f>
        <v>0</v>
      </c>
      <c r="Q175" s="68">
        <f t="shared" si="18"/>
        <v>252.91666666666669</v>
      </c>
      <c r="R175" s="68">
        <f t="shared" si="19"/>
        <v>87.916666666666671</v>
      </c>
      <c r="S175" s="68">
        <f>(VLOOKUP($A:$A,USD!$A:$AL,19,FALSE)*88)/88*20</f>
        <v>0</v>
      </c>
      <c r="T175" s="68">
        <f>(VLOOKUP($A:$A,USD!$A:$AL,20,FALSE)*88)/88*20</f>
        <v>0</v>
      </c>
      <c r="U175" s="68">
        <f>(VLOOKUP($A:$A,USD!$A:$AL,21,FALSE)*88)/88*20</f>
        <v>295.6835227272727</v>
      </c>
      <c r="V175" s="68"/>
      <c r="W175" s="68">
        <f t="shared" si="20"/>
        <v>295.6835227272727</v>
      </c>
      <c r="X175" s="1">
        <f>(VLOOKUP($A:$A,USD!$A:$AL,24,FALSE)*88)/88*20</f>
        <v>52</v>
      </c>
      <c r="Y175" s="68">
        <f>(VLOOKUP($A:$A,USD!$A:$AL,25,FALSE)*88)/88*20</f>
        <v>50.4</v>
      </c>
      <c r="Z175" s="68">
        <f>(VLOOKUP($A:$A,USD!$A:$AL,26,FALSE)*88)/88*20</f>
        <v>26.25</v>
      </c>
      <c r="AB175" s="68">
        <f t="shared" si="21"/>
        <v>128.65</v>
      </c>
      <c r="AC175" s="68">
        <f>(VLOOKUP($A:$A,USD!$A:$AL,29,FALSE)*88)/88*20</f>
        <v>110.22727272727273</v>
      </c>
      <c r="AD175" s="68">
        <f>(VLOOKUP($A:$A,USD!$A:$AL,30,FALSE)*88)/88*20</f>
        <v>107.04545454545455</v>
      </c>
      <c r="AF175" s="68">
        <f t="shared" si="22"/>
        <v>217.27272727272728</v>
      </c>
      <c r="AG175" s="87">
        <f>(VLOOKUP($A:$A,USD!$A:$AL,33,FALSE)*88)/88*20</f>
        <v>28.814300000000003</v>
      </c>
      <c r="AH175" s="68">
        <f>(VLOOKUP($A:$A,USD!$A:$AL,34,FALSE)*88)/88*20</f>
        <v>6.973140495867769</v>
      </c>
      <c r="AI175" s="87">
        <f>(VLOOKUP($A:$A,USD!$A:$AL,35,FALSE)*88)/88*20</f>
        <v>12.587317427197677</v>
      </c>
      <c r="AJ175" s="87">
        <f>(VLOOKUP($A:$A,USD!$A:$AL,36,FALSE)*88)/88*20</f>
        <v>6.7351999999999999</v>
      </c>
      <c r="AL175" s="68">
        <f t="shared" si="23"/>
        <v>55.109957923065444</v>
      </c>
      <c r="AM175" s="87">
        <f>(VLOOKUP($A:$A,USD!$A:$AR,39,FALSE)*88)/88*20</f>
        <v>79.999999999999986</v>
      </c>
      <c r="AN175" s="68">
        <f>(VLOOKUP($A:$A,USD!$A:$AR,40,FALSE)*88)/88*20</f>
        <v>26.17808219178082</v>
      </c>
      <c r="AO175" s="1">
        <f>(VLOOKUP($A:$A,USD!$A:$AR,41,FALSE)*88)/88*20</f>
        <v>0</v>
      </c>
      <c r="AR175" s="1">
        <f t="shared" si="24"/>
        <v>106.1780821917808</v>
      </c>
      <c r="AS175" s="38">
        <f t="shared" si="25"/>
        <v>890.81095678151291</v>
      </c>
      <c r="AT175" s="38">
        <f t="shared" si="26"/>
        <v>1055.8109567815129</v>
      </c>
      <c r="AW175" s="1">
        <f>(VLOOKUP(A:A,USD!A:AT,46,FALSE)*88)/88*20</f>
        <v>555.49545454545455</v>
      </c>
      <c r="AX175" s="1">
        <f>(VLOOKUP(A:A,USD!A:AU,47,FALSE)*88)/88*20</f>
        <v>256.13636363636363</v>
      </c>
    </row>
    <row r="176" spans="1:50" hidden="1">
      <c r="A176" s="1">
        <v>786225</v>
      </c>
      <c r="B176" s="1" t="s">
        <v>456</v>
      </c>
      <c r="C176" s="1" t="s">
        <v>454</v>
      </c>
      <c r="D176" s="1" t="s">
        <v>168</v>
      </c>
      <c r="E176" s="1" t="str">
        <f>VLOOKUP(A:A,USD!A:E,5,FALSE)</f>
        <v>Memphis Rule 5</v>
      </c>
      <c r="F176" s="1" t="str">
        <f>VLOOKUP(A:A,USD!A:F,6,FALSE)</f>
        <v>MR5</v>
      </c>
      <c r="G176" s="1" t="str">
        <f>VLOOKUP(A:A,'Regions and Ports'!A:G,7,FALSE)</f>
        <v>Memphis</v>
      </c>
      <c r="H176" s="1">
        <f>VLOOKUP(A:A,USD!A:R,8,FALSE)</f>
        <v>1</v>
      </c>
      <c r="I176" s="87">
        <f>(VLOOKUP($A:$A,USD!$A:$AL,9,FALSE)*88)/88*20</f>
        <v>0</v>
      </c>
      <c r="J176" s="87">
        <f>(VLOOKUP($A:$A,USD!$A:$AL,10,FALSE)*88)/88*20</f>
        <v>276</v>
      </c>
      <c r="K176" s="87">
        <f>(VLOOKUP($A:$A,USD!$A:$AL,11,FALSE)*88)/88*20</f>
        <v>0</v>
      </c>
      <c r="L176" s="87">
        <f>(VLOOKUP($A:$A,USD!$A:$AL,12,FALSE)*88)/88*20</f>
        <v>60</v>
      </c>
      <c r="M176" s="87">
        <f>(VLOOKUP($A:$A,USD!$A:$AL,13,FALSE)*88)/88*20</f>
        <v>0</v>
      </c>
      <c r="N176" s="87">
        <f>(VLOOKUP($A:$A,USD!$A:$AL,14,FALSE)*88)/88*20</f>
        <v>76</v>
      </c>
      <c r="O176" s="68">
        <f>(VLOOKUP($A:$A,USD!$A:$AL,15,FALSE)*88)/88*20</f>
        <v>37.916666666666671</v>
      </c>
      <c r="P176" s="87">
        <f>(VLOOKUP($A:$A,USD!$A:$AL,16,FALSE)*88)/88*20</f>
        <v>0</v>
      </c>
      <c r="Q176" s="68">
        <f t="shared" si="18"/>
        <v>449.91666666666669</v>
      </c>
      <c r="R176" s="68">
        <f t="shared" si="19"/>
        <v>113.91666666666667</v>
      </c>
      <c r="S176" s="68">
        <f>(VLOOKUP($A:$A,USD!$A:$AL,19,FALSE)*88)/88*20</f>
        <v>0</v>
      </c>
      <c r="T176" s="68">
        <f>(VLOOKUP($A:$A,USD!$A:$AL,20,FALSE)*88)/88*20</f>
        <v>0</v>
      </c>
      <c r="U176" s="68">
        <f>(VLOOKUP($A:$A,USD!$A:$AL,21,FALSE)*88)/88*20</f>
        <v>326.7045454545455</v>
      </c>
      <c r="V176" s="68"/>
      <c r="W176" s="68">
        <f t="shared" si="20"/>
        <v>326.7045454545455</v>
      </c>
      <c r="X176" s="1">
        <f>(VLOOKUP($A:$A,USD!$A:$AL,24,FALSE)*88)/88*20</f>
        <v>50</v>
      </c>
      <c r="Y176" s="68">
        <f>(VLOOKUP($A:$A,USD!$A:$AL,25,FALSE)*88)/88*20</f>
        <v>33.6</v>
      </c>
      <c r="Z176" s="68">
        <f>(VLOOKUP($A:$A,USD!$A:$AL,26,FALSE)*88)/88*20</f>
        <v>26.25</v>
      </c>
      <c r="AB176" s="68">
        <f t="shared" si="21"/>
        <v>109.85</v>
      </c>
      <c r="AC176" s="68">
        <f>(VLOOKUP($A:$A,USD!$A:$AL,29,FALSE)*88)/88*20</f>
        <v>146.02272727272725</v>
      </c>
      <c r="AD176" s="68">
        <f>(VLOOKUP($A:$A,USD!$A:$AL,30,FALSE)*88)/88*20</f>
        <v>182.72727272727275</v>
      </c>
      <c r="AF176" s="68">
        <f t="shared" si="22"/>
        <v>328.75</v>
      </c>
      <c r="AG176" s="87">
        <f>(VLOOKUP($A:$A,USD!$A:$AL,33,FALSE)*88)/88*20</f>
        <v>28.814300000000003</v>
      </c>
      <c r="AH176" s="68">
        <f>(VLOOKUP($A:$A,USD!$A:$AL,34,FALSE)*88)/88*20</f>
        <v>6.973140495867769</v>
      </c>
      <c r="AI176" s="87">
        <f>(VLOOKUP($A:$A,USD!$A:$AL,35,FALSE)*88)/88*20</f>
        <v>12.587317427197677</v>
      </c>
      <c r="AJ176" s="87">
        <f>(VLOOKUP($A:$A,USD!$A:$AL,36,FALSE)*88)/88*20</f>
        <v>6.7351999999999999</v>
      </c>
      <c r="AL176" s="68">
        <f t="shared" si="23"/>
        <v>55.109957923065444</v>
      </c>
      <c r="AM176" s="87">
        <f>(VLOOKUP($A:$A,USD!$A:$AR,39,FALSE)*88)/88*20</f>
        <v>79.999999999999986</v>
      </c>
      <c r="AN176" s="68">
        <f>(VLOOKUP($A:$A,USD!$A:$AR,40,FALSE)*88)/88*20</f>
        <v>26.17808219178082</v>
      </c>
      <c r="AO176" s="1">
        <f>(VLOOKUP($A:$A,USD!$A:$AR,41,FALSE)*88)/88*20</f>
        <v>0</v>
      </c>
      <c r="AR176" s="1">
        <f t="shared" si="24"/>
        <v>106.1780821917808</v>
      </c>
      <c r="AS176" s="38">
        <f t="shared" si="25"/>
        <v>1040.5092522360583</v>
      </c>
      <c r="AT176" s="38">
        <f t="shared" si="26"/>
        <v>1376.5092522360585</v>
      </c>
      <c r="AW176" s="1">
        <f>(VLOOKUP(A:A,USD!A:AT,46,FALSE)*88)/88*20</f>
        <v>555.49545454545455</v>
      </c>
      <c r="AX176" s="1">
        <f>(VLOOKUP(A:A,USD!A:AU,47,FALSE)*88)/88*20</f>
        <v>256.13636363636363</v>
      </c>
    </row>
    <row r="177" spans="1:50" hidden="1">
      <c r="A177" s="1">
        <v>792025</v>
      </c>
      <c r="B177" s="1" t="s">
        <v>458</v>
      </c>
      <c r="C177" s="1" t="s">
        <v>454</v>
      </c>
      <c r="D177" s="1" t="s">
        <v>168</v>
      </c>
      <c r="E177" s="1" t="str">
        <f>VLOOKUP(A:A,USD!A:E,5,FALSE)</f>
        <v>Memphis Rule 5</v>
      </c>
      <c r="F177" s="1" t="str">
        <f>VLOOKUP(A:A,USD!A:F,6,FALSE)</f>
        <v>MR5</v>
      </c>
      <c r="G177" s="1" t="str">
        <f>VLOOKUP(A:A,'Regions and Ports'!A:G,7,FALSE)</f>
        <v>Memphis</v>
      </c>
      <c r="H177" s="1">
        <f>VLOOKUP(A:A,USD!A:R,8,FALSE)</f>
        <v>1</v>
      </c>
      <c r="I177" s="87">
        <f>(VLOOKUP($A:$A,USD!$A:$AL,9,FALSE)*88)/88*20</f>
        <v>0</v>
      </c>
      <c r="J177" s="87">
        <f>(VLOOKUP($A:$A,USD!$A:$AL,10,FALSE)*88)/88*20</f>
        <v>276</v>
      </c>
      <c r="K177" s="87">
        <f>(VLOOKUP($A:$A,USD!$A:$AL,11,FALSE)*88)/88*20</f>
        <v>0</v>
      </c>
      <c r="L177" s="87">
        <f>(VLOOKUP($A:$A,USD!$A:$AL,12,FALSE)*88)/88*20</f>
        <v>61</v>
      </c>
      <c r="M177" s="87">
        <f>(VLOOKUP($A:$A,USD!$A:$AL,13,FALSE)*88)/88*20</f>
        <v>0</v>
      </c>
      <c r="N177" s="87">
        <f>(VLOOKUP($A:$A,USD!$A:$AL,14,FALSE)*88)/88*20</f>
        <v>76</v>
      </c>
      <c r="O177" s="68">
        <f>(VLOOKUP($A:$A,USD!$A:$AL,15,FALSE)*88)/88*20</f>
        <v>37.916666666666671</v>
      </c>
      <c r="P177" s="87">
        <f>(VLOOKUP($A:$A,USD!$A:$AL,16,FALSE)*88)/88*20</f>
        <v>0</v>
      </c>
      <c r="Q177" s="68">
        <f t="shared" si="18"/>
        <v>450.91666666666669</v>
      </c>
      <c r="R177" s="68">
        <f t="shared" si="19"/>
        <v>113.91666666666667</v>
      </c>
      <c r="S177" s="68">
        <f>(VLOOKUP($A:$A,USD!$A:$AL,19,FALSE)*88)/88*20</f>
        <v>0</v>
      </c>
      <c r="T177" s="68">
        <f>(VLOOKUP($A:$A,USD!$A:$AL,20,FALSE)*88)/88*20</f>
        <v>0</v>
      </c>
      <c r="U177" s="68">
        <f>(VLOOKUP($A:$A,USD!$A:$AL,21,FALSE)*88)/88*20</f>
        <v>326.7045454545455</v>
      </c>
      <c r="V177" s="68"/>
      <c r="W177" s="68">
        <f t="shared" si="20"/>
        <v>326.7045454545455</v>
      </c>
      <c r="X177" s="1">
        <f>(VLOOKUP($A:$A,USD!$A:$AL,24,FALSE)*88)/88*20</f>
        <v>50</v>
      </c>
      <c r="Y177" s="68">
        <f>(VLOOKUP($A:$A,USD!$A:$AL,25,FALSE)*88)/88*20</f>
        <v>33.6</v>
      </c>
      <c r="Z177" s="68">
        <f>(VLOOKUP($A:$A,USD!$A:$AL,26,FALSE)*88)/88*20</f>
        <v>26.25</v>
      </c>
      <c r="AB177" s="68">
        <f t="shared" si="21"/>
        <v>109.85</v>
      </c>
      <c r="AC177" s="68">
        <f>(VLOOKUP($A:$A,USD!$A:$AL,29,FALSE)*88)/88*20</f>
        <v>146.02272727272725</v>
      </c>
      <c r="AD177" s="68">
        <f>(VLOOKUP($A:$A,USD!$A:$AL,30,FALSE)*88)/88*20</f>
        <v>182.72727272727275</v>
      </c>
      <c r="AF177" s="68">
        <f t="shared" si="22"/>
        <v>328.75</v>
      </c>
      <c r="AG177" s="87">
        <f>(VLOOKUP($A:$A,USD!$A:$AL,33,FALSE)*88)/88*20</f>
        <v>28.814300000000003</v>
      </c>
      <c r="AH177" s="68">
        <f>(VLOOKUP($A:$A,USD!$A:$AL,34,FALSE)*88)/88*20</f>
        <v>6.973140495867769</v>
      </c>
      <c r="AI177" s="87">
        <f>(VLOOKUP($A:$A,USD!$A:$AL,35,FALSE)*88)/88*20</f>
        <v>12.587317427197677</v>
      </c>
      <c r="AJ177" s="87">
        <f>(VLOOKUP($A:$A,USD!$A:$AL,36,FALSE)*88)/88*20</f>
        <v>6.7351999999999999</v>
      </c>
      <c r="AL177" s="68">
        <f t="shared" si="23"/>
        <v>55.109957923065444</v>
      </c>
      <c r="AM177" s="87">
        <f>(VLOOKUP($A:$A,USD!$A:$AR,39,FALSE)*88)/88*20</f>
        <v>79.999999999999986</v>
      </c>
      <c r="AN177" s="68">
        <f>(VLOOKUP($A:$A,USD!$A:$AR,40,FALSE)*88)/88*20</f>
        <v>26.17808219178082</v>
      </c>
      <c r="AO177" s="1">
        <f>(VLOOKUP($A:$A,USD!$A:$AR,41,FALSE)*88)/88*20</f>
        <v>0</v>
      </c>
      <c r="AR177" s="1">
        <f t="shared" si="24"/>
        <v>106.1780821917808</v>
      </c>
      <c r="AS177" s="38">
        <f t="shared" si="25"/>
        <v>1040.5092522360583</v>
      </c>
      <c r="AT177" s="38">
        <f t="shared" si="26"/>
        <v>1377.5092522360585</v>
      </c>
      <c r="AW177" s="1">
        <f>(VLOOKUP(A:A,USD!A:AT,46,FALSE)*88)/88*20</f>
        <v>555.49545454545455</v>
      </c>
      <c r="AX177" s="1">
        <f>(VLOOKUP(A:A,USD!A:AU,47,FALSE)*88)/88*20</f>
        <v>256.13636363636363</v>
      </c>
    </row>
    <row r="178" spans="1:50" hidden="1">
      <c r="A178" s="1">
        <v>201501</v>
      </c>
      <c r="B178" s="1" t="s">
        <v>459</v>
      </c>
      <c r="C178" s="1" t="s">
        <v>460</v>
      </c>
      <c r="D178" s="1" t="s">
        <v>461</v>
      </c>
      <c r="E178" s="1" t="str">
        <f>VLOOKUP(A:A,USD!A:E,5,FALSE)</f>
        <v>Eastern Rule 5</v>
      </c>
      <c r="F178" s="1" t="str">
        <f>VLOOKUP(A:A,USD!A:F,6,FALSE)</f>
        <v>ER5</v>
      </c>
      <c r="G178" s="1" t="str">
        <f>VLOOKUP(A:A,'Regions and Ports'!A:G,7,FALSE)</f>
        <v>Savannah</v>
      </c>
      <c r="H178" s="1">
        <f>VLOOKUP(A:A,USD!A:R,8,FALSE)</f>
        <v>1</v>
      </c>
      <c r="I178" s="87">
        <f>(VLOOKUP($A:$A,USD!$A:$AL,9,FALSE)*88)/88*20</f>
        <v>60</v>
      </c>
      <c r="J178" s="87">
        <f>(VLOOKUP($A:$A,USD!$A:$AL,10,FALSE)*88)/88*20</f>
        <v>110</v>
      </c>
      <c r="K178" s="87">
        <f>(VLOOKUP($A:$A,USD!$A:$AL,11,FALSE)*88)/88*20</f>
        <v>140</v>
      </c>
      <c r="L178" s="87">
        <f>(VLOOKUP($A:$A,USD!$A:$AL,12,FALSE)*88)/88*20</f>
        <v>0</v>
      </c>
      <c r="M178" s="87">
        <f>(VLOOKUP($A:$A,USD!$A:$AL,13,FALSE)*88)/88*20</f>
        <v>10</v>
      </c>
      <c r="N178" s="87">
        <f>(VLOOKUP($A:$A,USD!$A:$AL,14,FALSE)*88)/88*20</f>
        <v>50</v>
      </c>
      <c r="O178" s="68">
        <f>(VLOOKUP($A:$A,USD!$A:$AL,15,FALSE)*88)/88*20</f>
        <v>37.916666666666671</v>
      </c>
      <c r="P178" s="87">
        <f>(VLOOKUP($A:$A,USD!$A:$AL,16,FALSE)*88)/88*20</f>
        <v>0</v>
      </c>
      <c r="Q178" s="68">
        <f t="shared" si="18"/>
        <v>407.91666666666669</v>
      </c>
      <c r="R178" s="68">
        <f t="shared" si="19"/>
        <v>87.916666666666671</v>
      </c>
      <c r="S178" s="68">
        <f>(VLOOKUP($A:$A,USD!$A:$AL,19,FALSE)*88)/88*20</f>
        <v>0</v>
      </c>
      <c r="T178" s="68">
        <f>(VLOOKUP($A:$A,USD!$A:$AL,20,FALSE)*88)/88*20</f>
        <v>0</v>
      </c>
      <c r="U178" s="68">
        <f>(VLOOKUP($A:$A,USD!$A:$AL,21,FALSE)*88)/88*20</f>
        <v>438.67159090909098</v>
      </c>
      <c r="V178" s="68"/>
      <c r="W178" s="68">
        <f t="shared" si="20"/>
        <v>438.67159090909098</v>
      </c>
      <c r="X178" s="1">
        <f>(VLOOKUP($A:$A,USD!$A:$AL,24,FALSE)*88)/88*20</f>
        <v>52</v>
      </c>
      <c r="Y178" s="68">
        <f>(VLOOKUP($A:$A,USD!$A:$AL,25,FALSE)*88)/88*20</f>
        <v>50.4</v>
      </c>
      <c r="Z178" s="68">
        <f>(VLOOKUP($A:$A,USD!$A:$AL,26,FALSE)*88)/88*20</f>
        <v>26.25</v>
      </c>
      <c r="AB178" s="68">
        <f t="shared" si="21"/>
        <v>128.65</v>
      </c>
      <c r="AC178" s="68">
        <f>(VLOOKUP($A:$A,USD!$A:$AL,29,FALSE)*88)/88*20</f>
        <v>110.22727272727273</v>
      </c>
      <c r="AD178" s="68">
        <f>(VLOOKUP($A:$A,USD!$A:$AL,30,FALSE)*88)/88*20</f>
        <v>107.04545454545455</v>
      </c>
      <c r="AF178" s="68">
        <f t="shared" si="22"/>
        <v>217.27272727272728</v>
      </c>
      <c r="AG178" s="87">
        <f>(VLOOKUP($A:$A,USD!$A:$AL,33,FALSE)*88)/88*20</f>
        <v>28.814300000000003</v>
      </c>
      <c r="AH178" s="68">
        <f>(VLOOKUP($A:$A,USD!$A:$AL,34,FALSE)*88)/88*20</f>
        <v>6.973140495867769</v>
      </c>
      <c r="AI178" s="87">
        <f>(VLOOKUP($A:$A,USD!$A:$AL,35,FALSE)*88)/88*20</f>
        <v>12.587317427197677</v>
      </c>
      <c r="AJ178" s="87">
        <f>(VLOOKUP($A:$A,USD!$A:$AL,36,FALSE)*88)/88*20</f>
        <v>6.7351999999999999</v>
      </c>
      <c r="AL178" s="68">
        <f t="shared" si="23"/>
        <v>55.109957923065444</v>
      </c>
      <c r="AM178" s="87">
        <f>(VLOOKUP($A:$A,USD!$A:$AR,39,FALSE)*88)/88*20</f>
        <v>79.999999999999986</v>
      </c>
      <c r="AN178" s="68">
        <f>(VLOOKUP($A:$A,USD!$A:$AR,40,FALSE)*88)/88*20</f>
        <v>26.17808219178082</v>
      </c>
      <c r="AO178" s="1">
        <f>(VLOOKUP($A:$A,USD!$A:$AR,41,FALSE)*88)/88*20</f>
        <v>0</v>
      </c>
      <c r="AR178" s="1">
        <f t="shared" si="24"/>
        <v>106.1780821917808</v>
      </c>
      <c r="AS178" s="38">
        <f t="shared" si="25"/>
        <v>1033.799024963331</v>
      </c>
      <c r="AT178" s="38">
        <f t="shared" si="26"/>
        <v>1353.799024963331</v>
      </c>
      <c r="AW178" s="1" t="e">
        <f>(VLOOKUP(A:A,USD!A:AT,46,FALSE)*88)/88*20</f>
        <v>#N/A</v>
      </c>
      <c r="AX178" s="1">
        <f>(VLOOKUP(A:A,USD!A:AU,47,FALSE)*88)/88*20</f>
        <v>386.36363636363632</v>
      </c>
    </row>
    <row r="179" spans="1:50" hidden="1">
      <c r="A179" s="1">
        <v>201505</v>
      </c>
      <c r="B179" s="1" t="s">
        <v>463</v>
      </c>
      <c r="C179" s="1" t="s">
        <v>460</v>
      </c>
      <c r="D179" s="1" t="s">
        <v>461</v>
      </c>
      <c r="E179" s="1" t="str">
        <f>VLOOKUP(A:A,USD!A:E,5,FALSE)</f>
        <v>Eastern Rule 5</v>
      </c>
      <c r="F179" s="1" t="str">
        <f>VLOOKUP(A:A,USD!A:F,6,FALSE)</f>
        <v>ER5</v>
      </c>
      <c r="G179" s="1" t="str">
        <f>VLOOKUP(A:A,'Regions and Ports'!A:G,7,FALSE)</f>
        <v>Savannah</v>
      </c>
      <c r="H179" s="1">
        <f>VLOOKUP(A:A,USD!A:R,8,FALSE)</f>
        <v>1</v>
      </c>
      <c r="I179" s="87">
        <f>(VLOOKUP($A:$A,USD!$A:$AL,9,FALSE)*88)/88*20</f>
        <v>65</v>
      </c>
      <c r="J179" s="87">
        <f>(VLOOKUP($A:$A,USD!$A:$AL,10,FALSE)*88)/88*20</f>
        <v>110</v>
      </c>
      <c r="K179" s="87">
        <f>(VLOOKUP($A:$A,USD!$A:$AL,11,FALSE)*88)/88*20</f>
        <v>140</v>
      </c>
      <c r="L179" s="87">
        <f>(VLOOKUP($A:$A,USD!$A:$AL,12,FALSE)*88)/88*20</f>
        <v>0</v>
      </c>
      <c r="M179" s="87">
        <f>(VLOOKUP($A:$A,USD!$A:$AL,13,FALSE)*88)/88*20</f>
        <v>20</v>
      </c>
      <c r="N179" s="87">
        <f>(VLOOKUP($A:$A,USD!$A:$AL,14,FALSE)*88)/88*20</f>
        <v>55</v>
      </c>
      <c r="O179" s="68">
        <f>(VLOOKUP($A:$A,USD!$A:$AL,15,FALSE)*88)/88*20</f>
        <v>37.916666666666671</v>
      </c>
      <c r="P179" s="87">
        <f>(VLOOKUP($A:$A,USD!$A:$AL,16,FALSE)*88)/88*20</f>
        <v>0</v>
      </c>
      <c r="Q179" s="68">
        <f t="shared" si="18"/>
        <v>427.91666666666669</v>
      </c>
      <c r="R179" s="68">
        <f t="shared" si="19"/>
        <v>92.916666666666671</v>
      </c>
      <c r="S179" s="68">
        <f>(VLOOKUP($A:$A,USD!$A:$AL,19,FALSE)*88)/88*20</f>
        <v>0</v>
      </c>
      <c r="T179" s="68">
        <f>(VLOOKUP($A:$A,USD!$A:$AL,20,FALSE)*88)/88*20</f>
        <v>0</v>
      </c>
      <c r="U179" s="68">
        <f>(VLOOKUP($A:$A,USD!$A:$AL,21,FALSE)*88)/88*20</f>
        <v>438.67159090909098</v>
      </c>
      <c r="V179" s="68"/>
      <c r="W179" s="68">
        <f t="shared" si="20"/>
        <v>438.67159090909098</v>
      </c>
      <c r="X179" s="1">
        <f>(VLOOKUP($A:$A,USD!$A:$AL,24,FALSE)*88)/88*20</f>
        <v>52</v>
      </c>
      <c r="Y179" s="68">
        <f>(VLOOKUP($A:$A,USD!$A:$AL,25,FALSE)*88)/88*20</f>
        <v>50.4</v>
      </c>
      <c r="Z179" s="68">
        <f>(VLOOKUP($A:$A,USD!$A:$AL,26,FALSE)*88)/88*20</f>
        <v>26.25</v>
      </c>
      <c r="AB179" s="68">
        <f t="shared" si="21"/>
        <v>128.65</v>
      </c>
      <c r="AC179" s="68">
        <f>(VLOOKUP($A:$A,USD!$A:$AL,29,FALSE)*88)/88*20</f>
        <v>110.22727272727273</v>
      </c>
      <c r="AD179" s="68">
        <f>(VLOOKUP($A:$A,USD!$A:$AL,30,FALSE)*88)/88*20</f>
        <v>107.04545454545455</v>
      </c>
      <c r="AF179" s="68">
        <f t="shared" si="22"/>
        <v>217.27272727272728</v>
      </c>
      <c r="AG179" s="87">
        <f>(VLOOKUP($A:$A,USD!$A:$AL,33,FALSE)*88)/88*20</f>
        <v>28.814300000000003</v>
      </c>
      <c r="AH179" s="68">
        <f>(VLOOKUP($A:$A,USD!$A:$AL,34,FALSE)*88)/88*20</f>
        <v>6.973140495867769</v>
      </c>
      <c r="AI179" s="87">
        <f>(VLOOKUP($A:$A,USD!$A:$AL,35,FALSE)*88)/88*20</f>
        <v>12.587317427197677</v>
      </c>
      <c r="AJ179" s="87">
        <f>(VLOOKUP($A:$A,USD!$A:$AL,36,FALSE)*88)/88*20</f>
        <v>6.7351999999999999</v>
      </c>
      <c r="AL179" s="68">
        <f t="shared" si="23"/>
        <v>55.109957923065444</v>
      </c>
      <c r="AM179" s="87">
        <f>(VLOOKUP($A:$A,USD!$A:$AR,39,FALSE)*88)/88*20</f>
        <v>79.999999999999986</v>
      </c>
      <c r="AN179" s="68">
        <f>(VLOOKUP($A:$A,USD!$A:$AR,40,FALSE)*88)/88*20</f>
        <v>26.17808219178082</v>
      </c>
      <c r="AO179" s="1">
        <f>(VLOOKUP($A:$A,USD!$A:$AR,41,FALSE)*88)/88*20</f>
        <v>0</v>
      </c>
      <c r="AR179" s="1">
        <f t="shared" si="24"/>
        <v>106.1780821917808</v>
      </c>
      <c r="AS179" s="38">
        <f t="shared" si="25"/>
        <v>1038.799024963331</v>
      </c>
      <c r="AT179" s="38">
        <f t="shared" si="26"/>
        <v>1373.799024963331</v>
      </c>
      <c r="AW179" s="1" t="e">
        <f>(VLOOKUP(A:A,USD!A:AT,46,FALSE)*88)/88*20</f>
        <v>#N/A</v>
      </c>
      <c r="AX179" s="1">
        <f>(VLOOKUP(A:A,USD!A:AU,47,FALSE)*88)/88*20</f>
        <v>386.36363636363632</v>
      </c>
    </row>
    <row r="180" spans="1:50" hidden="1">
      <c r="A180" s="1">
        <v>578010</v>
      </c>
      <c r="B180" s="1" t="s">
        <v>467</v>
      </c>
      <c r="C180" s="1" t="s">
        <v>465</v>
      </c>
      <c r="D180" s="1" t="s">
        <v>136</v>
      </c>
      <c r="E180" s="1" t="str">
        <f>VLOOKUP(A:A,USD!A:E,5,FALSE)</f>
        <v>Eastern Rule 5</v>
      </c>
      <c r="F180" s="1" t="str">
        <f>VLOOKUP(A:A,USD!A:F,6,FALSE)</f>
        <v>ER5</v>
      </c>
      <c r="G180" s="1" t="str">
        <f>VLOOKUP(A:A,'Regions and Ports'!A:G,7,FALSE)</f>
        <v>Savannah</v>
      </c>
      <c r="H180" s="1">
        <f>VLOOKUP(A:A,USD!A:R,8,FALSE)</f>
        <v>1</v>
      </c>
      <c r="I180" s="87">
        <f>(VLOOKUP($A:$A,USD!$A:$AL,9,FALSE)*88)/88*20</f>
        <v>70</v>
      </c>
      <c r="J180" s="87">
        <f>(VLOOKUP($A:$A,USD!$A:$AL,10,FALSE)*88)/88*20</f>
        <v>90</v>
      </c>
      <c r="K180" s="87">
        <f>(VLOOKUP($A:$A,USD!$A:$AL,11,FALSE)*88)/88*20</f>
        <v>0</v>
      </c>
      <c r="L180" s="87">
        <f>(VLOOKUP($A:$A,USD!$A:$AL,12,FALSE)*88)/88*20</f>
        <v>0</v>
      </c>
      <c r="M180" s="87">
        <f>(VLOOKUP($A:$A,USD!$A:$AL,13,FALSE)*88)/88*20</f>
        <v>20</v>
      </c>
      <c r="N180" s="87">
        <f>(VLOOKUP($A:$A,USD!$A:$AL,14,FALSE)*88)/88*20</f>
        <v>40</v>
      </c>
      <c r="O180" s="68">
        <f>(VLOOKUP($A:$A,USD!$A:$AL,15,FALSE)*88)/88*20</f>
        <v>37.916666666666671</v>
      </c>
      <c r="P180" s="87">
        <f>(VLOOKUP($A:$A,USD!$A:$AL,16,FALSE)*88)/88*20</f>
        <v>0</v>
      </c>
      <c r="Q180" s="68">
        <f t="shared" si="18"/>
        <v>257.91666666666669</v>
      </c>
      <c r="R180" s="68">
        <f t="shared" si="19"/>
        <v>77.916666666666671</v>
      </c>
      <c r="S180" s="68">
        <f>(VLOOKUP($A:$A,USD!$A:$AL,19,FALSE)*88)/88*20</f>
        <v>0</v>
      </c>
      <c r="T180" s="68">
        <f>(VLOOKUP($A:$A,USD!$A:$AL,20,FALSE)*88)/88*20</f>
        <v>0</v>
      </c>
      <c r="U180" s="68">
        <f>(VLOOKUP($A:$A,USD!$A:$AL,21,FALSE)*88)/88*20</f>
        <v>248.2357954545455</v>
      </c>
      <c r="V180" s="68"/>
      <c r="W180" s="68">
        <f t="shared" si="20"/>
        <v>248.2357954545455</v>
      </c>
      <c r="X180" s="1">
        <f>(VLOOKUP($A:$A,USD!$A:$AL,24,FALSE)*88)/88*20</f>
        <v>52</v>
      </c>
      <c r="Y180" s="68">
        <f>(VLOOKUP($A:$A,USD!$A:$AL,25,FALSE)*88)/88*20</f>
        <v>50.4</v>
      </c>
      <c r="Z180" s="68">
        <f>(VLOOKUP($A:$A,USD!$A:$AL,26,FALSE)*88)/88*20</f>
        <v>26.25</v>
      </c>
      <c r="AB180" s="68">
        <f t="shared" si="21"/>
        <v>128.65</v>
      </c>
      <c r="AC180" s="68">
        <f>(VLOOKUP($A:$A,USD!$A:$AL,29,FALSE)*88)/88*20</f>
        <v>110.22727272727273</v>
      </c>
      <c r="AD180" s="68">
        <f>(VLOOKUP($A:$A,USD!$A:$AL,30,FALSE)*88)/88*20</f>
        <v>107.04545454545455</v>
      </c>
      <c r="AF180" s="68">
        <f t="shared" si="22"/>
        <v>217.27272727272728</v>
      </c>
      <c r="AG180" s="87">
        <f>(VLOOKUP($A:$A,USD!$A:$AL,33,FALSE)*88)/88*20</f>
        <v>28.814300000000003</v>
      </c>
      <c r="AH180" s="68">
        <f>(VLOOKUP($A:$A,USD!$A:$AL,34,FALSE)*88)/88*20</f>
        <v>6.973140495867769</v>
      </c>
      <c r="AI180" s="87">
        <f>(VLOOKUP($A:$A,USD!$A:$AL,35,FALSE)*88)/88*20</f>
        <v>12.587317427197677</v>
      </c>
      <c r="AJ180" s="87">
        <f>(VLOOKUP($A:$A,USD!$A:$AL,36,FALSE)*88)/88*20</f>
        <v>6.7351999999999999</v>
      </c>
      <c r="AL180" s="68">
        <f t="shared" si="23"/>
        <v>55.109957923065444</v>
      </c>
      <c r="AM180" s="87">
        <f>(VLOOKUP($A:$A,USD!$A:$AR,39,FALSE)*88)/88*20</f>
        <v>79.999999999999986</v>
      </c>
      <c r="AN180" s="68">
        <f>(VLOOKUP($A:$A,USD!$A:$AR,40,FALSE)*88)/88*20</f>
        <v>26.17808219178082</v>
      </c>
      <c r="AO180" s="1">
        <f>(VLOOKUP($A:$A,USD!$A:$AR,41,FALSE)*88)/88*20</f>
        <v>0</v>
      </c>
      <c r="AR180" s="1">
        <f t="shared" si="24"/>
        <v>106.1780821917808</v>
      </c>
      <c r="AS180" s="38">
        <f t="shared" si="25"/>
        <v>833.36322950878571</v>
      </c>
      <c r="AT180" s="38">
        <f t="shared" si="26"/>
        <v>1013.3632295087857</v>
      </c>
      <c r="AW180" s="1" t="e">
        <f>(VLOOKUP(A:A,USD!A:AT,46,FALSE)*88)/88*20</f>
        <v>#N/A</v>
      </c>
      <c r="AX180" s="1" t="e">
        <f>(VLOOKUP(A:A,USD!A:AU,47,FALSE)*88)/88*20</f>
        <v>#N/A</v>
      </c>
    </row>
    <row r="181" spans="1:50" hidden="1">
      <c r="A181" s="1">
        <v>720600</v>
      </c>
      <c r="B181" s="1" t="s">
        <v>468</v>
      </c>
      <c r="C181" s="1" t="s">
        <v>469</v>
      </c>
      <c r="D181" s="1" t="s">
        <v>132</v>
      </c>
      <c r="E181" s="1" t="str">
        <f>VLOOKUP(A:A,USD!A:E,5,FALSE)</f>
        <v>Eastern Rule 5</v>
      </c>
      <c r="F181" s="1" t="str">
        <f>VLOOKUP(A:A,USD!A:F,6,FALSE)</f>
        <v>ER5</v>
      </c>
      <c r="G181" s="1" t="str">
        <f>VLOOKUP(A:A,'Regions and Ports'!A:G,7,FALSE)</f>
        <v>Savannah</v>
      </c>
      <c r="H181" s="1">
        <f>VLOOKUP(A:A,USD!A:R,8,FALSE)</f>
        <v>1</v>
      </c>
      <c r="I181" s="87">
        <f>(VLOOKUP($A:$A,USD!$A:$AL,9,FALSE)*88)/88*20</f>
        <v>60</v>
      </c>
      <c r="J181" s="87">
        <f>(VLOOKUP($A:$A,USD!$A:$AL,10,FALSE)*88)/88*20</f>
        <v>120</v>
      </c>
      <c r="K181" s="87">
        <f>(VLOOKUP($A:$A,USD!$A:$AL,11,FALSE)*88)/88*20</f>
        <v>0</v>
      </c>
      <c r="L181" s="87">
        <f>(VLOOKUP($A:$A,USD!$A:$AL,12,FALSE)*88)/88*20</f>
        <v>0</v>
      </c>
      <c r="M181" s="87">
        <f>(VLOOKUP($A:$A,USD!$A:$AL,13,FALSE)*88)/88*20</f>
        <v>10</v>
      </c>
      <c r="N181" s="87">
        <f>(VLOOKUP($A:$A,USD!$A:$AL,14,FALSE)*88)/88*20</f>
        <v>55</v>
      </c>
      <c r="O181" s="68">
        <f>(VLOOKUP($A:$A,USD!$A:$AL,15,FALSE)*88)/88*20</f>
        <v>37.916666666666671</v>
      </c>
      <c r="P181" s="87">
        <f>(VLOOKUP($A:$A,USD!$A:$AL,16,FALSE)*88)/88*20</f>
        <v>0</v>
      </c>
      <c r="Q181" s="68">
        <f t="shared" si="18"/>
        <v>282.91666666666669</v>
      </c>
      <c r="R181" s="68">
        <f t="shared" si="19"/>
        <v>92.916666666666671</v>
      </c>
      <c r="S181" s="68">
        <f>(VLOOKUP($A:$A,USD!$A:$AL,19,FALSE)*88)/88*20</f>
        <v>0</v>
      </c>
      <c r="T181" s="68">
        <f>(VLOOKUP($A:$A,USD!$A:$AL,20,FALSE)*88)/88*20</f>
        <v>0</v>
      </c>
      <c r="U181" s="68">
        <f>(VLOOKUP($A:$A,USD!$A:$AL,21,FALSE)*88)/88*20</f>
        <v>197.53238636363636</v>
      </c>
      <c r="V181" s="68"/>
      <c r="W181" s="68">
        <f t="shared" si="20"/>
        <v>197.53238636363636</v>
      </c>
      <c r="X181" s="1">
        <f>(VLOOKUP($A:$A,USD!$A:$AL,24,FALSE)*88)/88*20</f>
        <v>52</v>
      </c>
      <c r="Y181" s="68">
        <f>(VLOOKUP($A:$A,USD!$A:$AL,25,FALSE)*88)/88*20</f>
        <v>50.4</v>
      </c>
      <c r="Z181" s="68">
        <f>(VLOOKUP($A:$A,USD!$A:$AL,26,FALSE)*88)/88*20</f>
        <v>26.25</v>
      </c>
      <c r="AB181" s="68">
        <f t="shared" si="21"/>
        <v>128.65</v>
      </c>
      <c r="AC181" s="68">
        <f>(VLOOKUP($A:$A,USD!$A:$AL,29,FALSE)*88)/88*20</f>
        <v>110.22727272727273</v>
      </c>
      <c r="AD181" s="68">
        <f>(VLOOKUP($A:$A,USD!$A:$AL,30,FALSE)*88)/88*20</f>
        <v>107.04545454545455</v>
      </c>
      <c r="AF181" s="68">
        <f t="shared" si="22"/>
        <v>217.27272727272728</v>
      </c>
      <c r="AG181" s="87">
        <f>(VLOOKUP($A:$A,USD!$A:$AL,33,FALSE)*88)/88*20</f>
        <v>28.814300000000003</v>
      </c>
      <c r="AH181" s="68">
        <f>(VLOOKUP($A:$A,USD!$A:$AL,34,FALSE)*88)/88*20</f>
        <v>6.973140495867769</v>
      </c>
      <c r="AI181" s="87">
        <f>(VLOOKUP($A:$A,USD!$A:$AL,35,FALSE)*88)/88*20</f>
        <v>12.587317427197677</v>
      </c>
      <c r="AJ181" s="87">
        <f>(VLOOKUP($A:$A,USD!$A:$AL,36,FALSE)*88)/88*20</f>
        <v>6.7351999999999999</v>
      </c>
      <c r="AL181" s="68">
        <f t="shared" si="23"/>
        <v>55.109957923065444</v>
      </c>
      <c r="AM181" s="87">
        <f>(VLOOKUP($A:$A,USD!$A:$AR,39,FALSE)*88)/88*20</f>
        <v>79.999999999999986</v>
      </c>
      <c r="AN181" s="68">
        <f>(VLOOKUP($A:$A,USD!$A:$AR,40,FALSE)*88)/88*20</f>
        <v>26.17808219178082</v>
      </c>
      <c r="AO181" s="1">
        <f>(VLOOKUP($A:$A,USD!$A:$AR,41,FALSE)*88)/88*20</f>
        <v>0</v>
      </c>
      <c r="AR181" s="1">
        <f t="shared" si="24"/>
        <v>106.1780821917808</v>
      </c>
      <c r="AS181" s="38">
        <f t="shared" si="25"/>
        <v>797.65982041787652</v>
      </c>
      <c r="AT181" s="38">
        <f t="shared" si="26"/>
        <v>987.65982041787652</v>
      </c>
      <c r="AW181" s="1" t="e">
        <f>(VLOOKUP(A:A,USD!A:AT,46,FALSE)*88)/88*20</f>
        <v>#N/A</v>
      </c>
      <c r="AX181" s="1">
        <f>(VLOOKUP(A:A,USD!A:AU,47,FALSE)*88)/88*20</f>
        <v>192.04545454545453</v>
      </c>
    </row>
    <row r="182" spans="1:50" hidden="1">
      <c r="A182" s="1">
        <v>721180</v>
      </c>
      <c r="B182" s="1" t="s">
        <v>471</v>
      </c>
      <c r="C182" s="1" t="s">
        <v>469</v>
      </c>
      <c r="D182" s="1" t="s">
        <v>132</v>
      </c>
      <c r="E182" s="1" t="str">
        <f>VLOOKUP(A:A,USD!A:E,5,FALSE)</f>
        <v>Eastern Rule 5</v>
      </c>
      <c r="F182" s="1" t="str">
        <f>VLOOKUP(A:A,USD!A:F,6,FALSE)</f>
        <v>ER5</v>
      </c>
      <c r="G182" s="1" t="str">
        <f>VLOOKUP(A:A,'Regions and Ports'!A:G,7,FALSE)</f>
        <v>Savannah</v>
      </c>
      <c r="H182" s="1">
        <f>VLOOKUP(A:A,USD!A:R,8,FALSE)</f>
        <v>1</v>
      </c>
      <c r="I182" s="87">
        <f>(VLOOKUP($A:$A,USD!$A:$AL,9,FALSE)*88)/88*20</f>
        <v>40</v>
      </c>
      <c r="J182" s="87">
        <f>(VLOOKUP($A:$A,USD!$A:$AL,10,FALSE)*88)/88*20</f>
        <v>60</v>
      </c>
      <c r="K182" s="87">
        <f>(VLOOKUP($A:$A,USD!$A:$AL,11,FALSE)*88)/88*20</f>
        <v>0</v>
      </c>
      <c r="L182" s="87">
        <f>(VLOOKUP($A:$A,USD!$A:$AL,12,FALSE)*88)/88*20</f>
        <v>0</v>
      </c>
      <c r="M182" s="87">
        <f>(VLOOKUP($A:$A,USD!$A:$AL,13,FALSE)*88)/88*20</f>
        <v>0</v>
      </c>
      <c r="N182" s="87">
        <f>(VLOOKUP($A:$A,USD!$A:$AL,14,FALSE)*88)/88*20</f>
        <v>40</v>
      </c>
      <c r="O182" s="68">
        <f>(VLOOKUP($A:$A,USD!$A:$AL,15,FALSE)*88)/88*20</f>
        <v>37.916666666666671</v>
      </c>
      <c r="P182" s="87">
        <f>(VLOOKUP($A:$A,USD!$A:$AL,16,FALSE)*88)/88*20</f>
        <v>0</v>
      </c>
      <c r="Q182" s="68">
        <f t="shared" si="18"/>
        <v>177.91666666666669</v>
      </c>
      <c r="R182" s="68">
        <f t="shared" si="19"/>
        <v>77.916666666666671</v>
      </c>
      <c r="S182" s="68">
        <f>(VLOOKUP($A:$A,USD!$A:$AL,19,FALSE)*88)/88*20</f>
        <v>0</v>
      </c>
      <c r="T182" s="68">
        <f>(VLOOKUP($A:$A,USD!$A:$AL,20,FALSE)*88)/88*20</f>
        <v>0</v>
      </c>
      <c r="U182" s="68">
        <f>(VLOOKUP($A:$A,USD!$A:$AL,21,FALSE)*88)/88*20</f>
        <v>197.53238636363636</v>
      </c>
      <c r="V182" s="68"/>
      <c r="W182" s="68">
        <f t="shared" si="20"/>
        <v>197.53238636363636</v>
      </c>
      <c r="X182" s="1">
        <f>(VLOOKUP($A:$A,USD!$A:$AL,24,FALSE)*88)/88*20</f>
        <v>52</v>
      </c>
      <c r="Y182" s="68">
        <f>(VLOOKUP($A:$A,USD!$A:$AL,25,FALSE)*88)/88*20</f>
        <v>50.4</v>
      </c>
      <c r="Z182" s="68">
        <f>(VLOOKUP($A:$A,USD!$A:$AL,26,FALSE)*88)/88*20</f>
        <v>26.25</v>
      </c>
      <c r="AB182" s="68">
        <f t="shared" si="21"/>
        <v>128.65</v>
      </c>
      <c r="AC182" s="68">
        <f>(VLOOKUP($A:$A,USD!$A:$AL,29,FALSE)*88)/88*20</f>
        <v>110.22727272727273</v>
      </c>
      <c r="AD182" s="68">
        <f>(VLOOKUP($A:$A,USD!$A:$AL,30,FALSE)*88)/88*20</f>
        <v>107.04545454545455</v>
      </c>
      <c r="AF182" s="68">
        <f t="shared" si="22"/>
        <v>217.27272727272728</v>
      </c>
      <c r="AG182" s="87">
        <f>(VLOOKUP($A:$A,USD!$A:$AL,33,FALSE)*88)/88*20</f>
        <v>28.814300000000003</v>
      </c>
      <c r="AH182" s="68">
        <f>(VLOOKUP($A:$A,USD!$A:$AL,34,FALSE)*88)/88*20</f>
        <v>6.973140495867769</v>
      </c>
      <c r="AI182" s="87">
        <f>(VLOOKUP($A:$A,USD!$A:$AL,35,FALSE)*88)/88*20</f>
        <v>12.587317427197677</v>
      </c>
      <c r="AJ182" s="87">
        <f>(VLOOKUP($A:$A,USD!$A:$AL,36,FALSE)*88)/88*20</f>
        <v>6.7351999999999999</v>
      </c>
      <c r="AL182" s="68">
        <f t="shared" si="23"/>
        <v>55.109957923065444</v>
      </c>
      <c r="AM182" s="87">
        <f>(VLOOKUP($A:$A,USD!$A:$AR,39,FALSE)*88)/88*20</f>
        <v>79.999999999999986</v>
      </c>
      <c r="AN182" s="68">
        <f>(VLOOKUP($A:$A,USD!$A:$AR,40,FALSE)*88)/88*20</f>
        <v>26.17808219178082</v>
      </c>
      <c r="AO182" s="1">
        <f>(VLOOKUP($A:$A,USD!$A:$AR,41,FALSE)*88)/88*20</f>
        <v>0</v>
      </c>
      <c r="AR182" s="1">
        <f t="shared" si="24"/>
        <v>106.1780821917808</v>
      </c>
      <c r="AS182" s="38">
        <f t="shared" si="25"/>
        <v>782.65982041787652</v>
      </c>
      <c r="AT182" s="38">
        <f t="shared" si="26"/>
        <v>882.65982041787652</v>
      </c>
      <c r="AW182" s="1" t="e">
        <f>(VLOOKUP(A:A,USD!A:AT,46,FALSE)*88)/88*20</f>
        <v>#N/A</v>
      </c>
      <c r="AX182" s="1">
        <f>(VLOOKUP(A:A,USD!A:AU,47,FALSE)*88)/88*20</f>
        <v>192.04545454545453</v>
      </c>
    </row>
    <row r="183" spans="1:50" hidden="1">
      <c r="A183" s="1">
        <v>410020</v>
      </c>
      <c r="B183" s="1" t="s">
        <v>472</v>
      </c>
      <c r="C183" s="1" t="s">
        <v>473</v>
      </c>
      <c r="D183" s="1" t="s">
        <v>80</v>
      </c>
      <c r="E183" s="1" t="str">
        <f>VLOOKUP(A:A,USD!A:E,5,FALSE)</f>
        <v>Memphis Rule 5</v>
      </c>
      <c r="F183" s="1" t="str">
        <f>VLOOKUP(A:A,USD!A:F,6,FALSE)</f>
        <v>MR5</v>
      </c>
      <c r="G183" s="1" t="str">
        <f>VLOOKUP(A:A,'Regions and Ports'!A:G,7,FALSE)</f>
        <v>Houston</v>
      </c>
      <c r="H183" s="1">
        <f>VLOOKUP(A:A,USD!A:R,8,FALSE)</f>
        <v>1</v>
      </c>
      <c r="I183" s="87">
        <f>(VLOOKUP($A:$A,USD!$A:$AL,9,FALSE)*88)/88*20</f>
        <v>47</v>
      </c>
      <c r="J183" s="87">
        <f>(VLOOKUP($A:$A,USD!$A:$AL,10,FALSE)*88)/88*20</f>
        <v>180</v>
      </c>
      <c r="K183" s="87">
        <f>(VLOOKUP($A:$A,USD!$A:$AL,11,FALSE)*88)/88*20</f>
        <v>160</v>
      </c>
      <c r="L183" s="87">
        <f>(VLOOKUP($A:$A,USD!$A:$AL,12,FALSE)*88)/88*20</f>
        <v>61</v>
      </c>
      <c r="M183" s="87">
        <f>(VLOOKUP($A:$A,USD!$A:$AL,13,FALSE)*88)/88*20</f>
        <v>0</v>
      </c>
      <c r="N183" s="87">
        <f>(VLOOKUP($A:$A,USD!$A:$AL,14,FALSE)*88)/88*20</f>
        <v>70</v>
      </c>
      <c r="O183" s="68">
        <f>(VLOOKUP($A:$A,USD!$A:$AL,15,FALSE)*88)/88*20</f>
        <v>37.916666666666671</v>
      </c>
      <c r="P183" s="87">
        <f>(VLOOKUP($A:$A,USD!$A:$AL,16,FALSE)*88)/88*20</f>
        <v>0</v>
      </c>
      <c r="Q183" s="68">
        <f t="shared" si="18"/>
        <v>555.91666666666663</v>
      </c>
      <c r="R183" s="68">
        <f t="shared" si="19"/>
        <v>107.91666666666667</v>
      </c>
      <c r="S183" s="68">
        <f>(VLOOKUP($A:$A,USD!$A:$AL,19,FALSE)*88)/88*20</f>
        <v>0</v>
      </c>
      <c r="T183" s="68">
        <f>(VLOOKUP($A:$A,USD!$A:$AL,20,FALSE)*88)/88*20</f>
        <v>0</v>
      </c>
      <c r="U183" s="68">
        <f>(VLOOKUP($A:$A,USD!$A:$AL,21,FALSE)*88)/88*20</f>
        <v>343.75</v>
      </c>
      <c r="V183" s="68"/>
      <c r="W183" s="68">
        <f t="shared" si="20"/>
        <v>343.75</v>
      </c>
      <c r="X183" s="1">
        <f>(VLOOKUP($A:$A,USD!$A:$AL,24,FALSE)*88)/88*20</f>
        <v>54</v>
      </c>
      <c r="Y183" s="68">
        <f>(VLOOKUP($A:$A,USD!$A:$AL,25,FALSE)*88)/88*20</f>
        <v>50.4</v>
      </c>
      <c r="Z183" s="68">
        <f>(VLOOKUP($A:$A,USD!$A:$AL,26,FALSE)*88)/88*20</f>
        <v>26.25</v>
      </c>
      <c r="AB183" s="68">
        <f t="shared" si="21"/>
        <v>130.65</v>
      </c>
      <c r="AC183" s="68">
        <f>(VLOOKUP($A:$A,USD!$A:$AL,29,FALSE)*88)/88*20</f>
        <v>132.95454545454544</v>
      </c>
      <c r="AD183" s="68">
        <f>(VLOOKUP($A:$A,USD!$A:$AL,30,FALSE)*88)/88*20</f>
        <v>197.95454545454547</v>
      </c>
      <c r="AF183" s="68">
        <f t="shared" si="22"/>
        <v>330.90909090909088</v>
      </c>
      <c r="AG183" s="87">
        <f>(VLOOKUP($A:$A,USD!$A:$AL,33,FALSE)*88)/88*20</f>
        <v>28.814300000000003</v>
      </c>
      <c r="AH183" s="68">
        <f>(VLOOKUP($A:$A,USD!$A:$AL,34,FALSE)*88)/88*20</f>
        <v>6.973140495867769</v>
      </c>
      <c r="AI183" s="87">
        <f>(VLOOKUP($A:$A,USD!$A:$AL,35,FALSE)*88)/88*20</f>
        <v>12.587317427197677</v>
      </c>
      <c r="AJ183" s="87">
        <f>(VLOOKUP($A:$A,USD!$A:$AL,36,FALSE)*88)/88*20</f>
        <v>6.7351999999999999</v>
      </c>
      <c r="AL183" s="68">
        <f t="shared" si="23"/>
        <v>55.109957923065444</v>
      </c>
      <c r="AM183" s="87">
        <f>(VLOOKUP($A:$A,USD!$A:$AR,39,FALSE)*88)/88*20</f>
        <v>79.999999999999986</v>
      </c>
      <c r="AN183" s="68">
        <f>(VLOOKUP($A:$A,USD!$A:$AR,40,FALSE)*88)/88*20</f>
        <v>26.17808219178082</v>
      </c>
      <c r="AO183" s="1">
        <f>(VLOOKUP($A:$A,USD!$A:$AR,41,FALSE)*88)/88*20</f>
        <v>0</v>
      </c>
      <c r="AR183" s="1">
        <f t="shared" si="24"/>
        <v>106.1780821917808</v>
      </c>
      <c r="AS183" s="38">
        <f t="shared" si="25"/>
        <v>1074.5137976906037</v>
      </c>
      <c r="AT183" s="38">
        <f t="shared" si="26"/>
        <v>1522.5137976906037</v>
      </c>
      <c r="AW183" s="1">
        <f>(VLOOKUP(A:A,USD!A:AT,46,FALSE)*88)/88*20</f>
        <v>369.95227272727271</v>
      </c>
      <c r="AX183" s="1">
        <f>(VLOOKUP(A:A,USD!A:AU,47,FALSE)*88)/88*20</f>
        <v>502.27272727272725</v>
      </c>
    </row>
    <row r="184" spans="1:50" hidden="1">
      <c r="A184" s="1">
        <v>880533</v>
      </c>
      <c r="B184" s="1" t="s">
        <v>475</v>
      </c>
      <c r="C184" s="1" t="s">
        <v>476</v>
      </c>
      <c r="D184" s="1" t="s">
        <v>71</v>
      </c>
      <c r="E184" s="1" t="str">
        <f>VLOOKUP(A:A,USD!A:E,5,FALSE)</f>
        <v>WTX</v>
      </c>
      <c r="F184" s="1" t="str">
        <f>VLOOKUP(A:A,USD!A:F,6,FALSE)</f>
        <v>WTX</v>
      </c>
      <c r="G184" s="1" t="str">
        <f>VLOOKUP(A:A,'Regions and Ports'!A:G,7,FALSE)</f>
        <v>Dallas</v>
      </c>
      <c r="H184" s="1">
        <f>VLOOKUP(A:A,USD!A:R,8,FALSE)</f>
        <v>2</v>
      </c>
      <c r="I184" s="87">
        <f>(VLOOKUP($A:$A,USD!$A:$AL,9,FALSE)*88)/88*20</f>
        <v>95</v>
      </c>
      <c r="J184" s="87">
        <f>(VLOOKUP($A:$A,USD!$A:$AL,10,FALSE)*88)/88*20</f>
        <v>109</v>
      </c>
      <c r="K184" s="87">
        <f>(VLOOKUP($A:$A,USD!$A:$AL,11,FALSE)*88)/88*20</f>
        <v>195</v>
      </c>
      <c r="L184" s="87">
        <f>(VLOOKUP($A:$A,USD!$A:$AL,12,FALSE)*88)/88*20</f>
        <v>0</v>
      </c>
      <c r="M184" s="87">
        <f>(VLOOKUP($A:$A,USD!$A:$AL,13,FALSE)*88)/88*20</f>
        <v>20</v>
      </c>
      <c r="N184" s="87">
        <f>(VLOOKUP($A:$A,USD!$A:$AL,14,FALSE)*88)/88*20</f>
        <v>48</v>
      </c>
      <c r="O184" s="68">
        <f>(VLOOKUP($A:$A,USD!$A:$AL,15,FALSE)*88)/88*20</f>
        <v>37.916666666666671</v>
      </c>
      <c r="P184" s="87">
        <f>(VLOOKUP($A:$A,USD!$A:$AL,16,FALSE)*88)/88*20</f>
        <v>0</v>
      </c>
      <c r="Q184" s="68">
        <f t="shared" si="18"/>
        <v>504.91666666666669</v>
      </c>
      <c r="R184" s="68">
        <f t="shared" si="19"/>
        <v>280.91666666666669</v>
      </c>
      <c r="S184" s="68">
        <f>(VLOOKUP($A:$A,USD!$A:$AL,19,FALSE)*88)/88*20</f>
        <v>0</v>
      </c>
      <c r="T184" s="68">
        <f>(VLOOKUP($A:$A,USD!$A:$AL,20,FALSE)*88)/88*20</f>
        <v>0</v>
      </c>
      <c r="U184" s="68">
        <f>(VLOOKUP($A:$A,USD!$A:$AL,21,FALSE)*88)/88*20</f>
        <v>195.45454545454547</v>
      </c>
      <c r="V184" s="68"/>
      <c r="W184" s="68">
        <f t="shared" si="20"/>
        <v>195.45454545454547</v>
      </c>
      <c r="X184" s="1">
        <f>(VLOOKUP($A:$A,USD!$A:$AL,24,FALSE)*88)/88*20</f>
        <v>54</v>
      </c>
      <c r="Y184" s="68">
        <f>(VLOOKUP($A:$A,USD!$A:$AL,25,FALSE)*88)/88*20</f>
        <v>50.4</v>
      </c>
      <c r="Z184" s="68">
        <f>(VLOOKUP($A:$A,USD!$A:$AL,26,FALSE)*88)/88*20</f>
        <v>26.25</v>
      </c>
      <c r="AB184" s="68">
        <f t="shared" si="21"/>
        <v>130.65</v>
      </c>
      <c r="AC184" s="68">
        <f>(VLOOKUP($A:$A,USD!$A:$AL,29,FALSE)*88)/88*20</f>
        <v>162.5</v>
      </c>
      <c r="AD184" s="68">
        <f>(VLOOKUP($A:$A,USD!$A:$AL,30,FALSE)*88)/88*20</f>
        <v>268.18181818181819</v>
      </c>
      <c r="AF184" s="68">
        <f t="shared" si="22"/>
        <v>430.68181818181819</v>
      </c>
      <c r="AG184" s="87">
        <f>(VLOOKUP($A:$A,USD!$A:$AL,33,FALSE)*88)/88*20</f>
        <v>28.814300000000003</v>
      </c>
      <c r="AH184" s="68">
        <f>(VLOOKUP($A:$A,USD!$A:$AL,34,FALSE)*88)/88*20</f>
        <v>6.973140495867769</v>
      </c>
      <c r="AI184" s="87">
        <f>(VLOOKUP($A:$A,USD!$A:$AL,35,FALSE)*88)/88*20</f>
        <v>12.587317427197677</v>
      </c>
      <c r="AJ184" s="87">
        <f>(VLOOKUP($A:$A,USD!$A:$AL,36,FALSE)*88)/88*20</f>
        <v>6.7351999999999999</v>
      </c>
      <c r="AL184" s="68">
        <f t="shared" si="23"/>
        <v>55.109957923065444</v>
      </c>
      <c r="AM184" s="87">
        <f>(VLOOKUP($A:$A,USD!$A:$AR,39,FALSE)*88)/88*20</f>
        <v>79.999999999999986</v>
      </c>
      <c r="AN184" s="68">
        <f>(VLOOKUP($A:$A,USD!$A:$AR,40,FALSE)*88)/88*20</f>
        <v>26.17808219178082</v>
      </c>
      <c r="AO184" s="1">
        <f>(VLOOKUP($A:$A,USD!$A:$AR,41,FALSE)*88)/88*20</f>
        <v>0</v>
      </c>
      <c r="AR184" s="1">
        <f t="shared" si="24"/>
        <v>106.1780821917808</v>
      </c>
      <c r="AS184" s="38">
        <f t="shared" si="25"/>
        <v>1198.9910704178765</v>
      </c>
      <c r="AT184" s="38">
        <f t="shared" si="26"/>
        <v>1422.9910704178765</v>
      </c>
      <c r="AW184" s="1">
        <f>(VLOOKUP(A:A,USD!A:AT,46,FALSE)*88)/88*20</f>
        <v>337.90681818181815</v>
      </c>
      <c r="AX184" s="1" t="e">
        <f>(VLOOKUP(A:A,USD!A:AU,47,FALSE)*88)/88*20</f>
        <v>#N/A</v>
      </c>
    </row>
    <row r="185" spans="1:50" hidden="1">
      <c r="A185" s="125">
        <v>880533</v>
      </c>
      <c r="B185" s="1" t="s">
        <v>475</v>
      </c>
      <c r="C185" s="1" t="s">
        <v>476</v>
      </c>
      <c r="D185" s="1" t="s">
        <v>71</v>
      </c>
      <c r="E185" s="1" t="s">
        <v>2067</v>
      </c>
      <c r="F185" s="1" t="str">
        <f>VLOOKUP(A:A,USD!A:F,6,FALSE)</f>
        <v>WTX</v>
      </c>
      <c r="G185" s="1" t="s">
        <v>439</v>
      </c>
      <c r="H185" s="1">
        <f>VLOOKUP(A:A,USD!A:R,8,FALSE)</f>
        <v>2</v>
      </c>
      <c r="I185" s="87">
        <f>(VLOOKUP($A:$A,USD!$A:$AL,9,FALSE)*88)/88*20</f>
        <v>95</v>
      </c>
      <c r="J185" s="87">
        <f>(VLOOKUP($A:$A,USD!$A:$AL,10,FALSE)*88)/88*20</f>
        <v>109</v>
      </c>
      <c r="K185" s="87">
        <f>(VLOOKUP($A:$A,USD!$A:$AL,11,FALSE)*88)/88*20</f>
        <v>195</v>
      </c>
      <c r="L185" s="87">
        <f>(VLOOKUP($A:$A,USD!$A:$AL,12,FALSE)*88)/88*20</f>
        <v>0</v>
      </c>
      <c r="M185" s="87">
        <f>(VLOOKUP($A:$A,USD!$A:$AL,13,FALSE)*88)/88*20</f>
        <v>20</v>
      </c>
      <c r="N185" s="87">
        <f>(VLOOKUP($A:$A,USD!$A:$AL,14,FALSE)*88)/88*20</f>
        <v>48</v>
      </c>
      <c r="O185" s="68">
        <f>(VLOOKUP($A:$A,USD!$A:$AL,15,FALSE)*88)/88*20</f>
        <v>37.916666666666671</v>
      </c>
      <c r="P185" s="87">
        <f>(VLOOKUP($A:$A,USD!$A:$AL,16,FALSE)*88)/88*20</f>
        <v>0</v>
      </c>
      <c r="Q185" s="68">
        <f t="shared" si="18"/>
        <v>504.91666666666669</v>
      </c>
      <c r="R185" s="68">
        <f t="shared" si="19"/>
        <v>280.91666666666669</v>
      </c>
      <c r="S185" s="68">
        <f>(VLOOKUP($A:$A,USD!$A:$AL,19,FALSE)*88)/88*20</f>
        <v>0</v>
      </c>
      <c r="T185" s="68">
        <f>(VLOOKUP($A:$A,USD!$A:$AL,20,FALSE)*88)/88*20</f>
        <v>0</v>
      </c>
      <c r="U185" s="68" cm="1">
        <f t="array" ref="U185">(_xlfn.XLOOKUP(1, (USD!$A:$A=$A185)*(USD!$E:$E=$E185), USD!$U:$U, "", 0)*88)/88*20</f>
        <v>267.0454545454545</v>
      </c>
      <c r="V185" s="68"/>
      <c r="W185" s="68">
        <f t="shared" si="20"/>
        <v>267.0454545454545</v>
      </c>
      <c r="X185" s="1">
        <f>(VLOOKUP($A:$A,USD!$A:$AL,24,FALSE)*88)/88*20</f>
        <v>54</v>
      </c>
      <c r="Y185" s="68">
        <f>(VLOOKUP($A:$A,USD!$A:$AL,25,FALSE)*88)/88*20</f>
        <v>50.4</v>
      </c>
      <c r="Z185" s="68">
        <f>(VLOOKUP($A:$A,USD!$A:$AL,26,FALSE)*88)/88*20</f>
        <v>26.25</v>
      </c>
      <c r="AB185" s="68">
        <f t="shared" si="21"/>
        <v>130.65</v>
      </c>
      <c r="AC185" s="68" cm="1">
        <f t="array" ref="AC185">_xlfn.XLOOKUP(A185&amp;E185, USD!$A:$A&amp;USD!$E:$E, USD!$AC:$AC, "")*20</f>
        <v>132.95454545454544</v>
      </c>
      <c r="AD185" s="68" cm="1">
        <f t="array" ref="AD185">_xlfn.XLOOKUP(A185&amp;E185, USD!$A:$A&amp;USD!$E:$E, USD!$AD:$AD, "")*20</f>
        <v>197.95454545454547</v>
      </c>
      <c r="AF185" s="68">
        <f t="shared" si="22"/>
        <v>330.90909090909088</v>
      </c>
      <c r="AG185" s="87">
        <f>(VLOOKUP($A:$A,USD!$A:$AL,33,FALSE)*88)/88*20</f>
        <v>28.814300000000003</v>
      </c>
      <c r="AH185" s="68">
        <f>(VLOOKUP($A:$A,USD!$A:$AL,34,FALSE)*88)/88*20</f>
        <v>6.973140495867769</v>
      </c>
      <c r="AI185" s="87">
        <f>(VLOOKUP($A:$A,USD!$A:$AL,35,FALSE)*88)/88*20</f>
        <v>12.587317427197677</v>
      </c>
      <c r="AJ185" s="87">
        <f>(VLOOKUP($A:$A,USD!$A:$AL,36,FALSE)*88)/88*20</f>
        <v>6.7351999999999999</v>
      </c>
      <c r="AL185" s="68">
        <f t="shared" si="23"/>
        <v>55.109957923065444</v>
      </c>
      <c r="AM185" s="87">
        <f>(VLOOKUP($A:$A,USD!$A:$AR,39,FALSE)*88)/88*20</f>
        <v>79.999999999999986</v>
      </c>
      <c r="AN185" s="68">
        <f>(VLOOKUP($A:$A,USD!$A:$AR,40,FALSE)*88)/88*20</f>
        <v>26.17808219178082</v>
      </c>
      <c r="AO185" s="1">
        <f>(VLOOKUP($A:$A,USD!$A:$AR,41,FALSE)*88)/88*20</f>
        <v>0</v>
      </c>
      <c r="AR185" s="1">
        <f t="shared" si="24"/>
        <v>106.1780821917808</v>
      </c>
      <c r="AS185" s="38">
        <f t="shared" si="25"/>
        <v>1170.8092522360582</v>
      </c>
      <c r="AT185" s="38">
        <f t="shared" si="26"/>
        <v>1394.8092522360582</v>
      </c>
      <c r="AW185" s="1">
        <f>(VLOOKUP(A:A,USD!A:AT,46,FALSE)*88)/88*20</f>
        <v>337.90681818181815</v>
      </c>
      <c r="AX185" s="1" t="e">
        <f>(VLOOKUP(A:A,USD!A:AU,47,FALSE)*88)/88*20</f>
        <v>#N/A</v>
      </c>
    </row>
    <row r="186" spans="1:50" hidden="1">
      <c r="A186" s="1">
        <v>886623</v>
      </c>
      <c r="B186" s="1" t="s">
        <v>478</v>
      </c>
      <c r="C186" s="1" t="s">
        <v>479</v>
      </c>
      <c r="D186" s="1" t="s">
        <v>71</v>
      </c>
      <c r="E186" s="1" t="str">
        <f>VLOOKUP(A:A,USD!A:E,5,FALSE)</f>
        <v>STEX</v>
      </c>
      <c r="F186" s="1" t="str">
        <f>VLOOKUP(A:A,USD!A:F,6,FALSE)</f>
        <v>STX</v>
      </c>
      <c r="G186" s="1" t="str">
        <f>VLOOKUP(A:A,'Regions and Ports'!A:G,7,FALSE)</f>
        <v>Houston</v>
      </c>
      <c r="H186" s="1">
        <f>VLOOKUP(A:A,USD!A:R,8,FALSE)</f>
        <v>3</v>
      </c>
      <c r="I186" s="87">
        <f>(VLOOKUP($A:$A,USD!$A:$AL,9,FALSE)*88)/88*20</f>
        <v>95</v>
      </c>
      <c r="J186" s="87">
        <f>(VLOOKUP($A:$A,USD!$A:$AL,10,FALSE)*88)/88*20</f>
        <v>150</v>
      </c>
      <c r="K186" s="87">
        <f>(VLOOKUP($A:$A,USD!$A:$AL,11,FALSE)*88)/88*20</f>
        <v>0</v>
      </c>
      <c r="L186" s="87">
        <f>(VLOOKUP($A:$A,USD!$A:$AL,12,FALSE)*88)/88*20</f>
        <v>0</v>
      </c>
      <c r="M186" s="87">
        <f>(VLOOKUP($A:$A,USD!$A:$AL,13,FALSE)*88)/88*20</f>
        <v>0</v>
      </c>
      <c r="N186" s="87">
        <f>(VLOOKUP($A:$A,USD!$A:$AL,14,FALSE)*88)/88*20</f>
        <v>85</v>
      </c>
      <c r="O186" s="68">
        <f>(VLOOKUP($A:$A,USD!$A:$AL,15,FALSE)*88)/88*20</f>
        <v>37.916666666666671</v>
      </c>
      <c r="P186" s="87">
        <f>(VLOOKUP($A:$A,USD!$A:$AL,16,FALSE)*88)/88*20</f>
        <v>0</v>
      </c>
      <c r="Q186" s="68">
        <f t="shared" si="18"/>
        <v>367.91666666666669</v>
      </c>
      <c r="R186" s="68">
        <f t="shared" si="19"/>
        <v>272.91666666666669</v>
      </c>
      <c r="S186" s="68">
        <f>(VLOOKUP($A:$A,USD!$A:$AL,19,FALSE)*88)/88*20</f>
        <v>0</v>
      </c>
      <c r="T186" s="68">
        <f>(VLOOKUP($A:$A,USD!$A:$AL,20,FALSE)*88)/88*20</f>
        <v>0</v>
      </c>
      <c r="U186" s="68">
        <f>(VLOOKUP($A:$A,USD!$A:$AL,21,FALSE)*88)/88*20</f>
        <v>318.18181818181819</v>
      </c>
      <c r="V186" s="68"/>
      <c r="W186" s="68">
        <f t="shared" si="20"/>
        <v>318.18181818181819</v>
      </c>
      <c r="X186" s="1">
        <f>(VLOOKUP($A:$A,USD!$A:$AL,24,FALSE)*88)/88*20</f>
        <v>54</v>
      </c>
      <c r="Y186" s="68">
        <f>(VLOOKUP($A:$A,USD!$A:$AL,25,FALSE)*88)/88*20</f>
        <v>50.4</v>
      </c>
      <c r="Z186" s="68">
        <f>(VLOOKUP($A:$A,USD!$A:$AL,26,FALSE)*88)/88*20</f>
        <v>26.25</v>
      </c>
      <c r="AB186" s="68">
        <f t="shared" si="21"/>
        <v>130.65</v>
      </c>
      <c r="AC186" s="68">
        <f>(VLOOKUP($A:$A,USD!$A:$AL,29,FALSE)*88)/88*20</f>
        <v>132.95454545454544</v>
      </c>
      <c r="AD186" s="68">
        <f>(VLOOKUP($A:$A,USD!$A:$AL,30,FALSE)*88)/88*20</f>
        <v>197.95454545454547</v>
      </c>
      <c r="AF186" s="68">
        <f t="shared" si="22"/>
        <v>330.90909090909088</v>
      </c>
      <c r="AG186" s="87">
        <f>(VLOOKUP($A:$A,USD!$A:$AL,33,FALSE)*88)/88*20</f>
        <v>28.814300000000003</v>
      </c>
      <c r="AH186" s="68">
        <f>(VLOOKUP($A:$A,USD!$A:$AL,34,FALSE)*88)/88*20</f>
        <v>6.973140495867769</v>
      </c>
      <c r="AI186" s="87">
        <f>(VLOOKUP($A:$A,USD!$A:$AL,35,FALSE)*88)/88*20</f>
        <v>12.587317427197677</v>
      </c>
      <c r="AJ186" s="87">
        <f>(VLOOKUP($A:$A,USD!$A:$AL,36,FALSE)*88)/88*20</f>
        <v>6.7351999999999999</v>
      </c>
      <c r="AL186" s="68">
        <f t="shared" si="23"/>
        <v>55.109957923065444</v>
      </c>
      <c r="AM186" s="87">
        <f>(VLOOKUP($A:$A,USD!$A:$AR,39,FALSE)*88)/88*20</f>
        <v>79.999999999999986</v>
      </c>
      <c r="AN186" s="68">
        <f>(VLOOKUP($A:$A,USD!$A:$AR,40,FALSE)*88)/88*20</f>
        <v>26.17808219178082</v>
      </c>
      <c r="AO186" s="1">
        <f>(VLOOKUP($A:$A,USD!$A:$AR,41,FALSE)*88)/88*20</f>
        <v>0</v>
      </c>
      <c r="AR186" s="1">
        <f t="shared" si="24"/>
        <v>106.1780821917808</v>
      </c>
      <c r="AS186" s="38">
        <f t="shared" si="25"/>
        <v>1213.9456158724217</v>
      </c>
      <c r="AT186" s="38">
        <f t="shared" si="26"/>
        <v>1308.9456158724217</v>
      </c>
      <c r="AW186" s="1" t="e">
        <f>(VLOOKUP(A:A,USD!A:AT,46,FALSE)*88)/88*20</f>
        <v>#N/A</v>
      </c>
      <c r="AX186" s="1" t="e">
        <f>(VLOOKUP(A:A,USD!A:AU,47,FALSE)*88)/88*20</f>
        <v>#N/A</v>
      </c>
    </row>
    <row r="187" spans="1:50">
      <c r="A187" s="1">
        <v>101020</v>
      </c>
      <c r="B187" s="1" t="s">
        <v>481</v>
      </c>
      <c r="C187" s="1" t="s">
        <v>482</v>
      </c>
      <c r="D187" s="1" t="s">
        <v>65</v>
      </c>
      <c r="E187" s="1" t="str">
        <f>VLOOKUP(A:A,USD!A:E,5,FALSE)</f>
        <v>Eastern Rule 5</v>
      </c>
      <c r="F187" s="1" t="str">
        <f>VLOOKUP(A:A,USD!A:F,6,FALSE)</f>
        <v>ER5</v>
      </c>
      <c r="G187" s="1" t="str">
        <f>VLOOKUP(A:A,'Regions and Ports'!A:G,7,FALSE)</f>
        <v>Memphis</v>
      </c>
      <c r="H187" s="1">
        <f>VLOOKUP(A:A,USD!A:R,8,FALSE)</f>
        <v>1</v>
      </c>
      <c r="I187" s="87">
        <f>(VLOOKUP($A:$A,USD!$A:$AL,9,FALSE)*88)/88*20</f>
        <v>152</v>
      </c>
      <c r="J187" s="87">
        <f>(VLOOKUP($A:$A,USD!$A:$AL,10,FALSE)*88)/88*20</f>
        <v>120</v>
      </c>
      <c r="K187" s="87">
        <f>(VLOOKUP($A:$A,USD!$A:$AL,11,FALSE)*88)/88*20</f>
        <v>150</v>
      </c>
      <c r="L187" s="87">
        <f>(VLOOKUP($A:$A,USD!$A:$AL,12,FALSE)*88)/88*20</f>
        <v>0</v>
      </c>
      <c r="M187" s="87">
        <f>(VLOOKUP($A:$A,USD!$A:$AL,13,FALSE)*88)/88*20</f>
        <v>0</v>
      </c>
      <c r="N187" s="87">
        <f>(VLOOKUP($A:$A,USD!$A:$AL,14,FALSE)*88)/88*20</f>
        <v>50</v>
      </c>
      <c r="O187" s="68">
        <f>(VLOOKUP($A:$A,USD!$A:$AL,15,FALSE)*88)/88*20</f>
        <v>37.916666666666671</v>
      </c>
      <c r="P187" s="87">
        <f>(VLOOKUP($A:$A,USD!$A:$AL,16,FALSE)*88)/88*20</f>
        <v>0</v>
      </c>
      <c r="Q187" s="68">
        <f t="shared" si="18"/>
        <v>509.91666666666669</v>
      </c>
      <c r="R187" s="68">
        <f t="shared" si="19"/>
        <v>87.916666666666671</v>
      </c>
      <c r="S187" s="68">
        <f>(VLOOKUP($A:$A,USD!$A:$AL,19,FALSE)*88)/88*20</f>
        <v>0</v>
      </c>
      <c r="T187" s="68">
        <f>(VLOOKUP($A:$A,USD!$A:$AL,20,FALSE)*88)/88*20</f>
        <v>0</v>
      </c>
      <c r="U187" s="68">
        <f>(VLOOKUP($A:$A,USD!$A:$AL,21,FALSE)*88)/88*20</f>
        <v>227.84090909090909</v>
      </c>
      <c r="V187" s="68"/>
      <c r="W187" s="68">
        <f t="shared" si="20"/>
        <v>227.84090909090909</v>
      </c>
      <c r="X187" s="1">
        <f>(VLOOKUP($A:$A,USD!$A:$AL,24,FALSE)*88)/88*20</f>
        <v>50</v>
      </c>
      <c r="Y187" s="68">
        <f>(VLOOKUP($A:$A,USD!$A:$AL,25,FALSE)*88)/88*20</f>
        <v>33.6</v>
      </c>
      <c r="Z187" s="68">
        <f>(VLOOKUP($A:$A,USD!$A:$AL,26,FALSE)*88)/88*20</f>
        <v>26.25</v>
      </c>
      <c r="AB187" s="68">
        <f t="shared" si="21"/>
        <v>109.85</v>
      </c>
      <c r="AC187" s="68">
        <f>(VLOOKUP($A:$A,USD!$A:$AL,29,FALSE)*88)/88*20</f>
        <v>146.02272727272725</v>
      </c>
      <c r="AD187" s="68">
        <f>(VLOOKUP($A:$A,USD!$A:$AL,30,FALSE)*88)/88*20</f>
        <v>182.72727272727275</v>
      </c>
      <c r="AF187" s="68">
        <f t="shared" si="22"/>
        <v>328.75</v>
      </c>
      <c r="AG187" s="87">
        <f>(VLOOKUP($A:$A,USD!$A:$AL,33,FALSE)*88)/88*20</f>
        <v>28.814300000000003</v>
      </c>
      <c r="AH187" s="68">
        <f>(VLOOKUP($A:$A,USD!$A:$AL,34,FALSE)*88)/88*20</f>
        <v>6.973140495867769</v>
      </c>
      <c r="AI187" s="87">
        <f>(VLOOKUP($A:$A,USD!$A:$AL,35,FALSE)*88)/88*20</f>
        <v>12.587317427197677</v>
      </c>
      <c r="AJ187" s="87">
        <f>(VLOOKUP($A:$A,USD!$A:$AL,36,FALSE)*88)/88*20</f>
        <v>6.7351999999999999</v>
      </c>
      <c r="AL187" s="68">
        <f t="shared" si="23"/>
        <v>55.109957923065444</v>
      </c>
      <c r="AM187" s="87">
        <f>(VLOOKUP($A:$A,USD!$A:$AR,39,FALSE)*88)/88*20</f>
        <v>79.999999999999986</v>
      </c>
      <c r="AN187" s="68">
        <f>(VLOOKUP($A:$A,USD!$A:$AR,40,FALSE)*88)/88*20</f>
        <v>26.17808219178082</v>
      </c>
      <c r="AO187" s="1">
        <f>(VLOOKUP($A:$A,USD!$A:$AR,41,FALSE)*88)/88*20</f>
        <v>0</v>
      </c>
      <c r="AR187" s="1">
        <f t="shared" si="24"/>
        <v>106.1780821917808</v>
      </c>
      <c r="AS187" s="38">
        <f t="shared" si="25"/>
        <v>915.64561587242201</v>
      </c>
      <c r="AT187" s="38">
        <f t="shared" si="26"/>
        <v>1337.645615872422</v>
      </c>
      <c r="AW187" s="1" t="e">
        <f>(VLOOKUP(A:A,USD!A:AT,46,FALSE)*88)/88*20</f>
        <v>#N/A</v>
      </c>
      <c r="AX187" s="1">
        <f>(VLOOKUP(A:A,USD!A:AU,47,FALSE)*88)/88*20</f>
        <v>369.31818181818181</v>
      </c>
    </row>
    <row r="188" spans="1:50" hidden="1">
      <c r="A188" s="1">
        <v>282101</v>
      </c>
      <c r="B188" s="1" t="s">
        <v>483</v>
      </c>
      <c r="C188" s="1" t="s">
        <v>484</v>
      </c>
      <c r="D188" s="1" t="s">
        <v>76</v>
      </c>
      <c r="E188" s="1" t="str">
        <f>VLOOKUP(A:A,USD!A:E,5,FALSE)</f>
        <v>GA 30 Day</v>
      </c>
      <c r="F188" s="1" t="str">
        <f>VLOOKUP(A:A,USD!A:F,6,FALSE)</f>
        <v>ER5</v>
      </c>
      <c r="G188" s="1" t="str">
        <f>VLOOKUP(A:A,'Regions and Ports'!A:G,7,FALSE)</f>
        <v>Savannah</v>
      </c>
      <c r="H188" s="1">
        <f>VLOOKUP(A:A,USD!A:R,8,FALSE)</f>
        <v>4</v>
      </c>
      <c r="I188" s="87">
        <f>(VLOOKUP($A:$A,USD!$A:$AL,9,FALSE)*88)/88*20</f>
        <v>70</v>
      </c>
      <c r="J188" s="87">
        <f>(VLOOKUP($A:$A,USD!$A:$AL,10,FALSE)*88)/88*20</f>
        <v>110</v>
      </c>
      <c r="K188" s="87">
        <f>(VLOOKUP($A:$A,USD!$A:$AL,11,FALSE)*88)/88*20</f>
        <v>0</v>
      </c>
      <c r="L188" s="87">
        <f>(VLOOKUP($A:$A,USD!$A:$AL,12,FALSE)*88)/88*20</f>
        <v>0</v>
      </c>
      <c r="M188" s="87">
        <f>(VLOOKUP($A:$A,USD!$A:$AL,13,FALSE)*88)/88*20</f>
        <v>20</v>
      </c>
      <c r="N188" s="87">
        <f>(VLOOKUP($A:$A,USD!$A:$AL,14,FALSE)*88)/88*20</f>
        <v>70</v>
      </c>
      <c r="O188" s="68">
        <f>(VLOOKUP($A:$A,USD!$A:$AL,15,FALSE)*88)/88*20</f>
        <v>37.916666666666671</v>
      </c>
      <c r="P188" s="87">
        <f>(VLOOKUP($A:$A,USD!$A:$AL,16,FALSE)*88)/88*20</f>
        <v>0</v>
      </c>
      <c r="Q188" s="68">
        <f t="shared" si="18"/>
        <v>307.91666666666669</v>
      </c>
      <c r="R188" s="68">
        <f t="shared" si="19"/>
        <v>37.916666666666671</v>
      </c>
      <c r="S188" s="68">
        <f>(VLOOKUP($A:$A,USD!$A:$AL,19,FALSE)*88)/88*20</f>
        <v>0</v>
      </c>
      <c r="T188" s="68">
        <f>(VLOOKUP($A:$A,USD!$A:$AL,20,FALSE)*88)/88*20</f>
        <v>0</v>
      </c>
      <c r="U188" s="68">
        <f>(VLOOKUP($A:$A,USD!$A:$AL,21,FALSE)*88)/88*20</f>
        <v>174.7340909090909</v>
      </c>
      <c r="V188" s="68"/>
      <c r="W188" s="68">
        <f t="shared" si="20"/>
        <v>174.7340909090909</v>
      </c>
      <c r="X188" s="1">
        <f>(VLOOKUP($A:$A,USD!$A:$AL,24,FALSE)*88)/88*20</f>
        <v>52</v>
      </c>
      <c r="Y188" s="68">
        <f>(VLOOKUP($A:$A,USD!$A:$AL,25,FALSE)*88)/88*20</f>
        <v>50.4</v>
      </c>
      <c r="Z188" s="68">
        <f>(VLOOKUP($A:$A,USD!$A:$AL,26,FALSE)*88)/88*20</f>
        <v>26.25</v>
      </c>
      <c r="AB188" s="68">
        <f t="shared" si="21"/>
        <v>128.65</v>
      </c>
      <c r="AC188" s="68">
        <f>(VLOOKUP($A:$A,USD!$A:$AL,29,FALSE)*88)/88*20</f>
        <v>110.22727272727273</v>
      </c>
      <c r="AD188" s="68">
        <f>(VLOOKUP($A:$A,USD!$A:$AL,30,FALSE)*88)/88*20</f>
        <v>107.04545454545455</v>
      </c>
      <c r="AF188" s="68">
        <f t="shared" si="22"/>
        <v>217.27272727272728</v>
      </c>
      <c r="AG188" s="87">
        <f>(VLOOKUP($A:$A,USD!$A:$AL,33,FALSE)*88)/88*20</f>
        <v>28.814300000000003</v>
      </c>
      <c r="AH188" s="68">
        <f>(VLOOKUP($A:$A,USD!$A:$AL,34,FALSE)*88)/88*20</f>
        <v>6.973140495867769</v>
      </c>
      <c r="AI188" s="87">
        <f>(VLOOKUP($A:$A,USD!$A:$AL,35,FALSE)*88)/88*20</f>
        <v>12.587317427197677</v>
      </c>
      <c r="AJ188" s="87">
        <f>(VLOOKUP($A:$A,USD!$A:$AL,36,FALSE)*88)/88*20</f>
        <v>6.7351999999999999</v>
      </c>
      <c r="AL188" s="68">
        <f t="shared" si="23"/>
        <v>55.109957923065444</v>
      </c>
      <c r="AM188" s="87">
        <f>(VLOOKUP($A:$A,USD!$A:$AR,39,FALSE)*88)/88*20</f>
        <v>79.999999999999986</v>
      </c>
      <c r="AN188" s="68">
        <f>(VLOOKUP($A:$A,USD!$A:$AR,40,FALSE)*88)/88*20</f>
        <v>26.17808219178082</v>
      </c>
      <c r="AO188" s="1">
        <f>(VLOOKUP($A:$A,USD!$A:$AR,41,FALSE)*88)/88*20</f>
        <v>0</v>
      </c>
      <c r="AR188" s="1">
        <f t="shared" si="24"/>
        <v>106.1780821917808</v>
      </c>
      <c r="AS188" s="38">
        <f t="shared" si="25"/>
        <v>719.86152496333102</v>
      </c>
      <c r="AT188" s="38">
        <f t="shared" si="26"/>
        <v>989.86152496333102</v>
      </c>
      <c r="AW188" s="1" t="e">
        <f>(VLOOKUP(A:A,USD!A:AT,46,FALSE)*88)/88*20</f>
        <v>#N/A</v>
      </c>
      <c r="AX188" s="1">
        <f>(VLOOKUP(A:A,USD!A:AU,47,FALSE)*88)/88*20</f>
        <v>316.47727272727275</v>
      </c>
    </row>
    <row r="189" spans="1:50" hidden="1">
      <c r="A189" s="1">
        <v>882008</v>
      </c>
      <c r="B189" s="1" t="s">
        <v>486</v>
      </c>
      <c r="C189" s="1" t="s">
        <v>487</v>
      </c>
      <c r="D189" s="1" t="s">
        <v>71</v>
      </c>
      <c r="E189" s="1" t="str">
        <f>VLOOKUP(A:A,USD!A:E,5,FALSE)</f>
        <v>WTX</v>
      </c>
      <c r="F189" s="1" t="str">
        <f>VLOOKUP(A:A,USD!A:F,6,FALSE)</f>
        <v>WTX</v>
      </c>
      <c r="G189" s="1" t="str">
        <f>VLOOKUP(A:A,'Regions and Ports'!A:G,7,FALSE)</f>
        <v>Dallas</v>
      </c>
      <c r="H189" s="1">
        <f>VLOOKUP(A:A,USD!A:R,8,FALSE)</f>
        <v>2</v>
      </c>
      <c r="I189" s="87">
        <f>(VLOOKUP($A:$A,USD!$A:$AL,9,FALSE)*88)/88*20</f>
        <v>87</v>
      </c>
      <c r="J189" s="87">
        <f>(VLOOKUP($A:$A,USD!$A:$AL,10,FALSE)*88)/88*20</f>
        <v>115</v>
      </c>
      <c r="K189" s="87">
        <f>(VLOOKUP($A:$A,USD!$A:$AL,11,FALSE)*88)/88*20</f>
        <v>225</v>
      </c>
      <c r="L189" s="87">
        <f>(VLOOKUP($A:$A,USD!$A:$AL,12,FALSE)*88)/88*20</f>
        <v>0</v>
      </c>
      <c r="M189" s="87">
        <f>(VLOOKUP($A:$A,USD!$A:$AL,13,FALSE)*88)/88*20</f>
        <v>0</v>
      </c>
      <c r="N189" s="87">
        <f>(VLOOKUP($A:$A,USD!$A:$AL,14,FALSE)*88)/88*20</f>
        <v>45</v>
      </c>
      <c r="O189" s="68">
        <f>(VLOOKUP($A:$A,USD!$A:$AL,15,FALSE)*88)/88*20</f>
        <v>37.916666666666671</v>
      </c>
      <c r="P189" s="87">
        <f>(VLOOKUP($A:$A,USD!$A:$AL,16,FALSE)*88)/88*20</f>
        <v>0</v>
      </c>
      <c r="Q189" s="68">
        <f t="shared" si="18"/>
        <v>509.91666666666669</v>
      </c>
      <c r="R189" s="68">
        <f t="shared" si="19"/>
        <v>307.91666666666669</v>
      </c>
      <c r="S189" s="68">
        <f>(VLOOKUP($A:$A,USD!$A:$AL,19,FALSE)*88)/88*20</f>
        <v>0</v>
      </c>
      <c r="T189" s="68">
        <f>(VLOOKUP($A:$A,USD!$A:$AL,20,FALSE)*88)/88*20</f>
        <v>0</v>
      </c>
      <c r="U189" s="68">
        <f>(VLOOKUP($A:$A,USD!$A:$AL,21,FALSE)*88)/88*20</f>
        <v>198.86363636363637</v>
      </c>
      <c r="V189" s="68"/>
      <c r="W189" s="68">
        <f t="shared" si="20"/>
        <v>198.86363636363637</v>
      </c>
      <c r="X189" s="1">
        <f>(VLOOKUP($A:$A,USD!$A:$AL,24,FALSE)*88)/88*20</f>
        <v>54</v>
      </c>
      <c r="Y189" s="68">
        <f>(VLOOKUP($A:$A,USD!$A:$AL,25,FALSE)*88)/88*20</f>
        <v>50.4</v>
      </c>
      <c r="Z189" s="68">
        <f>(VLOOKUP($A:$A,USD!$A:$AL,26,FALSE)*88)/88*20</f>
        <v>26.25</v>
      </c>
      <c r="AB189" s="68">
        <f t="shared" si="21"/>
        <v>130.65</v>
      </c>
      <c r="AC189" s="68">
        <f>(VLOOKUP($A:$A,USD!$A:$AL,29,FALSE)*88)/88*20</f>
        <v>162.5</v>
      </c>
      <c r="AD189" s="68">
        <f>(VLOOKUP($A:$A,USD!$A:$AL,30,FALSE)*88)/88*20</f>
        <v>268.18181818181819</v>
      </c>
      <c r="AF189" s="68">
        <f t="shared" si="22"/>
        <v>430.68181818181819</v>
      </c>
      <c r="AG189" s="87">
        <f>(VLOOKUP($A:$A,USD!$A:$AL,33,FALSE)*88)/88*20</f>
        <v>28.814300000000003</v>
      </c>
      <c r="AH189" s="68">
        <f>(VLOOKUP($A:$A,USD!$A:$AL,34,FALSE)*88)/88*20</f>
        <v>6.973140495867769</v>
      </c>
      <c r="AI189" s="87">
        <f>(VLOOKUP($A:$A,USD!$A:$AL,35,FALSE)*88)/88*20</f>
        <v>12.587317427197677</v>
      </c>
      <c r="AJ189" s="87">
        <f>(VLOOKUP($A:$A,USD!$A:$AL,36,FALSE)*88)/88*20</f>
        <v>6.7351999999999999</v>
      </c>
      <c r="AL189" s="68">
        <f t="shared" si="23"/>
        <v>55.109957923065444</v>
      </c>
      <c r="AM189" s="87">
        <f>(VLOOKUP($A:$A,USD!$A:$AR,39,FALSE)*88)/88*20</f>
        <v>79.999999999999986</v>
      </c>
      <c r="AN189" s="68">
        <f>(VLOOKUP($A:$A,USD!$A:$AR,40,FALSE)*88)/88*20</f>
        <v>26.17808219178082</v>
      </c>
      <c r="AO189" s="1">
        <f>(VLOOKUP($A:$A,USD!$A:$AR,41,FALSE)*88)/88*20</f>
        <v>0</v>
      </c>
      <c r="AR189" s="1">
        <f t="shared" si="24"/>
        <v>106.1780821917808</v>
      </c>
      <c r="AS189" s="38">
        <f t="shared" si="25"/>
        <v>1229.4001613269675</v>
      </c>
      <c r="AT189" s="38">
        <f t="shared" si="26"/>
        <v>1431.4001613269672</v>
      </c>
      <c r="AW189" s="1" t="e">
        <f>(VLOOKUP(A:A,USD!A:AT,46,FALSE)*88)/88*20</f>
        <v>#N/A</v>
      </c>
      <c r="AX189" s="1" t="e">
        <f>(VLOOKUP(A:A,USD!A:AU,47,FALSE)*88)/88*20</f>
        <v>#N/A</v>
      </c>
    </row>
    <row r="190" spans="1:50" hidden="1">
      <c r="A190" s="125">
        <v>882008</v>
      </c>
      <c r="B190" s="1" t="s">
        <v>486</v>
      </c>
      <c r="C190" s="1" t="s">
        <v>487</v>
      </c>
      <c r="D190" s="1" t="s">
        <v>71</v>
      </c>
      <c r="E190" s="1" t="s">
        <v>2067</v>
      </c>
      <c r="F190" s="1" t="str">
        <f>VLOOKUP(A:A,USD!A:F,6,FALSE)</f>
        <v>WTX</v>
      </c>
      <c r="G190" s="1" t="s">
        <v>439</v>
      </c>
      <c r="H190" s="1">
        <f>VLOOKUP(A:A,USD!A:R,8,FALSE)</f>
        <v>2</v>
      </c>
      <c r="I190" s="87">
        <f>(VLOOKUP($A:$A,USD!$A:$AL,9,FALSE)*88)/88*20</f>
        <v>87</v>
      </c>
      <c r="J190" s="87">
        <f>(VLOOKUP($A:$A,USD!$A:$AL,10,FALSE)*88)/88*20</f>
        <v>115</v>
      </c>
      <c r="K190" s="87">
        <f>(VLOOKUP($A:$A,USD!$A:$AL,11,FALSE)*88)/88*20</f>
        <v>225</v>
      </c>
      <c r="L190" s="87">
        <f>(VLOOKUP($A:$A,USD!$A:$AL,12,FALSE)*88)/88*20</f>
        <v>0</v>
      </c>
      <c r="M190" s="87">
        <f>(VLOOKUP($A:$A,USD!$A:$AL,13,FALSE)*88)/88*20</f>
        <v>0</v>
      </c>
      <c r="N190" s="87">
        <f>(VLOOKUP($A:$A,USD!$A:$AL,14,FALSE)*88)/88*20</f>
        <v>45</v>
      </c>
      <c r="O190" s="68">
        <f>(VLOOKUP($A:$A,USD!$A:$AL,15,FALSE)*88)/88*20</f>
        <v>37.916666666666671</v>
      </c>
      <c r="P190" s="87">
        <f>(VLOOKUP($A:$A,USD!$A:$AL,16,FALSE)*88)/88*20</f>
        <v>0</v>
      </c>
      <c r="Q190" s="68">
        <f t="shared" si="18"/>
        <v>509.91666666666669</v>
      </c>
      <c r="R190" s="68">
        <f t="shared" si="19"/>
        <v>307.91666666666669</v>
      </c>
      <c r="S190" s="68">
        <f>(VLOOKUP($A:$A,USD!$A:$AL,19,FALSE)*88)/88*20</f>
        <v>0</v>
      </c>
      <c r="T190" s="68">
        <f>(VLOOKUP($A:$A,USD!$A:$AL,20,FALSE)*88)/88*20</f>
        <v>0</v>
      </c>
      <c r="U190" s="68" cm="1">
        <f t="array" ref="U190">(_xlfn.XLOOKUP(1, (USD!$A:$A=$A190)*(USD!$E:$E=$E190), USD!$U:$U, "", 0)*88)/88*20</f>
        <v>284.09090909090912</v>
      </c>
      <c r="V190" s="68"/>
      <c r="W190" s="68">
        <f t="shared" si="20"/>
        <v>284.09090909090912</v>
      </c>
      <c r="X190" s="1">
        <f>(VLOOKUP($A:$A,USD!$A:$AL,24,FALSE)*88)/88*20</f>
        <v>54</v>
      </c>
      <c r="Y190" s="68">
        <f>(VLOOKUP($A:$A,USD!$A:$AL,25,FALSE)*88)/88*20</f>
        <v>50.4</v>
      </c>
      <c r="Z190" s="68">
        <f>(VLOOKUP($A:$A,USD!$A:$AL,26,FALSE)*88)/88*20</f>
        <v>26.25</v>
      </c>
      <c r="AB190" s="68">
        <f t="shared" si="21"/>
        <v>130.65</v>
      </c>
      <c r="AC190" s="68" cm="1">
        <f t="array" ref="AC190">_xlfn.XLOOKUP(A190&amp;E190, USD!$A:$A&amp;USD!$E:$E, USD!$AC:$AC, "")*20</f>
        <v>132.95454545454544</v>
      </c>
      <c r="AD190" s="68" cm="1">
        <f t="array" ref="AD190">_xlfn.XLOOKUP(A190&amp;E190, USD!$A:$A&amp;USD!$E:$E, USD!$AD:$AD, "")*20</f>
        <v>197.95454545454547</v>
      </c>
      <c r="AF190" s="68">
        <f t="shared" si="22"/>
        <v>330.90909090909088</v>
      </c>
      <c r="AG190" s="87">
        <f>(VLOOKUP($A:$A,USD!$A:$AL,33,FALSE)*88)/88*20</f>
        <v>28.814300000000003</v>
      </c>
      <c r="AH190" s="68">
        <f>(VLOOKUP($A:$A,USD!$A:$AL,34,FALSE)*88)/88*20</f>
        <v>6.973140495867769</v>
      </c>
      <c r="AI190" s="87">
        <f>(VLOOKUP($A:$A,USD!$A:$AL,35,FALSE)*88)/88*20</f>
        <v>12.587317427197677</v>
      </c>
      <c r="AJ190" s="87">
        <f>(VLOOKUP($A:$A,USD!$A:$AL,36,FALSE)*88)/88*20</f>
        <v>6.7351999999999999</v>
      </c>
      <c r="AL190" s="68">
        <f t="shared" si="23"/>
        <v>55.109957923065444</v>
      </c>
      <c r="AM190" s="87">
        <f>(VLOOKUP($A:$A,USD!$A:$AR,39,FALSE)*88)/88*20</f>
        <v>79.999999999999986</v>
      </c>
      <c r="AN190" s="68">
        <f>(VLOOKUP($A:$A,USD!$A:$AR,40,FALSE)*88)/88*20</f>
        <v>26.17808219178082</v>
      </c>
      <c r="AO190" s="1">
        <f>(VLOOKUP($A:$A,USD!$A:$AR,41,FALSE)*88)/88*20</f>
        <v>0</v>
      </c>
      <c r="AR190" s="1">
        <f t="shared" si="24"/>
        <v>106.1780821917808</v>
      </c>
      <c r="AS190" s="38">
        <f t="shared" si="25"/>
        <v>1214.8547067815127</v>
      </c>
      <c r="AT190" s="38">
        <f t="shared" si="26"/>
        <v>1416.8547067815127</v>
      </c>
      <c r="AW190" s="1" t="e">
        <f>(VLOOKUP(A:A,USD!A:AT,46,FALSE)*88)/88*20</f>
        <v>#N/A</v>
      </c>
      <c r="AX190" s="1" t="e">
        <f>(VLOOKUP(A:A,USD!A:AU,47,FALSE)*88)/88*20</f>
        <v>#N/A</v>
      </c>
    </row>
    <row r="191" spans="1:50" hidden="1">
      <c r="A191" s="1">
        <v>385000</v>
      </c>
      <c r="B191" s="1" t="s">
        <v>83</v>
      </c>
      <c r="C191" s="1" t="s">
        <v>489</v>
      </c>
      <c r="D191" s="1" t="s">
        <v>205</v>
      </c>
      <c r="E191" s="1" t="str">
        <f>VLOOKUP(A:A,USD!A:E,5,FALSE)</f>
        <v>WTX</v>
      </c>
      <c r="F191" s="1" t="str">
        <f>VLOOKUP(A:A,USD!A:F,6,FALSE)</f>
        <v>WTX</v>
      </c>
      <c r="G191" s="1" t="str">
        <f>VLOOKUP(A:A,'Regions and Ports'!A:G,7,FALSE)</f>
        <v>Dallas</v>
      </c>
      <c r="H191" s="1">
        <f>VLOOKUP(A:A,USD!A:R,8,FALSE)</f>
        <v>2</v>
      </c>
      <c r="I191" s="87">
        <f>(VLOOKUP($A:$A,USD!$A:$AL,9,FALSE)*88)/88*20</f>
        <v>103</v>
      </c>
      <c r="J191" s="87">
        <f>(VLOOKUP($A:$A,USD!$A:$AL,10,FALSE)*88)/88*20</f>
        <v>125</v>
      </c>
      <c r="K191" s="87">
        <f>(VLOOKUP($A:$A,USD!$A:$AL,11,FALSE)*88)/88*20</f>
        <v>240</v>
      </c>
      <c r="L191" s="87">
        <f>(VLOOKUP($A:$A,USD!$A:$AL,12,FALSE)*88)/88*20</f>
        <v>0</v>
      </c>
      <c r="M191" s="87">
        <f>(VLOOKUP($A:$A,USD!$A:$AL,13,FALSE)*88)/88*20</f>
        <v>0</v>
      </c>
      <c r="N191" s="87">
        <f>(VLOOKUP($A:$A,USD!$A:$AL,14,FALSE)*88)/88*20</f>
        <v>39</v>
      </c>
      <c r="O191" s="68">
        <f>(VLOOKUP($A:$A,USD!$A:$AL,15,FALSE)*88)/88*20</f>
        <v>37.916666666666671</v>
      </c>
      <c r="P191" s="87">
        <f>(VLOOKUP($A:$A,USD!$A:$AL,16,FALSE)*88)/88*20</f>
        <v>0</v>
      </c>
      <c r="Q191" s="68">
        <f t="shared" si="18"/>
        <v>544.91666666666663</v>
      </c>
      <c r="R191" s="68">
        <f t="shared" si="19"/>
        <v>316.91666666666669</v>
      </c>
      <c r="S191" s="68">
        <f>(VLOOKUP($A:$A,USD!$A:$AL,19,FALSE)*88)/88*20</f>
        <v>20</v>
      </c>
      <c r="T191" s="68">
        <f>(VLOOKUP($A:$A,USD!$A:$AL,20,FALSE)*88)/88*20</f>
        <v>5</v>
      </c>
      <c r="U191" s="68">
        <f>(VLOOKUP($A:$A,USD!$A:$AL,21,FALSE)*88)/88*20</f>
        <v>307.9545454545455</v>
      </c>
      <c r="V191" s="68"/>
      <c r="W191" s="68">
        <f t="shared" si="20"/>
        <v>332.9545454545455</v>
      </c>
      <c r="X191" s="1">
        <f>(VLOOKUP($A:$A,USD!$A:$AL,24,FALSE)*88)/88*20</f>
        <v>54</v>
      </c>
      <c r="Y191" s="68">
        <f>(VLOOKUP($A:$A,USD!$A:$AL,25,FALSE)*88)/88*20</f>
        <v>50.4</v>
      </c>
      <c r="Z191" s="68">
        <f>(VLOOKUP($A:$A,USD!$A:$AL,26,FALSE)*88)/88*20</f>
        <v>26.25</v>
      </c>
      <c r="AB191" s="68">
        <f t="shared" si="21"/>
        <v>130.65</v>
      </c>
      <c r="AC191" s="68">
        <f>(VLOOKUP($A:$A,USD!$A:$AL,29,FALSE)*88)/88*20</f>
        <v>162.5</v>
      </c>
      <c r="AD191" s="68">
        <f>(VLOOKUP($A:$A,USD!$A:$AL,30,FALSE)*88)/88*20</f>
        <v>268.18181818181819</v>
      </c>
      <c r="AF191" s="68">
        <f t="shared" si="22"/>
        <v>430.68181818181819</v>
      </c>
      <c r="AG191" s="87">
        <f>(VLOOKUP($A:$A,USD!$A:$AL,33,FALSE)*88)/88*20</f>
        <v>28.814300000000003</v>
      </c>
      <c r="AH191" s="68">
        <f>(VLOOKUP($A:$A,USD!$A:$AL,34,FALSE)*88)/88*20</f>
        <v>6.973140495867769</v>
      </c>
      <c r="AI191" s="87">
        <f>(VLOOKUP($A:$A,USD!$A:$AL,35,FALSE)*88)/88*20</f>
        <v>12.587317427197677</v>
      </c>
      <c r="AJ191" s="87">
        <f>(VLOOKUP($A:$A,USD!$A:$AL,36,FALSE)*88)/88*20</f>
        <v>6.7351999999999999</v>
      </c>
      <c r="AL191" s="68">
        <f t="shared" si="23"/>
        <v>55.109957923065444</v>
      </c>
      <c r="AM191" s="87">
        <f>(VLOOKUP($A:$A,USD!$A:$AR,39,FALSE)*88)/88*20</f>
        <v>79.999999999999986</v>
      </c>
      <c r="AN191" s="68">
        <f>(VLOOKUP($A:$A,USD!$A:$AR,40,FALSE)*88)/88*20</f>
        <v>26.17808219178082</v>
      </c>
      <c r="AO191" s="1">
        <f>(VLOOKUP($A:$A,USD!$A:$AR,41,FALSE)*88)/88*20</f>
        <v>0</v>
      </c>
      <c r="AR191" s="1">
        <f t="shared" si="24"/>
        <v>106.1780821917808</v>
      </c>
      <c r="AS191" s="38">
        <f t="shared" si="25"/>
        <v>1372.4910704178765</v>
      </c>
      <c r="AT191" s="38">
        <f t="shared" si="26"/>
        <v>1600.4910704178765</v>
      </c>
      <c r="AW191" s="1">
        <f>(VLOOKUP(A:A,USD!A:AT,46,FALSE)*88)/88*20</f>
        <v>493.00681818181823</v>
      </c>
      <c r="AX191" s="1" t="e">
        <f>(VLOOKUP(A:A,USD!A:AU,47,FALSE)*88)/88*20</f>
        <v>#N/A</v>
      </c>
    </row>
    <row r="192" spans="1:50" hidden="1">
      <c r="A192" s="125">
        <v>385000</v>
      </c>
      <c r="B192" s="1" t="s">
        <v>83</v>
      </c>
      <c r="C192" s="1" t="s">
        <v>489</v>
      </c>
      <c r="D192" s="1" t="s">
        <v>205</v>
      </c>
      <c r="E192" s="1" t="s">
        <v>2067</v>
      </c>
      <c r="F192" s="1" t="str">
        <f>VLOOKUP(A:A,USD!A:F,6,FALSE)</f>
        <v>WTX</v>
      </c>
      <c r="G192" s="1" t="s">
        <v>439</v>
      </c>
      <c r="H192" s="1">
        <f>VLOOKUP(A:A,USD!A:R,8,FALSE)</f>
        <v>2</v>
      </c>
      <c r="I192" s="87">
        <f>(VLOOKUP($A:$A,USD!$A:$AL,9,FALSE)*88)/88*20</f>
        <v>103</v>
      </c>
      <c r="J192" s="87">
        <f>(VLOOKUP($A:$A,USD!$A:$AL,10,FALSE)*88)/88*20</f>
        <v>125</v>
      </c>
      <c r="K192" s="87">
        <f>(VLOOKUP($A:$A,USD!$A:$AL,11,FALSE)*88)/88*20</f>
        <v>240</v>
      </c>
      <c r="L192" s="87">
        <f>(VLOOKUP($A:$A,USD!$A:$AL,12,FALSE)*88)/88*20</f>
        <v>0</v>
      </c>
      <c r="M192" s="87">
        <f>(VLOOKUP($A:$A,USD!$A:$AL,13,FALSE)*88)/88*20</f>
        <v>0</v>
      </c>
      <c r="N192" s="87">
        <f>(VLOOKUP($A:$A,USD!$A:$AL,14,FALSE)*88)/88*20</f>
        <v>39</v>
      </c>
      <c r="O192" s="68">
        <f>(VLOOKUP($A:$A,USD!$A:$AL,15,FALSE)*88)/88*20</f>
        <v>37.916666666666671</v>
      </c>
      <c r="P192" s="87">
        <f>(VLOOKUP($A:$A,USD!$A:$AL,16,FALSE)*88)/88*20</f>
        <v>0</v>
      </c>
      <c r="Q192" s="68">
        <f t="shared" si="18"/>
        <v>544.91666666666663</v>
      </c>
      <c r="R192" s="68">
        <f t="shared" si="19"/>
        <v>316.91666666666669</v>
      </c>
      <c r="S192" s="68">
        <f>(VLOOKUP($A:$A,USD!$A:$AL,19,FALSE)*88)/88*20</f>
        <v>20</v>
      </c>
      <c r="T192" s="68">
        <f>(VLOOKUP($A:$A,USD!$A:$AL,20,FALSE)*88)/88*20</f>
        <v>5</v>
      </c>
      <c r="U192" s="68" cm="1">
        <f t="array" ref="U192">(_xlfn.XLOOKUP(1, (USD!$A:$A=$A192)*(USD!$E:$E=$E192), USD!$U:$U, "", 0)*88)/88*20</f>
        <v>420.4545454545455</v>
      </c>
      <c r="V192" s="68"/>
      <c r="W192" s="68">
        <f t="shared" si="20"/>
        <v>445.4545454545455</v>
      </c>
      <c r="X192" s="1">
        <f>(VLOOKUP($A:$A,USD!$A:$AL,24,FALSE)*88)/88*20</f>
        <v>54</v>
      </c>
      <c r="Y192" s="68">
        <f>(VLOOKUP($A:$A,USD!$A:$AL,25,FALSE)*88)/88*20</f>
        <v>50.4</v>
      </c>
      <c r="Z192" s="68">
        <f>(VLOOKUP($A:$A,USD!$A:$AL,26,FALSE)*88)/88*20</f>
        <v>26.25</v>
      </c>
      <c r="AB192" s="68">
        <f t="shared" si="21"/>
        <v>130.65</v>
      </c>
      <c r="AC192" s="68" cm="1">
        <f t="array" ref="AC192">_xlfn.XLOOKUP(A192&amp;E192, USD!$A:$A&amp;USD!$E:$E, USD!$AC:$AC, "")*20</f>
        <v>132.95454545454544</v>
      </c>
      <c r="AD192" s="68" cm="1">
        <f t="array" ref="AD192">_xlfn.XLOOKUP(A192&amp;E192, USD!$A:$A&amp;USD!$E:$E, USD!$AD:$AD, "")*20</f>
        <v>197.95454545454547</v>
      </c>
      <c r="AF192" s="68">
        <f t="shared" si="22"/>
        <v>330.90909090909088</v>
      </c>
      <c r="AG192" s="87">
        <f>(VLOOKUP($A:$A,USD!$A:$AL,33,FALSE)*88)/88*20</f>
        <v>28.814300000000003</v>
      </c>
      <c r="AH192" s="68">
        <f>(VLOOKUP($A:$A,USD!$A:$AL,34,FALSE)*88)/88*20</f>
        <v>6.973140495867769</v>
      </c>
      <c r="AI192" s="87">
        <f>(VLOOKUP($A:$A,USD!$A:$AL,35,FALSE)*88)/88*20</f>
        <v>12.587317427197677</v>
      </c>
      <c r="AJ192" s="87">
        <f>(VLOOKUP($A:$A,USD!$A:$AL,36,FALSE)*88)/88*20</f>
        <v>6.7351999999999999</v>
      </c>
      <c r="AL192" s="68">
        <f t="shared" si="23"/>
        <v>55.109957923065444</v>
      </c>
      <c r="AM192" s="87">
        <f>(VLOOKUP($A:$A,USD!$A:$AR,39,FALSE)*88)/88*20</f>
        <v>79.999999999999986</v>
      </c>
      <c r="AN192" s="68">
        <f>(VLOOKUP($A:$A,USD!$A:$AR,40,FALSE)*88)/88*20</f>
        <v>26.17808219178082</v>
      </c>
      <c r="AO192" s="1">
        <f>(VLOOKUP($A:$A,USD!$A:$AR,41,FALSE)*88)/88*20</f>
        <v>0</v>
      </c>
      <c r="AR192" s="1">
        <f t="shared" si="24"/>
        <v>106.1780821917808</v>
      </c>
      <c r="AS192" s="38">
        <f t="shared" si="25"/>
        <v>1385.2183431451492</v>
      </c>
      <c r="AT192" s="38">
        <f t="shared" si="26"/>
        <v>1613.2183431451492</v>
      </c>
      <c r="AW192" s="1">
        <f>(VLOOKUP(A:A,USD!A:AT,46,FALSE)*88)/88*20</f>
        <v>493.00681818181823</v>
      </c>
      <c r="AX192" s="1" t="e">
        <f>(VLOOKUP(A:A,USD!A:AU,47,FALSE)*88)/88*20</f>
        <v>#N/A</v>
      </c>
    </row>
    <row r="193" spans="1:50" hidden="1">
      <c r="A193" s="1">
        <v>884033</v>
      </c>
      <c r="B193" s="1" t="s">
        <v>491</v>
      </c>
      <c r="C193" s="1" t="s">
        <v>492</v>
      </c>
      <c r="D193" s="1" t="s">
        <v>71</v>
      </c>
      <c r="E193" s="1" t="str">
        <f>VLOOKUP(A:A,USD!A:E,5,FALSE)</f>
        <v>WTX</v>
      </c>
      <c r="F193" s="1" t="str">
        <f>VLOOKUP(A:A,USD!A:F,6,FALSE)</f>
        <v>WTX</v>
      </c>
      <c r="G193" s="1" t="str">
        <f>VLOOKUP(A:A,'Regions and Ports'!A:G,7,FALSE)</f>
        <v>Dallas</v>
      </c>
      <c r="H193" s="1">
        <f>VLOOKUP(A:A,USD!A:R,8,FALSE)</f>
        <v>2</v>
      </c>
      <c r="I193" s="87">
        <f>(VLOOKUP($A:$A,USD!$A:$AL,9,FALSE)*88)/88*20</f>
        <v>82</v>
      </c>
      <c r="J193" s="87">
        <f>(VLOOKUP($A:$A,USD!$A:$AL,10,FALSE)*88)/88*20</f>
        <v>100</v>
      </c>
      <c r="K193" s="87">
        <f>(VLOOKUP($A:$A,USD!$A:$AL,11,FALSE)*88)/88*20</f>
        <v>225</v>
      </c>
      <c r="L193" s="87">
        <f>(VLOOKUP($A:$A,USD!$A:$AL,12,FALSE)*88)/88*20</f>
        <v>0</v>
      </c>
      <c r="M193" s="87">
        <f>(VLOOKUP($A:$A,USD!$A:$AL,13,FALSE)*88)/88*20</f>
        <v>10</v>
      </c>
      <c r="N193" s="87">
        <f>(VLOOKUP($A:$A,USD!$A:$AL,14,FALSE)*88)/88*20</f>
        <v>48</v>
      </c>
      <c r="O193" s="68">
        <f>(VLOOKUP($A:$A,USD!$A:$AL,15,FALSE)*88)/88*20</f>
        <v>37.916666666666671</v>
      </c>
      <c r="P193" s="87">
        <f>(VLOOKUP($A:$A,USD!$A:$AL,16,FALSE)*88)/88*20</f>
        <v>0</v>
      </c>
      <c r="Q193" s="68">
        <f t="shared" si="18"/>
        <v>502.91666666666669</v>
      </c>
      <c r="R193" s="68">
        <f t="shared" si="19"/>
        <v>310.91666666666669</v>
      </c>
      <c r="S193" s="68">
        <f>(VLOOKUP($A:$A,USD!$A:$AL,19,FALSE)*88)/88*20</f>
        <v>0</v>
      </c>
      <c r="T193" s="68">
        <f>(VLOOKUP($A:$A,USD!$A:$AL,20,FALSE)*88)/88*20</f>
        <v>0</v>
      </c>
      <c r="U193" s="68">
        <f>(VLOOKUP($A:$A,USD!$A:$AL,21,FALSE)*88)/88*20</f>
        <v>188.63636363636363</v>
      </c>
      <c r="V193" s="68"/>
      <c r="W193" s="68">
        <f t="shared" si="20"/>
        <v>188.63636363636363</v>
      </c>
      <c r="X193" s="1">
        <f>(VLOOKUP($A:$A,USD!$A:$AL,24,FALSE)*88)/88*20</f>
        <v>54</v>
      </c>
      <c r="Y193" s="68">
        <f>(VLOOKUP($A:$A,USD!$A:$AL,25,FALSE)*88)/88*20</f>
        <v>50.4</v>
      </c>
      <c r="Z193" s="68">
        <f>(VLOOKUP($A:$A,USD!$A:$AL,26,FALSE)*88)/88*20</f>
        <v>26.25</v>
      </c>
      <c r="AB193" s="68">
        <f t="shared" si="21"/>
        <v>130.65</v>
      </c>
      <c r="AC193" s="68">
        <f>(VLOOKUP($A:$A,USD!$A:$AL,29,FALSE)*88)/88*20</f>
        <v>162.5</v>
      </c>
      <c r="AD193" s="68">
        <f>(VLOOKUP($A:$A,USD!$A:$AL,30,FALSE)*88)/88*20</f>
        <v>268.18181818181819</v>
      </c>
      <c r="AF193" s="68">
        <f t="shared" si="22"/>
        <v>430.68181818181819</v>
      </c>
      <c r="AG193" s="87">
        <f>(VLOOKUP($A:$A,USD!$A:$AL,33,FALSE)*88)/88*20</f>
        <v>28.814300000000003</v>
      </c>
      <c r="AH193" s="68">
        <f>(VLOOKUP($A:$A,USD!$A:$AL,34,FALSE)*88)/88*20</f>
        <v>6.973140495867769</v>
      </c>
      <c r="AI193" s="87">
        <f>(VLOOKUP($A:$A,USD!$A:$AL,35,FALSE)*88)/88*20</f>
        <v>12.587317427197677</v>
      </c>
      <c r="AJ193" s="87">
        <f>(VLOOKUP($A:$A,USD!$A:$AL,36,FALSE)*88)/88*20</f>
        <v>6.7351999999999999</v>
      </c>
      <c r="AL193" s="68">
        <f t="shared" si="23"/>
        <v>55.109957923065444</v>
      </c>
      <c r="AM193" s="87">
        <f>(VLOOKUP($A:$A,USD!$A:$AR,39,FALSE)*88)/88*20</f>
        <v>79.999999999999986</v>
      </c>
      <c r="AN193" s="68">
        <f>(VLOOKUP($A:$A,USD!$A:$AR,40,FALSE)*88)/88*20</f>
        <v>26.17808219178082</v>
      </c>
      <c r="AO193" s="1">
        <f>(VLOOKUP($A:$A,USD!$A:$AR,41,FALSE)*88)/88*20</f>
        <v>0</v>
      </c>
      <c r="AR193" s="1">
        <f t="shared" si="24"/>
        <v>106.1780821917808</v>
      </c>
      <c r="AS193" s="38">
        <f t="shared" si="25"/>
        <v>1222.1728885996947</v>
      </c>
      <c r="AT193" s="38">
        <f t="shared" si="26"/>
        <v>1414.1728885996945</v>
      </c>
      <c r="AW193" s="1">
        <f>(VLOOKUP(A:A,USD!A:AT,46,FALSE)*88)/88*20</f>
        <v>354.25</v>
      </c>
      <c r="AX193" s="1" t="e">
        <f>(VLOOKUP(A:A,USD!A:AU,47,FALSE)*88)/88*20</f>
        <v>#N/A</v>
      </c>
    </row>
    <row r="194" spans="1:50" hidden="1">
      <c r="A194" s="125">
        <v>884033</v>
      </c>
      <c r="B194" s="1" t="s">
        <v>491</v>
      </c>
      <c r="C194" s="1" t="s">
        <v>492</v>
      </c>
      <c r="D194" s="1" t="s">
        <v>71</v>
      </c>
      <c r="E194" s="1" t="s">
        <v>2067</v>
      </c>
      <c r="F194" s="1" t="str">
        <f>VLOOKUP(A:A,USD!A:F,6,FALSE)</f>
        <v>WTX</v>
      </c>
      <c r="G194" s="1" t="s">
        <v>439</v>
      </c>
      <c r="H194" s="1">
        <f>VLOOKUP(A:A,USD!A:R,8,FALSE)</f>
        <v>2</v>
      </c>
      <c r="I194" s="87">
        <f>(VLOOKUP($A:$A,USD!$A:$AL,9,FALSE)*88)/88*20</f>
        <v>82</v>
      </c>
      <c r="J194" s="87">
        <f>(VLOOKUP($A:$A,USD!$A:$AL,10,FALSE)*88)/88*20</f>
        <v>100</v>
      </c>
      <c r="K194" s="87">
        <f>(VLOOKUP($A:$A,USD!$A:$AL,11,FALSE)*88)/88*20</f>
        <v>225</v>
      </c>
      <c r="L194" s="87">
        <f>(VLOOKUP($A:$A,USD!$A:$AL,12,FALSE)*88)/88*20</f>
        <v>0</v>
      </c>
      <c r="M194" s="87">
        <f>(VLOOKUP($A:$A,USD!$A:$AL,13,FALSE)*88)/88*20</f>
        <v>10</v>
      </c>
      <c r="N194" s="87">
        <f>(VLOOKUP($A:$A,USD!$A:$AL,14,FALSE)*88)/88*20</f>
        <v>48</v>
      </c>
      <c r="O194" s="68">
        <f>(VLOOKUP($A:$A,USD!$A:$AL,15,FALSE)*88)/88*20</f>
        <v>37.916666666666671</v>
      </c>
      <c r="P194" s="87">
        <f>(VLOOKUP($A:$A,USD!$A:$AL,16,FALSE)*88)/88*20</f>
        <v>0</v>
      </c>
      <c r="Q194" s="68">
        <f t="shared" si="18"/>
        <v>502.91666666666669</v>
      </c>
      <c r="R194" s="68">
        <f t="shared" si="19"/>
        <v>310.91666666666669</v>
      </c>
      <c r="S194" s="68">
        <f>(VLOOKUP($A:$A,USD!$A:$AL,19,FALSE)*88)/88*20</f>
        <v>0</v>
      </c>
      <c r="T194" s="68">
        <f>(VLOOKUP($A:$A,USD!$A:$AL,20,FALSE)*88)/88*20</f>
        <v>0</v>
      </c>
      <c r="U194" s="68" cm="1">
        <f t="array" ref="U194">(_xlfn.XLOOKUP(1, (USD!$A:$A=$A194)*(USD!$E:$E=$E194), USD!$U:$U, "", 0)*88)/88*20</f>
        <v>267.0454545454545</v>
      </c>
      <c r="V194" s="68"/>
      <c r="W194" s="68">
        <f t="shared" si="20"/>
        <v>267.0454545454545</v>
      </c>
      <c r="X194" s="1">
        <f>(VLOOKUP($A:$A,USD!$A:$AL,24,FALSE)*88)/88*20</f>
        <v>54</v>
      </c>
      <c r="Y194" s="68">
        <f>(VLOOKUP($A:$A,USD!$A:$AL,25,FALSE)*88)/88*20</f>
        <v>50.4</v>
      </c>
      <c r="Z194" s="68">
        <f>(VLOOKUP($A:$A,USD!$A:$AL,26,FALSE)*88)/88*20</f>
        <v>26.25</v>
      </c>
      <c r="AB194" s="68">
        <f t="shared" si="21"/>
        <v>130.65</v>
      </c>
      <c r="AC194" s="68" cm="1">
        <f t="array" ref="AC194">_xlfn.XLOOKUP(A194&amp;E194, USD!$A:$A&amp;USD!$E:$E, USD!$AC:$AC, "")*20</f>
        <v>132.95454545454544</v>
      </c>
      <c r="AD194" s="68" cm="1">
        <f t="array" ref="AD194">_xlfn.XLOOKUP(A194&amp;E194, USD!$A:$A&amp;USD!$E:$E, USD!$AD:$AD, "")*20</f>
        <v>197.95454545454547</v>
      </c>
      <c r="AF194" s="68">
        <f t="shared" si="22"/>
        <v>330.90909090909088</v>
      </c>
      <c r="AG194" s="87">
        <f>(VLOOKUP($A:$A,USD!$A:$AL,33,FALSE)*88)/88*20</f>
        <v>28.814300000000003</v>
      </c>
      <c r="AH194" s="68">
        <f>(VLOOKUP($A:$A,USD!$A:$AL,34,FALSE)*88)/88*20</f>
        <v>6.973140495867769</v>
      </c>
      <c r="AI194" s="87">
        <f>(VLOOKUP($A:$A,USD!$A:$AL,35,FALSE)*88)/88*20</f>
        <v>12.587317427197677</v>
      </c>
      <c r="AJ194" s="87">
        <f>(VLOOKUP($A:$A,USD!$A:$AL,36,FALSE)*88)/88*20</f>
        <v>6.7351999999999999</v>
      </c>
      <c r="AL194" s="68">
        <f t="shared" si="23"/>
        <v>55.109957923065444</v>
      </c>
      <c r="AM194" s="87">
        <f>(VLOOKUP($A:$A,USD!$A:$AR,39,FALSE)*88)/88*20</f>
        <v>79.999999999999986</v>
      </c>
      <c r="AN194" s="68">
        <f>(VLOOKUP($A:$A,USD!$A:$AR,40,FALSE)*88)/88*20</f>
        <v>26.17808219178082</v>
      </c>
      <c r="AO194" s="1">
        <f>(VLOOKUP($A:$A,USD!$A:$AR,41,FALSE)*88)/88*20</f>
        <v>0</v>
      </c>
      <c r="AR194" s="1">
        <f t="shared" si="24"/>
        <v>106.1780821917808</v>
      </c>
      <c r="AS194" s="38">
        <f t="shared" si="25"/>
        <v>1200.8092522360582</v>
      </c>
      <c r="AT194" s="38">
        <f t="shared" si="26"/>
        <v>1392.8092522360582</v>
      </c>
      <c r="AW194" s="1">
        <f>(VLOOKUP(A:A,USD!A:AT,46,FALSE)*88)/88*20</f>
        <v>354.25</v>
      </c>
      <c r="AX194" s="1" t="e">
        <f>(VLOOKUP(A:A,USD!A:AU,47,FALSE)*88)/88*20</f>
        <v>#N/A</v>
      </c>
    </row>
    <row r="195" spans="1:50" hidden="1">
      <c r="A195" s="1">
        <v>538013</v>
      </c>
      <c r="B195" s="1" t="s">
        <v>83</v>
      </c>
      <c r="C195" s="1" t="s">
        <v>494</v>
      </c>
      <c r="D195" s="1" t="s">
        <v>253</v>
      </c>
      <c r="E195" s="1" t="str">
        <f>VLOOKUP(A:A,USD!A:E,5,FALSE)</f>
        <v>WTX</v>
      </c>
      <c r="F195" s="1" t="str">
        <f>VLOOKUP(A:A,USD!A:F,6,FALSE)</f>
        <v>WTX</v>
      </c>
      <c r="G195" s="1" t="str">
        <f>VLOOKUP(A:A,'Regions and Ports'!A:G,7,FALSE)</f>
        <v>Los Angeles</v>
      </c>
      <c r="H195" s="1">
        <f>VLOOKUP(A:A,USD!A:R,8,FALSE)</f>
        <v>2</v>
      </c>
      <c r="I195" s="87">
        <f>(VLOOKUP($A:$A,USD!$A:$AL,9,FALSE)*88)/88*20</f>
        <v>103</v>
      </c>
      <c r="J195" s="87">
        <f>(VLOOKUP($A:$A,USD!$A:$AL,10,FALSE)*88)/88*20</f>
        <v>125</v>
      </c>
      <c r="K195" s="87">
        <f>(VLOOKUP($A:$A,USD!$A:$AL,11,FALSE)*88)/88*20</f>
        <v>240</v>
      </c>
      <c r="L195" s="87">
        <f>(VLOOKUP($A:$A,USD!$A:$AL,12,FALSE)*88)/88*20</f>
        <v>0</v>
      </c>
      <c r="M195" s="87">
        <f>(VLOOKUP($A:$A,USD!$A:$AL,13,FALSE)*88)/88*20</f>
        <v>0</v>
      </c>
      <c r="N195" s="87">
        <f>(VLOOKUP($A:$A,USD!$A:$AL,14,FALSE)*88)/88*20</f>
        <v>39</v>
      </c>
      <c r="O195" s="68">
        <f>(VLOOKUP($A:$A,USD!$A:$AL,15,FALSE)*88)/88*20</f>
        <v>37.916666666666671</v>
      </c>
      <c r="P195" s="87" t="e">
        <f>(VLOOKUP($A:$A,USD!$A:$AL,16,FALSE)*88)/88*20</f>
        <v>#N/A</v>
      </c>
      <c r="Q195" s="68" t="e">
        <f t="shared" ref="Q195:Q258" si="27">I195+J195+K195+L195+M195+N195+O195+P195</f>
        <v>#N/A</v>
      </c>
      <c r="R195" s="68">
        <f t="shared" ref="R195:R258" si="28">IF(H195=1,SUM(N195),IF(H195=2,SUM(K195,N195),IF(H195=3,SUM(J195,K195,L195,N195),IF(H195=4,SUM(L195),"ERROR"))))+O195</f>
        <v>316.91666666666669</v>
      </c>
      <c r="S195" s="68">
        <f>(VLOOKUP($A:$A,USD!$A:$AL,19,FALSE)*88)/88*20</f>
        <v>20</v>
      </c>
      <c r="T195" s="68">
        <f>(VLOOKUP($A:$A,USD!$A:$AL,20,FALSE)*88)/88*20</f>
        <v>5</v>
      </c>
      <c r="U195" s="68" t="e">
        <f>(VLOOKUP($A:$A,USD!$A:$AL,21,FALSE)*88)/88*20</f>
        <v>#N/A</v>
      </c>
      <c r="V195" s="68"/>
      <c r="W195" s="68" t="e">
        <f t="shared" ref="W195:W258" si="29">S195+T195+U195+V195</f>
        <v>#N/A</v>
      </c>
      <c r="X195" s="1" t="e">
        <f>(VLOOKUP($A:$A,USD!$A:$AL,24,FALSE)*88)/88*20</f>
        <v>#N/A</v>
      </c>
      <c r="Y195" s="68" t="e">
        <f>(VLOOKUP($A:$A,USD!$A:$AL,25,FALSE)*88)/88*20</f>
        <v>#N/A</v>
      </c>
      <c r="Z195" s="68">
        <f>(VLOOKUP($A:$A,USD!$A:$AL,26,FALSE)*88)/88*20</f>
        <v>26.25</v>
      </c>
      <c r="AB195" s="68" t="e">
        <f t="shared" ref="AB195:AB258" si="30">X195+Y195+Z195+AA195</f>
        <v>#N/A</v>
      </c>
      <c r="AC195" s="68" t="e">
        <f>(VLOOKUP($A:$A,USD!$A:$AL,29,FALSE)*88)/88*20</f>
        <v>#N/A</v>
      </c>
      <c r="AD195" s="68" t="e">
        <f>(VLOOKUP($A:$A,USD!$A:$AL,30,FALSE)*88)/88*20</f>
        <v>#N/A</v>
      </c>
      <c r="AF195" s="68" t="e">
        <f t="shared" ref="AF195:AF258" si="31">AC195+AD195+AE195</f>
        <v>#N/A</v>
      </c>
      <c r="AG195" s="87">
        <f>(VLOOKUP($A:$A,USD!$A:$AL,33,FALSE)*88)/88*20</f>
        <v>28.814300000000003</v>
      </c>
      <c r="AH195" s="68">
        <f>(VLOOKUP($A:$A,USD!$A:$AL,34,FALSE)*88)/88*20</f>
        <v>6.973140495867769</v>
      </c>
      <c r="AI195" s="87">
        <f>(VLOOKUP($A:$A,USD!$A:$AL,35,FALSE)*88)/88*20</f>
        <v>12.587317427197677</v>
      </c>
      <c r="AJ195" s="87">
        <f>(VLOOKUP($A:$A,USD!$A:$AL,36,FALSE)*88)/88*20</f>
        <v>6.7351999999999999</v>
      </c>
      <c r="AL195" s="68">
        <f t="shared" ref="AL195:AL258" si="32">AG195+AH195+AI195+AJ195</f>
        <v>55.109957923065444</v>
      </c>
      <c r="AM195" s="87">
        <f>(VLOOKUP($A:$A,USD!$A:$AR,39,FALSE)*88)/88*20</f>
        <v>79.999999999999986</v>
      </c>
      <c r="AN195" s="68">
        <f>(VLOOKUP($A:$A,USD!$A:$AR,40,FALSE)*88)/88*20</f>
        <v>26.17808219178082</v>
      </c>
      <c r="AO195" s="1">
        <f>(VLOOKUP($A:$A,USD!$A:$AR,41,FALSE)*88)/88*20</f>
        <v>0</v>
      </c>
      <c r="AR195" s="1">
        <f t="shared" ref="AR195:AR258" si="33">AM195+AN195+AO195+AP195+AQ195</f>
        <v>106.1780821917808</v>
      </c>
      <c r="AS195" s="38" t="e">
        <f t="shared" ref="AS195:AS258" si="34">R195+W195+AB195+AF195+AL195+AR195</f>
        <v>#N/A</v>
      </c>
      <c r="AT195" s="38" t="e">
        <f t="shared" ref="AT195:AT258" si="35">Q195+W195+AB195+AF195+AR195+AL195</f>
        <v>#N/A</v>
      </c>
      <c r="AW195" s="1" t="e">
        <f>(VLOOKUP(A:A,USD!A:AT,46,FALSE)*88)/88*20</f>
        <v>#N/A</v>
      </c>
      <c r="AX195" s="1" t="e">
        <f>(VLOOKUP(A:A,USD!A:AU,47,FALSE)*88)/88*20</f>
        <v>#N/A</v>
      </c>
    </row>
    <row r="196" spans="1:50">
      <c r="A196" s="1">
        <v>62306</v>
      </c>
      <c r="B196" s="1" t="s">
        <v>496</v>
      </c>
      <c r="C196" s="1" t="s">
        <v>497</v>
      </c>
      <c r="D196" s="1" t="s">
        <v>65</v>
      </c>
      <c r="E196" s="1" t="str">
        <f>VLOOKUP(A:A,USD!A:E,5,FALSE)</f>
        <v>Eastern Rule 5</v>
      </c>
      <c r="F196" s="1" t="str">
        <f>VLOOKUP(A:A,USD!A:F,6,FALSE)</f>
        <v>ER5</v>
      </c>
      <c r="G196" s="1" t="str">
        <f>VLOOKUP(A:A,'Regions and Ports'!A:G,7,FALSE)</f>
        <v>Savannah</v>
      </c>
      <c r="H196" s="1">
        <f>VLOOKUP(A:A,USD!A:R,8,FALSE)</f>
        <v>1</v>
      </c>
      <c r="I196" s="87">
        <f>(VLOOKUP($A:$A,USD!$A:$AL,9,FALSE)*88)/88*20</f>
        <v>69</v>
      </c>
      <c r="J196" s="87">
        <f>(VLOOKUP($A:$A,USD!$A:$AL,10,FALSE)*88)/88*20</f>
        <v>100</v>
      </c>
      <c r="K196" s="87">
        <f>(VLOOKUP($A:$A,USD!$A:$AL,11,FALSE)*88)/88*20</f>
        <v>0</v>
      </c>
      <c r="L196" s="87">
        <f>(VLOOKUP($A:$A,USD!$A:$AL,12,FALSE)*88)/88*20</f>
        <v>0</v>
      </c>
      <c r="M196" s="87">
        <f>(VLOOKUP($A:$A,USD!$A:$AL,13,FALSE)*88)/88*20</f>
        <v>20</v>
      </c>
      <c r="N196" s="87">
        <f>(VLOOKUP($A:$A,USD!$A:$AL,14,FALSE)*88)/88*20</f>
        <v>45</v>
      </c>
      <c r="O196" s="68">
        <f>(VLOOKUP($A:$A,USD!$A:$AL,15,FALSE)*88)/88*20</f>
        <v>37.916666666666671</v>
      </c>
      <c r="P196" s="87">
        <f>(VLOOKUP($A:$A,USD!$A:$AL,16,FALSE)*88)/88*20</f>
        <v>0</v>
      </c>
      <c r="Q196" s="68">
        <f t="shared" si="27"/>
        <v>271.91666666666669</v>
      </c>
      <c r="R196" s="68">
        <f t="shared" si="28"/>
        <v>82.916666666666671</v>
      </c>
      <c r="S196" s="68">
        <f>(VLOOKUP($A:$A,USD!$A:$AL,19,FALSE)*88)/88*20</f>
        <v>0</v>
      </c>
      <c r="T196" s="68">
        <f>(VLOOKUP($A:$A,USD!$A:$AL,20,FALSE)*88)/88*20</f>
        <v>0</v>
      </c>
      <c r="U196" s="68">
        <f>(VLOOKUP($A:$A,USD!$A:$AL,21,FALSE)*88)/88*20</f>
        <v>353.87159090909097</v>
      </c>
      <c r="V196" s="68"/>
      <c r="W196" s="68">
        <f t="shared" si="29"/>
        <v>353.87159090909097</v>
      </c>
      <c r="X196" s="1">
        <f>(VLOOKUP($A:$A,USD!$A:$AL,24,FALSE)*88)/88*20</f>
        <v>52</v>
      </c>
      <c r="Y196" s="68">
        <f>(VLOOKUP($A:$A,USD!$A:$AL,25,FALSE)*88)/88*20</f>
        <v>50.4</v>
      </c>
      <c r="Z196" s="68">
        <f>(VLOOKUP($A:$A,USD!$A:$AL,26,FALSE)*88)/88*20</f>
        <v>26.25</v>
      </c>
      <c r="AB196" s="68">
        <f t="shared" si="30"/>
        <v>128.65</v>
      </c>
      <c r="AC196" s="68">
        <f>(VLOOKUP($A:$A,USD!$A:$AL,29,FALSE)*88)/88*20</f>
        <v>110.22727272727273</v>
      </c>
      <c r="AD196" s="68">
        <f>(VLOOKUP($A:$A,USD!$A:$AL,30,FALSE)*88)/88*20</f>
        <v>107.04545454545455</v>
      </c>
      <c r="AF196" s="68">
        <f t="shared" si="31"/>
        <v>217.27272727272728</v>
      </c>
      <c r="AG196" s="87">
        <f>(VLOOKUP($A:$A,USD!$A:$AL,33,FALSE)*88)/88*20</f>
        <v>28.814300000000003</v>
      </c>
      <c r="AH196" s="68">
        <f>(VLOOKUP($A:$A,USD!$A:$AL,34,FALSE)*88)/88*20</f>
        <v>6.973140495867769</v>
      </c>
      <c r="AI196" s="87">
        <f>(VLOOKUP($A:$A,USD!$A:$AL,35,FALSE)*88)/88*20</f>
        <v>12.587317427197677</v>
      </c>
      <c r="AJ196" s="87">
        <f>(VLOOKUP($A:$A,USD!$A:$AL,36,FALSE)*88)/88*20</f>
        <v>6.7351999999999999</v>
      </c>
      <c r="AL196" s="68">
        <f t="shared" si="32"/>
        <v>55.109957923065444</v>
      </c>
      <c r="AM196" s="87">
        <f>(VLOOKUP($A:$A,USD!$A:$AR,39,FALSE)*88)/88*20</f>
        <v>79.999999999999986</v>
      </c>
      <c r="AN196" s="68">
        <f>(VLOOKUP($A:$A,USD!$A:$AR,40,FALSE)*88)/88*20</f>
        <v>26.17808219178082</v>
      </c>
      <c r="AO196" s="1">
        <f>(VLOOKUP($A:$A,USD!$A:$AR,41,FALSE)*88)/88*20</f>
        <v>0</v>
      </c>
      <c r="AR196" s="1">
        <f t="shared" si="33"/>
        <v>106.1780821917808</v>
      </c>
      <c r="AS196" s="38">
        <f t="shared" si="34"/>
        <v>943.99902496333118</v>
      </c>
      <c r="AT196" s="38">
        <f t="shared" si="35"/>
        <v>1132.9990249633311</v>
      </c>
      <c r="AW196" s="1" t="e">
        <f>(VLOOKUP(A:A,USD!A:AT,46,FALSE)*88)/88*20</f>
        <v>#N/A</v>
      </c>
      <c r="AX196" s="1">
        <f>(VLOOKUP(A:A,USD!A:AU,47,FALSE)*88)/88*20</f>
        <v>384.65909090909093</v>
      </c>
    </row>
    <row r="197" spans="1:50" hidden="1">
      <c r="A197" s="1">
        <v>886506</v>
      </c>
      <c r="B197" s="1" t="s">
        <v>499</v>
      </c>
      <c r="C197" s="1" t="s">
        <v>500</v>
      </c>
      <c r="D197" s="1" t="s">
        <v>71</v>
      </c>
      <c r="E197" s="1" t="str">
        <f>VLOOKUP(A:A,USD!A:E,5,FALSE)</f>
        <v>WTX</v>
      </c>
      <c r="F197" s="1" t="str">
        <f>VLOOKUP(A:A,USD!A:F,6,FALSE)</f>
        <v>WTX</v>
      </c>
      <c r="G197" s="1" t="str">
        <f>VLOOKUP(A:A,'Regions and Ports'!A:G,7,FALSE)</f>
        <v>Dallas</v>
      </c>
      <c r="H197" s="1">
        <f>VLOOKUP(A:A,USD!A:R,8,FALSE)</f>
        <v>2</v>
      </c>
      <c r="I197" s="87">
        <f>(VLOOKUP($A:$A,USD!$A:$AL,9,FALSE)*88)/88*20</f>
        <v>87</v>
      </c>
      <c r="J197" s="87">
        <f>(VLOOKUP($A:$A,USD!$A:$AL,10,FALSE)*88)/88*20</f>
        <v>115</v>
      </c>
      <c r="K197" s="87">
        <f>(VLOOKUP($A:$A,USD!$A:$AL,11,FALSE)*88)/88*20</f>
        <v>225</v>
      </c>
      <c r="L197" s="87">
        <f>(VLOOKUP($A:$A,USD!$A:$AL,12,FALSE)*88)/88*20</f>
        <v>0</v>
      </c>
      <c r="M197" s="87">
        <f>(VLOOKUP($A:$A,USD!$A:$AL,13,FALSE)*88)/88*20</f>
        <v>0</v>
      </c>
      <c r="N197" s="87">
        <f>(VLOOKUP($A:$A,USD!$A:$AL,14,FALSE)*88)/88*20</f>
        <v>45</v>
      </c>
      <c r="O197" s="68">
        <f>(VLOOKUP($A:$A,USD!$A:$AL,15,FALSE)*88)/88*20</f>
        <v>37.916666666666671</v>
      </c>
      <c r="P197" s="87">
        <f>(VLOOKUP($A:$A,USD!$A:$AL,16,FALSE)*88)/88*20</f>
        <v>0</v>
      </c>
      <c r="Q197" s="68">
        <f t="shared" si="27"/>
        <v>509.91666666666669</v>
      </c>
      <c r="R197" s="68">
        <f t="shared" si="28"/>
        <v>307.91666666666669</v>
      </c>
      <c r="S197" s="68">
        <f>(VLOOKUP($A:$A,USD!$A:$AL,19,FALSE)*88)/88*20</f>
        <v>20</v>
      </c>
      <c r="T197" s="68">
        <f>(VLOOKUP($A:$A,USD!$A:$AL,20,FALSE)*88)/88*20</f>
        <v>5</v>
      </c>
      <c r="U197" s="68">
        <f>(VLOOKUP($A:$A,USD!$A:$AL,21,FALSE)*88)/88*20</f>
        <v>185.22727272727275</v>
      </c>
      <c r="V197" s="68"/>
      <c r="W197" s="68">
        <f t="shared" si="29"/>
        <v>210.22727272727275</v>
      </c>
      <c r="X197" s="1">
        <f>(VLOOKUP($A:$A,USD!$A:$AL,24,FALSE)*88)/88*20</f>
        <v>54</v>
      </c>
      <c r="Y197" s="68">
        <f>(VLOOKUP($A:$A,USD!$A:$AL,25,FALSE)*88)/88*20</f>
        <v>50.4</v>
      </c>
      <c r="Z197" s="68">
        <f>(VLOOKUP($A:$A,USD!$A:$AL,26,FALSE)*88)/88*20</f>
        <v>26.25</v>
      </c>
      <c r="AB197" s="68">
        <f t="shared" si="30"/>
        <v>130.65</v>
      </c>
      <c r="AC197" s="68">
        <f>(VLOOKUP($A:$A,USD!$A:$AL,29,FALSE)*88)/88*20</f>
        <v>162.5</v>
      </c>
      <c r="AD197" s="68">
        <f>(VLOOKUP($A:$A,USD!$A:$AL,30,FALSE)*88)/88*20</f>
        <v>268.18181818181819</v>
      </c>
      <c r="AF197" s="68">
        <f t="shared" si="31"/>
        <v>430.68181818181819</v>
      </c>
      <c r="AG197" s="87">
        <f>(VLOOKUP($A:$A,USD!$A:$AL,33,FALSE)*88)/88*20</f>
        <v>28.814300000000003</v>
      </c>
      <c r="AH197" s="68">
        <f>(VLOOKUP($A:$A,USD!$A:$AL,34,FALSE)*88)/88*20</f>
        <v>6.973140495867769</v>
      </c>
      <c r="AI197" s="87">
        <f>(VLOOKUP($A:$A,USD!$A:$AL,35,FALSE)*88)/88*20</f>
        <v>12.587317427197677</v>
      </c>
      <c r="AJ197" s="87">
        <f>(VLOOKUP($A:$A,USD!$A:$AL,36,FALSE)*88)/88*20</f>
        <v>6.7351999999999999</v>
      </c>
      <c r="AL197" s="68">
        <f t="shared" si="32"/>
        <v>55.109957923065444</v>
      </c>
      <c r="AM197" s="87">
        <f>(VLOOKUP($A:$A,USD!$A:$AR,39,FALSE)*88)/88*20</f>
        <v>79.999999999999986</v>
      </c>
      <c r="AN197" s="68">
        <f>(VLOOKUP($A:$A,USD!$A:$AR,40,FALSE)*88)/88*20</f>
        <v>26.17808219178082</v>
      </c>
      <c r="AO197" s="1">
        <f>(VLOOKUP($A:$A,USD!$A:$AR,41,FALSE)*88)/88*20</f>
        <v>0</v>
      </c>
      <c r="AR197" s="1">
        <f t="shared" si="33"/>
        <v>106.1780821917808</v>
      </c>
      <c r="AS197" s="38">
        <f t="shared" si="34"/>
        <v>1240.7637976906037</v>
      </c>
      <c r="AT197" s="38">
        <f t="shared" si="35"/>
        <v>1442.7637976906037</v>
      </c>
      <c r="AW197" s="1">
        <f>(VLOOKUP(A:A,USD!A:AT,46,FALSE)*88)/88*20</f>
        <v>350.72499999999997</v>
      </c>
      <c r="AX197" s="1" t="e">
        <f>(VLOOKUP(A:A,USD!A:AU,47,FALSE)*88)/88*20</f>
        <v>#N/A</v>
      </c>
    </row>
    <row r="198" spans="1:50" hidden="1">
      <c r="A198" s="125">
        <v>886506</v>
      </c>
      <c r="B198" s="1" t="s">
        <v>499</v>
      </c>
      <c r="C198" s="1" t="s">
        <v>500</v>
      </c>
      <c r="D198" s="1" t="s">
        <v>71</v>
      </c>
      <c r="E198" s="1" t="s">
        <v>2067</v>
      </c>
      <c r="F198" s="1" t="str">
        <f>VLOOKUP(A:A,USD!A:F,6,FALSE)</f>
        <v>WTX</v>
      </c>
      <c r="G198" s="1" t="s">
        <v>439</v>
      </c>
      <c r="H198" s="1">
        <f>VLOOKUP(A:A,USD!A:R,8,FALSE)</f>
        <v>2</v>
      </c>
      <c r="I198" s="87">
        <f>(VLOOKUP($A:$A,USD!$A:$AL,9,FALSE)*88)/88*20</f>
        <v>87</v>
      </c>
      <c r="J198" s="87">
        <f>(VLOOKUP($A:$A,USD!$A:$AL,10,FALSE)*88)/88*20</f>
        <v>115</v>
      </c>
      <c r="K198" s="87">
        <f>(VLOOKUP($A:$A,USD!$A:$AL,11,FALSE)*88)/88*20</f>
        <v>225</v>
      </c>
      <c r="L198" s="87">
        <f>(VLOOKUP($A:$A,USD!$A:$AL,12,FALSE)*88)/88*20</f>
        <v>0</v>
      </c>
      <c r="M198" s="87">
        <f>(VLOOKUP($A:$A,USD!$A:$AL,13,FALSE)*88)/88*20</f>
        <v>0</v>
      </c>
      <c r="N198" s="87">
        <f>(VLOOKUP($A:$A,USD!$A:$AL,14,FALSE)*88)/88*20</f>
        <v>45</v>
      </c>
      <c r="O198" s="68">
        <f>(VLOOKUP($A:$A,USD!$A:$AL,15,FALSE)*88)/88*20</f>
        <v>37.916666666666671</v>
      </c>
      <c r="P198" s="87">
        <f>(VLOOKUP($A:$A,USD!$A:$AL,16,FALSE)*88)/88*20</f>
        <v>0</v>
      </c>
      <c r="Q198" s="68">
        <f t="shared" si="27"/>
        <v>509.91666666666669</v>
      </c>
      <c r="R198" s="68">
        <f t="shared" si="28"/>
        <v>307.91666666666669</v>
      </c>
      <c r="S198" s="68">
        <f>(VLOOKUP($A:$A,USD!$A:$AL,19,FALSE)*88)/88*20</f>
        <v>20</v>
      </c>
      <c r="T198" s="68">
        <f>(VLOOKUP($A:$A,USD!$A:$AL,20,FALSE)*88)/88*20</f>
        <v>5</v>
      </c>
      <c r="U198" s="68" cm="1">
        <f t="array" ref="U198">(_xlfn.XLOOKUP(1, (USD!$A:$A=$A198)*(USD!$E:$E=$E198), USD!$U:$U, "", 0)*88)/88*20</f>
        <v>267.0454545454545</v>
      </c>
      <c r="V198" s="68"/>
      <c r="W198" s="68">
        <f t="shared" si="29"/>
        <v>292.0454545454545</v>
      </c>
      <c r="X198" s="1">
        <f>(VLOOKUP($A:$A,USD!$A:$AL,24,FALSE)*88)/88*20</f>
        <v>54</v>
      </c>
      <c r="Y198" s="68">
        <f>(VLOOKUP($A:$A,USD!$A:$AL,25,FALSE)*88)/88*20</f>
        <v>50.4</v>
      </c>
      <c r="Z198" s="68">
        <f>(VLOOKUP($A:$A,USD!$A:$AL,26,FALSE)*88)/88*20</f>
        <v>26.25</v>
      </c>
      <c r="AB198" s="68">
        <f t="shared" si="30"/>
        <v>130.65</v>
      </c>
      <c r="AC198" s="68" cm="1">
        <f t="array" ref="AC198">_xlfn.XLOOKUP(A198&amp;E198, USD!$A:$A&amp;USD!$E:$E, USD!$AC:$AC, "")*20</f>
        <v>132.95454545454544</v>
      </c>
      <c r="AD198" s="68" cm="1">
        <f t="array" ref="AD198">_xlfn.XLOOKUP(A198&amp;E198, USD!$A:$A&amp;USD!$E:$E, USD!$AD:$AD, "")*20</f>
        <v>197.95454545454547</v>
      </c>
      <c r="AF198" s="68">
        <f t="shared" si="31"/>
        <v>330.90909090909088</v>
      </c>
      <c r="AG198" s="87">
        <f>(VLOOKUP($A:$A,USD!$A:$AL,33,FALSE)*88)/88*20</f>
        <v>28.814300000000003</v>
      </c>
      <c r="AH198" s="68">
        <f>(VLOOKUP($A:$A,USD!$A:$AL,34,FALSE)*88)/88*20</f>
        <v>6.973140495867769</v>
      </c>
      <c r="AI198" s="87">
        <f>(VLOOKUP($A:$A,USD!$A:$AL,35,FALSE)*88)/88*20</f>
        <v>12.587317427197677</v>
      </c>
      <c r="AJ198" s="87">
        <f>(VLOOKUP($A:$A,USD!$A:$AL,36,FALSE)*88)/88*20</f>
        <v>6.7351999999999999</v>
      </c>
      <c r="AL198" s="68">
        <f t="shared" si="32"/>
        <v>55.109957923065444</v>
      </c>
      <c r="AM198" s="87">
        <f>(VLOOKUP($A:$A,USD!$A:$AR,39,FALSE)*88)/88*20</f>
        <v>79.999999999999986</v>
      </c>
      <c r="AN198" s="68">
        <f>(VLOOKUP($A:$A,USD!$A:$AR,40,FALSE)*88)/88*20</f>
        <v>26.17808219178082</v>
      </c>
      <c r="AO198" s="1">
        <f>(VLOOKUP($A:$A,USD!$A:$AR,41,FALSE)*88)/88*20</f>
        <v>0</v>
      </c>
      <c r="AR198" s="1">
        <f t="shared" si="33"/>
        <v>106.1780821917808</v>
      </c>
      <c r="AS198" s="38">
        <f t="shared" si="34"/>
        <v>1222.8092522360582</v>
      </c>
      <c r="AT198" s="38">
        <f t="shared" si="35"/>
        <v>1424.8092522360582</v>
      </c>
      <c r="AW198" s="1">
        <f>(VLOOKUP(A:A,USD!A:AT,46,FALSE)*88)/88*20</f>
        <v>350.72499999999997</v>
      </c>
      <c r="AX198" s="1" t="e">
        <f>(VLOOKUP(A:A,USD!A:AU,47,FALSE)*88)/88*20</f>
        <v>#N/A</v>
      </c>
    </row>
    <row r="199" spans="1:50" hidden="1">
      <c r="A199" s="1">
        <v>886509</v>
      </c>
      <c r="B199" s="1" t="s">
        <v>502</v>
      </c>
      <c r="C199" s="1" t="s">
        <v>500</v>
      </c>
      <c r="D199" s="1" t="s">
        <v>71</v>
      </c>
      <c r="E199" s="1" t="str">
        <f>VLOOKUP(A:A,USD!A:E,5,FALSE)</f>
        <v>WTX</v>
      </c>
      <c r="F199" s="1" t="str">
        <f>VLOOKUP(A:A,USD!A:F,6,FALSE)</f>
        <v>WTX</v>
      </c>
      <c r="G199" s="1" t="str">
        <f>VLOOKUP(A:A,'Regions and Ports'!A:G,7,FALSE)</f>
        <v>Dallas</v>
      </c>
      <c r="H199" s="1">
        <f>VLOOKUP(A:A,USD!A:R,8,FALSE)</f>
        <v>2</v>
      </c>
      <c r="I199" s="87">
        <f>(VLOOKUP($A:$A,USD!$A:$AL,9,FALSE)*88)/88*20</f>
        <v>87</v>
      </c>
      <c r="J199" s="87">
        <f>(VLOOKUP($A:$A,USD!$A:$AL,10,FALSE)*88)/88*20</f>
        <v>115</v>
      </c>
      <c r="K199" s="87">
        <f>(VLOOKUP($A:$A,USD!$A:$AL,11,FALSE)*88)/88*20</f>
        <v>225</v>
      </c>
      <c r="L199" s="87">
        <f>(VLOOKUP($A:$A,USD!$A:$AL,12,FALSE)*88)/88*20</f>
        <v>0</v>
      </c>
      <c r="M199" s="87">
        <f>(VLOOKUP($A:$A,USD!$A:$AL,13,FALSE)*88)/88*20</f>
        <v>0</v>
      </c>
      <c r="N199" s="87">
        <f>(VLOOKUP($A:$A,USD!$A:$AL,14,FALSE)*88)/88*20</f>
        <v>45</v>
      </c>
      <c r="O199" s="68">
        <f>(VLOOKUP($A:$A,USD!$A:$AL,15,FALSE)*88)/88*20</f>
        <v>37.916666666666671</v>
      </c>
      <c r="P199" s="87">
        <f>(VLOOKUP($A:$A,USD!$A:$AL,16,FALSE)*88)/88*20</f>
        <v>0</v>
      </c>
      <c r="Q199" s="68">
        <f t="shared" si="27"/>
        <v>509.91666666666669</v>
      </c>
      <c r="R199" s="68">
        <f t="shared" si="28"/>
        <v>307.91666666666669</v>
      </c>
      <c r="S199" s="68">
        <f>(VLOOKUP($A:$A,USD!$A:$AL,19,FALSE)*88)/88*20</f>
        <v>20</v>
      </c>
      <c r="T199" s="68">
        <f>(VLOOKUP($A:$A,USD!$A:$AL,20,FALSE)*88)/88*20</f>
        <v>5</v>
      </c>
      <c r="U199" s="68">
        <f>(VLOOKUP($A:$A,USD!$A:$AL,21,FALSE)*88)/88*20</f>
        <v>185.22727272727275</v>
      </c>
      <c r="V199" s="68"/>
      <c r="W199" s="68">
        <f t="shared" si="29"/>
        <v>210.22727272727275</v>
      </c>
      <c r="X199" s="1">
        <f>(VLOOKUP($A:$A,USD!$A:$AL,24,FALSE)*88)/88*20</f>
        <v>54</v>
      </c>
      <c r="Y199" s="68">
        <f>(VLOOKUP($A:$A,USD!$A:$AL,25,FALSE)*88)/88*20</f>
        <v>50.4</v>
      </c>
      <c r="Z199" s="68">
        <f>(VLOOKUP($A:$A,USD!$A:$AL,26,FALSE)*88)/88*20</f>
        <v>26.25</v>
      </c>
      <c r="AB199" s="68">
        <f t="shared" si="30"/>
        <v>130.65</v>
      </c>
      <c r="AC199" s="68">
        <f>(VLOOKUP($A:$A,USD!$A:$AL,29,FALSE)*88)/88*20</f>
        <v>162.5</v>
      </c>
      <c r="AD199" s="68">
        <f>(VLOOKUP($A:$A,USD!$A:$AL,30,FALSE)*88)/88*20</f>
        <v>268.18181818181819</v>
      </c>
      <c r="AF199" s="68">
        <f t="shared" si="31"/>
        <v>430.68181818181819</v>
      </c>
      <c r="AG199" s="87">
        <f>(VLOOKUP($A:$A,USD!$A:$AL,33,FALSE)*88)/88*20</f>
        <v>28.814300000000003</v>
      </c>
      <c r="AH199" s="68">
        <f>(VLOOKUP($A:$A,USD!$A:$AL,34,FALSE)*88)/88*20</f>
        <v>6.973140495867769</v>
      </c>
      <c r="AI199" s="87">
        <f>(VLOOKUP($A:$A,USD!$A:$AL,35,FALSE)*88)/88*20</f>
        <v>12.587317427197677</v>
      </c>
      <c r="AJ199" s="87">
        <f>(VLOOKUP($A:$A,USD!$A:$AL,36,FALSE)*88)/88*20</f>
        <v>6.7351999999999999</v>
      </c>
      <c r="AL199" s="68">
        <f t="shared" si="32"/>
        <v>55.109957923065444</v>
      </c>
      <c r="AM199" s="87">
        <f>(VLOOKUP($A:$A,USD!$A:$AR,39,FALSE)*88)/88*20</f>
        <v>79.999999999999986</v>
      </c>
      <c r="AN199" s="68">
        <f>(VLOOKUP($A:$A,USD!$A:$AR,40,FALSE)*88)/88*20</f>
        <v>26.17808219178082</v>
      </c>
      <c r="AO199" s="1">
        <f>(VLOOKUP($A:$A,USD!$A:$AR,41,FALSE)*88)/88*20</f>
        <v>0</v>
      </c>
      <c r="AR199" s="1">
        <f t="shared" si="33"/>
        <v>106.1780821917808</v>
      </c>
      <c r="AS199" s="38">
        <f t="shared" si="34"/>
        <v>1240.7637976906037</v>
      </c>
      <c r="AT199" s="38">
        <f t="shared" si="35"/>
        <v>1442.7637976906037</v>
      </c>
      <c r="AW199" s="1">
        <f>(VLOOKUP(A:A,USD!A:AT,46,FALSE)*88)/88*20</f>
        <v>350.72499999999997</v>
      </c>
      <c r="AX199" s="1" t="e">
        <f>(VLOOKUP(A:A,USD!A:AU,47,FALSE)*88)/88*20</f>
        <v>#N/A</v>
      </c>
    </row>
    <row r="200" spans="1:50" hidden="1">
      <c r="A200" s="125">
        <v>886509</v>
      </c>
      <c r="B200" s="1" t="s">
        <v>502</v>
      </c>
      <c r="C200" s="1" t="s">
        <v>500</v>
      </c>
      <c r="D200" s="1" t="s">
        <v>71</v>
      </c>
      <c r="E200" s="1" t="s">
        <v>2067</v>
      </c>
      <c r="F200" s="1" t="str">
        <f>VLOOKUP(A:A,USD!A:F,6,FALSE)</f>
        <v>WTX</v>
      </c>
      <c r="G200" s="1" t="s">
        <v>439</v>
      </c>
      <c r="H200" s="1">
        <f>VLOOKUP(A:A,USD!A:R,8,FALSE)</f>
        <v>2</v>
      </c>
      <c r="I200" s="87">
        <f>(VLOOKUP($A:$A,USD!$A:$AL,9,FALSE)*88)/88*20</f>
        <v>87</v>
      </c>
      <c r="J200" s="87">
        <f>(VLOOKUP($A:$A,USD!$A:$AL,10,FALSE)*88)/88*20</f>
        <v>115</v>
      </c>
      <c r="K200" s="87">
        <f>(VLOOKUP($A:$A,USD!$A:$AL,11,FALSE)*88)/88*20</f>
        <v>225</v>
      </c>
      <c r="L200" s="87">
        <f>(VLOOKUP($A:$A,USD!$A:$AL,12,FALSE)*88)/88*20</f>
        <v>0</v>
      </c>
      <c r="M200" s="87">
        <f>(VLOOKUP($A:$A,USD!$A:$AL,13,FALSE)*88)/88*20</f>
        <v>0</v>
      </c>
      <c r="N200" s="87">
        <f>(VLOOKUP($A:$A,USD!$A:$AL,14,FALSE)*88)/88*20</f>
        <v>45</v>
      </c>
      <c r="O200" s="68">
        <f>(VLOOKUP($A:$A,USD!$A:$AL,15,FALSE)*88)/88*20</f>
        <v>37.916666666666671</v>
      </c>
      <c r="P200" s="87">
        <f>(VLOOKUP($A:$A,USD!$A:$AL,16,FALSE)*88)/88*20</f>
        <v>0</v>
      </c>
      <c r="Q200" s="68">
        <f t="shared" si="27"/>
        <v>509.91666666666669</v>
      </c>
      <c r="R200" s="68">
        <f t="shared" si="28"/>
        <v>307.91666666666669</v>
      </c>
      <c r="S200" s="68">
        <f>(VLOOKUP($A:$A,USD!$A:$AL,19,FALSE)*88)/88*20</f>
        <v>20</v>
      </c>
      <c r="T200" s="68">
        <f>(VLOOKUP($A:$A,USD!$A:$AL,20,FALSE)*88)/88*20</f>
        <v>5</v>
      </c>
      <c r="U200" s="68" cm="1">
        <f t="array" ref="U200">(_xlfn.XLOOKUP(1, (USD!$A:$A=$A200)*(USD!$E:$E=$E200), USD!$U:$U, "", 0)*88)/88*20</f>
        <v>267.0454545454545</v>
      </c>
      <c r="V200" s="68"/>
      <c r="W200" s="68">
        <f t="shared" si="29"/>
        <v>292.0454545454545</v>
      </c>
      <c r="X200" s="1">
        <f>(VLOOKUP($A:$A,USD!$A:$AL,24,FALSE)*88)/88*20</f>
        <v>54</v>
      </c>
      <c r="Y200" s="68">
        <f>(VLOOKUP($A:$A,USD!$A:$AL,25,FALSE)*88)/88*20</f>
        <v>50.4</v>
      </c>
      <c r="Z200" s="68">
        <f>(VLOOKUP($A:$A,USD!$A:$AL,26,FALSE)*88)/88*20</f>
        <v>26.25</v>
      </c>
      <c r="AB200" s="68">
        <f t="shared" si="30"/>
        <v>130.65</v>
      </c>
      <c r="AC200" s="68" cm="1">
        <f t="array" ref="AC200">_xlfn.XLOOKUP(A200&amp;E200, USD!$A:$A&amp;USD!$E:$E, USD!$AC:$AC, "")*20</f>
        <v>132.95454545454544</v>
      </c>
      <c r="AD200" s="68" cm="1">
        <f t="array" ref="AD200">_xlfn.XLOOKUP(A200&amp;E200, USD!$A:$A&amp;USD!$E:$E, USD!$AD:$AD, "")*20</f>
        <v>197.95454545454547</v>
      </c>
      <c r="AF200" s="68">
        <f t="shared" si="31"/>
        <v>330.90909090909088</v>
      </c>
      <c r="AG200" s="87">
        <f>(VLOOKUP($A:$A,USD!$A:$AL,33,FALSE)*88)/88*20</f>
        <v>28.814300000000003</v>
      </c>
      <c r="AH200" s="68">
        <f>(VLOOKUP($A:$A,USD!$A:$AL,34,FALSE)*88)/88*20</f>
        <v>6.973140495867769</v>
      </c>
      <c r="AI200" s="87">
        <f>(VLOOKUP($A:$A,USD!$A:$AL,35,FALSE)*88)/88*20</f>
        <v>12.587317427197677</v>
      </c>
      <c r="AJ200" s="87">
        <f>(VLOOKUP($A:$A,USD!$A:$AL,36,FALSE)*88)/88*20</f>
        <v>6.7351999999999999</v>
      </c>
      <c r="AL200" s="68">
        <f t="shared" si="32"/>
        <v>55.109957923065444</v>
      </c>
      <c r="AM200" s="87">
        <f>(VLOOKUP($A:$A,USD!$A:$AR,39,FALSE)*88)/88*20</f>
        <v>79.999999999999986</v>
      </c>
      <c r="AN200" s="68">
        <f>(VLOOKUP($A:$A,USD!$A:$AR,40,FALSE)*88)/88*20</f>
        <v>26.17808219178082</v>
      </c>
      <c r="AO200" s="1">
        <f>(VLOOKUP($A:$A,USD!$A:$AR,41,FALSE)*88)/88*20</f>
        <v>0</v>
      </c>
      <c r="AR200" s="1">
        <f t="shared" si="33"/>
        <v>106.1780821917808</v>
      </c>
      <c r="AS200" s="38">
        <f t="shared" si="34"/>
        <v>1222.8092522360582</v>
      </c>
      <c r="AT200" s="38">
        <f t="shared" si="35"/>
        <v>1424.8092522360582</v>
      </c>
      <c r="AW200" s="1">
        <f>(VLOOKUP(A:A,USD!A:AT,46,FALSE)*88)/88*20</f>
        <v>350.72499999999997</v>
      </c>
      <c r="AX200" s="1" t="e">
        <f>(VLOOKUP(A:A,USD!A:AU,47,FALSE)*88)/88*20</f>
        <v>#N/A</v>
      </c>
    </row>
    <row r="201" spans="1:50" hidden="1">
      <c r="A201" s="1">
        <v>886512</v>
      </c>
      <c r="B201" s="1" t="s">
        <v>503</v>
      </c>
      <c r="C201" s="1" t="s">
        <v>500</v>
      </c>
      <c r="D201" s="1" t="s">
        <v>71</v>
      </c>
      <c r="E201" s="1" t="str">
        <f>VLOOKUP(A:A,USD!A:E,5,FALSE)</f>
        <v>WTX</v>
      </c>
      <c r="F201" s="1" t="str">
        <f>VLOOKUP(A:A,USD!A:F,6,FALSE)</f>
        <v>WTX</v>
      </c>
      <c r="G201" s="1" t="str">
        <f>VLOOKUP(A:A,'Regions and Ports'!A:G,7,FALSE)</f>
        <v>Dallas</v>
      </c>
      <c r="H201" s="1">
        <f>VLOOKUP(A:A,USD!A:R,8,FALSE)</f>
        <v>2</v>
      </c>
      <c r="I201" s="87">
        <f>(VLOOKUP($A:$A,USD!$A:$AL,9,FALSE)*88)/88*20</f>
        <v>87</v>
      </c>
      <c r="J201" s="87">
        <f>(VLOOKUP($A:$A,USD!$A:$AL,10,FALSE)*88)/88*20</f>
        <v>115</v>
      </c>
      <c r="K201" s="87">
        <f>(VLOOKUP($A:$A,USD!$A:$AL,11,FALSE)*88)/88*20</f>
        <v>225</v>
      </c>
      <c r="L201" s="87">
        <f>(VLOOKUP($A:$A,USD!$A:$AL,12,FALSE)*88)/88*20</f>
        <v>0</v>
      </c>
      <c r="M201" s="87">
        <f>(VLOOKUP($A:$A,USD!$A:$AL,13,FALSE)*88)/88*20</f>
        <v>0</v>
      </c>
      <c r="N201" s="87">
        <f>(VLOOKUP($A:$A,USD!$A:$AL,14,FALSE)*88)/88*20</f>
        <v>45</v>
      </c>
      <c r="O201" s="68">
        <f>(VLOOKUP($A:$A,USD!$A:$AL,15,FALSE)*88)/88*20</f>
        <v>37.916666666666671</v>
      </c>
      <c r="P201" s="87">
        <f>(VLOOKUP($A:$A,USD!$A:$AL,16,FALSE)*88)/88*20</f>
        <v>0</v>
      </c>
      <c r="Q201" s="68">
        <f t="shared" si="27"/>
        <v>509.91666666666669</v>
      </c>
      <c r="R201" s="68">
        <f t="shared" si="28"/>
        <v>307.91666666666669</v>
      </c>
      <c r="S201" s="68">
        <f>(VLOOKUP($A:$A,USD!$A:$AL,19,FALSE)*88)/88*20</f>
        <v>20</v>
      </c>
      <c r="T201" s="68">
        <f>(VLOOKUP($A:$A,USD!$A:$AL,20,FALSE)*88)/88*20</f>
        <v>5</v>
      </c>
      <c r="U201" s="68">
        <f>(VLOOKUP($A:$A,USD!$A:$AL,21,FALSE)*88)/88*20</f>
        <v>185.22727272727275</v>
      </c>
      <c r="V201" s="68"/>
      <c r="W201" s="68">
        <f t="shared" si="29"/>
        <v>210.22727272727275</v>
      </c>
      <c r="X201" s="1">
        <f>(VLOOKUP($A:$A,USD!$A:$AL,24,FALSE)*88)/88*20</f>
        <v>54</v>
      </c>
      <c r="Y201" s="68">
        <f>(VLOOKUP($A:$A,USD!$A:$AL,25,FALSE)*88)/88*20</f>
        <v>50.4</v>
      </c>
      <c r="Z201" s="68">
        <f>(VLOOKUP($A:$A,USD!$A:$AL,26,FALSE)*88)/88*20</f>
        <v>26.25</v>
      </c>
      <c r="AB201" s="68">
        <f t="shared" si="30"/>
        <v>130.65</v>
      </c>
      <c r="AC201" s="68">
        <f>(VLOOKUP($A:$A,USD!$A:$AL,29,FALSE)*88)/88*20</f>
        <v>162.5</v>
      </c>
      <c r="AD201" s="68">
        <f>(VLOOKUP($A:$A,USD!$A:$AL,30,FALSE)*88)/88*20</f>
        <v>268.18181818181819</v>
      </c>
      <c r="AF201" s="68">
        <f t="shared" si="31"/>
        <v>430.68181818181819</v>
      </c>
      <c r="AG201" s="87">
        <f>(VLOOKUP($A:$A,USD!$A:$AL,33,FALSE)*88)/88*20</f>
        <v>28.814300000000003</v>
      </c>
      <c r="AH201" s="68">
        <f>(VLOOKUP($A:$A,USD!$A:$AL,34,FALSE)*88)/88*20</f>
        <v>6.973140495867769</v>
      </c>
      <c r="AI201" s="87">
        <f>(VLOOKUP($A:$A,USD!$A:$AL,35,FALSE)*88)/88*20</f>
        <v>12.587317427197677</v>
      </c>
      <c r="AJ201" s="87">
        <f>(VLOOKUP($A:$A,USD!$A:$AL,36,FALSE)*88)/88*20</f>
        <v>6.7351999999999999</v>
      </c>
      <c r="AL201" s="68">
        <f t="shared" si="32"/>
        <v>55.109957923065444</v>
      </c>
      <c r="AM201" s="87">
        <f>(VLOOKUP($A:$A,USD!$A:$AR,39,FALSE)*88)/88*20</f>
        <v>79.999999999999986</v>
      </c>
      <c r="AN201" s="68">
        <f>(VLOOKUP($A:$A,USD!$A:$AR,40,FALSE)*88)/88*20</f>
        <v>26.17808219178082</v>
      </c>
      <c r="AO201" s="1">
        <f>(VLOOKUP($A:$A,USD!$A:$AR,41,FALSE)*88)/88*20</f>
        <v>0</v>
      </c>
      <c r="AR201" s="1">
        <f t="shared" si="33"/>
        <v>106.1780821917808</v>
      </c>
      <c r="AS201" s="38">
        <f t="shared" si="34"/>
        <v>1240.7637976906037</v>
      </c>
      <c r="AT201" s="38">
        <f t="shared" si="35"/>
        <v>1442.7637976906037</v>
      </c>
      <c r="AW201" s="1">
        <f>(VLOOKUP(A:A,USD!A:AT,46,FALSE)*88)/88*20</f>
        <v>350.72499999999997</v>
      </c>
      <c r="AX201" s="1" t="e">
        <f>(VLOOKUP(A:A,USD!A:AU,47,FALSE)*88)/88*20</f>
        <v>#N/A</v>
      </c>
    </row>
    <row r="202" spans="1:50" hidden="1">
      <c r="A202" s="125">
        <v>886512</v>
      </c>
      <c r="B202" s="1" t="s">
        <v>503</v>
      </c>
      <c r="C202" s="1" t="s">
        <v>500</v>
      </c>
      <c r="D202" s="1" t="s">
        <v>71</v>
      </c>
      <c r="E202" s="1" t="s">
        <v>2067</v>
      </c>
      <c r="F202" s="1" t="str">
        <f>VLOOKUP(A:A,USD!A:F,6,FALSE)</f>
        <v>WTX</v>
      </c>
      <c r="G202" s="1" t="s">
        <v>439</v>
      </c>
      <c r="H202" s="1">
        <f>VLOOKUP(A:A,USD!A:R,8,FALSE)</f>
        <v>2</v>
      </c>
      <c r="I202" s="87">
        <f>(VLOOKUP($A:$A,USD!$A:$AL,9,FALSE)*88)/88*20</f>
        <v>87</v>
      </c>
      <c r="J202" s="87">
        <f>(VLOOKUP($A:$A,USD!$A:$AL,10,FALSE)*88)/88*20</f>
        <v>115</v>
      </c>
      <c r="K202" s="87">
        <f>(VLOOKUP($A:$A,USD!$A:$AL,11,FALSE)*88)/88*20</f>
        <v>225</v>
      </c>
      <c r="L202" s="87">
        <f>(VLOOKUP($A:$A,USD!$A:$AL,12,FALSE)*88)/88*20</f>
        <v>0</v>
      </c>
      <c r="M202" s="87">
        <f>(VLOOKUP($A:$A,USD!$A:$AL,13,FALSE)*88)/88*20</f>
        <v>0</v>
      </c>
      <c r="N202" s="87">
        <f>(VLOOKUP($A:$A,USD!$A:$AL,14,FALSE)*88)/88*20</f>
        <v>45</v>
      </c>
      <c r="O202" s="68">
        <f>(VLOOKUP($A:$A,USD!$A:$AL,15,FALSE)*88)/88*20</f>
        <v>37.916666666666671</v>
      </c>
      <c r="P202" s="87">
        <f>(VLOOKUP($A:$A,USD!$A:$AL,16,FALSE)*88)/88*20</f>
        <v>0</v>
      </c>
      <c r="Q202" s="68">
        <f t="shared" si="27"/>
        <v>509.91666666666669</v>
      </c>
      <c r="R202" s="68">
        <f t="shared" si="28"/>
        <v>307.91666666666669</v>
      </c>
      <c r="S202" s="68">
        <f>(VLOOKUP($A:$A,USD!$A:$AL,19,FALSE)*88)/88*20</f>
        <v>20</v>
      </c>
      <c r="T202" s="68">
        <f>(VLOOKUP($A:$A,USD!$A:$AL,20,FALSE)*88)/88*20</f>
        <v>5</v>
      </c>
      <c r="U202" s="68" cm="1">
        <f t="array" ref="U202">(_xlfn.XLOOKUP(1, (USD!$A:$A=$A202)*(USD!$E:$E=$E202), USD!$U:$U, "", 0)*88)/88*20</f>
        <v>267.0454545454545</v>
      </c>
      <c r="V202" s="68"/>
      <c r="W202" s="68">
        <f t="shared" si="29"/>
        <v>292.0454545454545</v>
      </c>
      <c r="X202" s="1">
        <f>(VLOOKUP($A:$A,USD!$A:$AL,24,FALSE)*88)/88*20</f>
        <v>54</v>
      </c>
      <c r="Y202" s="68">
        <f>(VLOOKUP($A:$A,USD!$A:$AL,25,FALSE)*88)/88*20</f>
        <v>50.4</v>
      </c>
      <c r="Z202" s="68">
        <f>(VLOOKUP($A:$A,USD!$A:$AL,26,FALSE)*88)/88*20</f>
        <v>26.25</v>
      </c>
      <c r="AB202" s="68">
        <f t="shared" si="30"/>
        <v>130.65</v>
      </c>
      <c r="AC202" s="68" cm="1">
        <f t="array" ref="AC202">_xlfn.XLOOKUP(A202&amp;E202, USD!$A:$A&amp;USD!$E:$E, USD!$AC:$AC, "")*20</f>
        <v>132.95454545454544</v>
      </c>
      <c r="AD202" s="68" cm="1">
        <f t="array" ref="AD202">_xlfn.XLOOKUP(A202&amp;E202, USD!$A:$A&amp;USD!$E:$E, USD!$AD:$AD, "")*20</f>
        <v>197.95454545454547</v>
      </c>
      <c r="AF202" s="68">
        <f t="shared" si="31"/>
        <v>330.90909090909088</v>
      </c>
      <c r="AG202" s="87">
        <f>(VLOOKUP($A:$A,USD!$A:$AL,33,FALSE)*88)/88*20</f>
        <v>28.814300000000003</v>
      </c>
      <c r="AH202" s="68">
        <f>(VLOOKUP($A:$A,USD!$A:$AL,34,FALSE)*88)/88*20</f>
        <v>6.973140495867769</v>
      </c>
      <c r="AI202" s="87">
        <f>(VLOOKUP($A:$A,USD!$A:$AL,35,FALSE)*88)/88*20</f>
        <v>12.587317427197677</v>
      </c>
      <c r="AJ202" s="87">
        <f>(VLOOKUP($A:$A,USD!$A:$AL,36,FALSE)*88)/88*20</f>
        <v>6.7351999999999999</v>
      </c>
      <c r="AL202" s="68">
        <f t="shared" si="32"/>
        <v>55.109957923065444</v>
      </c>
      <c r="AM202" s="87">
        <f>(VLOOKUP($A:$A,USD!$A:$AR,39,FALSE)*88)/88*20</f>
        <v>79.999999999999986</v>
      </c>
      <c r="AN202" s="68">
        <f>(VLOOKUP($A:$A,USD!$A:$AR,40,FALSE)*88)/88*20</f>
        <v>26.17808219178082</v>
      </c>
      <c r="AO202" s="1">
        <f>(VLOOKUP($A:$A,USD!$A:$AR,41,FALSE)*88)/88*20</f>
        <v>0</v>
      </c>
      <c r="AR202" s="1">
        <f t="shared" si="33"/>
        <v>106.1780821917808</v>
      </c>
      <c r="AS202" s="38">
        <f t="shared" si="34"/>
        <v>1222.8092522360582</v>
      </c>
      <c r="AT202" s="38">
        <f t="shared" si="35"/>
        <v>1424.8092522360582</v>
      </c>
      <c r="AW202" s="1">
        <f>(VLOOKUP(A:A,USD!A:AT,46,FALSE)*88)/88*20</f>
        <v>350.72499999999997</v>
      </c>
      <c r="AX202" s="1" t="e">
        <f>(VLOOKUP(A:A,USD!A:AU,47,FALSE)*88)/88*20</f>
        <v>#N/A</v>
      </c>
    </row>
    <row r="203" spans="1:50" hidden="1">
      <c r="A203" s="1">
        <v>886517</v>
      </c>
      <c r="B203" s="1" t="s">
        <v>504</v>
      </c>
      <c r="C203" s="1" t="s">
        <v>500</v>
      </c>
      <c r="D203" s="1" t="s">
        <v>71</v>
      </c>
      <c r="E203" s="1" t="str">
        <f>VLOOKUP(A:A,USD!A:E,5,FALSE)</f>
        <v>WTX</v>
      </c>
      <c r="F203" s="1" t="str">
        <f>VLOOKUP(A:A,USD!A:F,6,FALSE)</f>
        <v>WTX</v>
      </c>
      <c r="G203" s="1" t="str">
        <f>VLOOKUP(A:A,'Regions and Ports'!A:G,7,FALSE)</f>
        <v>Dallas</v>
      </c>
      <c r="H203" s="1">
        <f>VLOOKUP(A:A,USD!A:R,8,FALSE)</f>
        <v>2</v>
      </c>
      <c r="I203" s="87">
        <f>(VLOOKUP($A:$A,USD!$A:$AL,9,FALSE)*88)/88*20</f>
        <v>87</v>
      </c>
      <c r="J203" s="87">
        <f>(VLOOKUP($A:$A,USD!$A:$AL,10,FALSE)*88)/88*20</f>
        <v>115</v>
      </c>
      <c r="K203" s="87">
        <f>(VLOOKUP($A:$A,USD!$A:$AL,11,FALSE)*88)/88*20</f>
        <v>225</v>
      </c>
      <c r="L203" s="87">
        <f>(VLOOKUP($A:$A,USD!$A:$AL,12,FALSE)*88)/88*20</f>
        <v>0</v>
      </c>
      <c r="M203" s="87">
        <f>(VLOOKUP($A:$A,USD!$A:$AL,13,FALSE)*88)/88*20</f>
        <v>0</v>
      </c>
      <c r="N203" s="87">
        <f>(VLOOKUP($A:$A,USD!$A:$AL,14,FALSE)*88)/88*20</f>
        <v>45</v>
      </c>
      <c r="O203" s="68">
        <f>(VLOOKUP($A:$A,USD!$A:$AL,15,FALSE)*88)/88*20</f>
        <v>37.916666666666671</v>
      </c>
      <c r="P203" s="87">
        <f>(VLOOKUP($A:$A,USD!$A:$AL,16,FALSE)*88)/88*20</f>
        <v>0</v>
      </c>
      <c r="Q203" s="68">
        <f t="shared" si="27"/>
        <v>509.91666666666669</v>
      </c>
      <c r="R203" s="68">
        <f t="shared" si="28"/>
        <v>307.91666666666669</v>
      </c>
      <c r="S203" s="68">
        <f>(VLOOKUP($A:$A,USD!$A:$AL,19,FALSE)*88)/88*20</f>
        <v>20</v>
      </c>
      <c r="T203" s="68">
        <f>(VLOOKUP($A:$A,USD!$A:$AL,20,FALSE)*88)/88*20</f>
        <v>5</v>
      </c>
      <c r="U203" s="68">
        <f>(VLOOKUP($A:$A,USD!$A:$AL,21,FALSE)*88)/88*20</f>
        <v>185.22727272727275</v>
      </c>
      <c r="V203" s="68"/>
      <c r="W203" s="68">
        <f t="shared" si="29"/>
        <v>210.22727272727275</v>
      </c>
      <c r="X203" s="1">
        <f>(VLOOKUP($A:$A,USD!$A:$AL,24,FALSE)*88)/88*20</f>
        <v>54</v>
      </c>
      <c r="Y203" s="68">
        <f>(VLOOKUP($A:$A,USD!$A:$AL,25,FALSE)*88)/88*20</f>
        <v>50.4</v>
      </c>
      <c r="Z203" s="68">
        <f>(VLOOKUP($A:$A,USD!$A:$AL,26,FALSE)*88)/88*20</f>
        <v>26.25</v>
      </c>
      <c r="AB203" s="68">
        <f t="shared" si="30"/>
        <v>130.65</v>
      </c>
      <c r="AC203" s="68">
        <f>(VLOOKUP($A:$A,USD!$A:$AL,29,FALSE)*88)/88*20</f>
        <v>162.5</v>
      </c>
      <c r="AD203" s="68">
        <f>(VLOOKUP($A:$A,USD!$A:$AL,30,FALSE)*88)/88*20</f>
        <v>268.18181818181819</v>
      </c>
      <c r="AF203" s="68">
        <f t="shared" si="31"/>
        <v>430.68181818181819</v>
      </c>
      <c r="AG203" s="87">
        <f>(VLOOKUP($A:$A,USD!$A:$AL,33,FALSE)*88)/88*20</f>
        <v>28.814300000000003</v>
      </c>
      <c r="AH203" s="68">
        <f>(VLOOKUP($A:$A,USD!$A:$AL,34,FALSE)*88)/88*20</f>
        <v>6.973140495867769</v>
      </c>
      <c r="AI203" s="87">
        <f>(VLOOKUP($A:$A,USD!$A:$AL,35,FALSE)*88)/88*20</f>
        <v>12.587317427197677</v>
      </c>
      <c r="AJ203" s="87">
        <f>(VLOOKUP($A:$A,USD!$A:$AL,36,FALSE)*88)/88*20</f>
        <v>6.7351999999999999</v>
      </c>
      <c r="AL203" s="68">
        <f t="shared" si="32"/>
        <v>55.109957923065444</v>
      </c>
      <c r="AM203" s="87">
        <f>(VLOOKUP($A:$A,USD!$A:$AR,39,FALSE)*88)/88*20</f>
        <v>79.999999999999986</v>
      </c>
      <c r="AN203" s="68">
        <f>(VLOOKUP($A:$A,USD!$A:$AR,40,FALSE)*88)/88*20</f>
        <v>26.17808219178082</v>
      </c>
      <c r="AO203" s="1">
        <f>(VLOOKUP($A:$A,USD!$A:$AR,41,FALSE)*88)/88*20</f>
        <v>0</v>
      </c>
      <c r="AR203" s="1">
        <f t="shared" si="33"/>
        <v>106.1780821917808</v>
      </c>
      <c r="AS203" s="38">
        <f t="shared" si="34"/>
        <v>1240.7637976906037</v>
      </c>
      <c r="AT203" s="38">
        <f t="shared" si="35"/>
        <v>1442.7637976906037</v>
      </c>
      <c r="AW203" s="1">
        <f>(VLOOKUP(A:A,USD!A:AT,46,FALSE)*88)/88*20</f>
        <v>350.72499999999997</v>
      </c>
      <c r="AX203" s="1" t="e">
        <f>(VLOOKUP(A:A,USD!A:AU,47,FALSE)*88)/88*20</f>
        <v>#N/A</v>
      </c>
    </row>
    <row r="204" spans="1:50" hidden="1">
      <c r="A204" s="125">
        <v>886517</v>
      </c>
      <c r="B204" s="1" t="s">
        <v>504</v>
      </c>
      <c r="C204" s="1" t="s">
        <v>500</v>
      </c>
      <c r="D204" s="1" t="s">
        <v>71</v>
      </c>
      <c r="E204" s="1" t="s">
        <v>2067</v>
      </c>
      <c r="F204" s="1" t="str">
        <f>VLOOKUP(A:A,USD!A:F,6,FALSE)</f>
        <v>WTX</v>
      </c>
      <c r="G204" s="1" t="s">
        <v>439</v>
      </c>
      <c r="H204" s="1">
        <f>VLOOKUP(A:A,USD!A:R,8,FALSE)</f>
        <v>2</v>
      </c>
      <c r="I204" s="87">
        <f>(VLOOKUP($A:$A,USD!$A:$AL,9,FALSE)*88)/88*20</f>
        <v>87</v>
      </c>
      <c r="J204" s="87">
        <f>(VLOOKUP($A:$A,USD!$A:$AL,10,FALSE)*88)/88*20</f>
        <v>115</v>
      </c>
      <c r="K204" s="87">
        <f>(VLOOKUP($A:$A,USD!$A:$AL,11,FALSE)*88)/88*20</f>
        <v>225</v>
      </c>
      <c r="L204" s="87">
        <f>(VLOOKUP($A:$A,USD!$A:$AL,12,FALSE)*88)/88*20</f>
        <v>0</v>
      </c>
      <c r="M204" s="87">
        <f>(VLOOKUP($A:$A,USD!$A:$AL,13,FALSE)*88)/88*20</f>
        <v>0</v>
      </c>
      <c r="N204" s="87">
        <f>(VLOOKUP($A:$A,USD!$A:$AL,14,FALSE)*88)/88*20</f>
        <v>45</v>
      </c>
      <c r="O204" s="68">
        <f>(VLOOKUP($A:$A,USD!$A:$AL,15,FALSE)*88)/88*20</f>
        <v>37.916666666666671</v>
      </c>
      <c r="P204" s="87">
        <f>(VLOOKUP($A:$A,USD!$A:$AL,16,FALSE)*88)/88*20</f>
        <v>0</v>
      </c>
      <c r="Q204" s="68">
        <f t="shared" si="27"/>
        <v>509.91666666666669</v>
      </c>
      <c r="R204" s="68">
        <f t="shared" si="28"/>
        <v>307.91666666666669</v>
      </c>
      <c r="S204" s="68">
        <f>(VLOOKUP($A:$A,USD!$A:$AL,19,FALSE)*88)/88*20</f>
        <v>20</v>
      </c>
      <c r="T204" s="68">
        <f>(VLOOKUP($A:$A,USD!$A:$AL,20,FALSE)*88)/88*20</f>
        <v>5</v>
      </c>
      <c r="U204" s="68" cm="1">
        <f t="array" ref="U204">(_xlfn.XLOOKUP(1, (USD!$A:$A=$A204)*(USD!$E:$E=$E204), USD!$U:$U, "", 0)*88)/88*20</f>
        <v>267.0454545454545</v>
      </c>
      <c r="V204" s="68"/>
      <c r="W204" s="68">
        <f t="shared" si="29"/>
        <v>292.0454545454545</v>
      </c>
      <c r="X204" s="1">
        <f>(VLOOKUP($A:$A,USD!$A:$AL,24,FALSE)*88)/88*20</f>
        <v>54</v>
      </c>
      <c r="Y204" s="68">
        <f>(VLOOKUP($A:$A,USD!$A:$AL,25,FALSE)*88)/88*20</f>
        <v>50.4</v>
      </c>
      <c r="Z204" s="68">
        <f>(VLOOKUP($A:$A,USD!$A:$AL,26,FALSE)*88)/88*20</f>
        <v>26.25</v>
      </c>
      <c r="AB204" s="68">
        <f t="shared" si="30"/>
        <v>130.65</v>
      </c>
      <c r="AC204" s="68" cm="1">
        <f t="array" ref="AC204">_xlfn.XLOOKUP(A204&amp;E204, USD!$A:$A&amp;USD!$E:$E, USD!$AC:$AC, "")*20</f>
        <v>132.95454545454544</v>
      </c>
      <c r="AD204" s="68" cm="1">
        <f t="array" ref="AD204">_xlfn.XLOOKUP(A204&amp;E204, USD!$A:$A&amp;USD!$E:$E, USD!$AD:$AD, "")*20</f>
        <v>197.95454545454547</v>
      </c>
      <c r="AF204" s="68">
        <f t="shared" si="31"/>
        <v>330.90909090909088</v>
      </c>
      <c r="AG204" s="87">
        <f>(VLOOKUP($A:$A,USD!$A:$AL,33,FALSE)*88)/88*20</f>
        <v>28.814300000000003</v>
      </c>
      <c r="AH204" s="68">
        <f>(VLOOKUP($A:$A,USD!$A:$AL,34,FALSE)*88)/88*20</f>
        <v>6.973140495867769</v>
      </c>
      <c r="AI204" s="87">
        <f>(VLOOKUP($A:$A,USD!$A:$AL,35,FALSE)*88)/88*20</f>
        <v>12.587317427197677</v>
      </c>
      <c r="AJ204" s="87">
        <f>(VLOOKUP($A:$A,USD!$A:$AL,36,FALSE)*88)/88*20</f>
        <v>6.7351999999999999</v>
      </c>
      <c r="AL204" s="68">
        <f t="shared" si="32"/>
        <v>55.109957923065444</v>
      </c>
      <c r="AM204" s="87">
        <f>(VLOOKUP($A:$A,USD!$A:$AR,39,FALSE)*88)/88*20</f>
        <v>79.999999999999986</v>
      </c>
      <c r="AN204" s="68">
        <f>(VLOOKUP($A:$A,USD!$A:$AR,40,FALSE)*88)/88*20</f>
        <v>26.17808219178082</v>
      </c>
      <c r="AO204" s="1">
        <f>(VLOOKUP($A:$A,USD!$A:$AR,41,FALSE)*88)/88*20</f>
        <v>0</v>
      </c>
      <c r="AR204" s="1">
        <f t="shared" si="33"/>
        <v>106.1780821917808</v>
      </c>
      <c r="AS204" s="38">
        <f t="shared" si="34"/>
        <v>1222.8092522360582</v>
      </c>
      <c r="AT204" s="38">
        <f t="shared" si="35"/>
        <v>1424.8092522360582</v>
      </c>
      <c r="AW204" s="1">
        <f>(VLOOKUP(A:A,USD!A:AT,46,FALSE)*88)/88*20</f>
        <v>350.72499999999997</v>
      </c>
      <c r="AX204" s="1" t="e">
        <f>(VLOOKUP(A:A,USD!A:AU,47,FALSE)*88)/88*20</f>
        <v>#N/A</v>
      </c>
    </row>
    <row r="205" spans="1:50" hidden="1">
      <c r="A205" s="1">
        <v>886520</v>
      </c>
      <c r="B205" s="1" t="s">
        <v>505</v>
      </c>
      <c r="C205" s="1" t="s">
        <v>500</v>
      </c>
      <c r="D205" s="1" t="s">
        <v>71</v>
      </c>
      <c r="E205" s="1" t="str">
        <f>VLOOKUP(A:A,USD!A:E,5,FALSE)</f>
        <v>WTX</v>
      </c>
      <c r="F205" s="1" t="str">
        <f>VLOOKUP(A:A,USD!A:F,6,FALSE)</f>
        <v>WTX</v>
      </c>
      <c r="G205" s="1" t="str">
        <f>VLOOKUP(A:A,'Regions and Ports'!A:G,7,FALSE)</f>
        <v>Dallas</v>
      </c>
      <c r="H205" s="1">
        <f>VLOOKUP(A:A,USD!A:R,8,FALSE)</f>
        <v>2</v>
      </c>
      <c r="I205" s="87">
        <f>(VLOOKUP($A:$A,USD!$A:$AL,9,FALSE)*88)/88*20</f>
        <v>87</v>
      </c>
      <c r="J205" s="87">
        <f>(VLOOKUP($A:$A,USD!$A:$AL,10,FALSE)*88)/88*20</f>
        <v>115</v>
      </c>
      <c r="K205" s="87">
        <f>(VLOOKUP($A:$A,USD!$A:$AL,11,FALSE)*88)/88*20</f>
        <v>225</v>
      </c>
      <c r="L205" s="87">
        <f>(VLOOKUP($A:$A,USD!$A:$AL,12,FALSE)*88)/88*20</f>
        <v>0</v>
      </c>
      <c r="M205" s="87">
        <f>(VLOOKUP($A:$A,USD!$A:$AL,13,FALSE)*88)/88*20</f>
        <v>0</v>
      </c>
      <c r="N205" s="87">
        <f>(VLOOKUP($A:$A,USD!$A:$AL,14,FALSE)*88)/88*20</f>
        <v>45</v>
      </c>
      <c r="O205" s="68">
        <f>(VLOOKUP($A:$A,USD!$A:$AL,15,FALSE)*88)/88*20</f>
        <v>37.916666666666671</v>
      </c>
      <c r="P205" s="87">
        <f>(VLOOKUP($A:$A,USD!$A:$AL,16,FALSE)*88)/88*20</f>
        <v>0</v>
      </c>
      <c r="Q205" s="68">
        <f t="shared" si="27"/>
        <v>509.91666666666669</v>
      </c>
      <c r="R205" s="68">
        <f t="shared" si="28"/>
        <v>307.91666666666669</v>
      </c>
      <c r="S205" s="68">
        <f>(VLOOKUP($A:$A,USD!$A:$AL,19,FALSE)*88)/88*20</f>
        <v>20</v>
      </c>
      <c r="T205" s="68">
        <f>(VLOOKUP($A:$A,USD!$A:$AL,20,FALSE)*88)/88*20</f>
        <v>5</v>
      </c>
      <c r="U205" s="68">
        <f>(VLOOKUP($A:$A,USD!$A:$AL,21,FALSE)*88)/88*20</f>
        <v>185.22727272727275</v>
      </c>
      <c r="V205" s="68"/>
      <c r="W205" s="68">
        <f t="shared" si="29"/>
        <v>210.22727272727275</v>
      </c>
      <c r="X205" s="1">
        <f>(VLOOKUP($A:$A,USD!$A:$AL,24,FALSE)*88)/88*20</f>
        <v>54</v>
      </c>
      <c r="Y205" s="68">
        <f>(VLOOKUP($A:$A,USD!$A:$AL,25,FALSE)*88)/88*20</f>
        <v>50.4</v>
      </c>
      <c r="Z205" s="68">
        <f>(VLOOKUP($A:$A,USD!$A:$AL,26,FALSE)*88)/88*20</f>
        <v>26.25</v>
      </c>
      <c r="AB205" s="68">
        <f t="shared" si="30"/>
        <v>130.65</v>
      </c>
      <c r="AC205" s="68">
        <f>(VLOOKUP($A:$A,USD!$A:$AL,29,FALSE)*88)/88*20</f>
        <v>162.5</v>
      </c>
      <c r="AD205" s="68">
        <f>(VLOOKUP($A:$A,USD!$A:$AL,30,FALSE)*88)/88*20</f>
        <v>268.18181818181819</v>
      </c>
      <c r="AF205" s="68">
        <f t="shared" si="31"/>
        <v>430.68181818181819</v>
      </c>
      <c r="AG205" s="87">
        <f>(VLOOKUP($A:$A,USD!$A:$AL,33,FALSE)*88)/88*20</f>
        <v>28.814300000000003</v>
      </c>
      <c r="AH205" s="68">
        <f>(VLOOKUP($A:$A,USD!$A:$AL,34,FALSE)*88)/88*20</f>
        <v>6.973140495867769</v>
      </c>
      <c r="AI205" s="87">
        <f>(VLOOKUP($A:$A,USD!$A:$AL,35,FALSE)*88)/88*20</f>
        <v>12.587317427197677</v>
      </c>
      <c r="AJ205" s="87">
        <f>(VLOOKUP($A:$A,USD!$A:$AL,36,FALSE)*88)/88*20</f>
        <v>6.7351999999999999</v>
      </c>
      <c r="AL205" s="68">
        <f t="shared" si="32"/>
        <v>55.109957923065444</v>
      </c>
      <c r="AM205" s="87">
        <f>(VLOOKUP($A:$A,USD!$A:$AR,39,FALSE)*88)/88*20</f>
        <v>79.999999999999986</v>
      </c>
      <c r="AN205" s="68">
        <f>(VLOOKUP($A:$A,USD!$A:$AR,40,FALSE)*88)/88*20</f>
        <v>26.17808219178082</v>
      </c>
      <c r="AO205" s="1">
        <f>(VLOOKUP($A:$A,USD!$A:$AR,41,FALSE)*88)/88*20</f>
        <v>0</v>
      </c>
      <c r="AR205" s="1">
        <f t="shared" si="33"/>
        <v>106.1780821917808</v>
      </c>
      <c r="AS205" s="38">
        <f t="shared" si="34"/>
        <v>1240.7637976906037</v>
      </c>
      <c r="AT205" s="38">
        <f t="shared" si="35"/>
        <v>1442.7637976906037</v>
      </c>
      <c r="AW205" s="1">
        <f>(VLOOKUP(A:A,USD!A:AT,46,FALSE)*88)/88*20</f>
        <v>350.72499999999997</v>
      </c>
      <c r="AX205" s="1" t="e">
        <f>(VLOOKUP(A:A,USD!A:AU,47,FALSE)*88)/88*20</f>
        <v>#N/A</v>
      </c>
    </row>
    <row r="206" spans="1:50" hidden="1">
      <c r="A206" s="125">
        <v>886520</v>
      </c>
      <c r="B206" s="1" t="s">
        <v>505</v>
      </c>
      <c r="C206" s="1" t="s">
        <v>500</v>
      </c>
      <c r="D206" s="1" t="s">
        <v>71</v>
      </c>
      <c r="E206" s="1" t="s">
        <v>2067</v>
      </c>
      <c r="F206" s="1" t="str">
        <f>VLOOKUP(A:A,USD!A:F,6,FALSE)</f>
        <v>WTX</v>
      </c>
      <c r="G206" s="1" t="s">
        <v>439</v>
      </c>
      <c r="H206" s="1">
        <f>VLOOKUP(A:A,USD!A:R,8,FALSE)</f>
        <v>2</v>
      </c>
      <c r="I206" s="87">
        <f>(VLOOKUP($A:$A,USD!$A:$AL,9,FALSE)*88)/88*20</f>
        <v>87</v>
      </c>
      <c r="J206" s="87">
        <f>(VLOOKUP($A:$A,USD!$A:$AL,10,FALSE)*88)/88*20</f>
        <v>115</v>
      </c>
      <c r="K206" s="87">
        <f>(VLOOKUP($A:$A,USD!$A:$AL,11,FALSE)*88)/88*20</f>
        <v>225</v>
      </c>
      <c r="L206" s="87">
        <f>(VLOOKUP($A:$A,USD!$A:$AL,12,FALSE)*88)/88*20</f>
        <v>0</v>
      </c>
      <c r="M206" s="87">
        <f>(VLOOKUP($A:$A,USD!$A:$AL,13,FALSE)*88)/88*20</f>
        <v>0</v>
      </c>
      <c r="N206" s="87">
        <f>(VLOOKUP($A:$A,USD!$A:$AL,14,FALSE)*88)/88*20</f>
        <v>45</v>
      </c>
      <c r="O206" s="68">
        <f>(VLOOKUP($A:$A,USD!$A:$AL,15,FALSE)*88)/88*20</f>
        <v>37.916666666666671</v>
      </c>
      <c r="P206" s="87">
        <f>(VLOOKUP($A:$A,USD!$A:$AL,16,FALSE)*88)/88*20</f>
        <v>0</v>
      </c>
      <c r="Q206" s="68">
        <f t="shared" si="27"/>
        <v>509.91666666666669</v>
      </c>
      <c r="R206" s="68">
        <f t="shared" si="28"/>
        <v>307.91666666666669</v>
      </c>
      <c r="S206" s="68">
        <f>(VLOOKUP($A:$A,USD!$A:$AL,19,FALSE)*88)/88*20</f>
        <v>20</v>
      </c>
      <c r="T206" s="68">
        <f>(VLOOKUP($A:$A,USD!$A:$AL,20,FALSE)*88)/88*20</f>
        <v>5</v>
      </c>
      <c r="U206" s="68" cm="1">
        <f t="array" ref="U206">(_xlfn.XLOOKUP(1, (USD!$A:$A=$A206)*(USD!$E:$E=$E206), USD!$U:$U, "", 0)*88)/88*20</f>
        <v>267.0454545454545</v>
      </c>
      <c r="V206" s="68"/>
      <c r="W206" s="68">
        <f t="shared" si="29"/>
        <v>292.0454545454545</v>
      </c>
      <c r="X206" s="1">
        <f>(VLOOKUP($A:$A,USD!$A:$AL,24,FALSE)*88)/88*20</f>
        <v>54</v>
      </c>
      <c r="Y206" s="68">
        <f>(VLOOKUP($A:$A,USD!$A:$AL,25,FALSE)*88)/88*20</f>
        <v>50.4</v>
      </c>
      <c r="Z206" s="68">
        <f>(VLOOKUP($A:$A,USD!$A:$AL,26,FALSE)*88)/88*20</f>
        <v>26.25</v>
      </c>
      <c r="AB206" s="68">
        <f t="shared" si="30"/>
        <v>130.65</v>
      </c>
      <c r="AC206" s="68" cm="1">
        <f t="array" ref="AC206">_xlfn.XLOOKUP(A206&amp;E206, USD!$A:$A&amp;USD!$E:$E, USD!$AC:$AC, "")*20</f>
        <v>132.95454545454544</v>
      </c>
      <c r="AD206" s="68" cm="1">
        <f t="array" ref="AD206">_xlfn.XLOOKUP(A206&amp;E206, USD!$A:$A&amp;USD!$E:$E, USD!$AD:$AD, "")*20</f>
        <v>197.95454545454547</v>
      </c>
      <c r="AF206" s="68">
        <f t="shared" si="31"/>
        <v>330.90909090909088</v>
      </c>
      <c r="AG206" s="87">
        <f>(VLOOKUP($A:$A,USD!$A:$AL,33,FALSE)*88)/88*20</f>
        <v>28.814300000000003</v>
      </c>
      <c r="AH206" s="68">
        <f>(VLOOKUP($A:$A,USD!$A:$AL,34,FALSE)*88)/88*20</f>
        <v>6.973140495867769</v>
      </c>
      <c r="AI206" s="87">
        <f>(VLOOKUP($A:$A,USD!$A:$AL,35,FALSE)*88)/88*20</f>
        <v>12.587317427197677</v>
      </c>
      <c r="AJ206" s="87">
        <f>(VLOOKUP($A:$A,USD!$A:$AL,36,FALSE)*88)/88*20</f>
        <v>6.7351999999999999</v>
      </c>
      <c r="AL206" s="68">
        <f t="shared" si="32"/>
        <v>55.109957923065444</v>
      </c>
      <c r="AM206" s="87">
        <f>(VLOOKUP($A:$A,USD!$A:$AR,39,FALSE)*88)/88*20</f>
        <v>79.999999999999986</v>
      </c>
      <c r="AN206" s="68">
        <f>(VLOOKUP($A:$A,USD!$A:$AR,40,FALSE)*88)/88*20</f>
        <v>26.17808219178082</v>
      </c>
      <c r="AO206" s="1">
        <f>(VLOOKUP($A:$A,USD!$A:$AR,41,FALSE)*88)/88*20</f>
        <v>0</v>
      </c>
      <c r="AR206" s="1">
        <f t="shared" si="33"/>
        <v>106.1780821917808</v>
      </c>
      <c r="AS206" s="38">
        <f t="shared" si="34"/>
        <v>1222.8092522360582</v>
      </c>
      <c r="AT206" s="38">
        <f t="shared" si="35"/>
        <v>1424.8092522360582</v>
      </c>
      <c r="AW206" s="1">
        <f>(VLOOKUP(A:A,USD!A:AT,46,FALSE)*88)/88*20</f>
        <v>350.72499999999997</v>
      </c>
      <c r="AX206" s="1" t="e">
        <f>(VLOOKUP(A:A,USD!A:AU,47,FALSE)*88)/88*20</f>
        <v>#N/A</v>
      </c>
    </row>
    <row r="207" spans="1:50" hidden="1">
      <c r="A207" s="1">
        <v>886533</v>
      </c>
      <c r="B207" s="1" t="s">
        <v>506</v>
      </c>
      <c r="C207" s="1" t="s">
        <v>500</v>
      </c>
      <c r="D207" s="1" t="s">
        <v>71</v>
      </c>
      <c r="E207" s="1" t="str">
        <f>VLOOKUP(A:A,USD!A:E,5,FALSE)</f>
        <v>WTX</v>
      </c>
      <c r="F207" s="1" t="str">
        <f>VLOOKUP(A:A,USD!A:F,6,FALSE)</f>
        <v>WTX</v>
      </c>
      <c r="G207" s="1" t="str">
        <f>VLOOKUP(A:A,'Regions and Ports'!A:G,7,FALSE)</f>
        <v>Dallas</v>
      </c>
      <c r="H207" s="1">
        <f>VLOOKUP(A:A,USD!A:R,8,FALSE)</f>
        <v>2</v>
      </c>
      <c r="I207" s="87">
        <f>(VLOOKUP($A:$A,USD!$A:$AL,9,FALSE)*88)/88*20</f>
        <v>95</v>
      </c>
      <c r="J207" s="87">
        <f>(VLOOKUP($A:$A,USD!$A:$AL,10,FALSE)*88)/88*20</f>
        <v>109</v>
      </c>
      <c r="K207" s="87">
        <f>(VLOOKUP($A:$A,USD!$A:$AL,11,FALSE)*88)/88*20</f>
        <v>195</v>
      </c>
      <c r="L207" s="87">
        <f>(VLOOKUP($A:$A,USD!$A:$AL,12,FALSE)*88)/88*20</f>
        <v>0</v>
      </c>
      <c r="M207" s="87">
        <f>(VLOOKUP($A:$A,USD!$A:$AL,13,FALSE)*88)/88*20</f>
        <v>20</v>
      </c>
      <c r="N207" s="87">
        <f>(VLOOKUP($A:$A,USD!$A:$AL,14,FALSE)*88)/88*20</f>
        <v>48</v>
      </c>
      <c r="O207" s="68">
        <f>(VLOOKUP($A:$A,USD!$A:$AL,15,FALSE)*88)/88*20</f>
        <v>37.916666666666671</v>
      </c>
      <c r="P207" s="87">
        <f>(VLOOKUP($A:$A,USD!$A:$AL,16,FALSE)*88)/88*20</f>
        <v>0</v>
      </c>
      <c r="Q207" s="68">
        <f t="shared" si="27"/>
        <v>504.91666666666669</v>
      </c>
      <c r="R207" s="68">
        <f t="shared" si="28"/>
        <v>280.91666666666669</v>
      </c>
      <c r="S207" s="68">
        <f>(VLOOKUP($A:$A,USD!$A:$AL,19,FALSE)*88)/88*20</f>
        <v>0</v>
      </c>
      <c r="T207" s="68">
        <f>(VLOOKUP($A:$A,USD!$A:$AL,20,FALSE)*88)/88*20</f>
        <v>0</v>
      </c>
      <c r="U207" s="68">
        <f>(VLOOKUP($A:$A,USD!$A:$AL,21,FALSE)*88)/88*20</f>
        <v>185.22727272727275</v>
      </c>
      <c r="V207" s="68"/>
      <c r="W207" s="68">
        <f t="shared" si="29"/>
        <v>185.22727272727275</v>
      </c>
      <c r="X207" s="1">
        <f>(VLOOKUP($A:$A,USD!$A:$AL,24,FALSE)*88)/88*20</f>
        <v>54</v>
      </c>
      <c r="Y207" s="68">
        <f>(VLOOKUP($A:$A,USD!$A:$AL,25,FALSE)*88)/88*20</f>
        <v>50.4</v>
      </c>
      <c r="Z207" s="68">
        <f>(VLOOKUP($A:$A,USD!$A:$AL,26,FALSE)*88)/88*20</f>
        <v>26.25</v>
      </c>
      <c r="AB207" s="68">
        <f t="shared" si="30"/>
        <v>130.65</v>
      </c>
      <c r="AC207" s="68">
        <f>(VLOOKUP($A:$A,USD!$A:$AL,29,FALSE)*88)/88*20</f>
        <v>162.5</v>
      </c>
      <c r="AD207" s="68">
        <f>(VLOOKUP($A:$A,USD!$A:$AL,30,FALSE)*88)/88*20</f>
        <v>268.18181818181819</v>
      </c>
      <c r="AF207" s="68">
        <f t="shared" si="31"/>
        <v>430.68181818181819</v>
      </c>
      <c r="AG207" s="87">
        <f>(VLOOKUP($A:$A,USD!$A:$AL,33,FALSE)*88)/88*20</f>
        <v>28.814300000000003</v>
      </c>
      <c r="AH207" s="68">
        <f>(VLOOKUP($A:$A,USD!$A:$AL,34,FALSE)*88)/88*20</f>
        <v>6.973140495867769</v>
      </c>
      <c r="AI207" s="87">
        <f>(VLOOKUP($A:$A,USD!$A:$AL,35,FALSE)*88)/88*20</f>
        <v>12.587317427197677</v>
      </c>
      <c r="AJ207" s="87">
        <f>(VLOOKUP($A:$A,USD!$A:$AL,36,FALSE)*88)/88*20</f>
        <v>6.7351999999999999</v>
      </c>
      <c r="AL207" s="68">
        <f t="shared" si="32"/>
        <v>55.109957923065444</v>
      </c>
      <c r="AM207" s="87">
        <f>(VLOOKUP($A:$A,USD!$A:$AR,39,FALSE)*88)/88*20</f>
        <v>79.999999999999986</v>
      </c>
      <c r="AN207" s="68">
        <f>(VLOOKUP($A:$A,USD!$A:$AR,40,FALSE)*88)/88*20</f>
        <v>26.17808219178082</v>
      </c>
      <c r="AO207" s="1">
        <f>(VLOOKUP($A:$A,USD!$A:$AR,41,FALSE)*88)/88*20</f>
        <v>0</v>
      </c>
      <c r="AR207" s="1">
        <f t="shared" si="33"/>
        <v>106.1780821917808</v>
      </c>
      <c r="AS207" s="38">
        <f t="shared" si="34"/>
        <v>1188.7637976906037</v>
      </c>
      <c r="AT207" s="38">
        <f t="shared" si="35"/>
        <v>1412.7637976906037</v>
      </c>
      <c r="AW207" s="1">
        <f>(VLOOKUP(A:A,USD!A:AT,46,FALSE)*88)/88*20</f>
        <v>350.72499999999997</v>
      </c>
      <c r="AX207" s="1" t="e">
        <f>(VLOOKUP(A:A,USD!A:AU,47,FALSE)*88)/88*20</f>
        <v>#N/A</v>
      </c>
    </row>
    <row r="208" spans="1:50" hidden="1">
      <c r="A208" s="125">
        <v>886533</v>
      </c>
      <c r="B208" s="1" t="s">
        <v>506</v>
      </c>
      <c r="C208" s="1" t="s">
        <v>500</v>
      </c>
      <c r="D208" s="1" t="s">
        <v>71</v>
      </c>
      <c r="E208" s="1" t="s">
        <v>2067</v>
      </c>
      <c r="F208" s="1" t="str">
        <f>VLOOKUP(A:A,USD!A:F,6,FALSE)</f>
        <v>WTX</v>
      </c>
      <c r="G208" s="1" t="s">
        <v>439</v>
      </c>
      <c r="H208" s="1">
        <f>VLOOKUP(A:A,USD!A:R,8,FALSE)</f>
        <v>2</v>
      </c>
      <c r="I208" s="87">
        <f>(VLOOKUP($A:$A,USD!$A:$AL,9,FALSE)*88)/88*20</f>
        <v>95</v>
      </c>
      <c r="J208" s="87">
        <f>(VLOOKUP($A:$A,USD!$A:$AL,10,FALSE)*88)/88*20</f>
        <v>109</v>
      </c>
      <c r="K208" s="87">
        <f>(VLOOKUP($A:$A,USD!$A:$AL,11,FALSE)*88)/88*20</f>
        <v>195</v>
      </c>
      <c r="L208" s="87">
        <f>(VLOOKUP($A:$A,USD!$A:$AL,12,FALSE)*88)/88*20</f>
        <v>0</v>
      </c>
      <c r="M208" s="87">
        <f>(VLOOKUP($A:$A,USD!$A:$AL,13,FALSE)*88)/88*20</f>
        <v>20</v>
      </c>
      <c r="N208" s="87">
        <f>(VLOOKUP($A:$A,USD!$A:$AL,14,FALSE)*88)/88*20</f>
        <v>48</v>
      </c>
      <c r="O208" s="68">
        <f>(VLOOKUP($A:$A,USD!$A:$AL,15,FALSE)*88)/88*20</f>
        <v>37.916666666666671</v>
      </c>
      <c r="P208" s="87">
        <f>(VLOOKUP($A:$A,USD!$A:$AL,16,FALSE)*88)/88*20</f>
        <v>0</v>
      </c>
      <c r="Q208" s="68">
        <f t="shared" si="27"/>
        <v>504.91666666666669</v>
      </c>
      <c r="R208" s="68">
        <f t="shared" si="28"/>
        <v>280.91666666666669</v>
      </c>
      <c r="S208" s="68">
        <f>(VLOOKUP($A:$A,USD!$A:$AL,19,FALSE)*88)/88*20</f>
        <v>0</v>
      </c>
      <c r="T208" s="68">
        <f>(VLOOKUP($A:$A,USD!$A:$AL,20,FALSE)*88)/88*20</f>
        <v>0</v>
      </c>
      <c r="U208" s="68" cm="1">
        <f t="array" ref="U208">(_xlfn.XLOOKUP(1, (USD!$A:$A=$A208)*(USD!$E:$E=$E208), USD!$U:$U, "", 0)*88)/88*20</f>
        <v>267.0454545454545</v>
      </c>
      <c r="V208" s="68"/>
      <c r="W208" s="68">
        <f t="shared" si="29"/>
        <v>267.0454545454545</v>
      </c>
      <c r="X208" s="1">
        <f>(VLOOKUP($A:$A,USD!$A:$AL,24,FALSE)*88)/88*20</f>
        <v>54</v>
      </c>
      <c r="Y208" s="68">
        <f>(VLOOKUP($A:$A,USD!$A:$AL,25,FALSE)*88)/88*20</f>
        <v>50.4</v>
      </c>
      <c r="Z208" s="68">
        <f>(VLOOKUP($A:$A,USD!$A:$AL,26,FALSE)*88)/88*20</f>
        <v>26.25</v>
      </c>
      <c r="AB208" s="68">
        <f t="shared" si="30"/>
        <v>130.65</v>
      </c>
      <c r="AC208" s="68" cm="1">
        <f t="array" ref="AC208">_xlfn.XLOOKUP(A208&amp;E208, USD!$A:$A&amp;USD!$E:$E, USD!$AC:$AC, "")*20</f>
        <v>132.95454545454544</v>
      </c>
      <c r="AD208" s="68" cm="1">
        <f t="array" ref="AD208">_xlfn.XLOOKUP(A208&amp;E208, USD!$A:$A&amp;USD!$E:$E, USD!$AD:$AD, "")*20</f>
        <v>197.95454545454547</v>
      </c>
      <c r="AF208" s="68">
        <f t="shared" si="31"/>
        <v>330.90909090909088</v>
      </c>
      <c r="AG208" s="87">
        <f>(VLOOKUP($A:$A,USD!$A:$AL,33,FALSE)*88)/88*20</f>
        <v>28.814300000000003</v>
      </c>
      <c r="AH208" s="68">
        <f>(VLOOKUP($A:$A,USD!$A:$AL,34,FALSE)*88)/88*20</f>
        <v>6.973140495867769</v>
      </c>
      <c r="AI208" s="87">
        <f>(VLOOKUP($A:$A,USD!$A:$AL,35,FALSE)*88)/88*20</f>
        <v>12.587317427197677</v>
      </c>
      <c r="AJ208" s="87">
        <f>(VLOOKUP($A:$A,USD!$A:$AL,36,FALSE)*88)/88*20</f>
        <v>6.7351999999999999</v>
      </c>
      <c r="AL208" s="68">
        <f t="shared" si="32"/>
        <v>55.109957923065444</v>
      </c>
      <c r="AM208" s="87">
        <f>(VLOOKUP($A:$A,USD!$A:$AR,39,FALSE)*88)/88*20</f>
        <v>79.999999999999986</v>
      </c>
      <c r="AN208" s="68">
        <f>(VLOOKUP($A:$A,USD!$A:$AR,40,FALSE)*88)/88*20</f>
        <v>26.17808219178082</v>
      </c>
      <c r="AO208" s="1">
        <f>(VLOOKUP($A:$A,USD!$A:$AR,41,FALSE)*88)/88*20</f>
        <v>0</v>
      </c>
      <c r="AR208" s="1">
        <f t="shared" si="33"/>
        <v>106.1780821917808</v>
      </c>
      <c r="AS208" s="38">
        <f t="shared" si="34"/>
        <v>1170.8092522360582</v>
      </c>
      <c r="AT208" s="38">
        <f t="shared" si="35"/>
        <v>1394.8092522360582</v>
      </c>
      <c r="AW208" s="1">
        <f>(VLOOKUP(A:A,USD!A:AT,46,FALSE)*88)/88*20</f>
        <v>350.72499999999997</v>
      </c>
      <c r="AX208" s="1" t="e">
        <f>(VLOOKUP(A:A,USD!A:AU,47,FALSE)*88)/88*20</f>
        <v>#N/A</v>
      </c>
    </row>
    <row r="209" spans="1:50" hidden="1">
      <c r="A209" s="1">
        <v>886570</v>
      </c>
      <c r="B209" s="1" t="s">
        <v>507</v>
      </c>
      <c r="C209" s="1" t="s">
        <v>500</v>
      </c>
      <c r="D209" s="1" t="s">
        <v>71</v>
      </c>
      <c r="E209" s="1" t="str">
        <f>VLOOKUP(A:A,USD!A:E,5,FALSE)</f>
        <v>WTX</v>
      </c>
      <c r="F209" s="1" t="str">
        <f>VLOOKUP(A:A,USD!A:F,6,FALSE)</f>
        <v>WTX</v>
      </c>
      <c r="G209" s="1" t="str">
        <f>VLOOKUP(A:A,'Regions and Ports'!A:G,7,FALSE)</f>
        <v>Dallas</v>
      </c>
      <c r="H209" s="1">
        <f>VLOOKUP(A:A,USD!A:R,8,FALSE)</f>
        <v>2</v>
      </c>
      <c r="I209" s="87">
        <f>(VLOOKUP($A:$A,USD!$A:$AL,9,FALSE)*88)/88*20</f>
        <v>82</v>
      </c>
      <c r="J209" s="87">
        <f>(VLOOKUP($A:$A,USD!$A:$AL,10,FALSE)*88)/88*20</f>
        <v>100</v>
      </c>
      <c r="K209" s="87">
        <f>(VLOOKUP($A:$A,USD!$A:$AL,11,FALSE)*88)/88*20</f>
        <v>225</v>
      </c>
      <c r="L209" s="87">
        <f>(VLOOKUP($A:$A,USD!$A:$AL,12,FALSE)*88)/88*20</f>
        <v>0</v>
      </c>
      <c r="M209" s="87">
        <f>(VLOOKUP($A:$A,USD!$A:$AL,13,FALSE)*88)/88*20</f>
        <v>10</v>
      </c>
      <c r="N209" s="87">
        <f>(VLOOKUP($A:$A,USD!$A:$AL,14,FALSE)*88)/88*20</f>
        <v>48</v>
      </c>
      <c r="O209" s="68">
        <f>(VLOOKUP($A:$A,USD!$A:$AL,15,FALSE)*88)/88*20</f>
        <v>37.916666666666671</v>
      </c>
      <c r="P209" s="87">
        <f>(VLOOKUP($A:$A,USD!$A:$AL,16,FALSE)*88)/88*20</f>
        <v>0</v>
      </c>
      <c r="Q209" s="68">
        <f t="shared" si="27"/>
        <v>502.91666666666669</v>
      </c>
      <c r="R209" s="68">
        <f t="shared" si="28"/>
        <v>310.91666666666669</v>
      </c>
      <c r="S209" s="68">
        <f>(VLOOKUP($A:$A,USD!$A:$AL,19,FALSE)*88)/88*20</f>
        <v>0</v>
      </c>
      <c r="T209" s="68">
        <f>(VLOOKUP($A:$A,USD!$A:$AL,20,FALSE)*88)/88*20</f>
        <v>0</v>
      </c>
      <c r="U209" s="68">
        <f>(VLOOKUP($A:$A,USD!$A:$AL,21,FALSE)*88)/88*20</f>
        <v>185.22727272727275</v>
      </c>
      <c r="V209" s="68"/>
      <c r="W209" s="68">
        <f t="shared" si="29"/>
        <v>185.22727272727275</v>
      </c>
      <c r="X209" s="1">
        <f>(VLOOKUP($A:$A,USD!$A:$AL,24,FALSE)*88)/88*20</f>
        <v>54</v>
      </c>
      <c r="Y209" s="68">
        <f>(VLOOKUP($A:$A,USD!$A:$AL,25,FALSE)*88)/88*20</f>
        <v>50.4</v>
      </c>
      <c r="Z209" s="68">
        <f>(VLOOKUP($A:$A,USD!$A:$AL,26,FALSE)*88)/88*20</f>
        <v>26.25</v>
      </c>
      <c r="AB209" s="68">
        <f t="shared" si="30"/>
        <v>130.65</v>
      </c>
      <c r="AC209" s="68">
        <f>(VLOOKUP($A:$A,USD!$A:$AL,29,FALSE)*88)/88*20</f>
        <v>162.5</v>
      </c>
      <c r="AD209" s="68">
        <f>(VLOOKUP($A:$A,USD!$A:$AL,30,FALSE)*88)/88*20</f>
        <v>268.18181818181819</v>
      </c>
      <c r="AF209" s="68">
        <f t="shared" si="31"/>
        <v>430.68181818181819</v>
      </c>
      <c r="AG209" s="87">
        <f>(VLOOKUP($A:$A,USD!$A:$AL,33,FALSE)*88)/88*20</f>
        <v>28.814300000000003</v>
      </c>
      <c r="AH209" s="68">
        <f>(VLOOKUP($A:$A,USD!$A:$AL,34,FALSE)*88)/88*20</f>
        <v>6.973140495867769</v>
      </c>
      <c r="AI209" s="87">
        <f>(VLOOKUP($A:$A,USD!$A:$AL,35,FALSE)*88)/88*20</f>
        <v>12.587317427197677</v>
      </c>
      <c r="AJ209" s="87">
        <f>(VLOOKUP($A:$A,USD!$A:$AL,36,FALSE)*88)/88*20</f>
        <v>6.7351999999999999</v>
      </c>
      <c r="AL209" s="68">
        <f t="shared" si="32"/>
        <v>55.109957923065444</v>
      </c>
      <c r="AM209" s="87">
        <f>(VLOOKUP($A:$A,USD!$A:$AR,39,FALSE)*88)/88*20</f>
        <v>79.999999999999986</v>
      </c>
      <c r="AN209" s="68">
        <f>(VLOOKUP($A:$A,USD!$A:$AR,40,FALSE)*88)/88*20</f>
        <v>26.17808219178082</v>
      </c>
      <c r="AO209" s="1">
        <f>(VLOOKUP($A:$A,USD!$A:$AR,41,FALSE)*88)/88*20</f>
        <v>0</v>
      </c>
      <c r="AR209" s="1">
        <f t="shared" si="33"/>
        <v>106.1780821917808</v>
      </c>
      <c r="AS209" s="38">
        <f t="shared" si="34"/>
        <v>1218.7637976906037</v>
      </c>
      <c r="AT209" s="38">
        <f t="shared" si="35"/>
        <v>1410.7637976906037</v>
      </c>
      <c r="AW209" s="1">
        <f>(VLOOKUP(A:A,USD!A:AT,46,FALSE)*88)/88*20</f>
        <v>350.72499999999997</v>
      </c>
      <c r="AX209" s="1" t="e">
        <f>(VLOOKUP(A:A,USD!A:AU,47,FALSE)*88)/88*20</f>
        <v>#N/A</v>
      </c>
    </row>
    <row r="210" spans="1:50" hidden="1">
      <c r="A210" s="125">
        <v>886570</v>
      </c>
      <c r="B210" s="1" t="s">
        <v>507</v>
      </c>
      <c r="C210" s="1" t="s">
        <v>500</v>
      </c>
      <c r="D210" s="1" t="s">
        <v>71</v>
      </c>
      <c r="E210" s="1" t="s">
        <v>2067</v>
      </c>
      <c r="F210" s="1" t="str">
        <f>VLOOKUP(A:A,USD!A:F,6,FALSE)</f>
        <v>WTX</v>
      </c>
      <c r="G210" s="1" t="s">
        <v>439</v>
      </c>
      <c r="H210" s="1">
        <f>VLOOKUP(A:A,USD!A:R,8,FALSE)</f>
        <v>2</v>
      </c>
      <c r="I210" s="87">
        <f>(VLOOKUP($A:$A,USD!$A:$AL,9,FALSE)*88)/88*20</f>
        <v>82</v>
      </c>
      <c r="J210" s="87">
        <f>(VLOOKUP($A:$A,USD!$A:$AL,10,FALSE)*88)/88*20</f>
        <v>100</v>
      </c>
      <c r="K210" s="87">
        <f>(VLOOKUP($A:$A,USD!$A:$AL,11,FALSE)*88)/88*20</f>
        <v>225</v>
      </c>
      <c r="L210" s="87">
        <f>(VLOOKUP($A:$A,USD!$A:$AL,12,FALSE)*88)/88*20</f>
        <v>0</v>
      </c>
      <c r="M210" s="87">
        <f>(VLOOKUP($A:$A,USD!$A:$AL,13,FALSE)*88)/88*20</f>
        <v>10</v>
      </c>
      <c r="N210" s="87">
        <f>(VLOOKUP($A:$A,USD!$A:$AL,14,FALSE)*88)/88*20</f>
        <v>48</v>
      </c>
      <c r="O210" s="68">
        <f>(VLOOKUP($A:$A,USD!$A:$AL,15,FALSE)*88)/88*20</f>
        <v>37.916666666666671</v>
      </c>
      <c r="P210" s="87">
        <f>(VLOOKUP($A:$A,USD!$A:$AL,16,FALSE)*88)/88*20</f>
        <v>0</v>
      </c>
      <c r="Q210" s="68">
        <f t="shared" si="27"/>
        <v>502.91666666666669</v>
      </c>
      <c r="R210" s="68">
        <f t="shared" si="28"/>
        <v>310.91666666666669</v>
      </c>
      <c r="S210" s="68">
        <f>(VLOOKUP($A:$A,USD!$A:$AL,19,FALSE)*88)/88*20</f>
        <v>0</v>
      </c>
      <c r="T210" s="68">
        <f>(VLOOKUP($A:$A,USD!$A:$AL,20,FALSE)*88)/88*20</f>
        <v>0</v>
      </c>
      <c r="U210" s="68" cm="1">
        <f t="array" ref="U210">(_xlfn.XLOOKUP(1, (USD!$A:$A=$A210)*(USD!$E:$E=$E210), USD!$U:$U, "", 0)*88)/88*20</f>
        <v>267.0454545454545</v>
      </c>
      <c r="V210" s="68"/>
      <c r="W210" s="68">
        <f t="shared" si="29"/>
        <v>267.0454545454545</v>
      </c>
      <c r="X210" s="1">
        <f>(VLOOKUP($A:$A,USD!$A:$AL,24,FALSE)*88)/88*20</f>
        <v>54</v>
      </c>
      <c r="Y210" s="68">
        <f>(VLOOKUP($A:$A,USD!$A:$AL,25,FALSE)*88)/88*20</f>
        <v>50.4</v>
      </c>
      <c r="Z210" s="68">
        <f>(VLOOKUP($A:$A,USD!$A:$AL,26,FALSE)*88)/88*20</f>
        <v>26.25</v>
      </c>
      <c r="AB210" s="68">
        <f t="shared" si="30"/>
        <v>130.65</v>
      </c>
      <c r="AC210" s="68" cm="1">
        <f t="array" ref="AC210">_xlfn.XLOOKUP(A210&amp;E210, USD!$A:$A&amp;USD!$E:$E, USD!$AC:$AC, "")*20</f>
        <v>132.95454545454544</v>
      </c>
      <c r="AD210" s="68" cm="1">
        <f t="array" ref="AD210">_xlfn.XLOOKUP(A210&amp;E210, USD!$A:$A&amp;USD!$E:$E, USD!$AD:$AD, "")*20</f>
        <v>197.95454545454547</v>
      </c>
      <c r="AF210" s="68">
        <f t="shared" si="31"/>
        <v>330.90909090909088</v>
      </c>
      <c r="AG210" s="87">
        <f>(VLOOKUP($A:$A,USD!$A:$AL,33,FALSE)*88)/88*20</f>
        <v>28.814300000000003</v>
      </c>
      <c r="AH210" s="68">
        <f>(VLOOKUP($A:$A,USD!$A:$AL,34,FALSE)*88)/88*20</f>
        <v>6.973140495867769</v>
      </c>
      <c r="AI210" s="87">
        <f>(VLOOKUP($A:$A,USD!$A:$AL,35,FALSE)*88)/88*20</f>
        <v>12.587317427197677</v>
      </c>
      <c r="AJ210" s="87">
        <f>(VLOOKUP($A:$A,USD!$A:$AL,36,FALSE)*88)/88*20</f>
        <v>6.7351999999999999</v>
      </c>
      <c r="AL210" s="68">
        <f t="shared" si="32"/>
        <v>55.109957923065444</v>
      </c>
      <c r="AM210" s="87">
        <f>(VLOOKUP($A:$A,USD!$A:$AR,39,FALSE)*88)/88*20</f>
        <v>79.999999999999986</v>
      </c>
      <c r="AN210" s="68">
        <f>(VLOOKUP($A:$A,USD!$A:$AR,40,FALSE)*88)/88*20</f>
        <v>26.17808219178082</v>
      </c>
      <c r="AO210" s="1">
        <f>(VLOOKUP($A:$A,USD!$A:$AR,41,FALSE)*88)/88*20</f>
        <v>0</v>
      </c>
      <c r="AR210" s="1">
        <f t="shared" si="33"/>
        <v>106.1780821917808</v>
      </c>
      <c r="AS210" s="38">
        <f t="shared" si="34"/>
        <v>1200.8092522360582</v>
      </c>
      <c r="AT210" s="38">
        <f t="shared" si="35"/>
        <v>1392.8092522360582</v>
      </c>
      <c r="AW210" s="1">
        <f>(VLOOKUP(A:A,USD!A:AT,46,FALSE)*88)/88*20</f>
        <v>350.72499999999997</v>
      </c>
      <c r="AX210" s="1" t="e">
        <f>(VLOOKUP(A:A,USD!A:AU,47,FALSE)*88)/88*20</f>
        <v>#N/A</v>
      </c>
    </row>
    <row r="211" spans="1:50" hidden="1">
      <c r="A211" s="1">
        <v>582003</v>
      </c>
      <c r="B211" s="1" t="s">
        <v>195</v>
      </c>
      <c r="C211" s="1" t="s">
        <v>508</v>
      </c>
      <c r="D211" s="1" t="s">
        <v>136</v>
      </c>
      <c r="E211" s="1" t="str">
        <f>VLOOKUP(A:A,USD!A:E,5,FALSE)</f>
        <v>Eastern Rule 5</v>
      </c>
      <c r="F211" s="1" t="str">
        <f>VLOOKUP(A:A,USD!A:F,6,FALSE)</f>
        <v>ER5</v>
      </c>
      <c r="G211" s="1" t="str">
        <f>VLOOKUP(A:A,'Regions and Ports'!A:G,7,FALSE)</f>
        <v>Savannah</v>
      </c>
      <c r="H211" s="1">
        <f>VLOOKUP(A:A,USD!A:R,8,FALSE)</f>
        <v>1</v>
      </c>
      <c r="I211" s="87">
        <f>(VLOOKUP($A:$A,USD!$A:$AL,9,FALSE)*88)/88*20</f>
        <v>75</v>
      </c>
      <c r="J211" s="87">
        <f>(VLOOKUP($A:$A,USD!$A:$AL,10,FALSE)*88)/88*20</f>
        <v>85</v>
      </c>
      <c r="K211" s="87">
        <f>(VLOOKUP($A:$A,USD!$A:$AL,11,FALSE)*88)/88*20</f>
        <v>0</v>
      </c>
      <c r="L211" s="87">
        <f>(VLOOKUP($A:$A,USD!$A:$AL,12,FALSE)*88)/88*20</f>
        <v>0</v>
      </c>
      <c r="M211" s="87">
        <f>(VLOOKUP($A:$A,USD!$A:$AL,13,FALSE)*88)/88*20</f>
        <v>5</v>
      </c>
      <c r="N211" s="87">
        <f>(VLOOKUP($A:$A,USD!$A:$AL,14,FALSE)*88)/88*20</f>
        <v>50</v>
      </c>
      <c r="O211" s="68">
        <f>(VLOOKUP($A:$A,USD!$A:$AL,15,FALSE)*88)/88*20</f>
        <v>37.916666666666671</v>
      </c>
      <c r="P211" s="87">
        <f>(VLOOKUP($A:$A,USD!$A:$AL,16,FALSE)*88)/88*20</f>
        <v>0</v>
      </c>
      <c r="Q211" s="68">
        <f t="shared" si="27"/>
        <v>252.91666666666669</v>
      </c>
      <c r="R211" s="68">
        <f t="shared" si="28"/>
        <v>87.916666666666671</v>
      </c>
      <c r="S211" s="68">
        <f>(VLOOKUP($A:$A,USD!$A:$AL,19,FALSE)*88)/88*20</f>
        <v>0</v>
      </c>
      <c r="T211" s="68">
        <f>(VLOOKUP($A:$A,USD!$A:$AL,20,FALSE)*88)/88*20</f>
        <v>0</v>
      </c>
      <c r="U211" s="68">
        <f>(VLOOKUP($A:$A,USD!$A:$AL,21,FALSE)*88)/88*20</f>
        <v>221.28863636363636</v>
      </c>
      <c r="V211" s="68"/>
      <c r="W211" s="68">
        <f t="shared" si="29"/>
        <v>221.28863636363636</v>
      </c>
      <c r="X211" s="1">
        <f>(VLOOKUP($A:$A,USD!$A:$AL,24,FALSE)*88)/88*20</f>
        <v>52</v>
      </c>
      <c r="Y211" s="68">
        <f>(VLOOKUP($A:$A,USD!$A:$AL,25,FALSE)*88)/88*20</f>
        <v>50.4</v>
      </c>
      <c r="Z211" s="68">
        <f>(VLOOKUP($A:$A,USD!$A:$AL,26,FALSE)*88)/88*20</f>
        <v>26.25</v>
      </c>
      <c r="AB211" s="68">
        <f t="shared" si="30"/>
        <v>128.65</v>
      </c>
      <c r="AC211" s="68">
        <f>(VLOOKUP($A:$A,USD!$A:$AL,29,FALSE)*88)/88*20</f>
        <v>110.22727272727273</v>
      </c>
      <c r="AD211" s="68">
        <f>(VLOOKUP($A:$A,USD!$A:$AL,30,FALSE)*88)/88*20</f>
        <v>107.04545454545455</v>
      </c>
      <c r="AF211" s="68">
        <f t="shared" si="31"/>
        <v>217.27272727272728</v>
      </c>
      <c r="AG211" s="87">
        <f>(VLOOKUP($A:$A,USD!$A:$AL,33,FALSE)*88)/88*20</f>
        <v>28.814300000000003</v>
      </c>
      <c r="AH211" s="68">
        <f>(VLOOKUP($A:$A,USD!$A:$AL,34,FALSE)*88)/88*20</f>
        <v>6.973140495867769</v>
      </c>
      <c r="AI211" s="87">
        <f>(VLOOKUP($A:$A,USD!$A:$AL,35,FALSE)*88)/88*20</f>
        <v>12.587317427197677</v>
      </c>
      <c r="AJ211" s="87">
        <f>(VLOOKUP($A:$A,USD!$A:$AL,36,FALSE)*88)/88*20</f>
        <v>6.7351999999999999</v>
      </c>
      <c r="AL211" s="68">
        <f t="shared" si="32"/>
        <v>55.109957923065444</v>
      </c>
      <c r="AM211" s="87">
        <f>(VLOOKUP($A:$A,USD!$A:$AR,39,FALSE)*88)/88*20</f>
        <v>79.999999999999986</v>
      </c>
      <c r="AN211" s="68">
        <f>(VLOOKUP($A:$A,USD!$A:$AR,40,FALSE)*88)/88*20</f>
        <v>26.17808219178082</v>
      </c>
      <c r="AO211" s="1">
        <f>(VLOOKUP($A:$A,USD!$A:$AR,41,FALSE)*88)/88*20</f>
        <v>0</v>
      </c>
      <c r="AR211" s="1">
        <f t="shared" si="33"/>
        <v>106.1780821917808</v>
      </c>
      <c r="AS211" s="38">
        <f t="shared" si="34"/>
        <v>816.41607041787654</v>
      </c>
      <c r="AT211" s="38">
        <f t="shared" si="35"/>
        <v>981.41607041787654</v>
      </c>
      <c r="AW211" s="1" t="e">
        <f>(VLOOKUP(A:A,USD!A:AT,46,FALSE)*88)/88*20</f>
        <v>#N/A</v>
      </c>
      <c r="AX211" s="1">
        <f>(VLOOKUP(A:A,USD!A:AU,47,FALSE)*88)/88*20</f>
        <v>190.34090909090909</v>
      </c>
    </row>
    <row r="212" spans="1:50" hidden="1">
      <c r="A212" s="1">
        <v>304553</v>
      </c>
      <c r="B212" s="1" t="s">
        <v>510</v>
      </c>
      <c r="C212" s="1" t="s">
        <v>511</v>
      </c>
      <c r="D212" s="1" t="s">
        <v>76</v>
      </c>
      <c r="E212" s="1" t="str">
        <f>VLOOKUP(A:A,USD!A:E,5,FALSE)</f>
        <v>GA 30 Day</v>
      </c>
      <c r="F212" s="1" t="str">
        <f>VLOOKUP(A:A,USD!A:F,6,FALSE)</f>
        <v>ER5</v>
      </c>
      <c r="G212" s="1" t="str">
        <f>VLOOKUP(A:A,'Regions and Ports'!A:G,7,FALSE)</f>
        <v>Savannah</v>
      </c>
      <c r="H212" s="1">
        <f>VLOOKUP(A:A,USD!A:R,8,FALSE)</f>
        <v>4</v>
      </c>
      <c r="I212" s="87">
        <f>(VLOOKUP($A:$A,USD!$A:$AL,9,FALSE)*88)/88*20</f>
        <v>70</v>
      </c>
      <c r="J212" s="87">
        <f>(VLOOKUP($A:$A,USD!$A:$AL,10,FALSE)*88)/88*20</f>
        <v>105</v>
      </c>
      <c r="K212" s="87">
        <f>(VLOOKUP($A:$A,USD!$A:$AL,11,FALSE)*88)/88*20</f>
        <v>0</v>
      </c>
      <c r="L212" s="87">
        <f>(VLOOKUP($A:$A,USD!$A:$AL,12,FALSE)*88)/88*20</f>
        <v>0</v>
      </c>
      <c r="M212" s="87">
        <f>(VLOOKUP($A:$A,USD!$A:$AL,13,FALSE)*88)/88*20</f>
        <v>0</v>
      </c>
      <c r="N212" s="87">
        <f>(VLOOKUP($A:$A,USD!$A:$AL,14,FALSE)*88)/88*20</f>
        <v>45</v>
      </c>
      <c r="O212" s="68">
        <f>(VLOOKUP($A:$A,USD!$A:$AL,15,FALSE)*88)/88*20</f>
        <v>37.916666666666671</v>
      </c>
      <c r="P212" s="87">
        <f>(VLOOKUP($A:$A,USD!$A:$AL,16,FALSE)*88)/88*20</f>
        <v>0</v>
      </c>
      <c r="Q212" s="68">
        <f t="shared" si="27"/>
        <v>257.91666666666669</v>
      </c>
      <c r="R212" s="68">
        <f t="shared" si="28"/>
        <v>37.916666666666671</v>
      </c>
      <c r="S212" s="68">
        <f>(VLOOKUP($A:$A,USD!$A:$AL,19,FALSE)*88)/88*20</f>
        <v>0</v>
      </c>
      <c r="T212" s="68">
        <f>(VLOOKUP($A:$A,USD!$A:$AL,20,FALSE)*88)/88*20</f>
        <v>0</v>
      </c>
      <c r="U212" s="68">
        <f>(VLOOKUP($A:$A,USD!$A:$AL,21,FALSE)*88)/88*20</f>
        <v>231.4636363636364</v>
      </c>
      <c r="V212" s="68"/>
      <c r="W212" s="68">
        <f t="shared" si="29"/>
        <v>231.4636363636364</v>
      </c>
      <c r="X212" s="1">
        <f>(VLOOKUP($A:$A,USD!$A:$AL,24,FALSE)*88)/88*20</f>
        <v>52</v>
      </c>
      <c r="Y212" s="68">
        <f>(VLOOKUP($A:$A,USD!$A:$AL,25,FALSE)*88)/88*20</f>
        <v>50.4</v>
      </c>
      <c r="Z212" s="68">
        <f>(VLOOKUP($A:$A,USD!$A:$AL,26,FALSE)*88)/88*20</f>
        <v>26.25</v>
      </c>
      <c r="AB212" s="68">
        <f t="shared" si="30"/>
        <v>128.65</v>
      </c>
      <c r="AC212" s="68">
        <f>(VLOOKUP($A:$A,USD!$A:$AL,29,FALSE)*88)/88*20</f>
        <v>110.22727272727273</v>
      </c>
      <c r="AD212" s="68">
        <f>(VLOOKUP($A:$A,USD!$A:$AL,30,FALSE)*88)/88*20</f>
        <v>107.04545454545455</v>
      </c>
      <c r="AF212" s="68">
        <f t="shared" si="31"/>
        <v>217.27272727272728</v>
      </c>
      <c r="AG212" s="87">
        <f>(VLOOKUP($A:$A,USD!$A:$AL,33,FALSE)*88)/88*20</f>
        <v>28.814300000000003</v>
      </c>
      <c r="AH212" s="68">
        <f>(VLOOKUP($A:$A,USD!$A:$AL,34,FALSE)*88)/88*20</f>
        <v>6.973140495867769</v>
      </c>
      <c r="AI212" s="87">
        <f>(VLOOKUP($A:$A,USD!$A:$AL,35,FALSE)*88)/88*20</f>
        <v>12.587317427197677</v>
      </c>
      <c r="AJ212" s="87">
        <f>(VLOOKUP($A:$A,USD!$A:$AL,36,FALSE)*88)/88*20</f>
        <v>6.7351999999999999</v>
      </c>
      <c r="AL212" s="68">
        <f t="shared" si="32"/>
        <v>55.109957923065444</v>
      </c>
      <c r="AM212" s="87">
        <f>(VLOOKUP($A:$A,USD!$A:$AR,39,FALSE)*88)/88*20</f>
        <v>79.999999999999986</v>
      </c>
      <c r="AN212" s="68">
        <f>(VLOOKUP($A:$A,USD!$A:$AR,40,FALSE)*88)/88*20</f>
        <v>26.17808219178082</v>
      </c>
      <c r="AO212" s="1">
        <f>(VLOOKUP($A:$A,USD!$A:$AR,41,FALSE)*88)/88*20</f>
        <v>0</v>
      </c>
      <c r="AR212" s="1">
        <f t="shared" si="33"/>
        <v>106.1780821917808</v>
      </c>
      <c r="AS212" s="38">
        <f t="shared" si="34"/>
        <v>776.59107041787661</v>
      </c>
      <c r="AT212" s="38">
        <f t="shared" si="35"/>
        <v>996.59107041787661</v>
      </c>
      <c r="AW212" s="1" t="e">
        <f>(VLOOKUP(A:A,USD!A:AT,46,FALSE)*88)/88*20</f>
        <v>#N/A</v>
      </c>
      <c r="AX212" s="1">
        <f>(VLOOKUP(A:A,USD!A:AU,47,FALSE)*88)/88*20</f>
        <v>224.43181818181816</v>
      </c>
    </row>
    <row r="213" spans="1:50" hidden="1">
      <c r="A213" s="1">
        <v>517813</v>
      </c>
      <c r="B213" s="1" t="s">
        <v>512</v>
      </c>
      <c r="C213" s="1" t="s">
        <v>513</v>
      </c>
      <c r="D213" s="1" t="s">
        <v>190</v>
      </c>
      <c r="E213" s="1" t="str">
        <f>VLOOKUP(A:A,USD!A:E,5,FALSE)</f>
        <v>Memphis Rule 5</v>
      </c>
      <c r="F213" s="1" t="str">
        <f>VLOOKUP(A:A,USD!A:F,6,FALSE)</f>
        <v>MR5</v>
      </c>
      <c r="G213" s="1" t="str">
        <f>VLOOKUP(A:A,'Regions and Ports'!A:G,7,FALSE)</f>
        <v>Memphis</v>
      </c>
      <c r="H213" s="1">
        <f>VLOOKUP(A:A,USD!A:R,8,FALSE)</f>
        <v>1</v>
      </c>
      <c r="I213" s="87">
        <f>(VLOOKUP($A:$A,USD!$A:$AL,9,FALSE)*88)/88*20</f>
        <v>0</v>
      </c>
      <c r="J213" s="87">
        <f>(VLOOKUP($A:$A,USD!$A:$AL,10,FALSE)*88)/88*20</f>
        <v>395</v>
      </c>
      <c r="K213" s="87">
        <f>(VLOOKUP($A:$A,USD!$A:$AL,11,FALSE)*88)/88*20</f>
        <v>0</v>
      </c>
      <c r="L213" s="87">
        <f>(VLOOKUP($A:$A,USD!$A:$AL,12,FALSE)*88)/88*20</f>
        <v>0</v>
      </c>
      <c r="M213" s="87">
        <f>(VLOOKUP($A:$A,USD!$A:$AL,13,FALSE)*88)/88*20</f>
        <v>0</v>
      </c>
      <c r="N213" s="87">
        <f>(VLOOKUP($A:$A,USD!$A:$AL,14,FALSE)*88)/88*20</f>
        <v>65</v>
      </c>
      <c r="O213" s="68">
        <f>(VLOOKUP($A:$A,USD!$A:$AL,15,FALSE)*88)/88*20</f>
        <v>37.916666666666671</v>
      </c>
      <c r="P213" s="87">
        <f>(VLOOKUP($A:$A,USD!$A:$AL,16,FALSE)*88)/88*20</f>
        <v>0</v>
      </c>
      <c r="Q213" s="68">
        <f t="shared" si="27"/>
        <v>497.91666666666669</v>
      </c>
      <c r="R213" s="68">
        <f t="shared" si="28"/>
        <v>102.91666666666667</v>
      </c>
      <c r="S213" s="68">
        <f>(VLOOKUP($A:$A,USD!$A:$AL,19,FALSE)*88)/88*20</f>
        <v>0</v>
      </c>
      <c r="T213" s="68">
        <f>(VLOOKUP($A:$A,USD!$A:$AL,20,FALSE)*88)/88*20</f>
        <v>0</v>
      </c>
      <c r="U213" s="68">
        <f>(VLOOKUP($A:$A,USD!$A:$AL,21,FALSE)*88)/88*20</f>
        <v>241.47727272727275</v>
      </c>
      <c r="V213" s="68"/>
      <c r="W213" s="68">
        <f t="shared" si="29"/>
        <v>241.47727272727275</v>
      </c>
      <c r="X213" s="1">
        <f>(VLOOKUP($A:$A,USD!$A:$AL,24,FALSE)*88)/88*20</f>
        <v>50</v>
      </c>
      <c r="Y213" s="68">
        <f>(VLOOKUP($A:$A,USD!$A:$AL,25,FALSE)*88)/88*20</f>
        <v>33.6</v>
      </c>
      <c r="Z213" s="68">
        <f>(VLOOKUP($A:$A,USD!$A:$AL,26,FALSE)*88)/88*20</f>
        <v>26.25</v>
      </c>
      <c r="AB213" s="68">
        <f t="shared" si="30"/>
        <v>109.85</v>
      </c>
      <c r="AC213" s="68">
        <f>(VLOOKUP($A:$A,USD!$A:$AL,29,FALSE)*88)/88*20</f>
        <v>146.02272727272725</v>
      </c>
      <c r="AD213" s="68">
        <f>(VLOOKUP($A:$A,USD!$A:$AL,30,FALSE)*88)/88*20</f>
        <v>182.72727272727275</v>
      </c>
      <c r="AF213" s="68">
        <f t="shared" si="31"/>
        <v>328.75</v>
      </c>
      <c r="AG213" s="87">
        <f>(VLOOKUP($A:$A,USD!$A:$AL,33,FALSE)*88)/88*20</f>
        <v>28.814300000000003</v>
      </c>
      <c r="AH213" s="68">
        <f>(VLOOKUP($A:$A,USD!$A:$AL,34,FALSE)*88)/88*20</f>
        <v>6.973140495867769</v>
      </c>
      <c r="AI213" s="87">
        <f>(VLOOKUP($A:$A,USD!$A:$AL,35,FALSE)*88)/88*20</f>
        <v>12.587317427197677</v>
      </c>
      <c r="AJ213" s="87">
        <f>(VLOOKUP($A:$A,USD!$A:$AL,36,FALSE)*88)/88*20</f>
        <v>6.7351999999999999</v>
      </c>
      <c r="AL213" s="68">
        <f t="shared" si="32"/>
        <v>55.109957923065444</v>
      </c>
      <c r="AM213" s="87">
        <f>(VLOOKUP($A:$A,USD!$A:$AR,39,FALSE)*88)/88*20</f>
        <v>79.999999999999986</v>
      </c>
      <c r="AN213" s="68">
        <f>(VLOOKUP($A:$A,USD!$A:$AR,40,FALSE)*88)/88*20</f>
        <v>26.17808219178082</v>
      </c>
      <c r="AO213" s="1">
        <f>(VLOOKUP($A:$A,USD!$A:$AR,41,FALSE)*88)/88*20</f>
        <v>0</v>
      </c>
      <c r="AR213" s="1">
        <f t="shared" si="33"/>
        <v>106.1780821917808</v>
      </c>
      <c r="AS213" s="38">
        <f t="shared" si="34"/>
        <v>944.28197950878564</v>
      </c>
      <c r="AT213" s="38">
        <f t="shared" si="35"/>
        <v>1339.2819795087855</v>
      </c>
      <c r="AW213" s="1">
        <f>(VLOOKUP(A:A,USD!A:AT,46,FALSE)*88)/88*20</f>
        <v>579.85</v>
      </c>
      <c r="AX213" s="1">
        <f>(VLOOKUP(A:A,USD!A:AU,47,FALSE)*88)/88*20</f>
        <v>522.38636363636363</v>
      </c>
    </row>
    <row r="214" spans="1:50" hidden="1">
      <c r="A214" s="1">
        <v>517814</v>
      </c>
      <c r="B214" s="1" t="s">
        <v>515</v>
      </c>
      <c r="C214" s="1" t="s">
        <v>513</v>
      </c>
      <c r="D214" s="1" t="s">
        <v>190</v>
      </c>
      <c r="E214" s="1" t="str">
        <f>VLOOKUP(A:A,USD!A:E,5,FALSE)</f>
        <v>Memphis Rule 5</v>
      </c>
      <c r="F214" s="1" t="str">
        <f>VLOOKUP(A:A,USD!A:F,6,FALSE)</f>
        <v>MR5</v>
      </c>
      <c r="G214" s="1" t="str">
        <f>VLOOKUP(A:A,'Regions and Ports'!A:G,7,FALSE)</f>
        <v>Memphis</v>
      </c>
      <c r="H214" s="1">
        <f>VLOOKUP(A:A,USD!A:R,8,FALSE)</f>
        <v>1</v>
      </c>
      <c r="I214" s="87">
        <f>(VLOOKUP($A:$A,USD!$A:$AL,9,FALSE)*88)/88*20</f>
        <v>32</v>
      </c>
      <c r="J214" s="87">
        <f>(VLOOKUP($A:$A,USD!$A:$AL,10,FALSE)*88)/88*20</f>
        <v>225</v>
      </c>
      <c r="K214" s="87">
        <f>(VLOOKUP($A:$A,USD!$A:$AL,11,FALSE)*88)/88*20</f>
        <v>160</v>
      </c>
      <c r="L214" s="87">
        <f>(VLOOKUP($A:$A,USD!$A:$AL,12,FALSE)*88)/88*20</f>
        <v>0</v>
      </c>
      <c r="M214" s="87">
        <f>(VLOOKUP($A:$A,USD!$A:$AL,13,FALSE)*88)/88*20</f>
        <v>10</v>
      </c>
      <c r="N214" s="87">
        <f>(VLOOKUP($A:$A,USD!$A:$AL,14,FALSE)*88)/88*20</f>
        <v>65</v>
      </c>
      <c r="O214" s="68">
        <f>(VLOOKUP($A:$A,USD!$A:$AL,15,FALSE)*88)/88*20</f>
        <v>37.916666666666671</v>
      </c>
      <c r="P214" s="87">
        <f>(VLOOKUP($A:$A,USD!$A:$AL,16,FALSE)*88)/88*20</f>
        <v>0</v>
      </c>
      <c r="Q214" s="68">
        <f t="shared" si="27"/>
        <v>529.91666666666663</v>
      </c>
      <c r="R214" s="68">
        <f t="shared" si="28"/>
        <v>102.91666666666667</v>
      </c>
      <c r="S214" s="68">
        <f>(VLOOKUP($A:$A,USD!$A:$AL,19,FALSE)*88)/88*20</f>
        <v>0</v>
      </c>
      <c r="T214" s="68">
        <f>(VLOOKUP($A:$A,USD!$A:$AL,20,FALSE)*88)/88*20</f>
        <v>0</v>
      </c>
      <c r="U214" s="68">
        <f>(VLOOKUP($A:$A,USD!$A:$AL,21,FALSE)*88)/88*20</f>
        <v>241.47727272727275</v>
      </c>
      <c r="V214" s="68"/>
      <c r="W214" s="68">
        <f t="shared" si="29"/>
        <v>241.47727272727275</v>
      </c>
      <c r="X214" s="1">
        <f>(VLOOKUP($A:$A,USD!$A:$AL,24,FALSE)*88)/88*20</f>
        <v>50</v>
      </c>
      <c r="Y214" s="68">
        <f>(VLOOKUP($A:$A,USD!$A:$AL,25,FALSE)*88)/88*20</f>
        <v>33.6</v>
      </c>
      <c r="Z214" s="68">
        <f>(VLOOKUP($A:$A,USD!$A:$AL,26,FALSE)*88)/88*20</f>
        <v>26.25</v>
      </c>
      <c r="AB214" s="68">
        <f t="shared" si="30"/>
        <v>109.85</v>
      </c>
      <c r="AC214" s="68">
        <f>(VLOOKUP($A:$A,USD!$A:$AL,29,FALSE)*88)/88*20</f>
        <v>146.02272727272725</v>
      </c>
      <c r="AD214" s="68">
        <f>(VLOOKUP($A:$A,USD!$A:$AL,30,FALSE)*88)/88*20</f>
        <v>182.72727272727275</v>
      </c>
      <c r="AF214" s="68">
        <f t="shared" si="31"/>
        <v>328.75</v>
      </c>
      <c r="AG214" s="87">
        <f>(VLOOKUP($A:$A,USD!$A:$AL,33,FALSE)*88)/88*20</f>
        <v>28.814300000000003</v>
      </c>
      <c r="AH214" s="68">
        <f>(VLOOKUP($A:$A,USD!$A:$AL,34,FALSE)*88)/88*20</f>
        <v>6.973140495867769</v>
      </c>
      <c r="AI214" s="87">
        <f>(VLOOKUP($A:$A,USD!$A:$AL,35,FALSE)*88)/88*20</f>
        <v>12.587317427197677</v>
      </c>
      <c r="AJ214" s="87">
        <f>(VLOOKUP($A:$A,USD!$A:$AL,36,FALSE)*88)/88*20</f>
        <v>6.7351999999999999</v>
      </c>
      <c r="AL214" s="68">
        <f t="shared" si="32"/>
        <v>55.109957923065444</v>
      </c>
      <c r="AM214" s="87">
        <f>(VLOOKUP($A:$A,USD!$A:$AR,39,FALSE)*88)/88*20</f>
        <v>79.999999999999986</v>
      </c>
      <c r="AN214" s="68">
        <f>(VLOOKUP($A:$A,USD!$A:$AR,40,FALSE)*88)/88*20</f>
        <v>26.17808219178082</v>
      </c>
      <c r="AO214" s="1">
        <f>(VLOOKUP($A:$A,USD!$A:$AR,41,FALSE)*88)/88*20</f>
        <v>0</v>
      </c>
      <c r="AR214" s="1">
        <f t="shared" si="33"/>
        <v>106.1780821917808</v>
      </c>
      <c r="AS214" s="38">
        <f t="shared" si="34"/>
        <v>944.28197950878564</v>
      </c>
      <c r="AT214" s="38">
        <f t="shared" si="35"/>
        <v>1371.2819795087855</v>
      </c>
      <c r="AW214" s="1">
        <f>(VLOOKUP(A:A,USD!A:AT,46,FALSE)*88)/88*20</f>
        <v>579.85</v>
      </c>
      <c r="AX214" s="1">
        <f>(VLOOKUP(A:A,USD!A:AU,47,FALSE)*88)/88*20</f>
        <v>522.38636363636363</v>
      </c>
    </row>
    <row r="215" spans="1:50" hidden="1">
      <c r="A215" s="1">
        <v>152705</v>
      </c>
      <c r="B215" s="1" t="s">
        <v>516</v>
      </c>
      <c r="C215" s="1" t="s">
        <v>517</v>
      </c>
      <c r="D215" s="1" t="s">
        <v>149</v>
      </c>
      <c r="E215" s="1" t="str">
        <f>VLOOKUP(A:A,USD!A:E,5,FALSE)</f>
        <v>Memphis Rule 5</v>
      </c>
      <c r="F215" s="1" t="str">
        <f>VLOOKUP(A:A,USD!A:F,6,FALSE)</f>
        <v>MR5</v>
      </c>
      <c r="G215" s="1" t="str">
        <f>VLOOKUP(A:A,'Regions and Ports'!A:G,7,FALSE)</f>
        <v>Memphis</v>
      </c>
      <c r="H215" s="1">
        <f>VLOOKUP(A:A,USD!A:R,8,FALSE)</f>
        <v>1</v>
      </c>
      <c r="I215" s="87">
        <f>(VLOOKUP($A:$A,USD!$A:$AL,9,FALSE)*88)/88*20</f>
        <v>20</v>
      </c>
      <c r="J215" s="87">
        <f>(VLOOKUP($A:$A,USD!$A:$AL,10,FALSE)*88)/88*20</f>
        <v>390</v>
      </c>
      <c r="K215" s="87">
        <f>(VLOOKUP($A:$A,USD!$A:$AL,11,FALSE)*88)/88*20</f>
        <v>0</v>
      </c>
      <c r="L215" s="87">
        <f>(VLOOKUP($A:$A,USD!$A:$AL,12,FALSE)*88)/88*20</f>
        <v>0</v>
      </c>
      <c r="M215" s="87">
        <f>(VLOOKUP($A:$A,USD!$A:$AL,13,FALSE)*88)/88*20</f>
        <v>10</v>
      </c>
      <c r="N215" s="87">
        <f>(VLOOKUP($A:$A,USD!$A:$AL,14,FALSE)*88)/88*20</f>
        <v>70</v>
      </c>
      <c r="O215" s="68">
        <f>(VLOOKUP($A:$A,USD!$A:$AL,15,FALSE)*88)/88*20</f>
        <v>37.916666666666671</v>
      </c>
      <c r="P215" s="87">
        <f>(VLOOKUP($A:$A,USD!$A:$AL,16,FALSE)*88)/88*20</f>
        <v>0</v>
      </c>
      <c r="Q215" s="68">
        <f t="shared" si="27"/>
        <v>527.91666666666663</v>
      </c>
      <c r="R215" s="68">
        <f t="shared" si="28"/>
        <v>107.91666666666667</v>
      </c>
      <c r="S215" s="68">
        <f>(VLOOKUP($A:$A,USD!$A:$AL,19,FALSE)*88)/88*20</f>
        <v>0</v>
      </c>
      <c r="T215" s="68">
        <f>(VLOOKUP($A:$A,USD!$A:$AL,20,FALSE)*88)/88*20</f>
        <v>0</v>
      </c>
      <c r="U215" s="68">
        <f>(VLOOKUP($A:$A,USD!$A:$AL,21,FALSE)*88)/88*20</f>
        <v>176.70454545454547</v>
      </c>
      <c r="V215" s="68"/>
      <c r="W215" s="68">
        <f t="shared" si="29"/>
        <v>176.70454545454547</v>
      </c>
      <c r="X215" s="1">
        <f>(VLOOKUP($A:$A,USD!$A:$AL,24,FALSE)*88)/88*20</f>
        <v>50</v>
      </c>
      <c r="Y215" s="68">
        <f>(VLOOKUP($A:$A,USD!$A:$AL,25,FALSE)*88)/88*20</f>
        <v>33.6</v>
      </c>
      <c r="Z215" s="68">
        <f>(VLOOKUP($A:$A,USD!$A:$AL,26,FALSE)*88)/88*20</f>
        <v>26.25</v>
      </c>
      <c r="AB215" s="68">
        <f t="shared" si="30"/>
        <v>109.85</v>
      </c>
      <c r="AC215" s="68">
        <f>(VLOOKUP($A:$A,USD!$A:$AL,29,FALSE)*88)/88*20</f>
        <v>146.02272727272725</v>
      </c>
      <c r="AD215" s="68">
        <f>(VLOOKUP($A:$A,USD!$A:$AL,30,FALSE)*88)/88*20</f>
        <v>182.72727272727275</v>
      </c>
      <c r="AF215" s="68">
        <f t="shared" si="31"/>
        <v>328.75</v>
      </c>
      <c r="AG215" s="87">
        <f>(VLOOKUP($A:$A,USD!$A:$AL,33,FALSE)*88)/88*20</f>
        <v>28.814300000000003</v>
      </c>
      <c r="AH215" s="68">
        <f>(VLOOKUP($A:$A,USD!$A:$AL,34,FALSE)*88)/88*20</f>
        <v>6.973140495867769</v>
      </c>
      <c r="AI215" s="87">
        <f>(VLOOKUP($A:$A,USD!$A:$AL,35,FALSE)*88)/88*20</f>
        <v>12.587317427197677</v>
      </c>
      <c r="AJ215" s="87">
        <f>(VLOOKUP($A:$A,USD!$A:$AL,36,FALSE)*88)/88*20</f>
        <v>6.7351999999999999</v>
      </c>
      <c r="AL215" s="68">
        <f t="shared" si="32"/>
        <v>55.109957923065444</v>
      </c>
      <c r="AM215" s="87">
        <f>(VLOOKUP($A:$A,USD!$A:$AR,39,FALSE)*88)/88*20</f>
        <v>79.999999999999986</v>
      </c>
      <c r="AN215" s="68">
        <f>(VLOOKUP($A:$A,USD!$A:$AR,40,FALSE)*88)/88*20</f>
        <v>26.17808219178082</v>
      </c>
      <c r="AO215" s="1">
        <f>(VLOOKUP($A:$A,USD!$A:$AR,41,FALSE)*88)/88*20</f>
        <v>0</v>
      </c>
      <c r="AR215" s="1">
        <f t="shared" si="33"/>
        <v>106.1780821917808</v>
      </c>
      <c r="AS215" s="38">
        <f t="shared" si="34"/>
        <v>884.50925223605839</v>
      </c>
      <c r="AT215" s="38">
        <f t="shared" si="35"/>
        <v>1304.5092522360583</v>
      </c>
      <c r="AW215" s="1" t="e">
        <f>(VLOOKUP(A:A,USD!A:AT,46,FALSE)*88)/88*20</f>
        <v>#N/A</v>
      </c>
      <c r="AX215" s="1">
        <f>(VLOOKUP(A:A,USD!A:AU,47,FALSE)*88)/88*20</f>
        <v>468.18181818181819</v>
      </c>
    </row>
    <row r="216" spans="1:50" hidden="1">
      <c r="A216" s="1">
        <v>729020</v>
      </c>
      <c r="B216" s="1" t="s">
        <v>518</v>
      </c>
      <c r="C216" s="1" t="s">
        <v>519</v>
      </c>
      <c r="D216" s="1" t="s">
        <v>132</v>
      </c>
      <c r="E216" s="1" t="str">
        <f>VLOOKUP(A:A,USD!A:E,5,FALSE)</f>
        <v>Eastern Rule 5</v>
      </c>
      <c r="F216" s="1" t="str">
        <f>VLOOKUP(A:A,USD!A:F,6,FALSE)</f>
        <v>ER5</v>
      </c>
      <c r="G216" s="1" t="str">
        <f>VLOOKUP(A:A,'Regions and Ports'!A:G,7,FALSE)</f>
        <v>Savannah</v>
      </c>
      <c r="H216" s="1">
        <f>VLOOKUP(A:A,USD!A:R,8,FALSE)</f>
        <v>1</v>
      </c>
      <c r="I216" s="87">
        <f>(VLOOKUP($A:$A,USD!$A:$AL,9,FALSE)*88)/88*20</f>
        <v>78</v>
      </c>
      <c r="J216" s="87">
        <f>(VLOOKUP($A:$A,USD!$A:$AL,10,FALSE)*88)/88*20</f>
        <v>87</v>
      </c>
      <c r="K216" s="87">
        <f>(VLOOKUP($A:$A,USD!$A:$AL,11,FALSE)*88)/88*20</f>
        <v>0</v>
      </c>
      <c r="L216" s="87">
        <f>(VLOOKUP($A:$A,USD!$A:$AL,12,FALSE)*88)/88*20</f>
        <v>0</v>
      </c>
      <c r="M216" s="87">
        <f>(VLOOKUP($A:$A,USD!$A:$AL,13,FALSE)*88)/88*20</f>
        <v>25</v>
      </c>
      <c r="N216" s="87">
        <f>(VLOOKUP($A:$A,USD!$A:$AL,14,FALSE)*88)/88*20</f>
        <v>59</v>
      </c>
      <c r="O216" s="68">
        <f>(VLOOKUP($A:$A,USD!$A:$AL,15,FALSE)*88)/88*20</f>
        <v>37.916666666666671</v>
      </c>
      <c r="P216" s="87">
        <f>(VLOOKUP($A:$A,USD!$A:$AL,16,FALSE)*88)/88*20</f>
        <v>0</v>
      </c>
      <c r="Q216" s="68">
        <f t="shared" si="27"/>
        <v>286.91666666666669</v>
      </c>
      <c r="R216" s="68">
        <f t="shared" si="28"/>
        <v>96.916666666666671</v>
      </c>
      <c r="S216" s="68">
        <f>(VLOOKUP($A:$A,USD!$A:$AL,19,FALSE)*88)/88*20</f>
        <v>0</v>
      </c>
      <c r="T216" s="68">
        <f>(VLOOKUP($A:$A,USD!$A:$AL,20,FALSE)*88)/88*20</f>
        <v>0</v>
      </c>
      <c r="U216" s="68">
        <f>(VLOOKUP($A:$A,USD!$A:$AL,21,FALSE)*88)/88*20</f>
        <v>191.10795454545453</v>
      </c>
      <c r="V216" s="68"/>
      <c r="W216" s="68">
        <f t="shared" si="29"/>
        <v>191.10795454545453</v>
      </c>
      <c r="X216" s="1">
        <f>(VLOOKUP($A:$A,USD!$A:$AL,24,FALSE)*88)/88*20</f>
        <v>52</v>
      </c>
      <c r="Y216" s="68">
        <f>(VLOOKUP($A:$A,USD!$A:$AL,25,FALSE)*88)/88*20</f>
        <v>50.4</v>
      </c>
      <c r="Z216" s="68">
        <f>(VLOOKUP($A:$A,USD!$A:$AL,26,FALSE)*88)/88*20</f>
        <v>26.25</v>
      </c>
      <c r="AB216" s="68">
        <f t="shared" si="30"/>
        <v>128.65</v>
      </c>
      <c r="AC216" s="68">
        <f>(VLOOKUP($A:$A,USD!$A:$AL,29,FALSE)*88)/88*20</f>
        <v>110.22727272727273</v>
      </c>
      <c r="AD216" s="68">
        <f>(VLOOKUP($A:$A,USD!$A:$AL,30,FALSE)*88)/88*20</f>
        <v>107.04545454545455</v>
      </c>
      <c r="AF216" s="68">
        <f t="shared" si="31"/>
        <v>217.27272727272728</v>
      </c>
      <c r="AG216" s="87">
        <f>(VLOOKUP($A:$A,USD!$A:$AL,33,FALSE)*88)/88*20</f>
        <v>28.814300000000003</v>
      </c>
      <c r="AH216" s="68">
        <f>(VLOOKUP($A:$A,USD!$A:$AL,34,FALSE)*88)/88*20</f>
        <v>6.973140495867769</v>
      </c>
      <c r="AI216" s="87">
        <f>(VLOOKUP($A:$A,USD!$A:$AL,35,FALSE)*88)/88*20</f>
        <v>12.587317427197677</v>
      </c>
      <c r="AJ216" s="87">
        <f>(VLOOKUP($A:$A,USD!$A:$AL,36,FALSE)*88)/88*20</f>
        <v>6.7351999999999999</v>
      </c>
      <c r="AL216" s="68">
        <f t="shared" si="32"/>
        <v>55.109957923065444</v>
      </c>
      <c r="AM216" s="87">
        <f>(VLOOKUP($A:$A,USD!$A:$AR,39,FALSE)*88)/88*20</f>
        <v>79.999999999999986</v>
      </c>
      <c r="AN216" s="68">
        <f>(VLOOKUP($A:$A,USD!$A:$AR,40,FALSE)*88)/88*20</f>
        <v>26.17808219178082</v>
      </c>
      <c r="AO216" s="1">
        <f>(VLOOKUP($A:$A,USD!$A:$AR,41,FALSE)*88)/88*20</f>
        <v>0</v>
      </c>
      <c r="AR216" s="1">
        <f t="shared" si="33"/>
        <v>106.1780821917808</v>
      </c>
      <c r="AS216" s="38">
        <f t="shared" si="34"/>
        <v>795.23538859969472</v>
      </c>
      <c r="AT216" s="38">
        <f t="shared" si="35"/>
        <v>985.23538859969472</v>
      </c>
      <c r="AW216" s="1" t="e">
        <f>(VLOOKUP(A:A,USD!A:AT,46,FALSE)*88)/88*20</f>
        <v>#N/A</v>
      </c>
      <c r="AX216" s="1">
        <f>(VLOOKUP(A:A,USD!A:AU,47,FALSE)*88)/88*20</f>
        <v>198.86363636363637</v>
      </c>
    </row>
    <row r="217" spans="1:50" hidden="1">
      <c r="A217" s="1">
        <v>153005</v>
      </c>
      <c r="B217" s="1" t="s">
        <v>521</v>
      </c>
      <c r="C217" s="1" t="s">
        <v>522</v>
      </c>
      <c r="D217" s="1" t="s">
        <v>149</v>
      </c>
      <c r="E217" s="1" t="str">
        <f>VLOOKUP(A:A,USD!A:E,5,FALSE)</f>
        <v>Memphis Rule 5</v>
      </c>
      <c r="F217" s="1" t="str">
        <f>VLOOKUP(A:A,USD!A:F,6,FALSE)</f>
        <v>MR5</v>
      </c>
      <c r="G217" s="1" t="str">
        <f>VLOOKUP(A:A,'Regions and Ports'!A:G,7,FALSE)</f>
        <v>Memphis</v>
      </c>
      <c r="H217" s="1">
        <f>VLOOKUP(A:A,USD!A:R,8,FALSE)</f>
        <v>1</v>
      </c>
      <c r="I217" s="87">
        <f>(VLOOKUP($A:$A,USD!$A:$AL,9,FALSE)*88)/88*20</f>
        <v>35</v>
      </c>
      <c r="J217" s="87">
        <f>(VLOOKUP($A:$A,USD!$A:$AL,10,FALSE)*88)/88*20</f>
        <v>365</v>
      </c>
      <c r="K217" s="87">
        <f>(VLOOKUP($A:$A,USD!$A:$AL,11,FALSE)*88)/88*20</f>
        <v>0</v>
      </c>
      <c r="L217" s="87">
        <f>(VLOOKUP($A:$A,USD!$A:$AL,12,FALSE)*88)/88*20</f>
        <v>61</v>
      </c>
      <c r="M217" s="87">
        <f>(VLOOKUP($A:$A,USD!$A:$AL,13,FALSE)*88)/88*20</f>
        <v>0</v>
      </c>
      <c r="N217" s="87">
        <f>(VLOOKUP($A:$A,USD!$A:$AL,14,FALSE)*88)/88*20</f>
        <v>70</v>
      </c>
      <c r="O217" s="68">
        <f>(VLOOKUP($A:$A,USD!$A:$AL,15,FALSE)*88)/88*20</f>
        <v>37.916666666666671</v>
      </c>
      <c r="P217" s="87">
        <f>(VLOOKUP($A:$A,USD!$A:$AL,16,FALSE)*88)/88*20</f>
        <v>0</v>
      </c>
      <c r="Q217" s="68">
        <f t="shared" si="27"/>
        <v>568.91666666666663</v>
      </c>
      <c r="R217" s="68">
        <f t="shared" si="28"/>
        <v>107.91666666666667</v>
      </c>
      <c r="S217" s="68">
        <f>(VLOOKUP($A:$A,USD!$A:$AL,19,FALSE)*88)/88*20</f>
        <v>0</v>
      </c>
      <c r="T217" s="68">
        <f>(VLOOKUP($A:$A,USD!$A:$AL,20,FALSE)*88)/88*20</f>
        <v>0</v>
      </c>
      <c r="U217" s="68">
        <f>(VLOOKUP($A:$A,USD!$A:$AL,21,FALSE)*88)/88*20</f>
        <v>173.29545454545453</v>
      </c>
      <c r="V217" s="68"/>
      <c r="W217" s="68">
        <f t="shared" si="29"/>
        <v>173.29545454545453</v>
      </c>
      <c r="X217" s="1">
        <f>(VLOOKUP($A:$A,USD!$A:$AL,24,FALSE)*88)/88*20</f>
        <v>50</v>
      </c>
      <c r="Y217" s="68">
        <f>(VLOOKUP($A:$A,USD!$A:$AL,25,FALSE)*88)/88*20</f>
        <v>33.6</v>
      </c>
      <c r="Z217" s="68">
        <f>(VLOOKUP($A:$A,USD!$A:$AL,26,FALSE)*88)/88*20</f>
        <v>26.25</v>
      </c>
      <c r="AB217" s="68">
        <f t="shared" si="30"/>
        <v>109.85</v>
      </c>
      <c r="AC217" s="68">
        <f>(VLOOKUP($A:$A,USD!$A:$AL,29,FALSE)*88)/88*20</f>
        <v>146.02272727272725</v>
      </c>
      <c r="AD217" s="68">
        <f>(VLOOKUP($A:$A,USD!$A:$AL,30,FALSE)*88)/88*20</f>
        <v>182.72727272727275</v>
      </c>
      <c r="AF217" s="68">
        <f t="shared" si="31"/>
        <v>328.75</v>
      </c>
      <c r="AG217" s="87">
        <f>(VLOOKUP($A:$A,USD!$A:$AL,33,FALSE)*88)/88*20</f>
        <v>28.814300000000003</v>
      </c>
      <c r="AH217" s="68">
        <f>(VLOOKUP($A:$A,USD!$A:$AL,34,FALSE)*88)/88*20</f>
        <v>6.973140495867769</v>
      </c>
      <c r="AI217" s="87">
        <f>(VLOOKUP($A:$A,USD!$A:$AL,35,FALSE)*88)/88*20</f>
        <v>12.587317427197677</v>
      </c>
      <c r="AJ217" s="87">
        <f>(VLOOKUP($A:$A,USD!$A:$AL,36,FALSE)*88)/88*20</f>
        <v>6.7351999999999999</v>
      </c>
      <c r="AL217" s="68">
        <f t="shared" si="32"/>
        <v>55.109957923065444</v>
      </c>
      <c r="AM217" s="87">
        <f>(VLOOKUP($A:$A,USD!$A:$AR,39,FALSE)*88)/88*20</f>
        <v>79.999999999999986</v>
      </c>
      <c r="AN217" s="68">
        <f>(VLOOKUP($A:$A,USD!$A:$AR,40,FALSE)*88)/88*20</f>
        <v>26.17808219178082</v>
      </c>
      <c r="AO217" s="1">
        <f>(VLOOKUP($A:$A,USD!$A:$AR,41,FALSE)*88)/88*20</f>
        <v>0</v>
      </c>
      <c r="AR217" s="1">
        <f t="shared" si="33"/>
        <v>106.1780821917808</v>
      </c>
      <c r="AS217" s="38">
        <f t="shared" si="34"/>
        <v>881.1001613269674</v>
      </c>
      <c r="AT217" s="38">
        <f t="shared" si="35"/>
        <v>1342.1001613269673</v>
      </c>
      <c r="AW217" s="1" t="e">
        <f>(VLOOKUP(A:A,USD!A:AT,46,FALSE)*88)/88*20</f>
        <v>#N/A</v>
      </c>
      <c r="AX217" s="1">
        <f>(VLOOKUP(A:A,USD!A:AU,47,FALSE)*88)/88*20</f>
        <v>481.81818181818181</v>
      </c>
    </row>
    <row r="218" spans="1:50" hidden="1">
      <c r="A218" s="1">
        <v>156006</v>
      </c>
      <c r="B218" s="1" t="s">
        <v>523</v>
      </c>
      <c r="C218" s="1" t="s">
        <v>522</v>
      </c>
      <c r="D218" s="1" t="s">
        <v>149</v>
      </c>
      <c r="E218" s="1" t="str">
        <f>VLOOKUP(A:A,USD!A:E,5,FALSE)</f>
        <v>Memphis Rule 5</v>
      </c>
      <c r="F218" s="1" t="str">
        <f>VLOOKUP(A:A,USD!A:F,6,FALSE)</f>
        <v>MR5</v>
      </c>
      <c r="G218" s="1" t="str">
        <f>VLOOKUP(A:A,'Regions and Ports'!A:G,7,FALSE)</f>
        <v>Memphis</v>
      </c>
      <c r="H218" s="1">
        <f>VLOOKUP(A:A,USD!A:R,8,FALSE)</f>
        <v>1</v>
      </c>
      <c r="I218" s="87">
        <f>(VLOOKUP($A:$A,USD!$A:$AL,9,FALSE)*88)/88*20</f>
        <v>35</v>
      </c>
      <c r="J218" s="87">
        <f>(VLOOKUP($A:$A,USD!$A:$AL,10,FALSE)*88)/88*20</f>
        <v>365</v>
      </c>
      <c r="K218" s="87">
        <f>(VLOOKUP($A:$A,USD!$A:$AL,11,FALSE)*88)/88*20</f>
        <v>0</v>
      </c>
      <c r="L218" s="87">
        <f>(VLOOKUP($A:$A,USD!$A:$AL,12,FALSE)*88)/88*20</f>
        <v>61</v>
      </c>
      <c r="M218" s="87">
        <f>(VLOOKUP($A:$A,USD!$A:$AL,13,FALSE)*88)/88*20</f>
        <v>0</v>
      </c>
      <c r="N218" s="87">
        <f>(VLOOKUP($A:$A,USD!$A:$AL,14,FALSE)*88)/88*20</f>
        <v>70</v>
      </c>
      <c r="O218" s="68">
        <f>(VLOOKUP($A:$A,USD!$A:$AL,15,FALSE)*88)/88*20</f>
        <v>37.916666666666671</v>
      </c>
      <c r="P218" s="87">
        <f>(VLOOKUP($A:$A,USD!$A:$AL,16,FALSE)*88)/88*20</f>
        <v>0</v>
      </c>
      <c r="Q218" s="68">
        <f t="shared" si="27"/>
        <v>568.91666666666663</v>
      </c>
      <c r="R218" s="68">
        <f t="shared" si="28"/>
        <v>107.91666666666667</v>
      </c>
      <c r="S218" s="68">
        <f>(VLOOKUP($A:$A,USD!$A:$AL,19,FALSE)*88)/88*20</f>
        <v>0</v>
      </c>
      <c r="T218" s="68">
        <f>(VLOOKUP($A:$A,USD!$A:$AL,20,FALSE)*88)/88*20</f>
        <v>0</v>
      </c>
      <c r="U218" s="68">
        <f>(VLOOKUP($A:$A,USD!$A:$AL,21,FALSE)*88)/88*20</f>
        <v>173.29545454545453</v>
      </c>
      <c r="V218" s="68"/>
      <c r="W218" s="68">
        <f t="shared" si="29"/>
        <v>173.29545454545453</v>
      </c>
      <c r="X218" s="1">
        <f>(VLOOKUP($A:$A,USD!$A:$AL,24,FALSE)*88)/88*20</f>
        <v>50</v>
      </c>
      <c r="Y218" s="68">
        <f>(VLOOKUP($A:$A,USD!$A:$AL,25,FALSE)*88)/88*20</f>
        <v>33.6</v>
      </c>
      <c r="Z218" s="68">
        <f>(VLOOKUP($A:$A,USD!$A:$AL,26,FALSE)*88)/88*20</f>
        <v>26.25</v>
      </c>
      <c r="AB218" s="68">
        <f t="shared" si="30"/>
        <v>109.85</v>
      </c>
      <c r="AC218" s="68">
        <f>(VLOOKUP($A:$A,USD!$A:$AL,29,FALSE)*88)/88*20</f>
        <v>146.02272727272725</v>
      </c>
      <c r="AD218" s="68">
        <f>(VLOOKUP($A:$A,USD!$A:$AL,30,FALSE)*88)/88*20</f>
        <v>182.72727272727275</v>
      </c>
      <c r="AF218" s="68">
        <f t="shared" si="31"/>
        <v>328.75</v>
      </c>
      <c r="AG218" s="87">
        <f>(VLOOKUP($A:$A,USD!$A:$AL,33,FALSE)*88)/88*20</f>
        <v>28.814300000000003</v>
      </c>
      <c r="AH218" s="68">
        <f>(VLOOKUP($A:$A,USD!$A:$AL,34,FALSE)*88)/88*20</f>
        <v>6.973140495867769</v>
      </c>
      <c r="AI218" s="87">
        <f>(VLOOKUP($A:$A,USD!$A:$AL,35,FALSE)*88)/88*20</f>
        <v>12.587317427197677</v>
      </c>
      <c r="AJ218" s="87">
        <f>(VLOOKUP($A:$A,USD!$A:$AL,36,FALSE)*88)/88*20</f>
        <v>6.7351999999999999</v>
      </c>
      <c r="AL218" s="68">
        <f t="shared" si="32"/>
        <v>55.109957923065444</v>
      </c>
      <c r="AM218" s="87">
        <f>(VLOOKUP($A:$A,USD!$A:$AR,39,FALSE)*88)/88*20</f>
        <v>79.999999999999986</v>
      </c>
      <c r="AN218" s="68">
        <f>(VLOOKUP($A:$A,USD!$A:$AR,40,FALSE)*88)/88*20</f>
        <v>26.17808219178082</v>
      </c>
      <c r="AO218" s="1">
        <f>(VLOOKUP($A:$A,USD!$A:$AR,41,FALSE)*88)/88*20</f>
        <v>0</v>
      </c>
      <c r="AR218" s="1">
        <f t="shared" si="33"/>
        <v>106.1780821917808</v>
      </c>
      <c r="AS218" s="38">
        <f t="shared" si="34"/>
        <v>881.1001613269674</v>
      </c>
      <c r="AT218" s="38">
        <f t="shared" si="35"/>
        <v>1342.1001613269673</v>
      </c>
      <c r="AW218" s="1" t="e">
        <f>(VLOOKUP(A:A,USD!A:AT,46,FALSE)*88)/88*20</f>
        <v>#N/A</v>
      </c>
      <c r="AX218" s="1">
        <f>(VLOOKUP(A:A,USD!A:AU,47,FALSE)*88)/88*20</f>
        <v>481.81818181818181</v>
      </c>
    </row>
    <row r="219" spans="1:50" hidden="1">
      <c r="A219" s="1">
        <v>794205</v>
      </c>
      <c r="B219" s="1" t="s">
        <v>524</v>
      </c>
      <c r="C219" s="1" t="s">
        <v>525</v>
      </c>
      <c r="D219" s="1" t="s">
        <v>168</v>
      </c>
      <c r="E219" s="1" t="str">
        <f>VLOOKUP(A:A,USD!A:E,5,FALSE)</f>
        <v>Memphis Rule 5</v>
      </c>
      <c r="F219" s="1" t="str">
        <f>VLOOKUP(A:A,USD!A:F,6,FALSE)</f>
        <v>MR5</v>
      </c>
      <c r="G219" s="1" t="str">
        <f>VLOOKUP(A:A,'Regions and Ports'!A:G,7,FALSE)</f>
        <v>Memphis</v>
      </c>
      <c r="H219" s="1">
        <f>VLOOKUP(A:A,USD!A:R,8,FALSE)</f>
        <v>1</v>
      </c>
      <c r="I219" s="87">
        <f>(VLOOKUP($A:$A,USD!$A:$AL,9,FALSE)*88)/88*20</f>
        <v>0</v>
      </c>
      <c r="J219" s="87">
        <f>(VLOOKUP($A:$A,USD!$A:$AL,10,FALSE)*88)/88*20</f>
        <v>275</v>
      </c>
      <c r="K219" s="87">
        <f>(VLOOKUP($A:$A,USD!$A:$AL,11,FALSE)*88)/88*20</f>
        <v>0</v>
      </c>
      <c r="L219" s="87">
        <f>(VLOOKUP($A:$A,USD!$A:$AL,12,FALSE)*88)/88*20</f>
        <v>61</v>
      </c>
      <c r="M219" s="87">
        <f>(VLOOKUP($A:$A,USD!$A:$AL,13,FALSE)*88)/88*20</f>
        <v>0</v>
      </c>
      <c r="N219" s="87">
        <f>(VLOOKUP($A:$A,USD!$A:$AL,14,FALSE)*88)/88*20</f>
        <v>75</v>
      </c>
      <c r="O219" s="68">
        <f>(VLOOKUP($A:$A,USD!$A:$AL,15,FALSE)*88)/88*20</f>
        <v>37.916666666666671</v>
      </c>
      <c r="P219" s="87">
        <f>(VLOOKUP($A:$A,USD!$A:$AL,16,FALSE)*88)/88*20</f>
        <v>0</v>
      </c>
      <c r="Q219" s="68">
        <f t="shared" si="27"/>
        <v>448.91666666666669</v>
      </c>
      <c r="R219" s="68">
        <f t="shared" si="28"/>
        <v>112.91666666666667</v>
      </c>
      <c r="S219" s="68">
        <f>(VLOOKUP($A:$A,USD!$A:$AL,19,FALSE)*88)/88*20</f>
        <v>0</v>
      </c>
      <c r="T219" s="68">
        <f>(VLOOKUP($A:$A,USD!$A:$AL,20,FALSE)*88)/88*20</f>
        <v>0</v>
      </c>
      <c r="U219" s="68">
        <f>(VLOOKUP($A:$A,USD!$A:$AL,21,FALSE)*88)/88*20</f>
        <v>190</v>
      </c>
      <c r="V219" s="68"/>
      <c r="W219" s="68">
        <f t="shared" si="29"/>
        <v>190</v>
      </c>
      <c r="X219" s="1">
        <f>(VLOOKUP($A:$A,USD!$A:$AL,24,FALSE)*88)/88*20</f>
        <v>50</v>
      </c>
      <c r="Y219" s="68">
        <f>(VLOOKUP($A:$A,USD!$A:$AL,25,FALSE)*88)/88*20</f>
        <v>33.6</v>
      </c>
      <c r="Z219" s="68">
        <f>(VLOOKUP($A:$A,USD!$A:$AL,26,FALSE)*88)/88*20</f>
        <v>26.25</v>
      </c>
      <c r="AB219" s="68">
        <f t="shared" si="30"/>
        <v>109.85</v>
      </c>
      <c r="AC219" s="68">
        <f>(VLOOKUP($A:$A,USD!$A:$AL,29,FALSE)*88)/88*20</f>
        <v>146.02272727272725</v>
      </c>
      <c r="AD219" s="68">
        <f>(VLOOKUP($A:$A,USD!$A:$AL,30,FALSE)*88)/88*20</f>
        <v>182.72727272727275</v>
      </c>
      <c r="AF219" s="68">
        <f t="shared" si="31"/>
        <v>328.75</v>
      </c>
      <c r="AG219" s="87">
        <f>(VLOOKUP($A:$A,USD!$A:$AL,33,FALSE)*88)/88*20</f>
        <v>28.814300000000003</v>
      </c>
      <c r="AH219" s="68">
        <f>(VLOOKUP($A:$A,USD!$A:$AL,34,FALSE)*88)/88*20</f>
        <v>6.973140495867769</v>
      </c>
      <c r="AI219" s="87">
        <f>(VLOOKUP($A:$A,USD!$A:$AL,35,FALSE)*88)/88*20</f>
        <v>12.587317427197677</v>
      </c>
      <c r="AJ219" s="87">
        <f>(VLOOKUP($A:$A,USD!$A:$AL,36,FALSE)*88)/88*20</f>
        <v>6.7351999999999999</v>
      </c>
      <c r="AL219" s="68">
        <f t="shared" si="32"/>
        <v>55.109957923065444</v>
      </c>
      <c r="AM219" s="87">
        <f>(VLOOKUP($A:$A,USD!$A:$AR,39,FALSE)*88)/88*20</f>
        <v>79.999999999999986</v>
      </c>
      <c r="AN219" s="68">
        <f>(VLOOKUP($A:$A,USD!$A:$AR,40,FALSE)*88)/88*20</f>
        <v>26.17808219178082</v>
      </c>
      <c r="AO219" s="1">
        <f>(VLOOKUP($A:$A,USD!$A:$AR,41,FALSE)*88)/88*20</f>
        <v>0</v>
      </c>
      <c r="AR219" s="1">
        <f t="shared" si="33"/>
        <v>106.1780821917808</v>
      </c>
      <c r="AS219" s="38">
        <f t="shared" si="34"/>
        <v>902.80470678151289</v>
      </c>
      <c r="AT219" s="38">
        <f t="shared" si="35"/>
        <v>1238.804706781513</v>
      </c>
      <c r="AW219" s="1">
        <f>(VLOOKUP(A:A,USD!A:AT,46,FALSE)*88)/88*20</f>
        <v>528.25681818181818</v>
      </c>
      <c r="AX219" s="1">
        <f>(VLOOKUP(A:A,USD!A:AU,47,FALSE)*88)/88*20</f>
        <v>417.0454545454545</v>
      </c>
    </row>
    <row r="220" spans="1:50">
      <c r="A220" s="1">
        <v>63010</v>
      </c>
      <c r="B220" s="1" t="s">
        <v>527</v>
      </c>
      <c r="C220" s="1" t="s">
        <v>528</v>
      </c>
      <c r="D220" s="1" t="s">
        <v>65</v>
      </c>
      <c r="E220" s="1" t="str">
        <f>VLOOKUP(A:A,USD!A:E,5,FALSE)</f>
        <v>Eastern Rule 5</v>
      </c>
      <c r="F220" s="1" t="str">
        <f>VLOOKUP(A:A,USD!A:F,6,FALSE)</f>
        <v>ER5</v>
      </c>
      <c r="G220" s="1" t="str">
        <f>VLOOKUP(A:A,'Regions and Ports'!A:G,7,FALSE)</f>
        <v>Savannah</v>
      </c>
      <c r="H220" s="1">
        <f>VLOOKUP(A:A,USD!A:R,8,FALSE)</f>
        <v>1</v>
      </c>
      <c r="I220" s="87">
        <f>(VLOOKUP($A:$A,USD!$A:$AL,9,FALSE)*88)/88*20</f>
        <v>75</v>
      </c>
      <c r="J220" s="87">
        <f>(VLOOKUP($A:$A,USD!$A:$AL,10,FALSE)*88)/88*20</f>
        <v>100</v>
      </c>
      <c r="K220" s="87">
        <f>(VLOOKUP($A:$A,USD!$A:$AL,11,FALSE)*88)/88*20</f>
        <v>0</v>
      </c>
      <c r="L220" s="87">
        <f>(VLOOKUP($A:$A,USD!$A:$AL,12,FALSE)*88)/88*20</f>
        <v>0</v>
      </c>
      <c r="M220" s="87">
        <f>(VLOOKUP($A:$A,USD!$A:$AL,13,FALSE)*88)/88*20</f>
        <v>0</v>
      </c>
      <c r="N220" s="87">
        <f>(VLOOKUP($A:$A,USD!$A:$AL,14,FALSE)*88)/88*20</f>
        <v>55</v>
      </c>
      <c r="O220" s="68">
        <f>(VLOOKUP($A:$A,USD!$A:$AL,15,FALSE)*88)/88*20</f>
        <v>37.916666666666671</v>
      </c>
      <c r="P220" s="87">
        <f>(VLOOKUP($A:$A,USD!$A:$AL,16,FALSE)*88)/88*20</f>
        <v>0</v>
      </c>
      <c r="Q220" s="68">
        <f t="shared" si="27"/>
        <v>267.91666666666669</v>
      </c>
      <c r="R220" s="68">
        <f t="shared" si="28"/>
        <v>92.916666666666671</v>
      </c>
      <c r="S220" s="68">
        <f>(VLOOKUP($A:$A,USD!$A:$AL,19,FALSE)*88)/88*20</f>
        <v>0</v>
      </c>
      <c r="T220" s="68">
        <f>(VLOOKUP($A:$A,USD!$A:$AL,20,FALSE)*88)/88*20</f>
        <v>0</v>
      </c>
      <c r="U220" s="68">
        <f>(VLOOKUP($A:$A,USD!$A:$AL,21,FALSE)*88)/88*20</f>
        <v>335.28011363636369</v>
      </c>
      <c r="V220" s="68"/>
      <c r="W220" s="68">
        <f t="shared" si="29"/>
        <v>335.28011363636369</v>
      </c>
      <c r="X220" s="1">
        <f>(VLOOKUP($A:$A,USD!$A:$AL,24,FALSE)*88)/88*20</f>
        <v>52</v>
      </c>
      <c r="Y220" s="68">
        <f>(VLOOKUP($A:$A,USD!$A:$AL,25,FALSE)*88)/88*20</f>
        <v>50.4</v>
      </c>
      <c r="Z220" s="68">
        <f>(VLOOKUP($A:$A,USD!$A:$AL,26,FALSE)*88)/88*20</f>
        <v>26.25</v>
      </c>
      <c r="AB220" s="68">
        <f t="shared" si="30"/>
        <v>128.65</v>
      </c>
      <c r="AC220" s="68">
        <f>(VLOOKUP($A:$A,USD!$A:$AL,29,FALSE)*88)/88*20</f>
        <v>110.22727272727273</v>
      </c>
      <c r="AD220" s="68">
        <f>(VLOOKUP($A:$A,USD!$A:$AL,30,FALSE)*88)/88*20</f>
        <v>107.04545454545455</v>
      </c>
      <c r="AF220" s="68">
        <f t="shared" si="31"/>
        <v>217.27272727272728</v>
      </c>
      <c r="AG220" s="87">
        <f>(VLOOKUP($A:$A,USD!$A:$AL,33,FALSE)*88)/88*20</f>
        <v>28.814300000000003</v>
      </c>
      <c r="AH220" s="68">
        <f>(VLOOKUP($A:$A,USD!$A:$AL,34,FALSE)*88)/88*20</f>
        <v>6.973140495867769</v>
      </c>
      <c r="AI220" s="87">
        <f>(VLOOKUP($A:$A,USD!$A:$AL,35,FALSE)*88)/88*20</f>
        <v>12.587317427197677</v>
      </c>
      <c r="AJ220" s="87">
        <f>(VLOOKUP($A:$A,USD!$A:$AL,36,FALSE)*88)/88*20</f>
        <v>6.7351999999999999</v>
      </c>
      <c r="AL220" s="68">
        <f t="shared" si="32"/>
        <v>55.109957923065444</v>
      </c>
      <c r="AM220" s="87">
        <f>(VLOOKUP($A:$A,USD!$A:$AR,39,FALSE)*88)/88*20</f>
        <v>79.999999999999986</v>
      </c>
      <c r="AN220" s="68">
        <f>(VLOOKUP($A:$A,USD!$A:$AR,40,FALSE)*88)/88*20</f>
        <v>26.17808219178082</v>
      </c>
      <c r="AO220" s="1">
        <f>(VLOOKUP($A:$A,USD!$A:$AR,41,FALSE)*88)/88*20</f>
        <v>0</v>
      </c>
      <c r="AR220" s="1">
        <f t="shared" si="33"/>
        <v>106.1780821917808</v>
      </c>
      <c r="AS220" s="38">
        <f t="shared" si="34"/>
        <v>935.40754769060391</v>
      </c>
      <c r="AT220" s="38">
        <f t="shared" si="35"/>
        <v>1110.4075476906039</v>
      </c>
      <c r="AW220" s="1" t="e">
        <f>(VLOOKUP(A:A,USD!A:AT,46,FALSE)*88)/88*20</f>
        <v>#N/A</v>
      </c>
      <c r="AX220" s="1">
        <f>(VLOOKUP(A:A,USD!A:AU,47,FALSE)*88)/88*20</f>
        <v>374.43181818181819</v>
      </c>
    </row>
    <row r="221" spans="1:50" hidden="1">
      <c r="A221" s="1">
        <v>178580</v>
      </c>
      <c r="B221" s="1" t="s">
        <v>530</v>
      </c>
      <c r="C221" s="1" t="s">
        <v>531</v>
      </c>
      <c r="D221" s="1" t="s">
        <v>108</v>
      </c>
      <c r="E221" s="1" t="str">
        <f>VLOOKUP(A:A,USD!A:E,5,FALSE)</f>
        <v>Southwest</v>
      </c>
      <c r="F221" s="1">
        <f>VLOOKUP(A:A,USD!A:F,6,FALSE)</f>
        <v>0</v>
      </c>
      <c r="G221" s="1" t="str">
        <f>VLOOKUP(A:A,'Regions and Ports'!A:G,7,FALSE)</f>
        <v>Los Angeles</v>
      </c>
      <c r="H221" s="1">
        <f>VLOOKUP(A:A,USD!A:R,8,FALSE)</f>
        <v>5</v>
      </c>
      <c r="I221" s="87">
        <f>(VLOOKUP($A:$A,USD!$A:$AL,9,FALSE)*88)/88*20</f>
        <v>0</v>
      </c>
      <c r="J221" s="87">
        <f>(VLOOKUP($A:$A,USD!$A:$AL,10,FALSE)*88)/88*20</f>
        <v>190</v>
      </c>
      <c r="K221" s="87">
        <f>(VLOOKUP($A:$A,USD!$A:$AL,11,FALSE)*88)/88*20</f>
        <v>0</v>
      </c>
      <c r="L221" s="87">
        <f>(VLOOKUP($A:$A,USD!$A:$AL,12,FALSE)*88)/88*20</f>
        <v>0</v>
      </c>
      <c r="M221" s="87">
        <f>(VLOOKUP($A:$A,USD!$A:$AL,13,FALSE)*88)/88*20</f>
        <v>10</v>
      </c>
      <c r="N221" s="87">
        <f>(VLOOKUP($A:$A,USD!$A:$AL,14,FALSE)*88)/88*20</f>
        <v>96</v>
      </c>
      <c r="O221" s="68">
        <f>(VLOOKUP($A:$A,USD!$A:$AL,15,FALSE)*88)/88*20</f>
        <v>37.916666666666671</v>
      </c>
      <c r="P221" s="87" t="e">
        <f>(VLOOKUP($A:$A,USD!$A:$AL,16,FALSE)*88)/88*20</f>
        <v>#N/A</v>
      </c>
      <c r="Q221" s="68" t="e">
        <f t="shared" si="27"/>
        <v>#N/A</v>
      </c>
      <c r="R221" s="68" t="e">
        <f t="shared" si="28"/>
        <v>#VALUE!</v>
      </c>
      <c r="S221" s="68">
        <f>(VLOOKUP($A:$A,USD!$A:$AL,19,FALSE)*88)/88*20</f>
        <v>0</v>
      </c>
      <c r="T221" s="68">
        <f>(VLOOKUP($A:$A,USD!$A:$AL,20,FALSE)*88)/88*20</f>
        <v>0</v>
      </c>
      <c r="U221" s="68" t="e">
        <f>(VLOOKUP($A:$A,USD!$A:$AL,21,FALSE)*88)/88*20</f>
        <v>#N/A</v>
      </c>
      <c r="V221" s="68"/>
      <c r="W221" s="68" t="e">
        <f t="shared" si="29"/>
        <v>#N/A</v>
      </c>
      <c r="X221" s="1" t="e">
        <f>(VLOOKUP($A:$A,USD!$A:$AL,24,FALSE)*88)/88*20</f>
        <v>#N/A</v>
      </c>
      <c r="Y221" s="68" t="e">
        <f>(VLOOKUP($A:$A,USD!$A:$AL,25,FALSE)*88)/88*20</f>
        <v>#N/A</v>
      </c>
      <c r="Z221" s="68">
        <f>(VLOOKUP($A:$A,USD!$A:$AL,26,FALSE)*88)/88*20</f>
        <v>26.25</v>
      </c>
      <c r="AB221" s="68" t="e">
        <f t="shared" si="30"/>
        <v>#N/A</v>
      </c>
      <c r="AC221" s="68" t="e">
        <f>(VLOOKUP($A:$A,USD!$A:$AL,29,FALSE)*88)/88*20</f>
        <v>#N/A</v>
      </c>
      <c r="AD221" s="68" t="e">
        <f>(VLOOKUP($A:$A,USD!$A:$AL,30,FALSE)*88)/88*20</f>
        <v>#N/A</v>
      </c>
      <c r="AF221" s="68" t="e">
        <f t="shared" si="31"/>
        <v>#N/A</v>
      </c>
      <c r="AG221" s="87">
        <f>(VLOOKUP($A:$A,USD!$A:$AL,33,FALSE)*88)/88*20</f>
        <v>28.814300000000003</v>
      </c>
      <c r="AH221" s="68">
        <f>(VLOOKUP($A:$A,USD!$A:$AL,34,FALSE)*88)/88*20</f>
        <v>6.973140495867769</v>
      </c>
      <c r="AI221" s="87">
        <f>(VLOOKUP($A:$A,USD!$A:$AL,35,FALSE)*88)/88*20</f>
        <v>12.587317427197677</v>
      </c>
      <c r="AJ221" s="87">
        <f>(VLOOKUP($A:$A,USD!$A:$AL,36,FALSE)*88)/88*20</f>
        <v>6.7351999999999999</v>
      </c>
      <c r="AL221" s="68">
        <f t="shared" si="32"/>
        <v>55.109957923065444</v>
      </c>
      <c r="AM221" s="87">
        <f>(VLOOKUP($A:$A,USD!$A:$AR,39,FALSE)*88)/88*20</f>
        <v>79.999999999999986</v>
      </c>
      <c r="AN221" s="68">
        <f>(VLOOKUP($A:$A,USD!$A:$AR,40,FALSE)*88)/88*20</f>
        <v>26.17808219178082</v>
      </c>
      <c r="AO221" s="1">
        <f>(VLOOKUP($A:$A,USD!$A:$AR,41,FALSE)*88)/88*20</f>
        <v>0</v>
      </c>
      <c r="AR221" s="1">
        <f t="shared" si="33"/>
        <v>106.1780821917808</v>
      </c>
      <c r="AS221" s="38" t="e">
        <f t="shared" si="34"/>
        <v>#VALUE!</v>
      </c>
      <c r="AT221" s="38" t="e">
        <f t="shared" si="35"/>
        <v>#N/A</v>
      </c>
      <c r="AW221" s="1" t="e">
        <f>(VLOOKUP(A:A,USD!A:AT,46,FALSE)*88)/88*20</f>
        <v>#N/A</v>
      </c>
      <c r="AX221" s="1" t="e">
        <f>(VLOOKUP(A:A,USD!A:AU,47,FALSE)*88)/88*20</f>
        <v>#N/A</v>
      </c>
    </row>
    <row r="222" spans="1:50" hidden="1">
      <c r="A222" s="1">
        <v>151005</v>
      </c>
      <c r="B222" s="1" t="s">
        <v>532</v>
      </c>
      <c r="C222" s="1" t="s">
        <v>533</v>
      </c>
      <c r="D222" s="1" t="s">
        <v>149</v>
      </c>
      <c r="E222" s="1" t="str">
        <f>VLOOKUP(A:A,USD!A:E,5,FALSE)</f>
        <v>Memphis Rule 5</v>
      </c>
      <c r="F222" s="1" t="str">
        <f>VLOOKUP(A:A,USD!A:F,6,FALSE)</f>
        <v>MR5</v>
      </c>
      <c r="G222" s="1" t="str">
        <f>VLOOKUP(A:A,'Regions and Ports'!A:G,7,FALSE)</f>
        <v>Memphis</v>
      </c>
      <c r="H222" s="1">
        <f>VLOOKUP(A:A,USD!A:R,8,FALSE)</f>
        <v>1</v>
      </c>
      <c r="I222" s="87">
        <f>(VLOOKUP($A:$A,USD!$A:$AL,9,FALSE)*88)/88*20</f>
        <v>54</v>
      </c>
      <c r="J222" s="87">
        <f>(VLOOKUP($A:$A,USD!$A:$AL,10,FALSE)*88)/88*20</f>
        <v>365</v>
      </c>
      <c r="K222" s="87">
        <f>(VLOOKUP($A:$A,USD!$A:$AL,11,FALSE)*88)/88*20</f>
        <v>0</v>
      </c>
      <c r="L222" s="87">
        <f>(VLOOKUP($A:$A,USD!$A:$AL,12,FALSE)*88)/88*20</f>
        <v>61</v>
      </c>
      <c r="M222" s="87">
        <f>(VLOOKUP($A:$A,USD!$A:$AL,13,FALSE)*88)/88*20</f>
        <v>10</v>
      </c>
      <c r="N222" s="87">
        <f>(VLOOKUP($A:$A,USD!$A:$AL,14,FALSE)*88)/88*20</f>
        <v>65</v>
      </c>
      <c r="O222" s="68">
        <f>(VLOOKUP($A:$A,USD!$A:$AL,15,FALSE)*88)/88*20</f>
        <v>37.916666666666671</v>
      </c>
      <c r="P222" s="87">
        <f>(VLOOKUP($A:$A,USD!$A:$AL,16,FALSE)*88)/88*20</f>
        <v>0</v>
      </c>
      <c r="Q222" s="68">
        <f t="shared" si="27"/>
        <v>592.91666666666663</v>
      </c>
      <c r="R222" s="68">
        <f t="shared" si="28"/>
        <v>102.91666666666667</v>
      </c>
      <c r="S222" s="68">
        <f>(VLOOKUP($A:$A,USD!$A:$AL,19,FALSE)*88)/88*20</f>
        <v>0</v>
      </c>
      <c r="T222" s="68">
        <f>(VLOOKUP($A:$A,USD!$A:$AL,20,FALSE)*88)/88*20</f>
        <v>0</v>
      </c>
      <c r="U222" s="68">
        <f>(VLOOKUP($A:$A,USD!$A:$AL,21,FALSE)*88)/88*20</f>
        <v>314.77272727272725</v>
      </c>
      <c r="V222" s="68"/>
      <c r="W222" s="68">
        <f t="shared" si="29"/>
        <v>314.77272727272725</v>
      </c>
      <c r="X222" s="1">
        <f>(VLOOKUP($A:$A,USD!$A:$AL,24,FALSE)*88)/88*20</f>
        <v>50</v>
      </c>
      <c r="Y222" s="68">
        <f>(VLOOKUP($A:$A,USD!$A:$AL,25,FALSE)*88)/88*20</f>
        <v>33.6</v>
      </c>
      <c r="Z222" s="68">
        <f>(VLOOKUP($A:$A,USD!$A:$AL,26,FALSE)*88)/88*20</f>
        <v>26.25</v>
      </c>
      <c r="AB222" s="68">
        <f t="shared" si="30"/>
        <v>109.85</v>
      </c>
      <c r="AC222" s="68">
        <f>(VLOOKUP($A:$A,USD!$A:$AL,29,FALSE)*88)/88*20</f>
        <v>146.02272727272725</v>
      </c>
      <c r="AD222" s="68">
        <f>(VLOOKUP($A:$A,USD!$A:$AL,30,FALSE)*88)/88*20</f>
        <v>182.72727272727275</v>
      </c>
      <c r="AF222" s="68">
        <f t="shared" si="31"/>
        <v>328.75</v>
      </c>
      <c r="AG222" s="87">
        <f>(VLOOKUP($A:$A,USD!$A:$AL,33,FALSE)*88)/88*20</f>
        <v>28.814300000000003</v>
      </c>
      <c r="AH222" s="68">
        <f>(VLOOKUP($A:$A,USD!$A:$AL,34,FALSE)*88)/88*20</f>
        <v>6.973140495867769</v>
      </c>
      <c r="AI222" s="87">
        <f>(VLOOKUP($A:$A,USD!$A:$AL,35,FALSE)*88)/88*20</f>
        <v>12.587317427197677</v>
      </c>
      <c r="AJ222" s="87">
        <f>(VLOOKUP($A:$A,USD!$A:$AL,36,FALSE)*88)/88*20</f>
        <v>6.7351999999999999</v>
      </c>
      <c r="AL222" s="68">
        <f t="shared" si="32"/>
        <v>55.109957923065444</v>
      </c>
      <c r="AM222" s="87">
        <f>(VLOOKUP($A:$A,USD!$A:$AR,39,FALSE)*88)/88*20</f>
        <v>79.999999999999986</v>
      </c>
      <c r="AN222" s="68">
        <f>(VLOOKUP($A:$A,USD!$A:$AR,40,FALSE)*88)/88*20</f>
        <v>26.17808219178082</v>
      </c>
      <c r="AO222" s="1">
        <f>(VLOOKUP($A:$A,USD!$A:$AR,41,FALSE)*88)/88*20</f>
        <v>0</v>
      </c>
      <c r="AR222" s="1">
        <f t="shared" si="33"/>
        <v>106.1780821917808</v>
      </c>
      <c r="AS222" s="38">
        <f t="shared" si="34"/>
        <v>1017.5774340542401</v>
      </c>
      <c r="AT222" s="38">
        <f t="shared" si="35"/>
        <v>1507.57743405424</v>
      </c>
      <c r="AW222" s="1" t="e">
        <f>(VLOOKUP(A:A,USD!A:AT,46,FALSE)*88)/88*20</f>
        <v>#N/A</v>
      </c>
      <c r="AX222" s="1">
        <f>(VLOOKUP(A:A,USD!A:AU,47,FALSE)*88)/88*20</f>
        <v>520.34090909090901</v>
      </c>
    </row>
    <row r="223" spans="1:50" hidden="1">
      <c r="A223" s="1">
        <v>297005</v>
      </c>
      <c r="B223" s="1" t="s">
        <v>534</v>
      </c>
      <c r="C223" s="1" t="s">
        <v>535</v>
      </c>
      <c r="D223" s="1" t="s">
        <v>76</v>
      </c>
      <c r="E223" s="1" t="str">
        <f>VLOOKUP(A:A,USD!A:E,5,FALSE)</f>
        <v>GA 30 Day</v>
      </c>
      <c r="F223" s="1" t="str">
        <f>VLOOKUP(A:A,USD!A:F,6,FALSE)</f>
        <v>ER5</v>
      </c>
      <c r="G223" s="1" t="str">
        <f>VLOOKUP(A:A,'Regions and Ports'!A:G,7,FALSE)</f>
        <v>Savannah</v>
      </c>
      <c r="H223" s="1">
        <f>VLOOKUP(A:A,USD!A:R,8,FALSE)</f>
        <v>4</v>
      </c>
      <c r="I223" s="87">
        <f>(VLOOKUP($A:$A,USD!$A:$AL,9,FALSE)*88)/88*20</f>
        <v>60</v>
      </c>
      <c r="J223" s="87">
        <f>(VLOOKUP($A:$A,USD!$A:$AL,10,FALSE)*88)/88*20</f>
        <v>100</v>
      </c>
      <c r="K223" s="87">
        <f>(VLOOKUP($A:$A,USD!$A:$AL,11,FALSE)*88)/88*20</f>
        <v>0</v>
      </c>
      <c r="L223" s="87">
        <f>(VLOOKUP($A:$A,USD!$A:$AL,12,FALSE)*88)/88*20</f>
        <v>0</v>
      </c>
      <c r="M223" s="87">
        <f>(VLOOKUP($A:$A,USD!$A:$AL,13,FALSE)*88)/88*20</f>
        <v>20</v>
      </c>
      <c r="N223" s="87">
        <f>(VLOOKUP($A:$A,USD!$A:$AL,14,FALSE)*88)/88*20</f>
        <v>60</v>
      </c>
      <c r="O223" s="68">
        <f>(VLOOKUP($A:$A,USD!$A:$AL,15,FALSE)*88)/88*20</f>
        <v>37.916666666666671</v>
      </c>
      <c r="P223" s="87">
        <f>(VLOOKUP($A:$A,USD!$A:$AL,16,FALSE)*88)/88*20</f>
        <v>0</v>
      </c>
      <c r="Q223" s="68">
        <f t="shared" si="27"/>
        <v>277.91666666666669</v>
      </c>
      <c r="R223" s="68">
        <f t="shared" si="28"/>
        <v>37.916666666666671</v>
      </c>
      <c r="S223" s="68">
        <f>(VLOOKUP($A:$A,USD!$A:$AL,19,FALSE)*88)/88*20</f>
        <v>0</v>
      </c>
      <c r="T223" s="68">
        <f>(VLOOKUP($A:$A,USD!$A:$AL,20,FALSE)*88)/88*20</f>
        <v>0</v>
      </c>
      <c r="U223" s="68">
        <f>(VLOOKUP($A:$A,USD!$A:$AL,21,FALSE)*88)/88*20</f>
        <v>231.64090909090908</v>
      </c>
      <c r="V223" s="68"/>
      <c r="W223" s="68">
        <f t="shared" si="29"/>
        <v>231.64090909090908</v>
      </c>
      <c r="X223" s="1">
        <f>(VLOOKUP($A:$A,USD!$A:$AL,24,FALSE)*88)/88*20</f>
        <v>52</v>
      </c>
      <c r="Y223" s="68">
        <f>(VLOOKUP($A:$A,USD!$A:$AL,25,FALSE)*88)/88*20</f>
        <v>50.4</v>
      </c>
      <c r="Z223" s="68">
        <f>(VLOOKUP($A:$A,USD!$A:$AL,26,FALSE)*88)/88*20</f>
        <v>26.25</v>
      </c>
      <c r="AB223" s="68">
        <f t="shared" si="30"/>
        <v>128.65</v>
      </c>
      <c r="AC223" s="68">
        <f>(VLOOKUP($A:$A,USD!$A:$AL,29,FALSE)*88)/88*20</f>
        <v>110.22727272727273</v>
      </c>
      <c r="AD223" s="68">
        <f>(VLOOKUP($A:$A,USD!$A:$AL,30,FALSE)*88)/88*20</f>
        <v>107.04545454545455</v>
      </c>
      <c r="AF223" s="68">
        <f t="shared" si="31"/>
        <v>217.27272727272728</v>
      </c>
      <c r="AG223" s="87">
        <f>(VLOOKUP($A:$A,USD!$A:$AL,33,FALSE)*88)/88*20</f>
        <v>28.814300000000003</v>
      </c>
      <c r="AH223" s="68">
        <f>(VLOOKUP($A:$A,USD!$A:$AL,34,FALSE)*88)/88*20</f>
        <v>6.973140495867769</v>
      </c>
      <c r="AI223" s="87">
        <f>(VLOOKUP($A:$A,USD!$A:$AL,35,FALSE)*88)/88*20</f>
        <v>12.587317427197677</v>
      </c>
      <c r="AJ223" s="87">
        <f>(VLOOKUP($A:$A,USD!$A:$AL,36,FALSE)*88)/88*20</f>
        <v>6.7351999999999999</v>
      </c>
      <c r="AL223" s="68">
        <f t="shared" si="32"/>
        <v>55.109957923065444</v>
      </c>
      <c r="AM223" s="87">
        <f>(VLOOKUP($A:$A,USD!$A:$AR,39,FALSE)*88)/88*20</f>
        <v>79.999999999999986</v>
      </c>
      <c r="AN223" s="68">
        <f>(VLOOKUP($A:$A,USD!$A:$AR,40,FALSE)*88)/88*20</f>
        <v>26.17808219178082</v>
      </c>
      <c r="AO223" s="1">
        <f>(VLOOKUP($A:$A,USD!$A:$AR,41,FALSE)*88)/88*20</f>
        <v>0</v>
      </c>
      <c r="AR223" s="1">
        <f t="shared" si="33"/>
        <v>106.1780821917808</v>
      </c>
      <c r="AS223" s="38">
        <f t="shared" si="34"/>
        <v>776.76834314514929</v>
      </c>
      <c r="AT223" s="38">
        <f t="shared" si="35"/>
        <v>1016.7683431451493</v>
      </c>
      <c r="AW223" s="1">
        <f>(VLOOKUP(A:A,USD!A:AT,46,FALSE)*88)/88*20</f>
        <v>459.35909090909087</v>
      </c>
      <c r="AX223" s="1">
        <f>(VLOOKUP(A:A,USD!A:AU,47,FALSE)*88)/88*20</f>
        <v>338.63636363636368</v>
      </c>
    </row>
    <row r="224" spans="1:50" hidden="1">
      <c r="A224" s="1">
        <v>793960</v>
      </c>
      <c r="B224" s="1" t="s">
        <v>536</v>
      </c>
      <c r="C224" s="1" t="s">
        <v>537</v>
      </c>
      <c r="D224" s="1" t="s">
        <v>168</v>
      </c>
      <c r="E224" s="1" t="str">
        <f>VLOOKUP(A:A,USD!A:E,5,FALSE)</f>
        <v>Memphis Rule 5</v>
      </c>
      <c r="F224" s="1" t="str">
        <f>VLOOKUP(A:A,USD!A:F,6,FALSE)</f>
        <v>MR5</v>
      </c>
      <c r="G224" s="1" t="str">
        <f>VLOOKUP(A:A,'Regions and Ports'!A:G,7,FALSE)</f>
        <v>Memphis</v>
      </c>
      <c r="H224" s="1">
        <f>VLOOKUP(A:A,USD!A:R,8,FALSE)</f>
        <v>1</v>
      </c>
      <c r="I224" s="87">
        <f>(VLOOKUP($A:$A,USD!$A:$AL,9,FALSE)*88)/88*20</f>
        <v>45</v>
      </c>
      <c r="J224" s="87">
        <f>(VLOOKUP($A:$A,USD!$A:$AL,10,FALSE)*88)/88*20</f>
        <v>110</v>
      </c>
      <c r="K224" s="87">
        <f>(VLOOKUP($A:$A,USD!$A:$AL,11,FALSE)*88)/88*20</f>
        <v>0</v>
      </c>
      <c r="L224" s="87">
        <f>(VLOOKUP($A:$A,USD!$A:$AL,12,FALSE)*88)/88*20</f>
        <v>0</v>
      </c>
      <c r="M224" s="87">
        <f>(VLOOKUP($A:$A,USD!$A:$AL,13,FALSE)*88)/88*20</f>
        <v>0</v>
      </c>
      <c r="N224" s="87">
        <f>(VLOOKUP($A:$A,USD!$A:$AL,14,FALSE)*88)/88*20</f>
        <v>80</v>
      </c>
      <c r="O224" s="68">
        <f>(VLOOKUP($A:$A,USD!$A:$AL,15,FALSE)*88)/88*20</f>
        <v>37.916666666666671</v>
      </c>
      <c r="P224" s="87">
        <f>(VLOOKUP($A:$A,USD!$A:$AL,16,FALSE)*88)/88*20</f>
        <v>0</v>
      </c>
      <c r="Q224" s="68">
        <f t="shared" si="27"/>
        <v>272.91666666666669</v>
      </c>
      <c r="R224" s="68">
        <f t="shared" si="28"/>
        <v>117.91666666666667</v>
      </c>
      <c r="S224" s="68">
        <f>(VLOOKUP($A:$A,USD!$A:$AL,19,FALSE)*88)/88*20</f>
        <v>0</v>
      </c>
      <c r="T224" s="68">
        <f>(VLOOKUP($A:$A,USD!$A:$AL,20,FALSE)*88)/88*20</f>
        <v>0</v>
      </c>
      <c r="U224" s="68">
        <f>(VLOOKUP($A:$A,USD!$A:$AL,21,FALSE)*88)/88*20</f>
        <v>121.13636363636363</v>
      </c>
      <c r="V224" s="68"/>
      <c r="W224" s="68">
        <f t="shared" si="29"/>
        <v>121.13636363636363</v>
      </c>
      <c r="X224" s="1">
        <f>(VLOOKUP($A:$A,USD!$A:$AL,24,FALSE)*88)/88*20</f>
        <v>50</v>
      </c>
      <c r="Y224" s="68">
        <f>(VLOOKUP($A:$A,USD!$A:$AL,25,FALSE)*88)/88*20</f>
        <v>33.6</v>
      </c>
      <c r="Z224" s="68">
        <f>(VLOOKUP($A:$A,USD!$A:$AL,26,FALSE)*88)/88*20</f>
        <v>26.25</v>
      </c>
      <c r="AB224" s="68">
        <f t="shared" si="30"/>
        <v>109.85</v>
      </c>
      <c r="AC224" s="68">
        <f>(VLOOKUP($A:$A,USD!$A:$AL,29,FALSE)*88)/88*20</f>
        <v>146.02272727272725</v>
      </c>
      <c r="AD224" s="68">
        <f>(VLOOKUP($A:$A,USD!$A:$AL,30,FALSE)*88)/88*20</f>
        <v>182.72727272727275</v>
      </c>
      <c r="AF224" s="68">
        <f t="shared" si="31"/>
        <v>328.75</v>
      </c>
      <c r="AG224" s="87">
        <f>(VLOOKUP($A:$A,USD!$A:$AL,33,FALSE)*88)/88*20</f>
        <v>28.814300000000003</v>
      </c>
      <c r="AH224" s="68">
        <f>(VLOOKUP($A:$A,USD!$A:$AL,34,FALSE)*88)/88*20</f>
        <v>6.973140495867769</v>
      </c>
      <c r="AI224" s="87">
        <f>(VLOOKUP($A:$A,USD!$A:$AL,35,FALSE)*88)/88*20</f>
        <v>12.587317427197677</v>
      </c>
      <c r="AJ224" s="87">
        <f>(VLOOKUP($A:$A,USD!$A:$AL,36,FALSE)*88)/88*20</f>
        <v>6.7351999999999999</v>
      </c>
      <c r="AL224" s="68">
        <f t="shared" si="32"/>
        <v>55.109957923065444</v>
      </c>
      <c r="AM224" s="87">
        <f>(VLOOKUP($A:$A,USD!$A:$AR,39,FALSE)*88)/88*20</f>
        <v>79.999999999999986</v>
      </c>
      <c r="AN224" s="68">
        <f>(VLOOKUP($A:$A,USD!$A:$AR,40,FALSE)*88)/88*20</f>
        <v>26.17808219178082</v>
      </c>
      <c r="AO224" s="1">
        <f>(VLOOKUP($A:$A,USD!$A:$AR,41,FALSE)*88)/88*20</f>
        <v>0</v>
      </c>
      <c r="AR224" s="1">
        <f t="shared" si="33"/>
        <v>106.1780821917808</v>
      </c>
      <c r="AS224" s="38">
        <f t="shared" si="34"/>
        <v>838.94107041787652</v>
      </c>
      <c r="AT224" s="38">
        <f t="shared" si="35"/>
        <v>993.94107041787652</v>
      </c>
      <c r="AW224" s="1">
        <f>(VLOOKUP(A:A,USD!A:AT,46,FALSE)*88)/88*20</f>
        <v>520.56590909090903</v>
      </c>
      <c r="AX224" s="1">
        <f>(VLOOKUP(A:A,USD!A:AU,47,FALSE)*88)/88*20</f>
        <v>437.5</v>
      </c>
    </row>
    <row r="225" spans="1:50" hidden="1">
      <c r="A225" s="1">
        <v>793961</v>
      </c>
      <c r="B225" s="1" t="s">
        <v>539</v>
      </c>
      <c r="C225" s="1" t="s">
        <v>537</v>
      </c>
      <c r="D225" s="1" t="s">
        <v>168</v>
      </c>
      <c r="E225" s="1" t="str">
        <f>VLOOKUP(A:A,USD!A:E,5,FALSE)</f>
        <v>Memphis Rule 5</v>
      </c>
      <c r="F225" s="1" t="str">
        <f>VLOOKUP(A:A,USD!A:F,6,FALSE)</f>
        <v>MR5</v>
      </c>
      <c r="G225" s="1" t="str">
        <f>VLOOKUP(A:A,'Regions and Ports'!A:G,7,FALSE)</f>
        <v>Memphis</v>
      </c>
      <c r="H225" s="1">
        <f>VLOOKUP(A:A,USD!A:R,8,FALSE)</f>
        <v>1</v>
      </c>
      <c r="I225" s="87">
        <f>(VLOOKUP($A:$A,USD!$A:$AL,9,FALSE)*88)/88*20</f>
        <v>49</v>
      </c>
      <c r="J225" s="87">
        <f>(VLOOKUP($A:$A,USD!$A:$AL,10,FALSE)*88)/88*20</f>
        <v>275</v>
      </c>
      <c r="K225" s="87">
        <f>(VLOOKUP($A:$A,USD!$A:$AL,11,FALSE)*88)/88*20</f>
        <v>160</v>
      </c>
      <c r="L225" s="87">
        <f>(VLOOKUP($A:$A,USD!$A:$AL,12,FALSE)*88)/88*20</f>
        <v>60</v>
      </c>
      <c r="M225" s="87">
        <f>(VLOOKUP($A:$A,USD!$A:$AL,13,FALSE)*88)/88*20</f>
        <v>10</v>
      </c>
      <c r="N225" s="87">
        <f>(VLOOKUP($A:$A,USD!$A:$AL,14,FALSE)*88)/88*20</f>
        <v>80</v>
      </c>
      <c r="O225" s="68">
        <f>(VLOOKUP($A:$A,USD!$A:$AL,15,FALSE)*88)/88*20</f>
        <v>37.916666666666671</v>
      </c>
      <c r="P225" s="87">
        <f>(VLOOKUP($A:$A,USD!$A:$AL,16,FALSE)*88)/88*20</f>
        <v>0</v>
      </c>
      <c r="Q225" s="68">
        <f t="shared" si="27"/>
        <v>671.91666666666663</v>
      </c>
      <c r="R225" s="68">
        <f t="shared" si="28"/>
        <v>117.91666666666667</v>
      </c>
      <c r="S225" s="68">
        <f>(VLOOKUP($A:$A,USD!$A:$AL,19,FALSE)*88)/88*20</f>
        <v>0</v>
      </c>
      <c r="T225" s="68">
        <f>(VLOOKUP($A:$A,USD!$A:$AL,20,FALSE)*88)/88*20</f>
        <v>0</v>
      </c>
      <c r="U225" s="68">
        <f>(VLOOKUP($A:$A,USD!$A:$AL,21,FALSE)*88)/88*20</f>
        <v>121.13636363636363</v>
      </c>
      <c r="V225" s="68"/>
      <c r="W225" s="68">
        <f t="shared" si="29"/>
        <v>121.13636363636363</v>
      </c>
      <c r="X225" s="1">
        <f>(VLOOKUP($A:$A,USD!$A:$AL,24,FALSE)*88)/88*20</f>
        <v>50</v>
      </c>
      <c r="Y225" s="68">
        <f>(VLOOKUP($A:$A,USD!$A:$AL,25,FALSE)*88)/88*20</f>
        <v>33.6</v>
      </c>
      <c r="Z225" s="68">
        <f>(VLOOKUP($A:$A,USD!$A:$AL,26,FALSE)*88)/88*20</f>
        <v>26.25</v>
      </c>
      <c r="AB225" s="68">
        <f t="shared" si="30"/>
        <v>109.85</v>
      </c>
      <c r="AC225" s="68">
        <f>(VLOOKUP($A:$A,USD!$A:$AL,29,FALSE)*88)/88*20</f>
        <v>146.02272727272725</v>
      </c>
      <c r="AD225" s="68">
        <f>(VLOOKUP($A:$A,USD!$A:$AL,30,FALSE)*88)/88*20</f>
        <v>182.72727272727275</v>
      </c>
      <c r="AF225" s="68">
        <f t="shared" si="31"/>
        <v>328.75</v>
      </c>
      <c r="AG225" s="87">
        <f>(VLOOKUP($A:$A,USD!$A:$AL,33,FALSE)*88)/88*20</f>
        <v>28.814300000000003</v>
      </c>
      <c r="AH225" s="68">
        <f>(VLOOKUP($A:$A,USD!$A:$AL,34,FALSE)*88)/88*20</f>
        <v>6.973140495867769</v>
      </c>
      <c r="AI225" s="87">
        <f>(VLOOKUP($A:$A,USD!$A:$AL,35,FALSE)*88)/88*20</f>
        <v>12.587317427197677</v>
      </c>
      <c r="AJ225" s="87">
        <f>(VLOOKUP($A:$A,USD!$A:$AL,36,FALSE)*88)/88*20</f>
        <v>6.7351999999999999</v>
      </c>
      <c r="AL225" s="68">
        <f t="shared" si="32"/>
        <v>55.109957923065444</v>
      </c>
      <c r="AM225" s="87">
        <f>(VLOOKUP($A:$A,USD!$A:$AR,39,FALSE)*88)/88*20</f>
        <v>79.999999999999986</v>
      </c>
      <c r="AN225" s="68">
        <f>(VLOOKUP($A:$A,USD!$A:$AR,40,FALSE)*88)/88*20</f>
        <v>26.17808219178082</v>
      </c>
      <c r="AO225" s="1">
        <f>(VLOOKUP($A:$A,USD!$A:$AR,41,FALSE)*88)/88*20</f>
        <v>0</v>
      </c>
      <c r="AR225" s="1">
        <f t="shared" si="33"/>
        <v>106.1780821917808</v>
      </c>
      <c r="AS225" s="38">
        <f t="shared" si="34"/>
        <v>838.94107041787652</v>
      </c>
      <c r="AT225" s="38">
        <f t="shared" si="35"/>
        <v>1392.9410704178765</v>
      </c>
      <c r="AW225" s="1">
        <f>(VLOOKUP(A:A,USD!A:AT,46,FALSE)*88)/88*20</f>
        <v>520.56590909090903</v>
      </c>
      <c r="AX225" s="1">
        <f>(VLOOKUP(A:A,USD!A:AU,47,FALSE)*88)/88*20</f>
        <v>437.5</v>
      </c>
    </row>
    <row r="226" spans="1:50" hidden="1">
      <c r="A226" s="1">
        <v>793962</v>
      </c>
      <c r="B226" s="1" t="s">
        <v>540</v>
      </c>
      <c r="C226" s="1" t="s">
        <v>537</v>
      </c>
      <c r="D226" s="1" t="s">
        <v>168</v>
      </c>
      <c r="E226" s="1" t="str">
        <f>VLOOKUP(A:A,USD!A:E,5,FALSE)</f>
        <v>Memphis Rule 5</v>
      </c>
      <c r="F226" s="1" t="str">
        <f>VLOOKUP(A:A,USD!A:F,6,FALSE)</f>
        <v>MR5</v>
      </c>
      <c r="G226" s="1" t="str">
        <f>VLOOKUP(A:A,'Regions and Ports'!A:G,7,FALSE)</f>
        <v>Memphis</v>
      </c>
      <c r="H226" s="1">
        <f>VLOOKUP(A:A,USD!A:R,8,FALSE)</f>
        <v>1</v>
      </c>
      <c r="I226" s="87">
        <f>(VLOOKUP($A:$A,USD!$A:$AL,9,FALSE)*88)/88*20</f>
        <v>49</v>
      </c>
      <c r="J226" s="87">
        <f>(VLOOKUP($A:$A,USD!$A:$AL,10,FALSE)*88)/88*20</f>
        <v>275</v>
      </c>
      <c r="K226" s="87">
        <f>(VLOOKUP($A:$A,USD!$A:$AL,11,FALSE)*88)/88*20</f>
        <v>160</v>
      </c>
      <c r="L226" s="87">
        <f>(VLOOKUP($A:$A,USD!$A:$AL,12,FALSE)*88)/88*20</f>
        <v>60</v>
      </c>
      <c r="M226" s="87">
        <f>(VLOOKUP($A:$A,USD!$A:$AL,13,FALSE)*88)/88*20</f>
        <v>10</v>
      </c>
      <c r="N226" s="87">
        <f>(VLOOKUP($A:$A,USD!$A:$AL,14,FALSE)*88)/88*20</f>
        <v>80</v>
      </c>
      <c r="O226" s="68">
        <f>(VLOOKUP($A:$A,USD!$A:$AL,15,FALSE)*88)/88*20</f>
        <v>37.916666666666671</v>
      </c>
      <c r="P226" s="87">
        <f>(VLOOKUP($A:$A,USD!$A:$AL,16,FALSE)*88)/88*20</f>
        <v>0</v>
      </c>
      <c r="Q226" s="68">
        <f t="shared" si="27"/>
        <v>671.91666666666663</v>
      </c>
      <c r="R226" s="68">
        <f t="shared" si="28"/>
        <v>117.91666666666667</v>
      </c>
      <c r="S226" s="68">
        <f>(VLOOKUP($A:$A,USD!$A:$AL,19,FALSE)*88)/88*20</f>
        <v>0</v>
      </c>
      <c r="T226" s="68">
        <f>(VLOOKUP($A:$A,USD!$A:$AL,20,FALSE)*88)/88*20</f>
        <v>0</v>
      </c>
      <c r="U226" s="68">
        <f>(VLOOKUP($A:$A,USD!$A:$AL,21,FALSE)*88)/88*20</f>
        <v>121.13636363636363</v>
      </c>
      <c r="V226" s="68"/>
      <c r="W226" s="68">
        <f t="shared" si="29"/>
        <v>121.13636363636363</v>
      </c>
      <c r="X226" s="1">
        <f>(VLOOKUP($A:$A,USD!$A:$AL,24,FALSE)*88)/88*20</f>
        <v>50</v>
      </c>
      <c r="Y226" s="68">
        <f>(VLOOKUP($A:$A,USD!$A:$AL,25,FALSE)*88)/88*20</f>
        <v>33.6</v>
      </c>
      <c r="Z226" s="68">
        <f>(VLOOKUP($A:$A,USD!$A:$AL,26,FALSE)*88)/88*20</f>
        <v>26.25</v>
      </c>
      <c r="AB226" s="68">
        <f t="shared" si="30"/>
        <v>109.85</v>
      </c>
      <c r="AC226" s="68">
        <f>(VLOOKUP($A:$A,USD!$A:$AL,29,FALSE)*88)/88*20</f>
        <v>146.02272727272725</v>
      </c>
      <c r="AD226" s="68">
        <f>(VLOOKUP($A:$A,USD!$A:$AL,30,FALSE)*88)/88*20</f>
        <v>182.72727272727275</v>
      </c>
      <c r="AF226" s="68">
        <f t="shared" si="31"/>
        <v>328.75</v>
      </c>
      <c r="AG226" s="87">
        <f>(VLOOKUP($A:$A,USD!$A:$AL,33,FALSE)*88)/88*20</f>
        <v>28.814300000000003</v>
      </c>
      <c r="AH226" s="68">
        <f>(VLOOKUP($A:$A,USD!$A:$AL,34,FALSE)*88)/88*20</f>
        <v>6.973140495867769</v>
      </c>
      <c r="AI226" s="87">
        <f>(VLOOKUP($A:$A,USD!$A:$AL,35,FALSE)*88)/88*20</f>
        <v>12.587317427197677</v>
      </c>
      <c r="AJ226" s="87">
        <f>(VLOOKUP($A:$A,USD!$A:$AL,36,FALSE)*88)/88*20</f>
        <v>6.7351999999999999</v>
      </c>
      <c r="AL226" s="68">
        <f t="shared" si="32"/>
        <v>55.109957923065444</v>
      </c>
      <c r="AM226" s="87">
        <f>(VLOOKUP($A:$A,USD!$A:$AR,39,FALSE)*88)/88*20</f>
        <v>79.999999999999986</v>
      </c>
      <c r="AN226" s="68">
        <f>(VLOOKUP($A:$A,USD!$A:$AR,40,FALSE)*88)/88*20</f>
        <v>26.17808219178082</v>
      </c>
      <c r="AO226" s="1">
        <f>(VLOOKUP($A:$A,USD!$A:$AR,41,FALSE)*88)/88*20</f>
        <v>0</v>
      </c>
      <c r="AR226" s="1">
        <f t="shared" si="33"/>
        <v>106.1780821917808</v>
      </c>
      <c r="AS226" s="38">
        <f t="shared" si="34"/>
        <v>838.94107041787652</v>
      </c>
      <c r="AT226" s="38">
        <f t="shared" si="35"/>
        <v>1392.9410704178765</v>
      </c>
      <c r="AW226" s="1">
        <f>(VLOOKUP(A:A,USD!A:AT,46,FALSE)*88)/88*20</f>
        <v>520.56590909090903</v>
      </c>
      <c r="AX226" s="1">
        <f>(VLOOKUP(A:A,USD!A:AU,47,FALSE)*88)/88*20</f>
        <v>437.5</v>
      </c>
    </row>
    <row r="227" spans="1:50" hidden="1">
      <c r="A227" s="1">
        <v>794505</v>
      </c>
      <c r="B227" s="1" t="s">
        <v>542</v>
      </c>
      <c r="C227" s="1" t="s">
        <v>537</v>
      </c>
      <c r="D227" s="1" t="s">
        <v>168</v>
      </c>
      <c r="E227" s="1" t="str">
        <f>VLOOKUP(A:A,USD!A:E,5,FALSE)</f>
        <v>Memphis Rule 5</v>
      </c>
      <c r="F227" s="1" t="str">
        <f>VLOOKUP(A:A,USD!A:F,6,FALSE)</f>
        <v>MR5</v>
      </c>
      <c r="G227" s="1" t="str">
        <f>VLOOKUP(A:A,'Regions and Ports'!A:G,7,FALSE)</f>
        <v>Memphis</v>
      </c>
      <c r="H227" s="1">
        <f>VLOOKUP(A:A,USD!A:R,8,FALSE)</f>
        <v>1</v>
      </c>
      <c r="I227" s="87">
        <f>(VLOOKUP($A:$A,USD!$A:$AL,9,FALSE)*88)/88*20</f>
        <v>45</v>
      </c>
      <c r="J227" s="87">
        <f>(VLOOKUP($A:$A,USD!$A:$AL,10,FALSE)*88)/88*20</f>
        <v>285</v>
      </c>
      <c r="K227" s="87">
        <f>(VLOOKUP($A:$A,USD!$A:$AL,11,FALSE)*88)/88*20</f>
        <v>0</v>
      </c>
      <c r="L227" s="87">
        <f>(VLOOKUP($A:$A,USD!$A:$AL,12,FALSE)*88)/88*20</f>
        <v>60</v>
      </c>
      <c r="M227" s="87">
        <f>(VLOOKUP($A:$A,USD!$A:$AL,13,FALSE)*88)/88*20</f>
        <v>0</v>
      </c>
      <c r="N227" s="87">
        <f>(VLOOKUP($A:$A,USD!$A:$AL,14,FALSE)*88)/88*20</f>
        <v>84</v>
      </c>
      <c r="O227" s="68">
        <f>(VLOOKUP($A:$A,USD!$A:$AL,15,FALSE)*88)/88*20</f>
        <v>37.916666666666671</v>
      </c>
      <c r="P227" s="87">
        <f>(VLOOKUP($A:$A,USD!$A:$AL,16,FALSE)*88)/88*20</f>
        <v>0</v>
      </c>
      <c r="Q227" s="68">
        <f t="shared" si="27"/>
        <v>511.91666666666669</v>
      </c>
      <c r="R227" s="68">
        <f t="shared" si="28"/>
        <v>121.91666666666667</v>
      </c>
      <c r="S227" s="68">
        <f>(VLOOKUP($A:$A,USD!$A:$AL,19,FALSE)*88)/88*20</f>
        <v>0</v>
      </c>
      <c r="T227" s="68">
        <f>(VLOOKUP($A:$A,USD!$A:$AL,20,FALSE)*88)/88*20</f>
        <v>0</v>
      </c>
      <c r="U227" s="68">
        <f>(VLOOKUP($A:$A,USD!$A:$AL,21,FALSE)*88)/88*20</f>
        <v>121.13636363636363</v>
      </c>
      <c r="V227" s="68"/>
      <c r="W227" s="68">
        <f t="shared" si="29"/>
        <v>121.13636363636363</v>
      </c>
      <c r="X227" s="1">
        <f>(VLOOKUP($A:$A,USD!$A:$AL,24,FALSE)*88)/88*20</f>
        <v>50</v>
      </c>
      <c r="Y227" s="68">
        <f>(VLOOKUP($A:$A,USD!$A:$AL,25,FALSE)*88)/88*20</f>
        <v>33.6</v>
      </c>
      <c r="Z227" s="68">
        <f>(VLOOKUP($A:$A,USD!$A:$AL,26,FALSE)*88)/88*20</f>
        <v>26.25</v>
      </c>
      <c r="AB227" s="68">
        <f t="shared" si="30"/>
        <v>109.85</v>
      </c>
      <c r="AC227" s="68">
        <f>(VLOOKUP($A:$A,USD!$A:$AL,29,FALSE)*88)/88*20</f>
        <v>146.02272727272725</v>
      </c>
      <c r="AD227" s="68">
        <f>(VLOOKUP($A:$A,USD!$A:$AL,30,FALSE)*88)/88*20</f>
        <v>182.72727272727275</v>
      </c>
      <c r="AF227" s="68">
        <f t="shared" si="31"/>
        <v>328.75</v>
      </c>
      <c r="AG227" s="87">
        <f>(VLOOKUP($A:$A,USD!$A:$AL,33,FALSE)*88)/88*20</f>
        <v>28.814300000000003</v>
      </c>
      <c r="AH227" s="68">
        <f>(VLOOKUP($A:$A,USD!$A:$AL,34,FALSE)*88)/88*20</f>
        <v>6.973140495867769</v>
      </c>
      <c r="AI227" s="87">
        <f>(VLOOKUP($A:$A,USD!$A:$AL,35,FALSE)*88)/88*20</f>
        <v>12.587317427197677</v>
      </c>
      <c r="AJ227" s="87">
        <f>(VLOOKUP($A:$A,USD!$A:$AL,36,FALSE)*88)/88*20</f>
        <v>6.7351999999999999</v>
      </c>
      <c r="AL227" s="68">
        <f t="shared" si="32"/>
        <v>55.109957923065444</v>
      </c>
      <c r="AM227" s="87">
        <f>(VLOOKUP($A:$A,USD!$A:$AR,39,FALSE)*88)/88*20</f>
        <v>79.999999999999986</v>
      </c>
      <c r="AN227" s="68">
        <f>(VLOOKUP($A:$A,USD!$A:$AR,40,FALSE)*88)/88*20</f>
        <v>26.17808219178082</v>
      </c>
      <c r="AO227" s="1">
        <f>(VLOOKUP($A:$A,USD!$A:$AR,41,FALSE)*88)/88*20</f>
        <v>0</v>
      </c>
      <c r="AR227" s="1">
        <f t="shared" si="33"/>
        <v>106.1780821917808</v>
      </c>
      <c r="AS227" s="38">
        <f t="shared" si="34"/>
        <v>842.94107041787652</v>
      </c>
      <c r="AT227" s="38">
        <f t="shared" si="35"/>
        <v>1232.9410704178765</v>
      </c>
      <c r="AW227" s="1">
        <f>(VLOOKUP(A:A,USD!A:AT,46,FALSE)*88)/88*20</f>
        <v>520.56590909090903</v>
      </c>
      <c r="AX227" s="1">
        <f>(VLOOKUP(A:A,USD!A:AU,47,FALSE)*88)/88*20</f>
        <v>437.5</v>
      </c>
    </row>
    <row r="228" spans="1:50" hidden="1">
      <c r="A228" s="1">
        <v>794540</v>
      </c>
      <c r="B228" s="1" t="s">
        <v>544</v>
      </c>
      <c r="C228" s="1" t="s">
        <v>537</v>
      </c>
      <c r="D228" s="1" t="s">
        <v>168</v>
      </c>
      <c r="E228" s="1" t="str">
        <f>VLOOKUP(A:A,USD!A:E,5,FALSE)</f>
        <v>Memphis Rule 5</v>
      </c>
      <c r="F228" s="1" t="str">
        <f>VLOOKUP(A:A,USD!A:F,6,FALSE)</f>
        <v>MR5</v>
      </c>
      <c r="G228" s="1" t="str">
        <f>VLOOKUP(A:A,'Regions and Ports'!A:G,7,FALSE)</f>
        <v>Memphis</v>
      </c>
      <c r="H228" s="1">
        <f>VLOOKUP(A:A,USD!A:R,8,FALSE)</f>
        <v>1</v>
      </c>
      <c r="I228" s="87">
        <f>(VLOOKUP($A:$A,USD!$A:$AL,9,FALSE)*88)/88*20</f>
        <v>55</v>
      </c>
      <c r="J228" s="87">
        <f>(VLOOKUP($A:$A,USD!$A:$AL,10,FALSE)*88)/88*20</f>
        <v>320</v>
      </c>
      <c r="K228" s="87">
        <f>(VLOOKUP($A:$A,USD!$A:$AL,11,FALSE)*88)/88*20</f>
        <v>0</v>
      </c>
      <c r="L228" s="87">
        <f>(VLOOKUP($A:$A,USD!$A:$AL,12,FALSE)*88)/88*20</f>
        <v>61</v>
      </c>
      <c r="M228" s="87">
        <f>(VLOOKUP($A:$A,USD!$A:$AL,13,FALSE)*88)/88*20</f>
        <v>10</v>
      </c>
      <c r="N228" s="87">
        <f>(VLOOKUP($A:$A,USD!$A:$AL,14,FALSE)*88)/88*20</f>
        <v>75</v>
      </c>
      <c r="O228" s="68">
        <f>(VLOOKUP($A:$A,USD!$A:$AL,15,FALSE)*88)/88*20</f>
        <v>37.916666666666671</v>
      </c>
      <c r="P228" s="87">
        <f>(VLOOKUP($A:$A,USD!$A:$AL,16,FALSE)*88)/88*20</f>
        <v>0</v>
      </c>
      <c r="Q228" s="68">
        <f t="shared" si="27"/>
        <v>558.91666666666663</v>
      </c>
      <c r="R228" s="68">
        <f t="shared" si="28"/>
        <v>112.91666666666667</v>
      </c>
      <c r="S228" s="68">
        <f>(VLOOKUP($A:$A,USD!$A:$AL,19,FALSE)*88)/88*20</f>
        <v>0</v>
      </c>
      <c r="T228" s="68">
        <f>(VLOOKUP($A:$A,USD!$A:$AL,20,FALSE)*88)/88*20</f>
        <v>0</v>
      </c>
      <c r="U228" s="68">
        <f>(VLOOKUP($A:$A,USD!$A:$AL,21,FALSE)*88)/88*20</f>
        <v>121.13636363636363</v>
      </c>
      <c r="V228" s="68"/>
      <c r="W228" s="68">
        <f t="shared" si="29"/>
        <v>121.13636363636363</v>
      </c>
      <c r="X228" s="1">
        <f>(VLOOKUP($A:$A,USD!$A:$AL,24,FALSE)*88)/88*20</f>
        <v>50</v>
      </c>
      <c r="Y228" s="68">
        <f>(VLOOKUP($A:$A,USD!$A:$AL,25,FALSE)*88)/88*20</f>
        <v>33.6</v>
      </c>
      <c r="Z228" s="68">
        <f>(VLOOKUP($A:$A,USD!$A:$AL,26,FALSE)*88)/88*20</f>
        <v>26.25</v>
      </c>
      <c r="AB228" s="68">
        <f t="shared" si="30"/>
        <v>109.85</v>
      </c>
      <c r="AC228" s="68">
        <f>(VLOOKUP($A:$A,USD!$A:$AL,29,FALSE)*88)/88*20</f>
        <v>146.02272727272725</v>
      </c>
      <c r="AD228" s="68">
        <f>(VLOOKUP($A:$A,USD!$A:$AL,30,FALSE)*88)/88*20</f>
        <v>182.72727272727275</v>
      </c>
      <c r="AF228" s="68">
        <f t="shared" si="31"/>
        <v>328.75</v>
      </c>
      <c r="AG228" s="87">
        <f>(VLOOKUP($A:$A,USD!$A:$AL,33,FALSE)*88)/88*20</f>
        <v>28.814300000000003</v>
      </c>
      <c r="AH228" s="68">
        <f>(VLOOKUP($A:$A,USD!$A:$AL,34,FALSE)*88)/88*20</f>
        <v>6.973140495867769</v>
      </c>
      <c r="AI228" s="87">
        <f>(VLOOKUP($A:$A,USD!$A:$AL,35,FALSE)*88)/88*20</f>
        <v>12.587317427197677</v>
      </c>
      <c r="AJ228" s="87">
        <f>(VLOOKUP($A:$A,USD!$A:$AL,36,FALSE)*88)/88*20</f>
        <v>6.7351999999999999</v>
      </c>
      <c r="AL228" s="68">
        <f t="shared" si="32"/>
        <v>55.109957923065444</v>
      </c>
      <c r="AM228" s="87">
        <f>(VLOOKUP($A:$A,USD!$A:$AR,39,FALSE)*88)/88*20</f>
        <v>79.999999999999986</v>
      </c>
      <c r="AN228" s="68">
        <f>(VLOOKUP($A:$A,USD!$A:$AR,40,FALSE)*88)/88*20</f>
        <v>26.17808219178082</v>
      </c>
      <c r="AO228" s="1">
        <f>(VLOOKUP($A:$A,USD!$A:$AR,41,FALSE)*88)/88*20</f>
        <v>0</v>
      </c>
      <c r="AR228" s="1">
        <f t="shared" si="33"/>
        <v>106.1780821917808</v>
      </c>
      <c r="AS228" s="38">
        <f t="shared" si="34"/>
        <v>833.94107041787652</v>
      </c>
      <c r="AT228" s="38">
        <f t="shared" si="35"/>
        <v>1279.9410704178765</v>
      </c>
      <c r="AW228" s="1">
        <f>(VLOOKUP(A:A,USD!A:AT,46,FALSE)*88)/88*20</f>
        <v>520.56590909090903</v>
      </c>
      <c r="AX228" s="1">
        <f>(VLOOKUP(A:A,USD!A:AU,47,FALSE)*88)/88*20</f>
        <v>437.5</v>
      </c>
    </row>
    <row r="229" spans="1:50" hidden="1">
      <c r="A229" s="1">
        <v>794550</v>
      </c>
      <c r="B229" s="1" t="s">
        <v>546</v>
      </c>
      <c r="C229" s="1" t="s">
        <v>537</v>
      </c>
      <c r="D229" s="1" t="s">
        <v>168</v>
      </c>
      <c r="E229" s="1" t="str">
        <f>VLOOKUP(A:A,USD!A:E,5,FALSE)</f>
        <v>Memphis Rule 5</v>
      </c>
      <c r="F229" s="1" t="str">
        <f>VLOOKUP(A:A,USD!A:F,6,FALSE)</f>
        <v>MR5</v>
      </c>
      <c r="G229" s="1" t="str">
        <f>VLOOKUP(A:A,'Regions and Ports'!A:G,7,FALSE)</f>
        <v>Memphis</v>
      </c>
      <c r="H229" s="1">
        <f>VLOOKUP(A:A,USD!A:R,8,FALSE)</f>
        <v>1</v>
      </c>
      <c r="I229" s="87">
        <f>(VLOOKUP($A:$A,USD!$A:$AL,9,FALSE)*88)/88*20</f>
        <v>55</v>
      </c>
      <c r="J229" s="87">
        <f>(VLOOKUP($A:$A,USD!$A:$AL,10,FALSE)*88)/88*20</f>
        <v>320</v>
      </c>
      <c r="K229" s="87">
        <f>(VLOOKUP($A:$A,USD!$A:$AL,11,FALSE)*88)/88*20</f>
        <v>0</v>
      </c>
      <c r="L229" s="87">
        <f>(VLOOKUP($A:$A,USD!$A:$AL,12,FALSE)*88)/88*20</f>
        <v>61</v>
      </c>
      <c r="M229" s="87">
        <f>(VLOOKUP($A:$A,USD!$A:$AL,13,FALSE)*88)/88*20</f>
        <v>10</v>
      </c>
      <c r="N229" s="87">
        <f>(VLOOKUP($A:$A,USD!$A:$AL,14,FALSE)*88)/88*20</f>
        <v>75</v>
      </c>
      <c r="O229" s="68">
        <f>(VLOOKUP($A:$A,USD!$A:$AL,15,FALSE)*88)/88*20</f>
        <v>37.916666666666671</v>
      </c>
      <c r="P229" s="87">
        <f>(VLOOKUP($A:$A,USD!$A:$AL,16,FALSE)*88)/88*20</f>
        <v>0</v>
      </c>
      <c r="Q229" s="68">
        <f t="shared" si="27"/>
        <v>558.91666666666663</v>
      </c>
      <c r="R229" s="68">
        <f t="shared" si="28"/>
        <v>112.91666666666667</v>
      </c>
      <c r="S229" s="68">
        <f>(VLOOKUP($A:$A,USD!$A:$AL,19,FALSE)*88)/88*20</f>
        <v>0</v>
      </c>
      <c r="T229" s="68">
        <f>(VLOOKUP($A:$A,USD!$A:$AL,20,FALSE)*88)/88*20</f>
        <v>0</v>
      </c>
      <c r="U229" s="68">
        <f>(VLOOKUP($A:$A,USD!$A:$AL,21,FALSE)*88)/88*20</f>
        <v>121.13636363636363</v>
      </c>
      <c r="V229" s="68"/>
      <c r="W229" s="68">
        <f t="shared" si="29"/>
        <v>121.13636363636363</v>
      </c>
      <c r="X229" s="1">
        <f>(VLOOKUP($A:$A,USD!$A:$AL,24,FALSE)*88)/88*20</f>
        <v>50</v>
      </c>
      <c r="Y229" s="68">
        <f>(VLOOKUP($A:$A,USD!$A:$AL,25,FALSE)*88)/88*20</f>
        <v>33.6</v>
      </c>
      <c r="Z229" s="68">
        <f>(VLOOKUP($A:$A,USD!$A:$AL,26,FALSE)*88)/88*20</f>
        <v>26.25</v>
      </c>
      <c r="AB229" s="68">
        <f t="shared" si="30"/>
        <v>109.85</v>
      </c>
      <c r="AC229" s="68">
        <f>(VLOOKUP($A:$A,USD!$A:$AL,29,FALSE)*88)/88*20</f>
        <v>146.02272727272725</v>
      </c>
      <c r="AD229" s="68">
        <f>(VLOOKUP($A:$A,USD!$A:$AL,30,FALSE)*88)/88*20</f>
        <v>182.72727272727275</v>
      </c>
      <c r="AF229" s="68">
        <f t="shared" si="31"/>
        <v>328.75</v>
      </c>
      <c r="AG229" s="87">
        <f>(VLOOKUP($A:$A,USD!$A:$AL,33,FALSE)*88)/88*20</f>
        <v>28.814300000000003</v>
      </c>
      <c r="AH229" s="68">
        <f>(VLOOKUP($A:$A,USD!$A:$AL,34,FALSE)*88)/88*20</f>
        <v>6.973140495867769</v>
      </c>
      <c r="AI229" s="87">
        <f>(VLOOKUP($A:$A,USD!$A:$AL,35,FALSE)*88)/88*20</f>
        <v>12.587317427197677</v>
      </c>
      <c r="AJ229" s="87">
        <f>(VLOOKUP($A:$A,USD!$A:$AL,36,FALSE)*88)/88*20</f>
        <v>6.7351999999999999</v>
      </c>
      <c r="AL229" s="68">
        <f t="shared" si="32"/>
        <v>55.109957923065444</v>
      </c>
      <c r="AM229" s="87">
        <f>(VLOOKUP($A:$A,USD!$A:$AR,39,FALSE)*88)/88*20</f>
        <v>79.999999999999986</v>
      </c>
      <c r="AN229" s="68">
        <f>(VLOOKUP($A:$A,USD!$A:$AR,40,FALSE)*88)/88*20</f>
        <v>26.17808219178082</v>
      </c>
      <c r="AO229" s="1">
        <f>(VLOOKUP($A:$A,USD!$A:$AR,41,FALSE)*88)/88*20</f>
        <v>0</v>
      </c>
      <c r="AR229" s="1">
        <f t="shared" si="33"/>
        <v>106.1780821917808</v>
      </c>
      <c r="AS229" s="38">
        <f t="shared" si="34"/>
        <v>833.94107041787652</v>
      </c>
      <c r="AT229" s="38">
        <f t="shared" si="35"/>
        <v>1279.9410704178765</v>
      </c>
      <c r="AW229" s="1">
        <f>(VLOOKUP(A:A,USD!A:AT,46,FALSE)*88)/88*20</f>
        <v>520.56590909090903</v>
      </c>
      <c r="AX229" s="1">
        <f>(VLOOKUP(A:A,USD!A:AU,47,FALSE)*88)/88*20</f>
        <v>437.5</v>
      </c>
    </row>
    <row r="230" spans="1:50" hidden="1">
      <c r="A230" s="1">
        <v>794553</v>
      </c>
      <c r="B230" s="1" t="s">
        <v>548</v>
      </c>
      <c r="C230" s="1" t="s">
        <v>537</v>
      </c>
      <c r="D230" s="1" t="s">
        <v>168</v>
      </c>
      <c r="E230" s="1" t="str">
        <f>VLOOKUP(A:A,USD!A:E,5,FALSE)</f>
        <v>Memphis Rule 5</v>
      </c>
      <c r="F230" s="1" t="str">
        <f>VLOOKUP(A:A,USD!A:F,6,FALSE)</f>
        <v>MR5</v>
      </c>
      <c r="G230" s="1" t="str">
        <f>VLOOKUP(A:A,'Regions and Ports'!A:G,7,FALSE)</f>
        <v>Memphis</v>
      </c>
      <c r="H230" s="1">
        <f>VLOOKUP(A:A,USD!A:R,8,FALSE)</f>
        <v>1</v>
      </c>
      <c r="I230" s="87">
        <f>(VLOOKUP($A:$A,USD!$A:$AL,9,FALSE)*88)/88*20</f>
        <v>55</v>
      </c>
      <c r="J230" s="87">
        <f>(VLOOKUP($A:$A,USD!$A:$AL,10,FALSE)*88)/88*20</f>
        <v>320</v>
      </c>
      <c r="K230" s="87">
        <f>(VLOOKUP($A:$A,USD!$A:$AL,11,FALSE)*88)/88*20</f>
        <v>0</v>
      </c>
      <c r="L230" s="87">
        <f>(VLOOKUP($A:$A,USD!$A:$AL,12,FALSE)*88)/88*20</f>
        <v>61</v>
      </c>
      <c r="M230" s="87">
        <f>(VLOOKUP($A:$A,USD!$A:$AL,13,FALSE)*88)/88*20</f>
        <v>10</v>
      </c>
      <c r="N230" s="87">
        <f>(VLOOKUP($A:$A,USD!$A:$AL,14,FALSE)*88)/88*20</f>
        <v>75</v>
      </c>
      <c r="O230" s="68">
        <f>(VLOOKUP($A:$A,USD!$A:$AL,15,FALSE)*88)/88*20</f>
        <v>37.916666666666671</v>
      </c>
      <c r="P230" s="87">
        <f>(VLOOKUP($A:$A,USD!$A:$AL,16,FALSE)*88)/88*20</f>
        <v>0</v>
      </c>
      <c r="Q230" s="68">
        <f t="shared" si="27"/>
        <v>558.91666666666663</v>
      </c>
      <c r="R230" s="68">
        <f t="shared" si="28"/>
        <v>112.91666666666667</v>
      </c>
      <c r="S230" s="68">
        <f>(VLOOKUP($A:$A,USD!$A:$AL,19,FALSE)*88)/88*20</f>
        <v>0</v>
      </c>
      <c r="T230" s="68">
        <f>(VLOOKUP($A:$A,USD!$A:$AL,20,FALSE)*88)/88*20</f>
        <v>0</v>
      </c>
      <c r="U230" s="68">
        <f>(VLOOKUP($A:$A,USD!$A:$AL,21,FALSE)*88)/88*20</f>
        <v>121.13636363636363</v>
      </c>
      <c r="V230" s="68"/>
      <c r="W230" s="68">
        <f t="shared" si="29"/>
        <v>121.13636363636363</v>
      </c>
      <c r="X230" s="1">
        <f>(VLOOKUP($A:$A,USD!$A:$AL,24,FALSE)*88)/88*20</f>
        <v>50</v>
      </c>
      <c r="Y230" s="68">
        <f>(VLOOKUP($A:$A,USD!$A:$AL,25,FALSE)*88)/88*20</f>
        <v>33.6</v>
      </c>
      <c r="Z230" s="68">
        <f>(VLOOKUP($A:$A,USD!$A:$AL,26,FALSE)*88)/88*20</f>
        <v>26.25</v>
      </c>
      <c r="AB230" s="68">
        <f t="shared" si="30"/>
        <v>109.85</v>
      </c>
      <c r="AC230" s="68">
        <f>(VLOOKUP($A:$A,USD!$A:$AL,29,FALSE)*88)/88*20</f>
        <v>146.02272727272725</v>
      </c>
      <c r="AD230" s="68">
        <f>(VLOOKUP($A:$A,USD!$A:$AL,30,FALSE)*88)/88*20</f>
        <v>182.72727272727275</v>
      </c>
      <c r="AF230" s="68">
        <f t="shared" si="31"/>
        <v>328.75</v>
      </c>
      <c r="AG230" s="87">
        <f>(VLOOKUP($A:$A,USD!$A:$AL,33,FALSE)*88)/88*20</f>
        <v>28.814300000000003</v>
      </c>
      <c r="AH230" s="68">
        <f>(VLOOKUP($A:$A,USD!$A:$AL,34,FALSE)*88)/88*20</f>
        <v>6.973140495867769</v>
      </c>
      <c r="AI230" s="87">
        <f>(VLOOKUP($A:$A,USD!$A:$AL,35,FALSE)*88)/88*20</f>
        <v>12.587317427197677</v>
      </c>
      <c r="AJ230" s="87">
        <f>(VLOOKUP($A:$A,USD!$A:$AL,36,FALSE)*88)/88*20</f>
        <v>6.7351999999999999</v>
      </c>
      <c r="AL230" s="68">
        <f t="shared" si="32"/>
        <v>55.109957923065444</v>
      </c>
      <c r="AM230" s="87">
        <f>(VLOOKUP($A:$A,USD!$A:$AR,39,FALSE)*88)/88*20</f>
        <v>79.999999999999986</v>
      </c>
      <c r="AN230" s="68">
        <f>(VLOOKUP($A:$A,USD!$A:$AR,40,FALSE)*88)/88*20</f>
        <v>26.17808219178082</v>
      </c>
      <c r="AO230" s="1">
        <f>(VLOOKUP($A:$A,USD!$A:$AR,41,FALSE)*88)/88*20</f>
        <v>0</v>
      </c>
      <c r="AR230" s="1">
        <f t="shared" si="33"/>
        <v>106.1780821917808</v>
      </c>
      <c r="AS230" s="38">
        <f t="shared" si="34"/>
        <v>833.94107041787652</v>
      </c>
      <c r="AT230" s="38">
        <f t="shared" si="35"/>
        <v>1279.9410704178765</v>
      </c>
      <c r="AW230" s="1">
        <f>(VLOOKUP(A:A,USD!A:AT,46,FALSE)*88)/88*20</f>
        <v>520.56590909090903</v>
      </c>
      <c r="AX230" s="1">
        <f>(VLOOKUP(A:A,USD!A:AU,47,FALSE)*88)/88*20</f>
        <v>437.5</v>
      </c>
    </row>
    <row r="231" spans="1:50" hidden="1">
      <c r="A231" s="1">
        <v>794555</v>
      </c>
      <c r="B231" s="1" t="s">
        <v>550</v>
      </c>
      <c r="C231" s="1" t="s">
        <v>537</v>
      </c>
      <c r="D231" s="1" t="s">
        <v>168</v>
      </c>
      <c r="E231" s="1" t="str">
        <f>VLOOKUP(A:A,USD!A:E,5,FALSE)</f>
        <v>Memphis Rule 5</v>
      </c>
      <c r="F231" s="1" t="str">
        <f>VLOOKUP(A:A,USD!A:F,6,FALSE)</f>
        <v>MR5</v>
      </c>
      <c r="G231" s="1" t="str">
        <f>VLOOKUP(A:A,'Regions and Ports'!A:G,7,FALSE)</f>
        <v>Memphis</v>
      </c>
      <c r="H231" s="1">
        <f>VLOOKUP(A:A,USD!A:R,8,FALSE)</f>
        <v>1</v>
      </c>
      <c r="I231" s="87">
        <f>(VLOOKUP($A:$A,USD!$A:$AL,9,FALSE)*88)/88*20</f>
        <v>55</v>
      </c>
      <c r="J231" s="87">
        <f>(VLOOKUP($A:$A,USD!$A:$AL,10,FALSE)*88)/88*20</f>
        <v>320</v>
      </c>
      <c r="K231" s="87">
        <f>(VLOOKUP($A:$A,USD!$A:$AL,11,FALSE)*88)/88*20</f>
        <v>0</v>
      </c>
      <c r="L231" s="87">
        <f>(VLOOKUP($A:$A,USD!$A:$AL,12,FALSE)*88)/88*20</f>
        <v>61</v>
      </c>
      <c r="M231" s="87">
        <f>(VLOOKUP($A:$A,USD!$A:$AL,13,FALSE)*88)/88*20</f>
        <v>10</v>
      </c>
      <c r="N231" s="87">
        <f>(VLOOKUP($A:$A,USD!$A:$AL,14,FALSE)*88)/88*20</f>
        <v>75</v>
      </c>
      <c r="O231" s="68">
        <f>(VLOOKUP($A:$A,USD!$A:$AL,15,FALSE)*88)/88*20</f>
        <v>37.916666666666671</v>
      </c>
      <c r="P231" s="87">
        <f>(VLOOKUP($A:$A,USD!$A:$AL,16,FALSE)*88)/88*20</f>
        <v>0</v>
      </c>
      <c r="Q231" s="68">
        <f t="shared" si="27"/>
        <v>558.91666666666663</v>
      </c>
      <c r="R231" s="68">
        <f t="shared" si="28"/>
        <v>112.91666666666667</v>
      </c>
      <c r="S231" s="68">
        <f>(VLOOKUP($A:$A,USD!$A:$AL,19,FALSE)*88)/88*20</f>
        <v>0</v>
      </c>
      <c r="T231" s="68">
        <f>(VLOOKUP($A:$A,USD!$A:$AL,20,FALSE)*88)/88*20</f>
        <v>0</v>
      </c>
      <c r="U231" s="68">
        <f>(VLOOKUP($A:$A,USD!$A:$AL,21,FALSE)*88)/88*20</f>
        <v>121.13636363636363</v>
      </c>
      <c r="V231" s="68"/>
      <c r="W231" s="68">
        <f t="shared" si="29"/>
        <v>121.13636363636363</v>
      </c>
      <c r="X231" s="1">
        <f>(VLOOKUP($A:$A,USD!$A:$AL,24,FALSE)*88)/88*20</f>
        <v>50</v>
      </c>
      <c r="Y231" s="68">
        <f>(VLOOKUP($A:$A,USD!$A:$AL,25,FALSE)*88)/88*20</f>
        <v>33.6</v>
      </c>
      <c r="Z231" s="68">
        <f>(VLOOKUP($A:$A,USD!$A:$AL,26,FALSE)*88)/88*20</f>
        <v>26.25</v>
      </c>
      <c r="AB231" s="68">
        <f t="shared" si="30"/>
        <v>109.85</v>
      </c>
      <c r="AC231" s="68">
        <f>(VLOOKUP($A:$A,USD!$A:$AL,29,FALSE)*88)/88*20</f>
        <v>146.02272727272725</v>
      </c>
      <c r="AD231" s="68">
        <f>(VLOOKUP($A:$A,USD!$A:$AL,30,FALSE)*88)/88*20</f>
        <v>182.72727272727275</v>
      </c>
      <c r="AF231" s="68">
        <f t="shared" si="31"/>
        <v>328.75</v>
      </c>
      <c r="AG231" s="87">
        <f>(VLOOKUP($A:$A,USD!$A:$AL,33,FALSE)*88)/88*20</f>
        <v>28.814300000000003</v>
      </c>
      <c r="AH231" s="68">
        <f>(VLOOKUP($A:$A,USD!$A:$AL,34,FALSE)*88)/88*20</f>
        <v>6.973140495867769</v>
      </c>
      <c r="AI231" s="87">
        <f>(VLOOKUP($A:$A,USD!$A:$AL,35,FALSE)*88)/88*20</f>
        <v>12.587317427197677</v>
      </c>
      <c r="AJ231" s="87">
        <f>(VLOOKUP($A:$A,USD!$A:$AL,36,FALSE)*88)/88*20</f>
        <v>6.7351999999999999</v>
      </c>
      <c r="AL231" s="68">
        <f t="shared" si="32"/>
        <v>55.109957923065444</v>
      </c>
      <c r="AM231" s="87">
        <f>(VLOOKUP($A:$A,USD!$A:$AR,39,FALSE)*88)/88*20</f>
        <v>79.999999999999986</v>
      </c>
      <c r="AN231" s="68">
        <f>(VLOOKUP($A:$A,USD!$A:$AR,40,FALSE)*88)/88*20</f>
        <v>26.17808219178082</v>
      </c>
      <c r="AO231" s="1">
        <f>(VLOOKUP($A:$A,USD!$A:$AR,41,FALSE)*88)/88*20</f>
        <v>0</v>
      </c>
      <c r="AR231" s="1">
        <f t="shared" si="33"/>
        <v>106.1780821917808</v>
      </c>
      <c r="AS231" s="38">
        <f t="shared" si="34"/>
        <v>833.94107041787652</v>
      </c>
      <c r="AT231" s="38">
        <f t="shared" si="35"/>
        <v>1279.9410704178765</v>
      </c>
      <c r="AW231" s="1">
        <f>(VLOOKUP(A:A,USD!A:AT,46,FALSE)*88)/88*20</f>
        <v>520.56590909090903</v>
      </c>
      <c r="AX231" s="1">
        <f>(VLOOKUP(A:A,USD!A:AU,47,FALSE)*88)/88*20</f>
        <v>437.5</v>
      </c>
    </row>
    <row r="232" spans="1:50" hidden="1">
      <c r="A232" s="1">
        <v>794560</v>
      </c>
      <c r="B232" s="1" t="s">
        <v>552</v>
      </c>
      <c r="C232" s="1" t="s">
        <v>537</v>
      </c>
      <c r="D232" s="1" t="s">
        <v>168</v>
      </c>
      <c r="E232" s="1" t="str">
        <f>VLOOKUP(A:A,USD!A:E,5,FALSE)</f>
        <v>Memphis Rule 5</v>
      </c>
      <c r="F232" s="1" t="str">
        <f>VLOOKUP(A:A,USD!A:F,6,FALSE)</f>
        <v>MR5</v>
      </c>
      <c r="G232" s="1" t="str">
        <f>VLOOKUP(A:A,'Regions and Ports'!A:G,7,FALSE)</f>
        <v>Memphis</v>
      </c>
      <c r="H232" s="1">
        <f>VLOOKUP(A:A,USD!A:R,8,FALSE)</f>
        <v>1</v>
      </c>
      <c r="I232" s="87">
        <f>(VLOOKUP($A:$A,USD!$A:$AL,9,FALSE)*88)/88*20</f>
        <v>55</v>
      </c>
      <c r="J232" s="87">
        <f>(VLOOKUP($A:$A,USD!$A:$AL,10,FALSE)*88)/88*20</f>
        <v>320</v>
      </c>
      <c r="K232" s="87">
        <f>(VLOOKUP($A:$A,USD!$A:$AL,11,FALSE)*88)/88*20</f>
        <v>0</v>
      </c>
      <c r="L232" s="87">
        <f>(VLOOKUP($A:$A,USD!$A:$AL,12,FALSE)*88)/88*20</f>
        <v>61</v>
      </c>
      <c r="M232" s="87">
        <f>(VLOOKUP($A:$A,USD!$A:$AL,13,FALSE)*88)/88*20</f>
        <v>10</v>
      </c>
      <c r="N232" s="87">
        <f>(VLOOKUP($A:$A,USD!$A:$AL,14,FALSE)*88)/88*20</f>
        <v>75</v>
      </c>
      <c r="O232" s="68">
        <f>(VLOOKUP($A:$A,USD!$A:$AL,15,FALSE)*88)/88*20</f>
        <v>37.916666666666671</v>
      </c>
      <c r="P232" s="87">
        <f>(VLOOKUP($A:$A,USD!$A:$AL,16,FALSE)*88)/88*20</f>
        <v>0</v>
      </c>
      <c r="Q232" s="68">
        <f t="shared" si="27"/>
        <v>558.91666666666663</v>
      </c>
      <c r="R232" s="68">
        <f t="shared" si="28"/>
        <v>112.91666666666667</v>
      </c>
      <c r="S232" s="68">
        <f>(VLOOKUP($A:$A,USD!$A:$AL,19,FALSE)*88)/88*20</f>
        <v>0</v>
      </c>
      <c r="T232" s="68">
        <f>(VLOOKUP($A:$A,USD!$A:$AL,20,FALSE)*88)/88*20</f>
        <v>0</v>
      </c>
      <c r="U232" s="68">
        <f>(VLOOKUP($A:$A,USD!$A:$AL,21,FALSE)*88)/88*20</f>
        <v>121.13636363636363</v>
      </c>
      <c r="V232" s="68"/>
      <c r="W232" s="68">
        <f t="shared" si="29"/>
        <v>121.13636363636363</v>
      </c>
      <c r="X232" s="1">
        <f>(VLOOKUP($A:$A,USD!$A:$AL,24,FALSE)*88)/88*20</f>
        <v>50</v>
      </c>
      <c r="Y232" s="68">
        <f>(VLOOKUP($A:$A,USD!$A:$AL,25,FALSE)*88)/88*20</f>
        <v>33.6</v>
      </c>
      <c r="Z232" s="68">
        <f>(VLOOKUP($A:$A,USD!$A:$AL,26,FALSE)*88)/88*20</f>
        <v>26.25</v>
      </c>
      <c r="AB232" s="68">
        <f t="shared" si="30"/>
        <v>109.85</v>
      </c>
      <c r="AC232" s="68">
        <f>(VLOOKUP($A:$A,USD!$A:$AL,29,FALSE)*88)/88*20</f>
        <v>146.02272727272725</v>
      </c>
      <c r="AD232" s="68">
        <f>(VLOOKUP($A:$A,USD!$A:$AL,30,FALSE)*88)/88*20</f>
        <v>182.72727272727275</v>
      </c>
      <c r="AF232" s="68">
        <f t="shared" si="31"/>
        <v>328.75</v>
      </c>
      <c r="AG232" s="87">
        <f>(VLOOKUP($A:$A,USD!$A:$AL,33,FALSE)*88)/88*20</f>
        <v>28.814300000000003</v>
      </c>
      <c r="AH232" s="68">
        <f>(VLOOKUP($A:$A,USD!$A:$AL,34,FALSE)*88)/88*20</f>
        <v>6.973140495867769</v>
      </c>
      <c r="AI232" s="87">
        <f>(VLOOKUP($A:$A,USD!$A:$AL,35,FALSE)*88)/88*20</f>
        <v>12.587317427197677</v>
      </c>
      <c r="AJ232" s="87">
        <f>(VLOOKUP($A:$A,USD!$A:$AL,36,FALSE)*88)/88*20</f>
        <v>6.7351999999999999</v>
      </c>
      <c r="AL232" s="68">
        <f t="shared" si="32"/>
        <v>55.109957923065444</v>
      </c>
      <c r="AM232" s="87">
        <f>(VLOOKUP($A:$A,USD!$A:$AR,39,FALSE)*88)/88*20</f>
        <v>79.999999999999986</v>
      </c>
      <c r="AN232" s="68">
        <f>(VLOOKUP($A:$A,USD!$A:$AR,40,FALSE)*88)/88*20</f>
        <v>26.17808219178082</v>
      </c>
      <c r="AO232" s="1">
        <f>(VLOOKUP($A:$A,USD!$A:$AR,41,FALSE)*88)/88*20</f>
        <v>0</v>
      </c>
      <c r="AR232" s="1">
        <f t="shared" si="33"/>
        <v>106.1780821917808</v>
      </c>
      <c r="AS232" s="38">
        <f t="shared" si="34"/>
        <v>833.94107041787652</v>
      </c>
      <c r="AT232" s="38">
        <f t="shared" si="35"/>
        <v>1279.9410704178765</v>
      </c>
      <c r="AW232" s="1">
        <f>(VLOOKUP(A:A,USD!A:AT,46,FALSE)*88)/88*20</f>
        <v>520.56590909090903</v>
      </c>
      <c r="AX232" s="1">
        <f>(VLOOKUP(A:A,USD!A:AU,47,FALSE)*88)/88*20</f>
        <v>437.5</v>
      </c>
    </row>
    <row r="233" spans="1:50" hidden="1">
      <c r="A233" s="1">
        <v>794598</v>
      </c>
      <c r="B233" s="1" t="s">
        <v>554</v>
      </c>
      <c r="C233" s="1" t="s">
        <v>537</v>
      </c>
      <c r="D233" s="1" t="s">
        <v>168</v>
      </c>
      <c r="E233" s="1" t="str">
        <f>VLOOKUP(A:A,USD!A:E,5,FALSE)</f>
        <v>Memphis Rule 5</v>
      </c>
      <c r="F233" s="1" t="str">
        <f>VLOOKUP(A:A,USD!A:F,6,FALSE)</f>
        <v>MR5</v>
      </c>
      <c r="G233" s="1" t="str">
        <f>VLOOKUP(A:A,'Regions and Ports'!A:G,7,FALSE)</f>
        <v>Memphis</v>
      </c>
      <c r="H233" s="1">
        <f>VLOOKUP(A:A,USD!A:R,8,FALSE)</f>
        <v>1</v>
      </c>
      <c r="I233" s="87">
        <f>(VLOOKUP($A:$A,USD!$A:$AL,9,FALSE)*88)/88*20</f>
        <v>72</v>
      </c>
      <c r="J233" s="87">
        <f>(VLOOKUP($A:$A,USD!$A:$AL,10,FALSE)*88)/88*20</f>
        <v>172</v>
      </c>
      <c r="K233" s="87">
        <f>(VLOOKUP($A:$A,USD!$A:$AL,11,FALSE)*88)/88*20</f>
        <v>160</v>
      </c>
      <c r="L233" s="87">
        <f>(VLOOKUP($A:$A,USD!$A:$AL,12,FALSE)*88)/88*20</f>
        <v>60</v>
      </c>
      <c r="M233" s="87">
        <f>(VLOOKUP($A:$A,USD!$A:$AL,13,FALSE)*88)/88*20</f>
        <v>10</v>
      </c>
      <c r="N233" s="87">
        <f>(VLOOKUP($A:$A,USD!$A:$AL,14,FALSE)*88)/88*20</f>
        <v>70</v>
      </c>
      <c r="O233" s="68">
        <f>(VLOOKUP($A:$A,USD!$A:$AL,15,FALSE)*88)/88*20</f>
        <v>37.916666666666671</v>
      </c>
      <c r="P233" s="87">
        <f>(VLOOKUP($A:$A,USD!$A:$AL,16,FALSE)*88)/88*20</f>
        <v>0</v>
      </c>
      <c r="Q233" s="68">
        <f t="shared" si="27"/>
        <v>581.91666666666663</v>
      </c>
      <c r="R233" s="68">
        <f t="shared" si="28"/>
        <v>107.91666666666667</v>
      </c>
      <c r="S233" s="68">
        <f>(VLOOKUP($A:$A,USD!$A:$AL,19,FALSE)*88)/88*20</f>
        <v>0</v>
      </c>
      <c r="T233" s="68">
        <f>(VLOOKUP($A:$A,USD!$A:$AL,20,FALSE)*88)/88*20</f>
        <v>0</v>
      </c>
      <c r="U233" s="68">
        <f>(VLOOKUP($A:$A,USD!$A:$AL,21,FALSE)*88)/88*20</f>
        <v>121.13636363636363</v>
      </c>
      <c r="V233" s="68"/>
      <c r="W233" s="68">
        <f t="shared" si="29"/>
        <v>121.13636363636363</v>
      </c>
      <c r="X233" s="1">
        <f>(VLOOKUP($A:$A,USD!$A:$AL,24,FALSE)*88)/88*20</f>
        <v>50</v>
      </c>
      <c r="Y233" s="68">
        <f>(VLOOKUP($A:$A,USD!$A:$AL,25,FALSE)*88)/88*20</f>
        <v>33.6</v>
      </c>
      <c r="Z233" s="68">
        <f>(VLOOKUP($A:$A,USD!$A:$AL,26,FALSE)*88)/88*20</f>
        <v>26.25</v>
      </c>
      <c r="AB233" s="68">
        <f t="shared" si="30"/>
        <v>109.85</v>
      </c>
      <c r="AC233" s="68">
        <f>(VLOOKUP($A:$A,USD!$A:$AL,29,FALSE)*88)/88*20</f>
        <v>146.02272727272725</v>
      </c>
      <c r="AD233" s="68">
        <f>(VLOOKUP($A:$A,USD!$A:$AL,30,FALSE)*88)/88*20</f>
        <v>182.72727272727275</v>
      </c>
      <c r="AF233" s="68">
        <f t="shared" si="31"/>
        <v>328.75</v>
      </c>
      <c r="AG233" s="87">
        <f>(VLOOKUP($A:$A,USD!$A:$AL,33,FALSE)*88)/88*20</f>
        <v>28.814300000000003</v>
      </c>
      <c r="AH233" s="68">
        <f>(VLOOKUP($A:$A,USD!$A:$AL,34,FALSE)*88)/88*20</f>
        <v>6.973140495867769</v>
      </c>
      <c r="AI233" s="87">
        <f>(VLOOKUP($A:$A,USD!$A:$AL,35,FALSE)*88)/88*20</f>
        <v>12.587317427197677</v>
      </c>
      <c r="AJ233" s="87">
        <f>(VLOOKUP($A:$A,USD!$A:$AL,36,FALSE)*88)/88*20</f>
        <v>6.7351999999999999</v>
      </c>
      <c r="AL233" s="68">
        <f t="shared" si="32"/>
        <v>55.109957923065444</v>
      </c>
      <c r="AM233" s="87">
        <f>(VLOOKUP($A:$A,USD!$A:$AR,39,FALSE)*88)/88*20</f>
        <v>79.999999999999986</v>
      </c>
      <c r="AN233" s="68">
        <f>(VLOOKUP($A:$A,USD!$A:$AR,40,FALSE)*88)/88*20</f>
        <v>26.17808219178082</v>
      </c>
      <c r="AO233" s="1">
        <f>(VLOOKUP($A:$A,USD!$A:$AR,41,FALSE)*88)/88*20</f>
        <v>0</v>
      </c>
      <c r="AR233" s="1">
        <f t="shared" si="33"/>
        <v>106.1780821917808</v>
      </c>
      <c r="AS233" s="38">
        <f t="shared" si="34"/>
        <v>828.94107041787652</v>
      </c>
      <c r="AT233" s="38">
        <f t="shared" si="35"/>
        <v>1302.9410704178765</v>
      </c>
      <c r="AW233" s="1">
        <f>(VLOOKUP(A:A,USD!A:AT,46,FALSE)*88)/88*20</f>
        <v>520.56590909090903</v>
      </c>
      <c r="AX233" s="1">
        <f>(VLOOKUP(A:A,USD!A:AU,47,FALSE)*88)/88*20</f>
        <v>437.5</v>
      </c>
    </row>
    <row r="234" spans="1:50" hidden="1">
      <c r="A234" s="1">
        <v>795007</v>
      </c>
      <c r="B234" s="1" t="s">
        <v>555</v>
      </c>
      <c r="C234" s="1" t="s">
        <v>537</v>
      </c>
      <c r="D234" s="1" t="s">
        <v>168</v>
      </c>
      <c r="E234" s="1" t="str">
        <f>VLOOKUP(A:A,USD!A:E,5,FALSE)</f>
        <v>Memphis Rule 5</v>
      </c>
      <c r="F234" s="1" t="str">
        <f>VLOOKUP(A:A,USD!A:F,6,FALSE)</f>
        <v>MR5</v>
      </c>
      <c r="G234" s="1" t="str">
        <f>VLOOKUP(A:A,'Regions and Ports'!A:G,7,FALSE)</f>
        <v>Memphis</v>
      </c>
      <c r="H234" s="1">
        <f>VLOOKUP(A:A,USD!A:R,8,FALSE)</f>
        <v>1</v>
      </c>
      <c r="I234" s="87">
        <f>(VLOOKUP($A:$A,USD!$A:$AL,9,FALSE)*88)/88*20</f>
        <v>72</v>
      </c>
      <c r="J234" s="87">
        <f>(VLOOKUP($A:$A,USD!$A:$AL,10,FALSE)*88)/88*20</f>
        <v>172</v>
      </c>
      <c r="K234" s="87">
        <f>(VLOOKUP($A:$A,USD!$A:$AL,11,FALSE)*88)/88*20</f>
        <v>160</v>
      </c>
      <c r="L234" s="87">
        <f>(VLOOKUP($A:$A,USD!$A:$AL,12,FALSE)*88)/88*20</f>
        <v>61</v>
      </c>
      <c r="M234" s="87">
        <f>(VLOOKUP($A:$A,USD!$A:$AL,13,FALSE)*88)/88*20</f>
        <v>10</v>
      </c>
      <c r="N234" s="87">
        <f>(VLOOKUP($A:$A,USD!$A:$AL,14,FALSE)*88)/88*20</f>
        <v>70</v>
      </c>
      <c r="O234" s="68">
        <f>(VLOOKUP($A:$A,USD!$A:$AL,15,FALSE)*88)/88*20</f>
        <v>37.916666666666671</v>
      </c>
      <c r="P234" s="87">
        <f>(VLOOKUP($A:$A,USD!$A:$AL,16,FALSE)*88)/88*20</f>
        <v>0</v>
      </c>
      <c r="Q234" s="68">
        <f t="shared" si="27"/>
        <v>582.91666666666663</v>
      </c>
      <c r="R234" s="68">
        <f t="shared" si="28"/>
        <v>107.91666666666667</v>
      </c>
      <c r="S234" s="68">
        <f>(VLOOKUP($A:$A,USD!$A:$AL,19,FALSE)*88)/88*20</f>
        <v>0</v>
      </c>
      <c r="T234" s="68">
        <f>(VLOOKUP($A:$A,USD!$A:$AL,20,FALSE)*88)/88*20</f>
        <v>0</v>
      </c>
      <c r="U234" s="68">
        <f>(VLOOKUP($A:$A,USD!$A:$AL,21,FALSE)*88)/88*20</f>
        <v>121.13636363636363</v>
      </c>
      <c r="V234" s="68"/>
      <c r="W234" s="68">
        <f t="shared" si="29"/>
        <v>121.13636363636363</v>
      </c>
      <c r="X234" s="1">
        <f>(VLOOKUP($A:$A,USD!$A:$AL,24,FALSE)*88)/88*20</f>
        <v>50</v>
      </c>
      <c r="Y234" s="68">
        <f>(VLOOKUP($A:$A,USD!$A:$AL,25,FALSE)*88)/88*20</f>
        <v>33.6</v>
      </c>
      <c r="Z234" s="68">
        <f>(VLOOKUP($A:$A,USD!$A:$AL,26,FALSE)*88)/88*20</f>
        <v>26.25</v>
      </c>
      <c r="AB234" s="68">
        <f t="shared" si="30"/>
        <v>109.85</v>
      </c>
      <c r="AC234" s="68">
        <f>(VLOOKUP($A:$A,USD!$A:$AL,29,FALSE)*88)/88*20</f>
        <v>146.02272727272725</v>
      </c>
      <c r="AD234" s="68">
        <f>(VLOOKUP($A:$A,USD!$A:$AL,30,FALSE)*88)/88*20</f>
        <v>182.72727272727275</v>
      </c>
      <c r="AF234" s="68">
        <f t="shared" si="31"/>
        <v>328.75</v>
      </c>
      <c r="AG234" s="87">
        <f>(VLOOKUP($A:$A,USD!$A:$AL,33,FALSE)*88)/88*20</f>
        <v>28.814300000000003</v>
      </c>
      <c r="AH234" s="68">
        <f>(VLOOKUP($A:$A,USD!$A:$AL,34,FALSE)*88)/88*20</f>
        <v>6.973140495867769</v>
      </c>
      <c r="AI234" s="87">
        <f>(VLOOKUP($A:$A,USD!$A:$AL,35,FALSE)*88)/88*20</f>
        <v>12.587317427197677</v>
      </c>
      <c r="AJ234" s="87">
        <f>(VLOOKUP($A:$A,USD!$A:$AL,36,FALSE)*88)/88*20</f>
        <v>6.7351999999999999</v>
      </c>
      <c r="AL234" s="68">
        <f t="shared" si="32"/>
        <v>55.109957923065444</v>
      </c>
      <c r="AM234" s="87">
        <f>(VLOOKUP($A:$A,USD!$A:$AR,39,FALSE)*88)/88*20</f>
        <v>79.999999999999986</v>
      </c>
      <c r="AN234" s="68">
        <f>(VLOOKUP($A:$A,USD!$A:$AR,40,FALSE)*88)/88*20</f>
        <v>26.17808219178082</v>
      </c>
      <c r="AO234" s="1">
        <f>(VLOOKUP($A:$A,USD!$A:$AR,41,FALSE)*88)/88*20</f>
        <v>0</v>
      </c>
      <c r="AR234" s="1">
        <f t="shared" si="33"/>
        <v>106.1780821917808</v>
      </c>
      <c r="AS234" s="38">
        <f t="shared" si="34"/>
        <v>828.94107041787652</v>
      </c>
      <c r="AT234" s="38">
        <f t="shared" si="35"/>
        <v>1303.9410704178765</v>
      </c>
      <c r="AW234" s="1">
        <f>(VLOOKUP(A:A,USD!A:AT,46,FALSE)*88)/88*20</f>
        <v>520.56590909090903</v>
      </c>
      <c r="AX234" s="1">
        <f>(VLOOKUP(A:A,USD!A:AU,47,FALSE)*88)/88*20</f>
        <v>437.5</v>
      </c>
    </row>
    <row r="235" spans="1:50" hidden="1">
      <c r="A235" s="1">
        <v>795026</v>
      </c>
      <c r="B235" s="1" t="s">
        <v>557</v>
      </c>
      <c r="C235" s="1" t="s">
        <v>537</v>
      </c>
      <c r="D235" s="1" t="s">
        <v>168</v>
      </c>
      <c r="E235" s="1" t="str">
        <f>VLOOKUP(A:A,USD!A:E,5,FALSE)</f>
        <v>Memphis Rule 5</v>
      </c>
      <c r="F235" s="1" t="str">
        <f>VLOOKUP(A:A,USD!A:F,6,FALSE)</f>
        <v>MR5</v>
      </c>
      <c r="G235" s="1" t="str">
        <f>VLOOKUP(A:A,'Regions and Ports'!A:G,7,FALSE)</f>
        <v>Memphis</v>
      </c>
      <c r="H235" s="1">
        <f>VLOOKUP(A:A,USD!A:R,8,FALSE)</f>
        <v>1</v>
      </c>
      <c r="I235" s="87">
        <f>(VLOOKUP($A:$A,USD!$A:$AL,9,FALSE)*88)/88*20</f>
        <v>50</v>
      </c>
      <c r="J235" s="87">
        <f>(VLOOKUP($A:$A,USD!$A:$AL,10,FALSE)*88)/88*20</f>
        <v>260</v>
      </c>
      <c r="K235" s="87">
        <f>(VLOOKUP($A:$A,USD!$A:$AL,11,FALSE)*88)/88*20</f>
        <v>0</v>
      </c>
      <c r="L235" s="87">
        <f>(VLOOKUP($A:$A,USD!$A:$AL,12,FALSE)*88)/88*20</f>
        <v>0</v>
      </c>
      <c r="M235" s="87">
        <f>(VLOOKUP($A:$A,USD!$A:$AL,13,FALSE)*88)/88*20</f>
        <v>12</v>
      </c>
      <c r="N235" s="87">
        <f>(VLOOKUP($A:$A,USD!$A:$AL,14,FALSE)*88)/88*20</f>
        <v>80</v>
      </c>
      <c r="O235" s="68">
        <f>(VLOOKUP($A:$A,USD!$A:$AL,15,FALSE)*88)/88*20</f>
        <v>37.916666666666671</v>
      </c>
      <c r="P235" s="87">
        <f>(VLOOKUP($A:$A,USD!$A:$AL,16,FALSE)*88)/88*20</f>
        <v>0</v>
      </c>
      <c r="Q235" s="68">
        <f t="shared" si="27"/>
        <v>439.91666666666669</v>
      </c>
      <c r="R235" s="68">
        <f t="shared" si="28"/>
        <v>117.91666666666667</v>
      </c>
      <c r="S235" s="68">
        <f>(VLOOKUP($A:$A,USD!$A:$AL,19,FALSE)*88)/88*20</f>
        <v>0</v>
      </c>
      <c r="T235" s="68">
        <f>(VLOOKUP($A:$A,USD!$A:$AL,20,FALSE)*88)/88*20</f>
        <v>0</v>
      </c>
      <c r="U235" s="68">
        <f>(VLOOKUP($A:$A,USD!$A:$AL,21,FALSE)*88)/88*20</f>
        <v>121.13636363636363</v>
      </c>
      <c r="V235" s="68"/>
      <c r="W235" s="68">
        <f t="shared" si="29"/>
        <v>121.13636363636363</v>
      </c>
      <c r="X235" s="1">
        <f>(VLOOKUP($A:$A,USD!$A:$AL,24,FALSE)*88)/88*20</f>
        <v>50</v>
      </c>
      <c r="Y235" s="68">
        <f>(VLOOKUP($A:$A,USD!$A:$AL,25,FALSE)*88)/88*20</f>
        <v>33.6</v>
      </c>
      <c r="Z235" s="68">
        <f>(VLOOKUP($A:$A,USD!$A:$AL,26,FALSE)*88)/88*20</f>
        <v>26.25</v>
      </c>
      <c r="AB235" s="68">
        <f t="shared" si="30"/>
        <v>109.85</v>
      </c>
      <c r="AC235" s="68">
        <f>(VLOOKUP($A:$A,USD!$A:$AL,29,FALSE)*88)/88*20</f>
        <v>146.02272727272725</v>
      </c>
      <c r="AD235" s="68">
        <f>(VLOOKUP($A:$A,USD!$A:$AL,30,FALSE)*88)/88*20</f>
        <v>182.72727272727275</v>
      </c>
      <c r="AF235" s="68">
        <f t="shared" si="31"/>
        <v>328.75</v>
      </c>
      <c r="AG235" s="87">
        <f>(VLOOKUP($A:$A,USD!$A:$AL,33,FALSE)*88)/88*20</f>
        <v>28.814300000000003</v>
      </c>
      <c r="AH235" s="68">
        <f>(VLOOKUP($A:$A,USD!$A:$AL,34,FALSE)*88)/88*20</f>
        <v>6.973140495867769</v>
      </c>
      <c r="AI235" s="87">
        <f>(VLOOKUP($A:$A,USD!$A:$AL,35,FALSE)*88)/88*20</f>
        <v>12.587317427197677</v>
      </c>
      <c r="AJ235" s="87">
        <f>(VLOOKUP($A:$A,USD!$A:$AL,36,FALSE)*88)/88*20</f>
        <v>6.7351999999999999</v>
      </c>
      <c r="AL235" s="68">
        <f t="shared" si="32"/>
        <v>55.109957923065444</v>
      </c>
      <c r="AM235" s="87">
        <f>(VLOOKUP($A:$A,USD!$A:$AR,39,FALSE)*88)/88*20</f>
        <v>79.999999999999986</v>
      </c>
      <c r="AN235" s="68">
        <f>(VLOOKUP($A:$A,USD!$A:$AR,40,FALSE)*88)/88*20</f>
        <v>26.17808219178082</v>
      </c>
      <c r="AO235" s="1">
        <f>(VLOOKUP($A:$A,USD!$A:$AR,41,FALSE)*88)/88*20</f>
        <v>0</v>
      </c>
      <c r="AR235" s="1">
        <f t="shared" si="33"/>
        <v>106.1780821917808</v>
      </c>
      <c r="AS235" s="38">
        <f t="shared" si="34"/>
        <v>838.94107041787652</v>
      </c>
      <c r="AT235" s="38">
        <f t="shared" si="35"/>
        <v>1160.9410704178765</v>
      </c>
      <c r="AW235" s="1">
        <f>(VLOOKUP(A:A,USD!A:AT,46,FALSE)*88)/88*20</f>
        <v>520.56590909090903</v>
      </c>
      <c r="AX235" s="1">
        <f>(VLOOKUP(A:A,USD!A:AU,47,FALSE)*88)/88*20</f>
        <v>437.5</v>
      </c>
    </row>
    <row r="236" spans="1:50" hidden="1">
      <c r="A236" s="1">
        <v>297507</v>
      </c>
      <c r="B236" s="1" t="s">
        <v>559</v>
      </c>
      <c r="C236" s="1" t="s">
        <v>560</v>
      </c>
      <c r="D236" s="1" t="s">
        <v>76</v>
      </c>
      <c r="E236" s="1" t="str">
        <f>VLOOKUP(A:A,USD!A:E,5,FALSE)</f>
        <v>GA 30 Day</v>
      </c>
      <c r="F236" s="1" t="str">
        <f>VLOOKUP(A:A,USD!A:F,6,FALSE)</f>
        <v>ER5</v>
      </c>
      <c r="G236" s="1" t="str">
        <f>VLOOKUP(A:A,'Regions and Ports'!A:G,7,FALSE)</f>
        <v>Savannah</v>
      </c>
      <c r="H236" s="1">
        <f>VLOOKUP(A:A,USD!A:R,8,FALSE)</f>
        <v>4</v>
      </c>
      <c r="I236" s="87">
        <f>(VLOOKUP($A:$A,USD!$A:$AL,9,FALSE)*88)/88*20</f>
        <v>60</v>
      </c>
      <c r="J236" s="87">
        <f>(VLOOKUP($A:$A,USD!$A:$AL,10,FALSE)*88)/88*20</f>
        <v>100</v>
      </c>
      <c r="K236" s="87">
        <f>(VLOOKUP($A:$A,USD!$A:$AL,11,FALSE)*88)/88*20</f>
        <v>0</v>
      </c>
      <c r="L236" s="87">
        <f>(VLOOKUP($A:$A,USD!$A:$AL,12,FALSE)*88)/88*20</f>
        <v>0</v>
      </c>
      <c r="M236" s="87">
        <f>(VLOOKUP($A:$A,USD!$A:$AL,13,FALSE)*88)/88*20</f>
        <v>20</v>
      </c>
      <c r="N236" s="87">
        <f>(VLOOKUP($A:$A,USD!$A:$AL,14,FALSE)*88)/88*20</f>
        <v>60</v>
      </c>
      <c r="O236" s="68">
        <f>(VLOOKUP($A:$A,USD!$A:$AL,15,FALSE)*88)/88*20</f>
        <v>37.916666666666671</v>
      </c>
      <c r="P236" s="87">
        <f>(VLOOKUP($A:$A,USD!$A:$AL,16,FALSE)*88)/88*20</f>
        <v>0</v>
      </c>
      <c r="Q236" s="68">
        <f t="shared" si="27"/>
        <v>277.91666666666669</v>
      </c>
      <c r="R236" s="68">
        <f t="shared" si="28"/>
        <v>37.916666666666671</v>
      </c>
      <c r="S236" s="68">
        <f>(VLOOKUP($A:$A,USD!$A:$AL,19,FALSE)*88)/88*20</f>
        <v>0</v>
      </c>
      <c r="T236" s="68">
        <f>(VLOOKUP($A:$A,USD!$A:$AL,20,FALSE)*88)/88*20</f>
        <v>0</v>
      </c>
      <c r="U236" s="68">
        <f>(VLOOKUP($A:$A,USD!$A:$AL,21,FALSE)*88)/88*20</f>
        <v>156.74772727272727</v>
      </c>
      <c r="V236" s="68"/>
      <c r="W236" s="68">
        <f t="shared" si="29"/>
        <v>156.74772727272727</v>
      </c>
      <c r="X236" s="1">
        <f>(VLOOKUP($A:$A,USD!$A:$AL,24,FALSE)*88)/88*20</f>
        <v>52</v>
      </c>
      <c r="Y236" s="68">
        <f>(VLOOKUP($A:$A,USD!$A:$AL,25,FALSE)*88)/88*20</f>
        <v>50.4</v>
      </c>
      <c r="Z236" s="68">
        <f>(VLOOKUP($A:$A,USD!$A:$AL,26,FALSE)*88)/88*20</f>
        <v>26.25</v>
      </c>
      <c r="AB236" s="68">
        <f t="shared" si="30"/>
        <v>128.65</v>
      </c>
      <c r="AC236" s="68">
        <f>(VLOOKUP($A:$A,USD!$A:$AL,29,FALSE)*88)/88*20</f>
        <v>110.22727272727273</v>
      </c>
      <c r="AD236" s="68">
        <f>(VLOOKUP($A:$A,USD!$A:$AL,30,FALSE)*88)/88*20</f>
        <v>107.04545454545455</v>
      </c>
      <c r="AF236" s="68">
        <f t="shared" si="31"/>
        <v>217.27272727272728</v>
      </c>
      <c r="AG236" s="87">
        <f>(VLOOKUP($A:$A,USD!$A:$AL,33,FALSE)*88)/88*20</f>
        <v>28.814300000000003</v>
      </c>
      <c r="AH236" s="68">
        <f>(VLOOKUP($A:$A,USD!$A:$AL,34,FALSE)*88)/88*20</f>
        <v>6.973140495867769</v>
      </c>
      <c r="AI236" s="87">
        <f>(VLOOKUP($A:$A,USD!$A:$AL,35,FALSE)*88)/88*20</f>
        <v>12.587317427197677</v>
      </c>
      <c r="AJ236" s="87">
        <f>(VLOOKUP($A:$A,USD!$A:$AL,36,FALSE)*88)/88*20</f>
        <v>6.7351999999999999</v>
      </c>
      <c r="AL236" s="68">
        <f t="shared" si="32"/>
        <v>55.109957923065444</v>
      </c>
      <c r="AM236" s="87">
        <f>(VLOOKUP($A:$A,USD!$A:$AR,39,FALSE)*88)/88*20</f>
        <v>79.999999999999986</v>
      </c>
      <c r="AN236" s="68">
        <f>(VLOOKUP($A:$A,USD!$A:$AR,40,FALSE)*88)/88*20</f>
        <v>26.17808219178082</v>
      </c>
      <c r="AO236" s="1">
        <f>(VLOOKUP($A:$A,USD!$A:$AR,41,FALSE)*88)/88*20</f>
        <v>0</v>
      </c>
      <c r="AR236" s="1">
        <f t="shared" si="33"/>
        <v>106.1780821917808</v>
      </c>
      <c r="AS236" s="38">
        <f t="shared" si="34"/>
        <v>701.87516132696749</v>
      </c>
      <c r="AT236" s="38">
        <f t="shared" si="35"/>
        <v>941.87516132696749</v>
      </c>
      <c r="AW236" s="1">
        <f>(VLOOKUP(A:A,USD!A:AT,46,FALSE)*88)/88*20</f>
        <v>542.67727272727268</v>
      </c>
      <c r="AX236" s="1">
        <f>(VLOOKUP(A:A,USD!A:AU,47,FALSE)*88)/88*20</f>
        <v>258.52272727272725</v>
      </c>
    </row>
    <row r="237" spans="1:50" hidden="1">
      <c r="A237" s="1">
        <v>297509</v>
      </c>
      <c r="B237" s="1" t="s">
        <v>562</v>
      </c>
      <c r="C237" s="1" t="s">
        <v>560</v>
      </c>
      <c r="D237" s="1" t="s">
        <v>76</v>
      </c>
      <c r="E237" s="1" t="str">
        <f>VLOOKUP(A:A,USD!A:E,5,FALSE)</f>
        <v>GA 30 Day</v>
      </c>
      <c r="F237" s="1" t="str">
        <f>VLOOKUP(A:A,USD!A:F,6,FALSE)</f>
        <v>ER5</v>
      </c>
      <c r="G237" s="1" t="str">
        <f>VLOOKUP(A:A,'Regions and Ports'!A:G,7,FALSE)</f>
        <v>Savannah</v>
      </c>
      <c r="H237" s="1">
        <f>VLOOKUP(A:A,USD!A:R,8,FALSE)</f>
        <v>4</v>
      </c>
      <c r="I237" s="87">
        <f>(VLOOKUP($A:$A,USD!$A:$AL,9,FALSE)*88)/88*20</f>
        <v>70</v>
      </c>
      <c r="J237" s="87">
        <f>(VLOOKUP($A:$A,USD!$A:$AL,10,FALSE)*88)/88*20</f>
        <v>90</v>
      </c>
      <c r="K237" s="87">
        <f>(VLOOKUP($A:$A,USD!$A:$AL,11,FALSE)*88)/88*20</f>
        <v>0</v>
      </c>
      <c r="L237" s="87">
        <f>(VLOOKUP($A:$A,USD!$A:$AL,12,FALSE)*88)/88*20</f>
        <v>0</v>
      </c>
      <c r="M237" s="87">
        <f>(VLOOKUP($A:$A,USD!$A:$AL,13,FALSE)*88)/88*20</f>
        <v>20</v>
      </c>
      <c r="N237" s="87">
        <f>(VLOOKUP($A:$A,USD!$A:$AL,14,FALSE)*88)/88*20</f>
        <v>53</v>
      </c>
      <c r="O237" s="68">
        <f>(VLOOKUP($A:$A,USD!$A:$AL,15,FALSE)*88)/88*20</f>
        <v>37.916666666666671</v>
      </c>
      <c r="P237" s="87">
        <f>(VLOOKUP($A:$A,USD!$A:$AL,16,FALSE)*88)/88*20</f>
        <v>0</v>
      </c>
      <c r="Q237" s="68">
        <f t="shared" si="27"/>
        <v>270.91666666666669</v>
      </c>
      <c r="R237" s="68">
        <f t="shared" si="28"/>
        <v>37.916666666666671</v>
      </c>
      <c r="S237" s="68">
        <f>(VLOOKUP($A:$A,USD!$A:$AL,19,FALSE)*88)/88*20</f>
        <v>0</v>
      </c>
      <c r="T237" s="68">
        <f>(VLOOKUP($A:$A,USD!$A:$AL,20,FALSE)*88)/88*20</f>
        <v>0</v>
      </c>
      <c r="U237" s="68">
        <f>(VLOOKUP($A:$A,USD!$A:$AL,21,FALSE)*88)/88*20</f>
        <v>156.74772727272727</v>
      </c>
      <c r="V237" s="68"/>
      <c r="W237" s="68">
        <f t="shared" si="29"/>
        <v>156.74772727272727</v>
      </c>
      <c r="X237" s="1">
        <f>(VLOOKUP($A:$A,USD!$A:$AL,24,FALSE)*88)/88*20</f>
        <v>52</v>
      </c>
      <c r="Y237" s="68">
        <f>(VLOOKUP($A:$A,USD!$A:$AL,25,FALSE)*88)/88*20</f>
        <v>50.4</v>
      </c>
      <c r="Z237" s="68">
        <f>(VLOOKUP($A:$A,USD!$A:$AL,26,FALSE)*88)/88*20</f>
        <v>26.25</v>
      </c>
      <c r="AB237" s="68">
        <f t="shared" si="30"/>
        <v>128.65</v>
      </c>
      <c r="AC237" s="68">
        <f>(VLOOKUP($A:$A,USD!$A:$AL,29,FALSE)*88)/88*20</f>
        <v>110.22727272727273</v>
      </c>
      <c r="AD237" s="68">
        <f>(VLOOKUP($A:$A,USD!$A:$AL,30,FALSE)*88)/88*20</f>
        <v>107.04545454545455</v>
      </c>
      <c r="AF237" s="68">
        <f t="shared" si="31"/>
        <v>217.27272727272728</v>
      </c>
      <c r="AG237" s="87">
        <f>(VLOOKUP($A:$A,USD!$A:$AL,33,FALSE)*88)/88*20</f>
        <v>28.814300000000003</v>
      </c>
      <c r="AH237" s="68">
        <f>(VLOOKUP($A:$A,USD!$A:$AL,34,FALSE)*88)/88*20</f>
        <v>6.973140495867769</v>
      </c>
      <c r="AI237" s="87">
        <f>(VLOOKUP($A:$A,USD!$A:$AL,35,FALSE)*88)/88*20</f>
        <v>12.587317427197677</v>
      </c>
      <c r="AJ237" s="87">
        <f>(VLOOKUP($A:$A,USD!$A:$AL,36,FALSE)*88)/88*20</f>
        <v>6.7351999999999999</v>
      </c>
      <c r="AL237" s="68">
        <f t="shared" si="32"/>
        <v>55.109957923065444</v>
      </c>
      <c r="AM237" s="87">
        <f>(VLOOKUP($A:$A,USD!$A:$AR,39,FALSE)*88)/88*20</f>
        <v>79.999999999999986</v>
      </c>
      <c r="AN237" s="68">
        <f>(VLOOKUP($A:$A,USD!$A:$AR,40,FALSE)*88)/88*20</f>
        <v>26.17808219178082</v>
      </c>
      <c r="AO237" s="1">
        <f>(VLOOKUP($A:$A,USD!$A:$AR,41,FALSE)*88)/88*20</f>
        <v>0</v>
      </c>
      <c r="AR237" s="1">
        <f t="shared" si="33"/>
        <v>106.1780821917808</v>
      </c>
      <c r="AS237" s="38">
        <f t="shared" si="34"/>
        <v>701.87516132696749</v>
      </c>
      <c r="AT237" s="38">
        <f t="shared" si="35"/>
        <v>934.87516132696749</v>
      </c>
      <c r="AW237" s="1">
        <f>(VLOOKUP(A:A,USD!A:AT,46,FALSE)*88)/88*20</f>
        <v>542.67727272727268</v>
      </c>
      <c r="AX237" s="1">
        <f>(VLOOKUP(A:A,USD!A:AU,47,FALSE)*88)/88*20</f>
        <v>258.52272727272725</v>
      </c>
    </row>
    <row r="238" spans="1:50" hidden="1">
      <c r="A238" s="1">
        <v>298007</v>
      </c>
      <c r="B238" s="1" t="s">
        <v>563</v>
      </c>
      <c r="C238" s="1" t="s">
        <v>564</v>
      </c>
      <c r="D238" s="1" t="s">
        <v>76</v>
      </c>
      <c r="E238" s="1" t="str">
        <f>VLOOKUP(A:A,USD!A:E,5,FALSE)</f>
        <v>GA 30 Day</v>
      </c>
      <c r="F238" s="1" t="str">
        <f>VLOOKUP(A:A,USD!A:F,6,FALSE)</f>
        <v>ER5</v>
      </c>
      <c r="G238" s="1" t="str">
        <f>VLOOKUP(A:A,'Regions and Ports'!A:G,7,FALSE)</f>
        <v>Savannah</v>
      </c>
      <c r="H238" s="1">
        <f>VLOOKUP(A:A,USD!A:R,8,FALSE)</f>
        <v>4</v>
      </c>
      <c r="I238" s="87">
        <f>(VLOOKUP($A:$A,USD!$A:$AL,9,FALSE)*88)/88*20</f>
        <v>50</v>
      </c>
      <c r="J238" s="87">
        <f>(VLOOKUP($A:$A,USD!$A:$AL,10,FALSE)*88)/88*20</f>
        <v>90</v>
      </c>
      <c r="K238" s="87">
        <f>(VLOOKUP($A:$A,USD!$A:$AL,11,FALSE)*88)/88*20</f>
        <v>0</v>
      </c>
      <c r="L238" s="87">
        <f>(VLOOKUP($A:$A,USD!$A:$AL,12,FALSE)*88)/88*20</f>
        <v>0</v>
      </c>
      <c r="M238" s="87">
        <f>(VLOOKUP($A:$A,USD!$A:$AL,13,FALSE)*88)/88*20</f>
        <v>0</v>
      </c>
      <c r="N238" s="87">
        <f>(VLOOKUP($A:$A,USD!$A:$AL,14,FALSE)*88)/88*20</f>
        <v>40</v>
      </c>
      <c r="O238" s="68">
        <f>(VLOOKUP($A:$A,USD!$A:$AL,15,FALSE)*88)/88*20</f>
        <v>37.916666666666671</v>
      </c>
      <c r="P238" s="87">
        <f>(VLOOKUP($A:$A,USD!$A:$AL,16,FALSE)*88)/88*20</f>
        <v>0</v>
      </c>
      <c r="Q238" s="68">
        <f t="shared" si="27"/>
        <v>217.91666666666669</v>
      </c>
      <c r="R238" s="68">
        <f t="shared" si="28"/>
        <v>37.916666666666671</v>
      </c>
      <c r="S238" s="68">
        <f>(VLOOKUP($A:$A,USD!$A:$AL,19,FALSE)*88)/88*20</f>
        <v>0</v>
      </c>
      <c r="T238" s="68">
        <f>(VLOOKUP($A:$A,USD!$A:$AL,20,FALSE)*88)/88*20</f>
        <v>0</v>
      </c>
      <c r="U238" s="68">
        <f>(VLOOKUP($A:$A,USD!$A:$AL,21,FALSE)*88)/88*20</f>
        <v>163.56590909090912</v>
      </c>
      <c r="V238" s="68"/>
      <c r="W238" s="68">
        <f t="shared" si="29"/>
        <v>163.56590909090912</v>
      </c>
      <c r="X238" s="1">
        <f>(VLOOKUP($A:$A,USD!$A:$AL,24,FALSE)*88)/88*20</f>
        <v>52</v>
      </c>
      <c r="Y238" s="68">
        <f>(VLOOKUP($A:$A,USD!$A:$AL,25,FALSE)*88)/88*20</f>
        <v>50.4</v>
      </c>
      <c r="Z238" s="68">
        <f>(VLOOKUP($A:$A,USD!$A:$AL,26,FALSE)*88)/88*20</f>
        <v>26.25</v>
      </c>
      <c r="AB238" s="68">
        <f t="shared" si="30"/>
        <v>128.65</v>
      </c>
      <c r="AC238" s="68">
        <f>(VLOOKUP($A:$A,USD!$A:$AL,29,FALSE)*88)/88*20</f>
        <v>110.22727272727273</v>
      </c>
      <c r="AD238" s="68">
        <f>(VLOOKUP($A:$A,USD!$A:$AL,30,FALSE)*88)/88*20</f>
        <v>107.04545454545455</v>
      </c>
      <c r="AF238" s="68">
        <f t="shared" si="31"/>
        <v>217.27272727272728</v>
      </c>
      <c r="AG238" s="87">
        <f>(VLOOKUP($A:$A,USD!$A:$AL,33,FALSE)*88)/88*20</f>
        <v>28.814300000000003</v>
      </c>
      <c r="AH238" s="68">
        <f>(VLOOKUP($A:$A,USD!$A:$AL,34,FALSE)*88)/88*20</f>
        <v>6.973140495867769</v>
      </c>
      <c r="AI238" s="87">
        <f>(VLOOKUP($A:$A,USD!$A:$AL,35,FALSE)*88)/88*20</f>
        <v>12.587317427197677</v>
      </c>
      <c r="AJ238" s="87">
        <f>(VLOOKUP($A:$A,USD!$A:$AL,36,FALSE)*88)/88*20</f>
        <v>6.7351999999999999</v>
      </c>
      <c r="AL238" s="68">
        <f t="shared" si="32"/>
        <v>55.109957923065444</v>
      </c>
      <c r="AM238" s="87">
        <f>(VLOOKUP($A:$A,USD!$A:$AR,39,FALSE)*88)/88*20</f>
        <v>79.999999999999986</v>
      </c>
      <c r="AN238" s="68">
        <f>(VLOOKUP($A:$A,USD!$A:$AR,40,FALSE)*88)/88*20</f>
        <v>26.17808219178082</v>
      </c>
      <c r="AO238" s="1">
        <f>(VLOOKUP($A:$A,USD!$A:$AR,41,FALSE)*88)/88*20</f>
        <v>0</v>
      </c>
      <c r="AR238" s="1">
        <f t="shared" si="33"/>
        <v>106.1780821917808</v>
      </c>
      <c r="AS238" s="38">
        <f t="shared" si="34"/>
        <v>708.69334314514924</v>
      </c>
      <c r="AT238" s="38">
        <f t="shared" si="35"/>
        <v>888.69334314514924</v>
      </c>
      <c r="AW238" s="1">
        <f>(VLOOKUP(A:A,USD!A:AT,46,FALSE)*88)/88*20</f>
        <v>542.99772727272716</v>
      </c>
      <c r="AX238" s="1">
        <f>(VLOOKUP(A:A,USD!A:AU,47,FALSE)*88)/88*20</f>
        <v>260.22727272727275</v>
      </c>
    </row>
    <row r="239" spans="1:50" hidden="1">
      <c r="A239" s="1">
        <v>298008</v>
      </c>
      <c r="B239" s="1" t="s">
        <v>566</v>
      </c>
      <c r="C239" s="1" t="s">
        <v>564</v>
      </c>
      <c r="D239" s="1" t="s">
        <v>76</v>
      </c>
      <c r="E239" s="1" t="str">
        <f>VLOOKUP(A:A,USD!A:E,5,FALSE)</f>
        <v>GA 30 Day</v>
      </c>
      <c r="F239" s="1" t="str">
        <f>VLOOKUP(A:A,USD!A:F,6,FALSE)</f>
        <v>ER5</v>
      </c>
      <c r="G239" s="1" t="str">
        <f>VLOOKUP(A:A,'Regions and Ports'!A:G,7,FALSE)</f>
        <v>Savannah</v>
      </c>
      <c r="H239" s="1">
        <f>VLOOKUP(A:A,USD!A:R,8,FALSE)</f>
        <v>4</v>
      </c>
      <c r="I239" s="87">
        <f>(VLOOKUP($A:$A,USD!$A:$AL,9,FALSE)*88)/88*20</f>
        <v>60</v>
      </c>
      <c r="J239" s="87">
        <f>(VLOOKUP($A:$A,USD!$A:$AL,10,FALSE)*88)/88*20</f>
        <v>120</v>
      </c>
      <c r="K239" s="87">
        <f>(VLOOKUP($A:$A,USD!$A:$AL,11,FALSE)*88)/88*20</f>
        <v>0</v>
      </c>
      <c r="L239" s="87">
        <f>(VLOOKUP($A:$A,USD!$A:$AL,12,FALSE)*88)/88*20</f>
        <v>0</v>
      </c>
      <c r="M239" s="87">
        <f>(VLOOKUP($A:$A,USD!$A:$AL,13,FALSE)*88)/88*20</f>
        <v>0</v>
      </c>
      <c r="N239" s="87">
        <f>(VLOOKUP($A:$A,USD!$A:$AL,14,FALSE)*88)/88*20</f>
        <v>60</v>
      </c>
      <c r="O239" s="68">
        <f>(VLOOKUP($A:$A,USD!$A:$AL,15,FALSE)*88)/88*20</f>
        <v>37.916666666666671</v>
      </c>
      <c r="P239" s="87">
        <f>(VLOOKUP($A:$A,USD!$A:$AL,16,FALSE)*88)/88*20</f>
        <v>0</v>
      </c>
      <c r="Q239" s="68">
        <f t="shared" si="27"/>
        <v>277.91666666666669</v>
      </c>
      <c r="R239" s="68">
        <f t="shared" si="28"/>
        <v>37.916666666666671</v>
      </c>
      <c r="S239" s="68">
        <f>(VLOOKUP($A:$A,USD!$A:$AL,19,FALSE)*88)/88*20</f>
        <v>0</v>
      </c>
      <c r="T239" s="68">
        <f>(VLOOKUP($A:$A,USD!$A:$AL,20,FALSE)*88)/88*20</f>
        <v>0</v>
      </c>
      <c r="U239" s="68">
        <f>(VLOOKUP($A:$A,USD!$A:$AL,21,FALSE)*88)/88*20</f>
        <v>163.56590909090912</v>
      </c>
      <c r="V239" s="68"/>
      <c r="W239" s="68">
        <f t="shared" si="29"/>
        <v>163.56590909090912</v>
      </c>
      <c r="X239" s="1">
        <f>(VLOOKUP($A:$A,USD!$A:$AL,24,FALSE)*88)/88*20</f>
        <v>52</v>
      </c>
      <c r="Y239" s="68">
        <f>(VLOOKUP($A:$A,USD!$A:$AL,25,FALSE)*88)/88*20</f>
        <v>50.4</v>
      </c>
      <c r="Z239" s="68">
        <f>(VLOOKUP($A:$A,USD!$A:$AL,26,FALSE)*88)/88*20</f>
        <v>26.25</v>
      </c>
      <c r="AB239" s="68">
        <f t="shared" si="30"/>
        <v>128.65</v>
      </c>
      <c r="AC239" s="68">
        <f>(VLOOKUP($A:$A,USD!$A:$AL,29,FALSE)*88)/88*20</f>
        <v>110.22727272727273</v>
      </c>
      <c r="AD239" s="68">
        <f>(VLOOKUP($A:$A,USD!$A:$AL,30,FALSE)*88)/88*20</f>
        <v>107.04545454545455</v>
      </c>
      <c r="AF239" s="68">
        <f t="shared" si="31"/>
        <v>217.27272727272728</v>
      </c>
      <c r="AG239" s="87">
        <f>(VLOOKUP($A:$A,USD!$A:$AL,33,FALSE)*88)/88*20</f>
        <v>28.814300000000003</v>
      </c>
      <c r="AH239" s="68">
        <f>(VLOOKUP($A:$A,USD!$A:$AL,34,FALSE)*88)/88*20</f>
        <v>6.973140495867769</v>
      </c>
      <c r="AI239" s="87">
        <f>(VLOOKUP($A:$A,USD!$A:$AL,35,FALSE)*88)/88*20</f>
        <v>12.587317427197677</v>
      </c>
      <c r="AJ239" s="87">
        <f>(VLOOKUP($A:$A,USD!$A:$AL,36,FALSE)*88)/88*20</f>
        <v>6.7351999999999999</v>
      </c>
      <c r="AL239" s="68">
        <f t="shared" si="32"/>
        <v>55.109957923065444</v>
      </c>
      <c r="AM239" s="87">
        <f>(VLOOKUP($A:$A,USD!$A:$AR,39,FALSE)*88)/88*20</f>
        <v>79.999999999999986</v>
      </c>
      <c r="AN239" s="68">
        <f>(VLOOKUP($A:$A,USD!$A:$AR,40,FALSE)*88)/88*20</f>
        <v>26.17808219178082</v>
      </c>
      <c r="AO239" s="1">
        <f>(VLOOKUP($A:$A,USD!$A:$AR,41,FALSE)*88)/88*20</f>
        <v>0</v>
      </c>
      <c r="AR239" s="1">
        <f t="shared" si="33"/>
        <v>106.1780821917808</v>
      </c>
      <c r="AS239" s="38">
        <f t="shared" si="34"/>
        <v>708.69334314514924</v>
      </c>
      <c r="AT239" s="38">
        <f t="shared" si="35"/>
        <v>948.69334314514924</v>
      </c>
      <c r="AW239" s="1">
        <f>(VLOOKUP(A:A,USD!A:AT,46,FALSE)*88)/88*20</f>
        <v>542.99772727272716</v>
      </c>
      <c r="AX239" s="1">
        <f>(VLOOKUP(A:A,USD!A:AU,47,FALSE)*88)/88*20</f>
        <v>260.22727272727275</v>
      </c>
    </row>
    <row r="240" spans="1:50" hidden="1">
      <c r="A240" s="1">
        <v>795005</v>
      </c>
      <c r="B240" s="1" t="s">
        <v>567</v>
      </c>
      <c r="C240" s="1" t="s">
        <v>568</v>
      </c>
      <c r="D240" s="1" t="s">
        <v>168</v>
      </c>
      <c r="E240" s="1" t="str">
        <f>VLOOKUP(A:A,USD!A:E,5,FALSE)</f>
        <v>Memphis Rule 5</v>
      </c>
      <c r="F240" s="1" t="str">
        <f>VLOOKUP(A:A,USD!A:F,6,FALSE)</f>
        <v>MR5</v>
      </c>
      <c r="G240" s="1" t="str">
        <f>VLOOKUP(A:A,'Regions and Ports'!A:G,7,FALSE)</f>
        <v>Memphis</v>
      </c>
      <c r="H240" s="1">
        <f>VLOOKUP(A:A,USD!A:R,8,FALSE)</f>
        <v>1</v>
      </c>
      <c r="I240" s="87">
        <f>(VLOOKUP($A:$A,USD!$A:$AL,9,FALSE)*88)/88*20</f>
        <v>0</v>
      </c>
      <c r="J240" s="87">
        <f>(VLOOKUP($A:$A,USD!$A:$AL,10,FALSE)*88)/88*20</f>
        <v>289</v>
      </c>
      <c r="K240" s="87">
        <f>(VLOOKUP($A:$A,USD!$A:$AL,11,FALSE)*88)/88*20</f>
        <v>0</v>
      </c>
      <c r="L240" s="87">
        <f>(VLOOKUP($A:$A,USD!$A:$AL,12,FALSE)*88)/88*20</f>
        <v>61</v>
      </c>
      <c r="M240" s="87">
        <f>(VLOOKUP($A:$A,USD!$A:$AL,13,FALSE)*88)/88*20</f>
        <v>0</v>
      </c>
      <c r="N240" s="87">
        <f>(VLOOKUP($A:$A,USD!$A:$AL,14,FALSE)*88)/88*20</f>
        <v>80</v>
      </c>
      <c r="O240" s="68">
        <f>(VLOOKUP($A:$A,USD!$A:$AL,15,FALSE)*88)/88*20</f>
        <v>37.916666666666671</v>
      </c>
      <c r="P240" s="87">
        <f>(VLOOKUP($A:$A,USD!$A:$AL,16,FALSE)*88)/88*20</f>
        <v>0</v>
      </c>
      <c r="Q240" s="68">
        <f t="shared" si="27"/>
        <v>467.91666666666669</v>
      </c>
      <c r="R240" s="68">
        <f t="shared" si="28"/>
        <v>117.91666666666667</v>
      </c>
      <c r="S240" s="68">
        <f>(VLOOKUP($A:$A,USD!$A:$AL,19,FALSE)*88)/88*20</f>
        <v>0</v>
      </c>
      <c r="T240" s="68">
        <f>(VLOOKUP($A:$A,USD!$A:$AL,20,FALSE)*88)/88*20</f>
        <v>0</v>
      </c>
      <c r="U240" s="68">
        <f>(VLOOKUP($A:$A,USD!$A:$AL,21,FALSE)*88)/88*20</f>
        <v>200.56818181818184</v>
      </c>
      <c r="V240" s="68"/>
      <c r="W240" s="68">
        <f t="shared" si="29"/>
        <v>200.56818181818184</v>
      </c>
      <c r="X240" s="1">
        <f>(VLOOKUP($A:$A,USD!$A:$AL,24,FALSE)*88)/88*20</f>
        <v>50</v>
      </c>
      <c r="Y240" s="68">
        <f>(VLOOKUP($A:$A,USD!$A:$AL,25,FALSE)*88)/88*20</f>
        <v>33.6</v>
      </c>
      <c r="Z240" s="68">
        <f>(VLOOKUP($A:$A,USD!$A:$AL,26,FALSE)*88)/88*20</f>
        <v>26.25</v>
      </c>
      <c r="AB240" s="68">
        <f t="shared" si="30"/>
        <v>109.85</v>
      </c>
      <c r="AC240" s="68">
        <f>(VLOOKUP($A:$A,USD!$A:$AL,29,FALSE)*88)/88*20</f>
        <v>146.02272727272725</v>
      </c>
      <c r="AD240" s="68">
        <f>(VLOOKUP($A:$A,USD!$A:$AL,30,FALSE)*88)/88*20</f>
        <v>182.72727272727275</v>
      </c>
      <c r="AF240" s="68">
        <f t="shared" si="31"/>
        <v>328.75</v>
      </c>
      <c r="AG240" s="87">
        <f>(VLOOKUP($A:$A,USD!$A:$AL,33,FALSE)*88)/88*20</f>
        <v>28.814300000000003</v>
      </c>
      <c r="AH240" s="68">
        <f>(VLOOKUP($A:$A,USD!$A:$AL,34,FALSE)*88)/88*20</f>
        <v>6.973140495867769</v>
      </c>
      <c r="AI240" s="87">
        <f>(VLOOKUP($A:$A,USD!$A:$AL,35,FALSE)*88)/88*20</f>
        <v>12.587317427197677</v>
      </c>
      <c r="AJ240" s="87">
        <f>(VLOOKUP($A:$A,USD!$A:$AL,36,FALSE)*88)/88*20</f>
        <v>6.7351999999999999</v>
      </c>
      <c r="AL240" s="68">
        <f t="shared" si="32"/>
        <v>55.109957923065444</v>
      </c>
      <c r="AM240" s="87">
        <f>(VLOOKUP($A:$A,USD!$A:$AR,39,FALSE)*88)/88*20</f>
        <v>79.999999999999986</v>
      </c>
      <c r="AN240" s="68">
        <f>(VLOOKUP($A:$A,USD!$A:$AR,40,FALSE)*88)/88*20</f>
        <v>26.17808219178082</v>
      </c>
      <c r="AO240" s="1">
        <f>(VLOOKUP($A:$A,USD!$A:$AR,41,FALSE)*88)/88*20</f>
        <v>0</v>
      </c>
      <c r="AR240" s="1">
        <f t="shared" si="33"/>
        <v>106.1780821917808</v>
      </c>
      <c r="AS240" s="38">
        <f t="shared" si="34"/>
        <v>918.37288859969476</v>
      </c>
      <c r="AT240" s="38">
        <f t="shared" si="35"/>
        <v>1268.3728885996945</v>
      </c>
      <c r="AW240" s="1">
        <f>(VLOOKUP(A:A,USD!A:AT,46,FALSE)*88)/88*20</f>
        <v>565.4295454545454</v>
      </c>
      <c r="AX240" s="1">
        <f>(VLOOKUP(A:A,USD!A:AU,47,FALSE)*88)/88*20</f>
        <v>403.40909090909093</v>
      </c>
    </row>
    <row r="241" spans="1:50" hidden="1">
      <c r="A241" s="1">
        <v>304552</v>
      </c>
      <c r="B241" s="1" t="s">
        <v>569</v>
      </c>
      <c r="C241" s="1" t="s">
        <v>570</v>
      </c>
      <c r="D241" s="1" t="s">
        <v>76</v>
      </c>
      <c r="E241" s="1" t="str">
        <f>VLOOKUP(A:A,USD!A:E,5,FALSE)</f>
        <v>GA 30 Day</v>
      </c>
      <c r="F241" s="1" t="str">
        <f>VLOOKUP(A:A,USD!A:F,6,FALSE)</f>
        <v>ER5</v>
      </c>
      <c r="G241" s="1" t="str">
        <f>VLOOKUP(A:A,'Regions and Ports'!A:G,7,FALSE)</f>
        <v>Savannah</v>
      </c>
      <c r="H241" s="1">
        <f>VLOOKUP(A:A,USD!A:R,8,FALSE)</f>
        <v>4</v>
      </c>
      <c r="I241" s="87">
        <f>(VLOOKUP($A:$A,USD!$A:$AL,9,FALSE)*88)/88*20</f>
        <v>70</v>
      </c>
      <c r="J241" s="87">
        <f>(VLOOKUP($A:$A,USD!$A:$AL,10,FALSE)*88)/88*20</f>
        <v>100</v>
      </c>
      <c r="K241" s="87">
        <f>(VLOOKUP($A:$A,USD!$A:$AL,11,FALSE)*88)/88*20</f>
        <v>0</v>
      </c>
      <c r="L241" s="87">
        <f>(VLOOKUP($A:$A,USD!$A:$AL,12,FALSE)*88)/88*20</f>
        <v>0</v>
      </c>
      <c r="M241" s="87">
        <f>(VLOOKUP($A:$A,USD!$A:$AL,13,FALSE)*88)/88*20</f>
        <v>22</v>
      </c>
      <c r="N241" s="87">
        <f>(VLOOKUP($A:$A,USD!$A:$AL,14,FALSE)*88)/88*20</f>
        <v>77</v>
      </c>
      <c r="O241" s="68">
        <f>(VLOOKUP($A:$A,USD!$A:$AL,15,FALSE)*88)/88*20</f>
        <v>37.916666666666671</v>
      </c>
      <c r="P241" s="87">
        <f>(VLOOKUP($A:$A,USD!$A:$AL,16,FALSE)*88)/88*20</f>
        <v>0</v>
      </c>
      <c r="Q241" s="68">
        <f t="shared" si="27"/>
        <v>306.91666666666669</v>
      </c>
      <c r="R241" s="68">
        <f t="shared" si="28"/>
        <v>37.916666666666671</v>
      </c>
      <c r="S241" s="68">
        <f>(VLOOKUP($A:$A,USD!$A:$AL,19,FALSE)*88)/88*20</f>
        <v>0</v>
      </c>
      <c r="T241" s="68">
        <f>(VLOOKUP($A:$A,USD!$A:$AL,20,FALSE)*88)/88*20</f>
        <v>0</v>
      </c>
      <c r="U241" s="68">
        <f>(VLOOKUP($A:$A,USD!$A:$AL,21,FALSE)*88)/88*20</f>
        <v>139.95113636363635</v>
      </c>
      <c r="V241" s="68"/>
      <c r="W241" s="68">
        <f t="shared" si="29"/>
        <v>139.95113636363635</v>
      </c>
      <c r="X241" s="1">
        <f>(VLOOKUP($A:$A,USD!$A:$AL,24,FALSE)*88)/88*20</f>
        <v>52</v>
      </c>
      <c r="Y241" s="68">
        <f>(VLOOKUP($A:$A,USD!$A:$AL,25,FALSE)*88)/88*20</f>
        <v>50.4</v>
      </c>
      <c r="Z241" s="68">
        <f>(VLOOKUP($A:$A,USD!$A:$AL,26,FALSE)*88)/88*20</f>
        <v>26.25</v>
      </c>
      <c r="AB241" s="68">
        <f t="shared" si="30"/>
        <v>128.65</v>
      </c>
      <c r="AC241" s="68">
        <f>(VLOOKUP($A:$A,USD!$A:$AL,29,FALSE)*88)/88*20</f>
        <v>110.22727272727273</v>
      </c>
      <c r="AD241" s="68">
        <f>(VLOOKUP($A:$A,USD!$A:$AL,30,FALSE)*88)/88*20</f>
        <v>107.04545454545455</v>
      </c>
      <c r="AF241" s="68">
        <f t="shared" si="31"/>
        <v>217.27272727272728</v>
      </c>
      <c r="AG241" s="87">
        <f>(VLOOKUP($A:$A,USD!$A:$AL,33,FALSE)*88)/88*20</f>
        <v>28.814300000000003</v>
      </c>
      <c r="AH241" s="68">
        <f>(VLOOKUP($A:$A,USD!$A:$AL,34,FALSE)*88)/88*20</f>
        <v>6.973140495867769</v>
      </c>
      <c r="AI241" s="87">
        <f>(VLOOKUP($A:$A,USD!$A:$AL,35,FALSE)*88)/88*20</f>
        <v>12.587317427197677</v>
      </c>
      <c r="AJ241" s="87">
        <f>(VLOOKUP($A:$A,USD!$A:$AL,36,FALSE)*88)/88*20</f>
        <v>6.7351999999999999</v>
      </c>
      <c r="AL241" s="68">
        <f t="shared" si="32"/>
        <v>55.109957923065444</v>
      </c>
      <c r="AM241" s="87">
        <f>(VLOOKUP($A:$A,USD!$A:$AR,39,FALSE)*88)/88*20</f>
        <v>79.999999999999986</v>
      </c>
      <c r="AN241" s="68">
        <f>(VLOOKUP($A:$A,USD!$A:$AR,40,FALSE)*88)/88*20</f>
        <v>26.17808219178082</v>
      </c>
      <c r="AO241" s="1">
        <f>(VLOOKUP($A:$A,USD!$A:$AR,41,FALSE)*88)/88*20</f>
        <v>0</v>
      </c>
      <c r="AR241" s="1">
        <f t="shared" si="33"/>
        <v>106.1780821917808</v>
      </c>
      <c r="AS241" s="38">
        <f t="shared" si="34"/>
        <v>685.07857041787656</v>
      </c>
      <c r="AT241" s="38">
        <f t="shared" si="35"/>
        <v>954.07857041787656</v>
      </c>
      <c r="AW241" s="1">
        <f>(VLOOKUP(A:A,USD!A:AT,46,FALSE)*88)/88*20</f>
        <v>547.48409090909081</v>
      </c>
      <c r="AX241" s="1">
        <f>(VLOOKUP(A:A,USD!A:AU,47,FALSE)*88)/88*20</f>
        <v>262.9545454545455</v>
      </c>
    </row>
    <row r="242" spans="1:50" hidden="1">
      <c r="A242" s="1">
        <v>156002</v>
      </c>
      <c r="B242" s="1" t="s">
        <v>572</v>
      </c>
      <c r="C242" s="1" t="s">
        <v>573</v>
      </c>
      <c r="D242" s="1" t="s">
        <v>149</v>
      </c>
      <c r="E242" s="1" t="str">
        <f>VLOOKUP(A:A,USD!A:E,5,FALSE)</f>
        <v>Memphis Rule 5</v>
      </c>
      <c r="F242" s="1" t="str">
        <f>VLOOKUP(A:A,USD!A:F,6,FALSE)</f>
        <v>MR5</v>
      </c>
      <c r="G242" s="1" t="str">
        <f>VLOOKUP(A:A,'Regions and Ports'!A:G,7,FALSE)</f>
        <v>Memphis</v>
      </c>
      <c r="H242" s="1">
        <f>VLOOKUP(A:A,USD!A:R,8,FALSE)</f>
        <v>1</v>
      </c>
      <c r="I242" s="87">
        <f>(VLOOKUP($A:$A,USD!$A:$AL,9,FALSE)*88)/88*20</f>
        <v>30</v>
      </c>
      <c r="J242" s="87">
        <f>(VLOOKUP($A:$A,USD!$A:$AL,10,FALSE)*88)/88*20</f>
        <v>205</v>
      </c>
      <c r="K242" s="87">
        <f>(VLOOKUP($A:$A,USD!$A:$AL,11,FALSE)*88)/88*20</f>
        <v>160</v>
      </c>
      <c r="L242" s="87">
        <f>(VLOOKUP($A:$A,USD!$A:$AL,12,FALSE)*88)/88*20</f>
        <v>0</v>
      </c>
      <c r="M242" s="87">
        <f>(VLOOKUP($A:$A,USD!$A:$AL,13,FALSE)*88)/88*20</f>
        <v>0</v>
      </c>
      <c r="N242" s="87">
        <f>(VLOOKUP($A:$A,USD!$A:$AL,14,FALSE)*88)/88*20</f>
        <v>60</v>
      </c>
      <c r="O242" s="68">
        <f>(VLOOKUP($A:$A,USD!$A:$AL,15,FALSE)*88)/88*20</f>
        <v>37.916666666666671</v>
      </c>
      <c r="P242" s="87">
        <f>(VLOOKUP($A:$A,USD!$A:$AL,16,FALSE)*88)/88*20</f>
        <v>0</v>
      </c>
      <c r="Q242" s="68">
        <f t="shared" si="27"/>
        <v>492.91666666666669</v>
      </c>
      <c r="R242" s="68">
        <f t="shared" si="28"/>
        <v>97.916666666666671</v>
      </c>
      <c r="S242" s="68">
        <f>(VLOOKUP($A:$A,USD!$A:$AL,19,FALSE)*88)/88*20</f>
        <v>0</v>
      </c>
      <c r="T242" s="68">
        <f>(VLOOKUP($A:$A,USD!$A:$AL,20,FALSE)*88)/88*20</f>
        <v>0</v>
      </c>
      <c r="U242" s="68">
        <f>(VLOOKUP($A:$A,USD!$A:$AL,21,FALSE)*88)/88*20</f>
        <v>166.47727272727275</v>
      </c>
      <c r="V242" s="68"/>
      <c r="W242" s="68">
        <f t="shared" si="29"/>
        <v>166.47727272727275</v>
      </c>
      <c r="X242" s="1">
        <f>(VLOOKUP($A:$A,USD!$A:$AL,24,FALSE)*88)/88*20</f>
        <v>50</v>
      </c>
      <c r="Y242" s="68">
        <f>(VLOOKUP($A:$A,USD!$A:$AL,25,FALSE)*88)/88*20</f>
        <v>33.6</v>
      </c>
      <c r="Z242" s="68">
        <f>(VLOOKUP($A:$A,USD!$A:$AL,26,FALSE)*88)/88*20</f>
        <v>26.25</v>
      </c>
      <c r="AB242" s="68">
        <f t="shared" si="30"/>
        <v>109.85</v>
      </c>
      <c r="AC242" s="68">
        <f>(VLOOKUP($A:$A,USD!$A:$AL,29,FALSE)*88)/88*20</f>
        <v>146.02272727272725</v>
      </c>
      <c r="AD242" s="68">
        <f>(VLOOKUP($A:$A,USD!$A:$AL,30,FALSE)*88)/88*20</f>
        <v>182.72727272727275</v>
      </c>
      <c r="AF242" s="68">
        <f t="shared" si="31"/>
        <v>328.75</v>
      </c>
      <c r="AG242" s="87">
        <f>(VLOOKUP($A:$A,USD!$A:$AL,33,FALSE)*88)/88*20</f>
        <v>28.814300000000003</v>
      </c>
      <c r="AH242" s="68">
        <f>(VLOOKUP($A:$A,USD!$A:$AL,34,FALSE)*88)/88*20</f>
        <v>6.973140495867769</v>
      </c>
      <c r="AI242" s="87">
        <f>(VLOOKUP($A:$A,USD!$A:$AL,35,FALSE)*88)/88*20</f>
        <v>12.587317427197677</v>
      </c>
      <c r="AJ242" s="87">
        <f>(VLOOKUP($A:$A,USD!$A:$AL,36,FALSE)*88)/88*20</f>
        <v>6.7351999999999999</v>
      </c>
      <c r="AL242" s="68">
        <f t="shared" si="32"/>
        <v>55.109957923065444</v>
      </c>
      <c r="AM242" s="87">
        <f>(VLOOKUP($A:$A,USD!$A:$AR,39,FALSE)*88)/88*20</f>
        <v>79.999999999999986</v>
      </c>
      <c r="AN242" s="68">
        <f>(VLOOKUP($A:$A,USD!$A:$AR,40,FALSE)*88)/88*20</f>
        <v>26.17808219178082</v>
      </c>
      <c r="AO242" s="1">
        <f>(VLOOKUP($A:$A,USD!$A:$AR,41,FALSE)*88)/88*20</f>
        <v>0</v>
      </c>
      <c r="AR242" s="1">
        <f t="shared" si="33"/>
        <v>106.1780821917808</v>
      </c>
      <c r="AS242" s="38">
        <f t="shared" si="34"/>
        <v>864.28197950878564</v>
      </c>
      <c r="AT242" s="38">
        <f t="shared" si="35"/>
        <v>1259.2819795087855</v>
      </c>
      <c r="AW242" s="1" t="e">
        <f>(VLOOKUP(A:A,USD!A:AT,46,FALSE)*88)/88*20</f>
        <v>#N/A</v>
      </c>
      <c r="AX242" s="1">
        <f>(VLOOKUP(A:A,USD!A:AU,47,FALSE)*88)/88*20</f>
        <v>481.47727272727275</v>
      </c>
    </row>
    <row r="243" spans="1:50" hidden="1">
      <c r="A243" s="1">
        <v>291000</v>
      </c>
      <c r="B243" s="1" t="s">
        <v>575</v>
      </c>
      <c r="C243" s="1" t="s">
        <v>576</v>
      </c>
      <c r="D243" s="1" t="s">
        <v>76</v>
      </c>
      <c r="E243" s="1" t="str">
        <f>VLOOKUP(A:A,USD!A:E,5,FALSE)</f>
        <v>GA 30 Day</v>
      </c>
      <c r="F243" s="1" t="str">
        <f>VLOOKUP(A:A,USD!A:F,6,FALSE)</f>
        <v>ER5</v>
      </c>
      <c r="G243" s="1" t="str">
        <f>VLOOKUP(A:A,'Regions and Ports'!A:G,7,FALSE)</f>
        <v>Savannah</v>
      </c>
      <c r="H243" s="1">
        <f>VLOOKUP(A:A,USD!A:R,8,FALSE)</f>
        <v>4</v>
      </c>
      <c r="I243" s="87">
        <f>(VLOOKUP($A:$A,USD!$A:$AL,9,FALSE)*88)/88*20</f>
        <v>120</v>
      </c>
      <c r="J243" s="87">
        <f>(VLOOKUP($A:$A,USD!$A:$AL,10,FALSE)*88)/88*20</f>
        <v>80</v>
      </c>
      <c r="K243" s="87">
        <f>(VLOOKUP($A:$A,USD!$A:$AL,11,FALSE)*88)/88*20</f>
        <v>0</v>
      </c>
      <c r="L243" s="87">
        <f>(VLOOKUP($A:$A,USD!$A:$AL,12,FALSE)*88)/88*20</f>
        <v>0</v>
      </c>
      <c r="M243" s="87">
        <f>(VLOOKUP($A:$A,USD!$A:$AL,13,FALSE)*88)/88*20</f>
        <v>20</v>
      </c>
      <c r="N243" s="87">
        <f>(VLOOKUP($A:$A,USD!$A:$AL,14,FALSE)*88)/88*20</f>
        <v>55</v>
      </c>
      <c r="O243" s="68">
        <f>(VLOOKUP($A:$A,USD!$A:$AL,15,FALSE)*88)/88*20</f>
        <v>37.916666666666671</v>
      </c>
      <c r="P243" s="87">
        <f>(VLOOKUP($A:$A,USD!$A:$AL,16,FALSE)*88)/88*20</f>
        <v>0</v>
      </c>
      <c r="Q243" s="68">
        <f t="shared" si="27"/>
        <v>312.91666666666669</v>
      </c>
      <c r="R243" s="68">
        <f t="shared" si="28"/>
        <v>37.916666666666671</v>
      </c>
      <c r="S243" s="68">
        <f>(VLOOKUP($A:$A,USD!$A:$AL,19,FALSE)*88)/88*20</f>
        <v>0</v>
      </c>
      <c r="T243" s="68">
        <f>(VLOOKUP($A:$A,USD!$A:$AL,20,FALSE)*88)/88*20</f>
        <v>0</v>
      </c>
      <c r="U243" s="68">
        <f>(VLOOKUP($A:$A,USD!$A:$AL,21,FALSE)*88)/88*20</f>
        <v>225.39090909090908</v>
      </c>
      <c r="V243" s="68"/>
      <c r="W243" s="68">
        <f t="shared" si="29"/>
        <v>225.39090909090908</v>
      </c>
      <c r="X243" s="1">
        <f>(VLOOKUP($A:$A,USD!$A:$AL,24,FALSE)*88)/88*20</f>
        <v>52</v>
      </c>
      <c r="Y243" s="68">
        <f>(VLOOKUP($A:$A,USD!$A:$AL,25,FALSE)*88)/88*20</f>
        <v>50.4</v>
      </c>
      <c r="Z243" s="68">
        <f>(VLOOKUP($A:$A,USD!$A:$AL,26,FALSE)*88)/88*20</f>
        <v>26.25</v>
      </c>
      <c r="AB243" s="68">
        <f t="shared" si="30"/>
        <v>128.65</v>
      </c>
      <c r="AC243" s="68">
        <f>(VLOOKUP($A:$A,USD!$A:$AL,29,FALSE)*88)/88*20</f>
        <v>110.22727272727273</v>
      </c>
      <c r="AD243" s="68">
        <f>(VLOOKUP($A:$A,USD!$A:$AL,30,FALSE)*88)/88*20</f>
        <v>107.04545454545455</v>
      </c>
      <c r="AF243" s="68">
        <f t="shared" si="31"/>
        <v>217.27272727272728</v>
      </c>
      <c r="AG243" s="87">
        <f>(VLOOKUP($A:$A,USD!$A:$AL,33,FALSE)*88)/88*20</f>
        <v>28.814300000000003</v>
      </c>
      <c r="AH243" s="68">
        <f>(VLOOKUP($A:$A,USD!$A:$AL,34,FALSE)*88)/88*20</f>
        <v>6.973140495867769</v>
      </c>
      <c r="AI243" s="87">
        <f>(VLOOKUP($A:$A,USD!$A:$AL,35,FALSE)*88)/88*20</f>
        <v>12.587317427197677</v>
      </c>
      <c r="AJ243" s="87">
        <f>(VLOOKUP($A:$A,USD!$A:$AL,36,FALSE)*88)/88*20</f>
        <v>6.7351999999999999</v>
      </c>
      <c r="AL243" s="68">
        <f t="shared" si="32"/>
        <v>55.109957923065444</v>
      </c>
      <c r="AM243" s="87">
        <f>(VLOOKUP($A:$A,USD!$A:$AR,39,FALSE)*88)/88*20</f>
        <v>79.999999999999986</v>
      </c>
      <c r="AN243" s="68">
        <f>(VLOOKUP($A:$A,USD!$A:$AR,40,FALSE)*88)/88*20</f>
        <v>26.17808219178082</v>
      </c>
      <c r="AO243" s="1">
        <f>(VLOOKUP($A:$A,USD!$A:$AR,41,FALSE)*88)/88*20</f>
        <v>0</v>
      </c>
      <c r="AR243" s="1">
        <f t="shared" si="33"/>
        <v>106.1780821917808</v>
      </c>
      <c r="AS243" s="38">
        <f t="shared" si="34"/>
        <v>770.51834314514929</v>
      </c>
      <c r="AT243" s="38">
        <f t="shared" si="35"/>
        <v>1045.5183431451492</v>
      </c>
      <c r="AW243" s="1">
        <f>(VLOOKUP(A:A,USD!A:AT,46,FALSE)*88)/88*20</f>
        <v>472.49772727272722</v>
      </c>
      <c r="AX243" s="1">
        <f>(VLOOKUP(A:A,USD!A:AU,47,FALSE)*88)/88*20</f>
        <v>319.88636363636363</v>
      </c>
    </row>
    <row r="244" spans="1:50" hidden="1">
      <c r="A244" s="1">
        <v>304495</v>
      </c>
      <c r="B244" s="1" t="s">
        <v>577</v>
      </c>
      <c r="C244" s="1" t="s">
        <v>576</v>
      </c>
      <c r="D244" s="1" t="s">
        <v>76</v>
      </c>
      <c r="E244" s="1" t="str">
        <f>VLOOKUP(A:A,USD!A:E,5,FALSE)</f>
        <v>GA 30 Day</v>
      </c>
      <c r="F244" s="1" t="str">
        <f>VLOOKUP(A:A,USD!A:F,6,FALSE)</f>
        <v>ER5</v>
      </c>
      <c r="G244" s="1" t="str">
        <f>VLOOKUP(A:A,'Regions and Ports'!A:G,7,FALSE)</f>
        <v>Savannah</v>
      </c>
      <c r="H244" s="1">
        <f>VLOOKUP(A:A,USD!A:R,8,FALSE)</f>
        <v>4</v>
      </c>
      <c r="I244" s="87">
        <f>(VLOOKUP($A:$A,USD!$A:$AL,9,FALSE)*88)/88*20</f>
        <v>0</v>
      </c>
      <c r="J244" s="87">
        <f>(VLOOKUP($A:$A,USD!$A:$AL,10,FALSE)*88)/88*20</f>
        <v>0</v>
      </c>
      <c r="K244" s="87">
        <f>(VLOOKUP($A:$A,USD!$A:$AL,11,FALSE)*88)/88*20</f>
        <v>0</v>
      </c>
      <c r="L244" s="87">
        <f>(VLOOKUP($A:$A,USD!$A:$AL,12,FALSE)*88)/88*20</f>
        <v>0</v>
      </c>
      <c r="M244" s="87">
        <f>(VLOOKUP($A:$A,USD!$A:$AL,13,FALSE)*88)/88*20</f>
        <v>15</v>
      </c>
      <c r="N244" s="87">
        <f>(VLOOKUP($A:$A,USD!$A:$AL,14,FALSE)*88)/88*20</f>
        <v>50</v>
      </c>
      <c r="O244" s="68">
        <f>(VLOOKUP($A:$A,USD!$A:$AL,15,FALSE)*88)/88*20</f>
        <v>37.916666666666671</v>
      </c>
      <c r="P244" s="87">
        <f>(VLOOKUP($A:$A,USD!$A:$AL,16,FALSE)*88)/88*20</f>
        <v>0</v>
      </c>
      <c r="Q244" s="68">
        <f t="shared" si="27"/>
        <v>102.91666666666667</v>
      </c>
      <c r="R244" s="68">
        <f t="shared" si="28"/>
        <v>37.916666666666671</v>
      </c>
      <c r="S244" s="68">
        <f>(VLOOKUP($A:$A,USD!$A:$AL,19,FALSE)*88)/88*20</f>
        <v>0</v>
      </c>
      <c r="T244" s="68">
        <f>(VLOOKUP($A:$A,USD!$A:$AL,20,FALSE)*88)/88*20</f>
        <v>56.818181818181813</v>
      </c>
      <c r="U244" s="68">
        <f>(VLOOKUP($A:$A,USD!$A:$AL,21,FALSE)*88)/88*20</f>
        <v>225.39090909090908</v>
      </c>
      <c r="V244" s="68"/>
      <c r="W244" s="68">
        <f t="shared" si="29"/>
        <v>282.20909090909089</v>
      </c>
      <c r="X244" s="1">
        <f>(VLOOKUP($A:$A,USD!$A:$AL,24,FALSE)*88)/88*20</f>
        <v>52</v>
      </c>
      <c r="Y244" s="68">
        <f>(VLOOKUP($A:$A,USD!$A:$AL,25,FALSE)*88)/88*20</f>
        <v>50.4</v>
      </c>
      <c r="Z244" s="68">
        <f>(VLOOKUP($A:$A,USD!$A:$AL,26,FALSE)*88)/88*20</f>
        <v>26.25</v>
      </c>
      <c r="AB244" s="68">
        <f t="shared" si="30"/>
        <v>128.65</v>
      </c>
      <c r="AC244" s="68">
        <f>(VLOOKUP($A:$A,USD!$A:$AL,29,FALSE)*88)/88*20</f>
        <v>110.22727272727273</v>
      </c>
      <c r="AD244" s="68">
        <f>(VLOOKUP($A:$A,USD!$A:$AL,30,FALSE)*88)/88*20</f>
        <v>107.04545454545455</v>
      </c>
      <c r="AF244" s="68">
        <f t="shared" si="31"/>
        <v>217.27272727272728</v>
      </c>
      <c r="AG244" s="87">
        <f>(VLOOKUP($A:$A,USD!$A:$AL,33,FALSE)*88)/88*20</f>
        <v>28.814300000000003</v>
      </c>
      <c r="AH244" s="68">
        <f>(VLOOKUP($A:$A,USD!$A:$AL,34,FALSE)*88)/88*20</f>
        <v>6.973140495867769</v>
      </c>
      <c r="AI244" s="87">
        <f>(VLOOKUP($A:$A,USD!$A:$AL,35,FALSE)*88)/88*20</f>
        <v>12.587317427197677</v>
      </c>
      <c r="AJ244" s="87">
        <f>(VLOOKUP($A:$A,USD!$A:$AL,36,FALSE)*88)/88*20</f>
        <v>6.7351999999999999</v>
      </c>
      <c r="AL244" s="68">
        <f t="shared" si="32"/>
        <v>55.109957923065444</v>
      </c>
      <c r="AM244" s="87">
        <f>(VLOOKUP($A:$A,USD!$A:$AR,39,FALSE)*88)/88*20</f>
        <v>79.999999999999986</v>
      </c>
      <c r="AN244" s="68">
        <f>(VLOOKUP($A:$A,USD!$A:$AR,40,FALSE)*88)/88*20</f>
        <v>26.17808219178082</v>
      </c>
      <c r="AO244" s="1">
        <f>(VLOOKUP($A:$A,USD!$A:$AR,41,FALSE)*88)/88*20</f>
        <v>0</v>
      </c>
      <c r="AR244" s="1">
        <f t="shared" si="33"/>
        <v>106.1780821917808</v>
      </c>
      <c r="AS244" s="38">
        <f t="shared" si="34"/>
        <v>827.33652496333104</v>
      </c>
      <c r="AT244" s="38">
        <f t="shared" si="35"/>
        <v>892.33652496333104</v>
      </c>
      <c r="AW244" s="1">
        <f>(VLOOKUP(A:A,USD!A:AT,46,FALSE)*88)/88*20</f>
        <v>472.49772727272722</v>
      </c>
      <c r="AX244" s="1">
        <f>(VLOOKUP(A:A,USD!A:AU,47,FALSE)*88)/88*20</f>
        <v>319.88636363636363</v>
      </c>
    </row>
    <row r="245" spans="1:50" hidden="1">
      <c r="A245" s="1">
        <v>304501</v>
      </c>
      <c r="B245" s="1" t="s">
        <v>578</v>
      </c>
      <c r="C245" s="1" t="s">
        <v>576</v>
      </c>
      <c r="D245" s="1" t="s">
        <v>76</v>
      </c>
      <c r="E245" s="1" t="str">
        <f>VLOOKUP(A:A,USD!A:E,5,FALSE)</f>
        <v>GA 30 Day</v>
      </c>
      <c r="F245" s="1" t="str">
        <f>VLOOKUP(A:A,USD!A:F,6,FALSE)</f>
        <v>ER5</v>
      </c>
      <c r="G245" s="1" t="str">
        <f>VLOOKUP(A:A,'Regions and Ports'!A:G,7,FALSE)</f>
        <v>Savannah</v>
      </c>
      <c r="H245" s="1">
        <f>VLOOKUP(A:A,USD!A:R,8,FALSE)</f>
        <v>4</v>
      </c>
      <c r="I245" s="87">
        <f>(VLOOKUP($A:$A,USD!$A:$AL,9,FALSE)*88)/88*20</f>
        <v>60</v>
      </c>
      <c r="J245" s="87">
        <f>(VLOOKUP($A:$A,USD!$A:$AL,10,FALSE)*88)/88*20</f>
        <v>100</v>
      </c>
      <c r="K245" s="87">
        <f>(VLOOKUP($A:$A,USD!$A:$AL,11,FALSE)*88)/88*20</f>
        <v>0</v>
      </c>
      <c r="L245" s="87">
        <f>(VLOOKUP($A:$A,USD!$A:$AL,12,FALSE)*88)/88*20</f>
        <v>0</v>
      </c>
      <c r="M245" s="87">
        <f>(VLOOKUP($A:$A,USD!$A:$AL,13,FALSE)*88)/88*20</f>
        <v>40</v>
      </c>
      <c r="N245" s="87">
        <f>(VLOOKUP($A:$A,USD!$A:$AL,14,FALSE)*88)/88*20</f>
        <v>60</v>
      </c>
      <c r="O245" s="68">
        <f>(VLOOKUP($A:$A,USD!$A:$AL,15,FALSE)*88)/88*20</f>
        <v>37.916666666666671</v>
      </c>
      <c r="P245" s="87">
        <f>(VLOOKUP($A:$A,USD!$A:$AL,16,FALSE)*88)/88*20</f>
        <v>0</v>
      </c>
      <c r="Q245" s="68">
        <f t="shared" si="27"/>
        <v>297.91666666666669</v>
      </c>
      <c r="R245" s="68">
        <f t="shared" si="28"/>
        <v>37.916666666666671</v>
      </c>
      <c r="S245" s="68">
        <f>(VLOOKUP($A:$A,USD!$A:$AL,19,FALSE)*88)/88*20</f>
        <v>0</v>
      </c>
      <c r="T245" s="68">
        <f>(VLOOKUP($A:$A,USD!$A:$AL,20,FALSE)*88)/88*20</f>
        <v>0</v>
      </c>
      <c r="U245" s="68">
        <f>(VLOOKUP($A:$A,USD!$A:$AL,21,FALSE)*88)/88*20</f>
        <v>225.39090909090908</v>
      </c>
      <c r="V245" s="68"/>
      <c r="W245" s="68">
        <f t="shared" si="29"/>
        <v>225.39090909090908</v>
      </c>
      <c r="X245" s="1">
        <f>(VLOOKUP($A:$A,USD!$A:$AL,24,FALSE)*88)/88*20</f>
        <v>52</v>
      </c>
      <c r="Y245" s="68">
        <f>(VLOOKUP($A:$A,USD!$A:$AL,25,FALSE)*88)/88*20</f>
        <v>50.4</v>
      </c>
      <c r="Z245" s="68">
        <f>(VLOOKUP($A:$A,USD!$A:$AL,26,FALSE)*88)/88*20</f>
        <v>26.25</v>
      </c>
      <c r="AB245" s="68">
        <f t="shared" si="30"/>
        <v>128.65</v>
      </c>
      <c r="AC245" s="68">
        <f>(VLOOKUP($A:$A,USD!$A:$AL,29,FALSE)*88)/88*20</f>
        <v>110.22727272727273</v>
      </c>
      <c r="AD245" s="68">
        <f>(VLOOKUP($A:$A,USD!$A:$AL,30,FALSE)*88)/88*20</f>
        <v>107.04545454545455</v>
      </c>
      <c r="AF245" s="68">
        <f t="shared" si="31"/>
        <v>217.27272727272728</v>
      </c>
      <c r="AG245" s="87">
        <f>(VLOOKUP($A:$A,USD!$A:$AL,33,FALSE)*88)/88*20</f>
        <v>28.814300000000003</v>
      </c>
      <c r="AH245" s="68">
        <f>(VLOOKUP($A:$A,USD!$A:$AL,34,FALSE)*88)/88*20</f>
        <v>6.973140495867769</v>
      </c>
      <c r="AI245" s="87">
        <f>(VLOOKUP($A:$A,USD!$A:$AL,35,FALSE)*88)/88*20</f>
        <v>12.587317427197677</v>
      </c>
      <c r="AJ245" s="87">
        <f>(VLOOKUP($A:$A,USD!$A:$AL,36,FALSE)*88)/88*20</f>
        <v>6.7351999999999999</v>
      </c>
      <c r="AL245" s="68">
        <f t="shared" si="32"/>
        <v>55.109957923065444</v>
      </c>
      <c r="AM245" s="87">
        <f>(VLOOKUP($A:$A,USD!$A:$AR,39,FALSE)*88)/88*20</f>
        <v>79.999999999999986</v>
      </c>
      <c r="AN245" s="68">
        <f>(VLOOKUP($A:$A,USD!$A:$AR,40,FALSE)*88)/88*20</f>
        <v>26.17808219178082</v>
      </c>
      <c r="AO245" s="1">
        <f>(VLOOKUP($A:$A,USD!$A:$AR,41,FALSE)*88)/88*20</f>
        <v>0</v>
      </c>
      <c r="AR245" s="1">
        <f t="shared" si="33"/>
        <v>106.1780821917808</v>
      </c>
      <c r="AS245" s="38">
        <f t="shared" si="34"/>
        <v>770.51834314514929</v>
      </c>
      <c r="AT245" s="38">
        <f t="shared" si="35"/>
        <v>1030.5183431451492</v>
      </c>
      <c r="AW245" s="1">
        <f>(VLOOKUP(A:A,USD!A:AT,46,FALSE)*88)/88*20</f>
        <v>472.49772727272722</v>
      </c>
      <c r="AX245" s="1">
        <f>(VLOOKUP(A:A,USD!A:AU,47,FALSE)*88)/88*20</f>
        <v>319.88636363636363</v>
      </c>
    </row>
    <row r="246" spans="1:50" hidden="1">
      <c r="A246" s="1">
        <v>587875</v>
      </c>
      <c r="B246" s="1" t="s">
        <v>579</v>
      </c>
      <c r="C246" s="1" t="s">
        <v>580</v>
      </c>
      <c r="D246" s="1" t="s">
        <v>136</v>
      </c>
      <c r="E246" s="1" t="str">
        <f>VLOOKUP(A:A,USD!A:E,5,FALSE)</f>
        <v>Eastern Rule 5</v>
      </c>
      <c r="F246" s="1" t="str">
        <f>VLOOKUP(A:A,USD!A:F,6,FALSE)</f>
        <v>ER5</v>
      </c>
      <c r="G246" s="1" t="str">
        <f>VLOOKUP(A:A,'Regions and Ports'!A:G,7,FALSE)</f>
        <v>Savannah</v>
      </c>
      <c r="H246" s="1">
        <f>VLOOKUP(A:A,USD!A:R,8,FALSE)</f>
        <v>1</v>
      </c>
      <c r="I246" s="87">
        <f>(VLOOKUP($A:$A,USD!$A:$AL,9,FALSE)*88)/88*20</f>
        <v>80</v>
      </c>
      <c r="J246" s="87">
        <f>(VLOOKUP($A:$A,USD!$A:$AL,10,FALSE)*88)/88*20</f>
        <v>90</v>
      </c>
      <c r="K246" s="87">
        <f>(VLOOKUP($A:$A,USD!$A:$AL,11,FALSE)*88)/88*20</f>
        <v>0</v>
      </c>
      <c r="L246" s="87">
        <f>(VLOOKUP($A:$A,USD!$A:$AL,12,FALSE)*88)/88*20</f>
        <v>0</v>
      </c>
      <c r="M246" s="87">
        <f>(VLOOKUP($A:$A,USD!$A:$AL,13,FALSE)*88)/88*20</f>
        <v>10</v>
      </c>
      <c r="N246" s="87">
        <f>(VLOOKUP($A:$A,USD!$A:$AL,14,FALSE)*88)/88*20</f>
        <v>34</v>
      </c>
      <c r="O246" s="68">
        <f>(VLOOKUP($A:$A,USD!$A:$AL,15,FALSE)*88)/88*20</f>
        <v>37.916666666666671</v>
      </c>
      <c r="P246" s="87">
        <f>(VLOOKUP($A:$A,USD!$A:$AL,16,FALSE)*88)/88*20</f>
        <v>0</v>
      </c>
      <c r="Q246" s="68">
        <f t="shared" si="27"/>
        <v>251.91666666666669</v>
      </c>
      <c r="R246" s="68">
        <f t="shared" si="28"/>
        <v>71.916666666666671</v>
      </c>
      <c r="S246" s="68">
        <f>(VLOOKUP($A:$A,USD!$A:$AL,19,FALSE)*88)/88*20</f>
        <v>0</v>
      </c>
      <c r="T246" s="68">
        <f>(VLOOKUP($A:$A,USD!$A:$AL,20,FALSE)*88)/88*20</f>
        <v>0</v>
      </c>
      <c r="U246" s="68">
        <f>(VLOOKUP($A:$A,USD!$A:$AL,21,FALSE)*88)/88*20</f>
        <v>300.65056818181824</v>
      </c>
      <c r="V246" s="68"/>
      <c r="W246" s="68">
        <f t="shared" si="29"/>
        <v>300.65056818181824</v>
      </c>
      <c r="X246" s="1">
        <f>(VLOOKUP($A:$A,USD!$A:$AL,24,FALSE)*88)/88*20</f>
        <v>52</v>
      </c>
      <c r="Y246" s="68">
        <f>(VLOOKUP($A:$A,USD!$A:$AL,25,FALSE)*88)/88*20</f>
        <v>50.4</v>
      </c>
      <c r="Z246" s="68">
        <f>(VLOOKUP($A:$A,USD!$A:$AL,26,FALSE)*88)/88*20</f>
        <v>26.25</v>
      </c>
      <c r="AB246" s="68">
        <f t="shared" si="30"/>
        <v>128.65</v>
      </c>
      <c r="AC246" s="68">
        <f>(VLOOKUP($A:$A,USD!$A:$AL,29,FALSE)*88)/88*20</f>
        <v>110.22727272727273</v>
      </c>
      <c r="AD246" s="68">
        <f>(VLOOKUP($A:$A,USD!$A:$AL,30,FALSE)*88)/88*20</f>
        <v>107.04545454545455</v>
      </c>
      <c r="AF246" s="68">
        <f t="shared" si="31"/>
        <v>217.27272727272728</v>
      </c>
      <c r="AG246" s="87">
        <f>(VLOOKUP($A:$A,USD!$A:$AL,33,FALSE)*88)/88*20</f>
        <v>28.814300000000003</v>
      </c>
      <c r="AH246" s="68">
        <f>(VLOOKUP($A:$A,USD!$A:$AL,34,FALSE)*88)/88*20</f>
        <v>6.973140495867769</v>
      </c>
      <c r="AI246" s="87">
        <f>(VLOOKUP($A:$A,USD!$A:$AL,35,FALSE)*88)/88*20</f>
        <v>12.587317427197677</v>
      </c>
      <c r="AJ246" s="87">
        <f>(VLOOKUP($A:$A,USD!$A:$AL,36,FALSE)*88)/88*20</f>
        <v>6.7351999999999999</v>
      </c>
      <c r="AL246" s="68">
        <f t="shared" si="32"/>
        <v>55.109957923065444</v>
      </c>
      <c r="AM246" s="87">
        <f>(VLOOKUP($A:$A,USD!$A:$AR,39,FALSE)*88)/88*20</f>
        <v>79.999999999999986</v>
      </c>
      <c r="AN246" s="68">
        <f>(VLOOKUP($A:$A,USD!$A:$AR,40,FALSE)*88)/88*20</f>
        <v>26.17808219178082</v>
      </c>
      <c r="AO246" s="1">
        <f>(VLOOKUP($A:$A,USD!$A:$AR,41,FALSE)*88)/88*20</f>
        <v>0</v>
      </c>
      <c r="AR246" s="1">
        <f t="shared" si="33"/>
        <v>106.1780821917808</v>
      </c>
      <c r="AS246" s="38">
        <f t="shared" si="34"/>
        <v>879.77800223605846</v>
      </c>
      <c r="AT246" s="38">
        <f t="shared" si="35"/>
        <v>1059.7780022360585</v>
      </c>
      <c r="AW246" s="1" t="e">
        <f>(VLOOKUP(A:A,USD!A:AT,46,FALSE)*88)/88*20</f>
        <v>#N/A</v>
      </c>
      <c r="AX246" s="1">
        <f>(VLOOKUP(A:A,USD!A:AU,47,FALSE)*88)/88*20</f>
        <v>265</v>
      </c>
    </row>
    <row r="247" spans="1:50" hidden="1">
      <c r="A247" s="1">
        <v>555225</v>
      </c>
      <c r="B247" s="1" t="s">
        <v>582</v>
      </c>
      <c r="C247" s="1" t="s">
        <v>583</v>
      </c>
      <c r="D247" s="1" t="s">
        <v>136</v>
      </c>
      <c r="E247" s="1" t="str">
        <f>VLOOKUP(A:A,USD!A:E,5,FALSE)</f>
        <v>Eastern Rule 5</v>
      </c>
      <c r="F247" s="1" t="str">
        <f>VLOOKUP(A:A,USD!A:F,6,FALSE)</f>
        <v>ER5</v>
      </c>
      <c r="G247" s="1" t="str">
        <f>VLOOKUP(A:A,'Regions and Ports'!A:G,7,FALSE)</f>
        <v>Savannah</v>
      </c>
      <c r="H247" s="1">
        <f>VLOOKUP(A:A,USD!A:R,8,FALSE)</f>
        <v>1</v>
      </c>
      <c r="I247" s="87">
        <f>(VLOOKUP($A:$A,USD!$A:$AL,9,FALSE)*88)/88*20</f>
        <v>67</v>
      </c>
      <c r="J247" s="87">
        <f>(VLOOKUP($A:$A,USD!$A:$AL,10,FALSE)*88)/88*20</f>
        <v>80</v>
      </c>
      <c r="K247" s="87">
        <f>(VLOOKUP($A:$A,USD!$A:$AL,11,FALSE)*88)/88*20</f>
        <v>0</v>
      </c>
      <c r="L247" s="87">
        <f>(VLOOKUP($A:$A,USD!$A:$AL,12,FALSE)*88)/88*20</f>
        <v>0</v>
      </c>
      <c r="M247" s="87">
        <f>(VLOOKUP($A:$A,USD!$A:$AL,13,FALSE)*88)/88*20</f>
        <v>0</v>
      </c>
      <c r="N247" s="87">
        <f>(VLOOKUP($A:$A,USD!$A:$AL,14,FALSE)*88)/88*20</f>
        <v>50</v>
      </c>
      <c r="O247" s="68">
        <f>(VLOOKUP($A:$A,USD!$A:$AL,15,FALSE)*88)/88*20</f>
        <v>37.916666666666671</v>
      </c>
      <c r="P247" s="87">
        <f>(VLOOKUP($A:$A,USD!$A:$AL,16,FALSE)*88)/88*20</f>
        <v>0</v>
      </c>
      <c r="Q247" s="68">
        <f t="shared" si="27"/>
        <v>234.91666666666669</v>
      </c>
      <c r="R247" s="68">
        <f t="shared" si="28"/>
        <v>87.916666666666671</v>
      </c>
      <c r="S247" s="68">
        <f>(VLOOKUP($A:$A,USD!$A:$AL,19,FALSE)*88)/88*20</f>
        <v>0</v>
      </c>
      <c r="T247" s="68">
        <f>(VLOOKUP($A:$A,USD!$A:$AL,20,FALSE)*88)/88*20</f>
        <v>0</v>
      </c>
      <c r="U247" s="68">
        <f>(VLOOKUP($A:$A,USD!$A:$AL,21,FALSE)*88)/88*20</f>
        <v>221.28863636363636</v>
      </c>
      <c r="V247" s="68"/>
      <c r="W247" s="68">
        <f t="shared" si="29"/>
        <v>221.28863636363636</v>
      </c>
      <c r="X247" s="1">
        <f>(VLOOKUP($A:$A,USD!$A:$AL,24,FALSE)*88)/88*20</f>
        <v>52</v>
      </c>
      <c r="Y247" s="68">
        <f>(VLOOKUP($A:$A,USD!$A:$AL,25,FALSE)*88)/88*20</f>
        <v>50.4</v>
      </c>
      <c r="Z247" s="68">
        <f>(VLOOKUP($A:$A,USD!$A:$AL,26,FALSE)*88)/88*20</f>
        <v>26.25</v>
      </c>
      <c r="AB247" s="68">
        <f t="shared" si="30"/>
        <v>128.65</v>
      </c>
      <c r="AC247" s="68">
        <f>(VLOOKUP($A:$A,USD!$A:$AL,29,FALSE)*88)/88*20</f>
        <v>110.22727272727273</v>
      </c>
      <c r="AD247" s="68">
        <f>(VLOOKUP($A:$A,USD!$A:$AL,30,FALSE)*88)/88*20</f>
        <v>107.04545454545455</v>
      </c>
      <c r="AF247" s="68">
        <f t="shared" si="31"/>
        <v>217.27272727272728</v>
      </c>
      <c r="AG247" s="87">
        <f>(VLOOKUP($A:$A,USD!$A:$AL,33,FALSE)*88)/88*20</f>
        <v>28.814300000000003</v>
      </c>
      <c r="AH247" s="68">
        <f>(VLOOKUP($A:$A,USD!$A:$AL,34,FALSE)*88)/88*20</f>
        <v>6.973140495867769</v>
      </c>
      <c r="AI247" s="87">
        <f>(VLOOKUP($A:$A,USD!$A:$AL,35,FALSE)*88)/88*20</f>
        <v>12.587317427197677</v>
      </c>
      <c r="AJ247" s="87">
        <f>(VLOOKUP($A:$A,USD!$A:$AL,36,FALSE)*88)/88*20</f>
        <v>6.7351999999999999</v>
      </c>
      <c r="AL247" s="68">
        <f t="shared" si="32"/>
        <v>55.109957923065444</v>
      </c>
      <c r="AM247" s="87">
        <f>(VLOOKUP($A:$A,USD!$A:$AR,39,FALSE)*88)/88*20</f>
        <v>79.999999999999986</v>
      </c>
      <c r="AN247" s="68">
        <f>(VLOOKUP($A:$A,USD!$A:$AR,40,FALSE)*88)/88*20</f>
        <v>26.17808219178082</v>
      </c>
      <c r="AO247" s="1">
        <f>(VLOOKUP($A:$A,USD!$A:$AR,41,FALSE)*88)/88*20</f>
        <v>0</v>
      </c>
      <c r="AR247" s="1">
        <f t="shared" si="33"/>
        <v>106.1780821917808</v>
      </c>
      <c r="AS247" s="38">
        <f t="shared" si="34"/>
        <v>816.41607041787654</v>
      </c>
      <c r="AT247" s="38">
        <f t="shared" si="35"/>
        <v>963.41607041787654</v>
      </c>
      <c r="AW247" s="1" t="e">
        <f>(VLOOKUP(A:A,USD!A:AT,46,FALSE)*88)/88*20</f>
        <v>#N/A</v>
      </c>
      <c r="AX247" s="1" t="e">
        <f>(VLOOKUP(A:A,USD!A:AU,47,FALSE)*88)/88*20</f>
        <v>#N/A</v>
      </c>
    </row>
    <row r="248" spans="1:50" hidden="1">
      <c r="A248" s="1">
        <v>518085</v>
      </c>
      <c r="B248" s="1" t="s">
        <v>585</v>
      </c>
      <c r="C248" s="1" t="s">
        <v>586</v>
      </c>
      <c r="D248" s="1" t="s">
        <v>190</v>
      </c>
      <c r="E248" s="1" t="str">
        <f>VLOOKUP(A:A,USD!A:E,5,FALSE)</f>
        <v>Memphis Rule 5</v>
      </c>
      <c r="F248" s="1" t="str">
        <f>VLOOKUP(A:A,USD!A:F,6,FALSE)</f>
        <v>MR5</v>
      </c>
      <c r="G248" s="1" t="str">
        <f>VLOOKUP(A:A,'Regions and Ports'!A:G,7,FALSE)</f>
        <v>Memphis</v>
      </c>
      <c r="H248" s="1">
        <f>VLOOKUP(A:A,USD!A:R,8,FALSE)</f>
        <v>1</v>
      </c>
      <c r="I248" s="87">
        <f>(VLOOKUP($A:$A,USD!$A:$AL,9,FALSE)*88)/88*20</f>
        <v>32</v>
      </c>
      <c r="J248" s="87">
        <f>(VLOOKUP($A:$A,USD!$A:$AL,10,FALSE)*88)/88*20</f>
        <v>225</v>
      </c>
      <c r="K248" s="87">
        <f>(VLOOKUP($A:$A,USD!$A:$AL,11,FALSE)*88)/88*20</f>
        <v>160</v>
      </c>
      <c r="L248" s="87">
        <f>(VLOOKUP($A:$A,USD!$A:$AL,12,FALSE)*88)/88*20</f>
        <v>0</v>
      </c>
      <c r="M248" s="87">
        <f>(VLOOKUP($A:$A,USD!$A:$AL,13,FALSE)*88)/88*20</f>
        <v>0</v>
      </c>
      <c r="N248" s="87">
        <f>(VLOOKUP($A:$A,USD!$A:$AL,14,FALSE)*88)/88*20</f>
        <v>65</v>
      </c>
      <c r="O248" s="68">
        <f>(VLOOKUP($A:$A,USD!$A:$AL,15,FALSE)*88)/88*20</f>
        <v>37.916666666666671</v>
      </c>
      <c r="P248" s="87">
        <f>(VLOOKUP($A:$A,USD!$A:$AL,16,FALSE)*88)/88*20</f>
        <v>0</v>
      </c>
      <c r="Q248" s="68">
        <f t="shared" si="27"/>
        <v>519.91666666666663</v>
      </c>
      <c r="R248" s="68">
        <f t="shared" si="28"/>
        <v>102.91666666666667</v>
      </c>
      <c r="S248" s="68">
        <f>(VLOOKUP($A:$A,USD!$A:$AL,19,FALSE)*88)/88*20</f>
        <v>0</v>
      </c>
      <c r="T248" s="68">
        <f>(VLOOKUP($A:$A,USD!$A:$AL,20,FALSE)*88)/88*20</f>
        <v>0</v>
      </c>
      <c r="U248" s="68">
        <f>(VLOOKUP($A:$A,USD!$A:$AL,21,FALSE)*88)/88*20</f>
        <v>234.65909090909091</v>
      </c>
      <c r="V248" s="68"/>
      <c r="W248" s="68">
        <f t="shared" si="29"/>
        <v>234.65909090909091</v>
      </c>
      <c r="X248" s="1">
        <f>(VLOOKUP($A:$A,USD!$A:$AL,24,FALSE)*88)/88*20</f>
        <v>50</v>
      </c>
      <c r="Y248" s="68">
        <f>(VLOOKUP($A:$A,USD!$A:$AL,25,FALSE)*88)/88*20</f>
        <v>33.6</v>
      </c>
      <c r="Z248" s="68">
        <f>(VLOOKUP($A:$A,USD!$A:$AL,26,FALSE)*88)/88*20</f>
        <v>26.25</v>
      </c>
      <c r="AB248" s="68">
        <f t="shared" si="30"/>
        <v>109.85</v>
      </c>
      <c r="AC248" s="68">
        <f>(VLOOKUP($A:$A,USD!$A:$AL,29,FALSE)*88)/88*20</f>
        <v>146.02272727272725</v>
      </c>
      <c r="AD248" s="68">
        <f>(VLOOKUP($A:$A,USD!$A:$AL,30,FALSE)*88)/88*20</f>
        <v>182.72727272727275</v>
      </c>
      <c r="AF248" s="68">
        <f t="shared" si="31"/>
        <v>328.75</v>
      </c>
      <c r="AG248" s="87">
        <f>(VLOOKUP($A:$A,USD!$A:$AL,33,FALSE)*88)/88*20</f>
        <v>28.814300000000003</v>
      </c>
      <c r="AH248" s="68">
        <f>(VLOOKUP($A:$A,USD!$A:$AL,34,FALSE)*88)/88*20</f>
        <v>6.973140495867769</v>
      </c>
      <c r="AI248" s="87">
        <f>(VLOOKUP($A:$A,USD!$A:$AL,35,FALSE)*88)/88*20</f>
        <v>12.587317427197677</v>
      </c>
      <c r="AJ248" s="87">
        <f>(VLOOKUP($A:$A,USD!$A:$AL,36,FALSE)*88)/88*20</f>
        <v>6.7351999999999999</v>
      </c>
      <c r="AL248" s="68">
        <f t="shared" si="32"/>
        <v>55.109957923065444</v>
      </c>
      <c r="AM248" s="87">
        <f>(VLOOKUP($A:$A,USD!$A:$AR,39,FALSE)*88)/88*20</f>
        <v>79.999999999999986</v>
      </c>
      <c r="AN248" s="68">
        <f>(VLOOKUP($A:$A,USD!$A:$AR,40,FALSE)*88)/88*20</f>
        <v>26.17808219178082</v>
      </c>
      <c r="AO248" s="1">
        <f>(VLOOKUP($A:$A,USD!$A:$AR,41,FALSE)*88)/88*20</f>
        <v>0</v>
      </c>
      <c r="AR248" s="1">
        <f t="shared" si="33"/>
        <v>106.1780821917808</v>
      </c>
      <c r="AS248" s="38">
        <f t="shared" si="34"/>
        <v>937.46379769060377</v>
      </c>
      <c r="AT248" s="38">
        <f t="shared" si="35"/>
        <v>1354.4637976906035</v>
      </c>
      <c r="AW248" s="1">
        <f>(VLOOKUP(A:A,USD!A:AT,46,FALSE)*88)/88*20</f>
        <v>589.4636363636364</v>
      </c>
      <c r="AX248" s="1">
        <f>(VLOOKUP(A:A,USD!A:AU,47,FALSE)*88)/88*20</f>
        <v>505.34090909090907</v>
      </c>
    </row>
    <row r="249" spans="1:50">
      <c r="A249" s="1">
        <v>73073</v>
      </c>
      <c r="B249" s="1" t="s">
        <v>588</v>
      </c>
      <c r="C249" s="1" t="s">
        <v>589</v>
      </c>
      <c r="D249" s="1" t="s">
        <v>65</v>
      </c>
      <c r="E249" s="1" t="str">
        <f>VLOOKUP(A:A,USD!A:E,5,FALSE)</f>
        <v>Eastern Rule 5</v>
      </c>
      <c r="F249" s="1" t="str">
        <f>VLOOKUP(A:A,USD!A:F,6,FALSE)</f>
        <v>ER5</v>
      </c>
      <c r="G249" s="1" t="str">
        <f>VLOOKUP(A:A,'Regions and Ports'!A:G,7,FALSE)</f>
        <v>Memphis</v>
      </c>
      <c r="H249" s="1">
        <f>VLOOKUP(A:A,USD!A:R,8,FALSE)</f>
        <v>1</v>
      </c>
      <c r="I249" s="87">
        <f>(VLOOKUP($A:$A,USD!$A:$AL,9,FALSE)*88)/88*20</f>
        <v>80</v>
      </c>
      <c r="J249" s="87">
        <f>(VLOOKUP($A:$A,USD!$A:$AL,10,FALSE)*88)/88*20</f>
        <v>120</v>
      </c>
      <c r="K249" s="87">
        <f>(VLOOKUP($A:$A,USD!$A:$AL,11,FALSE)*88)/88*20</f>
        <v>150</v>
      </c>
      <c r="L249" s="87">
        <f>(VLOOKUP($A:$A,USD!$A:$AL,12,FALSE)*88)/88*20</f>
        <v>0</v>
      </c>
      <c r="M249" s="87">
        <f>(VLOOKUP($A:$A,USD!$A:$AL,13,FALSE)*88)/88*20</f>
        <v>20</v>
      </c>
      <c r="N249" s="87">
        <f>(VLOOKUP($A:$A,USD!$A:$AL,14,FALSE)*88)/88*20</f>
        <v>60</v>
      </c>
      <c r="O249" s="68">
        <f>(VLOOKUP($A:$A,USD!$A:$AL,15,FALSE)*88)/88*20</f>
        <v>37.916666666666671</v>
      </c>
      <c r="P249" s="87">
        <f>(VLOOKUP($A:$A,USD!$A:$AL,16,FALSE)*88)/88*20</f>
        <v>0</v>
      </c>
      <c r="Q249" s="68">
        <f t="shared" si="27"/>
        <v>467.91666666666669</v>
      </c>
      <c r="R249" s="68">
        <f t="shared" si="28"/>
        <v>97.916666666666671</v>
      </c>
      <c r="S249" s="68">
        <f>(VLOOKUP($A:$A,USD!$A:$AL,19,FALSE)*88)/88*20</f>
        <v>0</v>
      </c>
      <c r="T249" s="68">
        <f>(VLOOKUP($A:$A,USD!$A:$AL,20,FALSE)*88)/88*20</f>
        <v>0</v>
      </c>
      <c r="U249" s="68">
        <f>(VLOOKUP($A:$A,USD!$A:$AL,21,FALSE)*88)/88*20</f>
        <v>248.97727272727275</v>
      </c>
      <c r="V249" s="68"/>
      <c r="W249" s="68">
        <f t="shared" si="29"/>
        <v>248.97727272727275</v>
      </c>
      <c r="X249" s="1">
        <f>(VLOOKUP($A:$A,USD!$A:$AL,24,FALSE)*88)/88*20</f>
        <v>50</v>
      </c>
      <c r="Y249" s="68">
        <f>(VLOOKUP($A:$A,USD!$A:$AL,25,FALSE)*88)/88*20</f>
        <v>33.6</v>
      </c>
      <c r="Z249" s="68">
        <f>(VLOOKUP($A:$A,USD!$A:$AL,26,FALSE)*88)/88*20</f>
        <v>26.25</v>
      </c>
      <c r="AB249" s="68">
        <f t="shared" si="30"/>
        <v>109.85</v>
      </c>
      <c r="AC249" s="68">
        <f>(VLOOKUP($A:$A,USD!$A:$AL,29,FALSE)*88)/88*20</f>
        <v>146.02272727272725</v>
      </c>
      <c r="AD249" s="68">
        <f>(VLOOKUP($A:$A,USD!$A:$AL,30,FALSE)*88)/88*20</f>
        <v>182.72727272727275</v>
      </c>
      <c r="AF249" s="68">
        <f t="shared" si="31"/>
        <v>328.75</v>
      </c>
      <c r="AG249" s="87">
        <f>(VLOOKUP($A:$A,USD!$A:$AL,33,FALSE)*88)/88*20</f>
        <v>28.814300000000003</v>
      </c>
      <c r="AH249" s="68">
        <f>(VLOOKUP($A:$A,USD!$A:$AL,34,FALSE)*88)/88*20</f>
        <v>6.973140495867769</v>
      </c>
      <c r="AI249" s="87">
        <f>(VLOOKUP($A:$A,USD!$A:$AL,35,FALSE)*88)/88*20</f>
        <v>12.587317427197677</v>
      </c>
      <c r="AJ249" s="87">
        <f>(VLOOKUP($A:$A,USD!$A:$AL,36,FALSE)*88)/88*20</f>
        <v>6.7351999999999999</v>
      </c>
      <c r="AL249" s="68">
        <f t="shared" si="32"/>
        <v>55.109957923065444</v>
      </c>
      <c r="AM249" s="87">
        <f>(VLOOKUP($A:$A,USD!$A:$AR,39,FALSE)*88)/88*20</f>
        <v>79.999999999999986</v>
      </c>
      <c r="AN249" s="68">
        <f>(VLOOKUP($A:$A,USD!$A:$AR,40,FALSE)*88)/88*20</f>
        <v>26.17808219178082</v>
      </c>
      <c r="AO249" s="1">
        <f>(VLOOKUP($A:$A,USD!$A:$AR,41,FALSE)*88)/88*20</f>
        <v>0</v>
      </c>
      <c r="AR249" s="1">
        <f t="shared" si="33"/>
        <v>106.1780821917808</v>
      </c>
      <c r="AS249" s="38">
        <f t="shared" si="34"/>
        <v>946.78197950878564</v>
      </c>
      <c r="AT249" s="38">
        <f t="shared" si="35"/>
        <v>1316.7819795087855</v>
      </c>
      <c r="AW249" s="1" t="e">
        <f>(VLOOKUP(A:A,USD!A:AT,46,FALSE)*88)/88*20</f>
        <v>#N/A</v>
      </c>
      <c r="AX249" s="1">
        <f>(VLOOKUP(A:A,USD!A:AU,47,FALSE)*88)/88*20</f>
        <v>326.7045454545455</v>
      </c>
    </row>
    <row r="250" spans="1:50" hidden="1">
      <c r="A250" s="1">
        <v>413550</v>
      </c>
      <c r="B250" s="1" t="s">
        <v>590</v>
      </c>
      <c r="C250" s="1" t="s">
        <v>591</v>
      </c>
      <c r="D250" s="1" t="s">
        <v>80</v>
      </c>
      <c r="E250" s="1" t="str">
        <f>VLOOKUP(A:A,USD!A:E,5,FALSE)</f>
        <v>Memphis Rule 5</v>
      </c>
      <c r="F250" s="1" t="str">
        <f>VLOOKUP(A:A,USD!A:F,6,FALSE)</f>
        <v>MR5</v>
      </c>
      <c r="G250" s="1" t="str">
        <f>VLOOKUP(A:A,'Regions and Ports'!A:G,7,FALSE)</f>
        <v>Houston</v>
      </c>
      <c r="H250" s="1">
        <f>VLOOKUP(A:A,USD!A:R,8,FALSE)</f>
        <v>1</v>
      </c>
      <c r="I250" s="87">
        <f>(VLOOKUP($A:$A,USD!$A:$AL,9,FALSE)*88)/88*20</f>
        <v>0</v>
      </c>
      <c r="J250" s="87">
        <f>(VLOOKUP($A:$A,USD!$A:$AL,10,FALSE)*88)/88*20</f>
        <v>50</v>
      </c>
      <c r="K250" s="87">
        <f>(VLOOKUP($A:$A,USD!$A:$AL,11,FALSE)*88)/88*20</f>
        <v>0</v>
      </c>
      <c r="L250" s="87">
        <f>(VLOOKUP($A:$A,USD!$A:$AL,12,FALSE)*88)/88*20</f>
        <v>0</v>
      </c>
      <c r="M250" s="87">
        <f>(VLOOKUP($A:$A,USD!$A:$AL,13,FALSE)*88)/88*20</f>
        <v>0</v>
      </c>
      <c r="N250" s="87">
        <f>(VLOOKUP($A:$A,USD!$A:$AL,14,FALSE)*88)/88*20</f>
        <v>48</v>
      </c>
      <c r="O250" s="68">
        <f>(VLOOKUP($A:$A,USD!$A:$AL,15,FALSE)*88)/88*20</f>
        <v>37.916666666666671</v>
      </c>
      <c r="P250" s="87">
        <f>(VLOOKUP($A:$A,USD!$A:$AL,16,FALSE)*88)/88*20</f>
        <v>0</v>
      </c>
      <c r="Q250" s="68">
        <f t="shared" si="27"/>
        <v>135.91666666666669</v>
      </c>
      <c r="R250" s="68">
        <f t="shared" si="28"/>
        <v>85.916666666666671</v>
      </c>
      <c r="S250" s="68">
        <f>(VLOOKUP($A:$A,USD!$A:$AL,19,FALSE)*88)/88*20</f>
        <v>0</v>
      </c>
      <c r="T250" s="68">
        <f>(VLOOKUP($A:$A,USD!$A:$AL,20,FALSE)*88)/88*20</f>
        <v>0</v>
      </c>
      <c r="U250" s="68">
        <f>(VLOOKUP($A:$A,USD!$A:$AL,21,FALSE)*88)/88*20</f>
        <v>281.7045454545455</v>
      </c>
      <c r="V250" s="68"/>
      <c r="W250" s="68">
        <f t="shared" si="29"/>
        <v>281.7045454545455</v>
      </c>
      <c r="X250" s="1">
        <f>(VLOOKUP($A:$A,USD!$A:$AL,24,FALSE)*88)/88*20</f>
        <v>54</v>
      </c>
      <c r="Y250" s="68">
        <f>(VLOOKUP($A:$A,USD!$A:$AL,25,FALSE)*88)/88*20</f>
        <v>50.4</v>
      </c>
      <c r="Z250" s="68">
        <f>(VLOOKUP($A:$A,USD!$A:$AL,26,FALSE)*88)/88*20</f>
        <v>26.25</v>
      </c>
      <c r="AB250" s="68">
        <f t="shared" si="30"/>
        <v>130.65</v>
      </c>
      <c r="AC250" s="68">
        <f>(VLOOKUP($A:$A,USD!$A:$AL,29,FALSE)*88)/88*20</f>
        <v>132.95454545454544</v>
      </c>
      <c r="AD250" s="68">
        <f>(VLOOKUP($A:$A,USD!$A:$AL,30,FALSE)*88)/88*20</f>
        <v>197.95454545454547</v>
      </c>
      <c r="AF250" s="68">
        <f t="shared" si="31"/>
        <v>330.90909090909088</v>
      </c>
      <c r="AG250" s="87">
        <f>(VLOOKUP($A:$A,USD!$A:$AL,33,FALSE)*88)/88*20</f>
        <v>28.814300000000003</v>
      </c>
      <c r="AH250" s="68">
        <f>(VLOOKUP($A:$A,USD!$A:$AL,34,FALSE)*88)/88*20</f>
        <v>6.973140495867769</v>
      </c>
      <c r="AI250" s="87">
        <f>(VLOOKUP($A:$A,USD!$A:$AL,35,FALSE)*88)/88*20</f>
        <v>12.587317427197677</v>
      </c>
      <c r="AJ250" s="87">
        <f>(VLOOKUP($A:$A,USD!$A:$AL,36,FALSE)*88)/88*20</f>
        <v>6.7351999999999999</v>
      </c>
      <c r="AL250" s="68">
        <f t="shared" si="32"/>
        <v>55.109957923065444</v>
      </c>
      <c r="AM250" s="87">
        <f>(VLOOKUP($A:$A,USD!$A:$AR,39,FALSE)*88)/88*20</f>
        <v>79.999999999999986</v>
      </c>
      <c r="AN250" s="68">
        <f>(VLOOKUP($A:$A,USD!$A:$AR,40,FALSE)*88)/88*20</f>
        <v>26.17808219178082</v>
      </c>
      <c r="AO250" s="1">
        <f>(VLOOKUP($A:$A,USD!$A:$AR,41,FALSE)*88)/88*20</f>
        <v>0</v>
      </c>
      <c r="AR250" s="1">
        <f t="shared" si="33"/>
        <v>106.1780821917808</v>
      </c>
      <c r="AS250" s="38">
        <f t="shared" si="34"/>
        <v>990.46834314514933</v>
      </c>
      <c r="AT250" s="38">
        <f t="shared" si="35"/>
        <v>1040.4683431451494</v>
      </c>
      <c r="AW250" s="1" t="e">
        <f>(VLOOKUP(A:A,USD!A:AT,46,FALSE)*88)/88*20</f>
        <v>#N/A</v>
      </c>
      <c r="AX250" s="1" t="e">
        <f>(VLOOKUP(A:A,USD!A:AU,47,FALSE)*88)/88*20</f>
        <v>#N/A</v>
      </c>
    </row>
    <row r="251" spans="1:50" hidden="1">
      <c r="A251" s="1">
        <v>413551</v>
      </c>
      <c r="B251" s="1" t="s">
        <v>593</v>
      </c>
      <c r="C251" s="1" t="s">
        <v>591</v>
      </c>
      <c r="D251" s="1" t="s">
        <v>80</v>
      </c>
      <c r="E251" s="1" t="str">
        <f>VLOOKUP(A:A,USD!A:E,5,FALSE)</f>
        <v>Memphis Rule 5</v>
      </c>
      <c r="F251" s="1" t="str">
        <f>VLOOKUP(A:A,USD!A:F,6,FALSE)</f>
        <v>MR5</v>
      </c>
      <c r="G251" s="1" t="str">
        <f>VLOOKUP(A:A,'Regions and Ports'!A:G,7,FALSE)</f>
        <v>Houston</v>
      </c>
      <c r="H251" s="1">
        <f>VLOOKUP(A:A,USD!A:R,8,FALSE)</f>
        <v>1</v>
      </c>
      <c r="I251" s="87">
        <f>(VLOOKUP($A:$A,USD!$A:$AL,9,FALSE)*88)/88*20</f>
        <v>0</v>
      </c>
      <c r="J251" s="87">
        <f>(VLOOKUP($A:$A,USD!$A:$AL,10,FALSE)*88)/88*20</f>
        <v>50</v>
      </c>
      <c r="K251" s="87">
        <f>(VLOOKUP($A:$A,USD!$A:$AL,11,FALSE)*88)/88*20</f>
        <v>0</v>
      </c>
      <c r="L251" s="87">
        <f>(VLOOKUP($A:$A,USD!$A:$AL,12,FALSE)*88)/88*20</f>
        <v>0</v>
      </c>
      <c r="M251" s="87">
        <f>(VLOOKUP($A:$A,USD!$A:$AL,13,FALSE)*88)/88*20</f>
        <v>0</v>
      </c>
      <c r="N251" s="87">
        <f>(VLOOKUP($A:$A,USD!$A:$AL,14,FALSE)*88)/88*20</f>
        <v>48</v>
      </c>
      <c r="O251" s="68">
        <f>(VLOOKUP($A:$A,USD!$A:$AL,15,FALSE)*88)/88*20</f>
        <v>37.916666666666671</v>
      </c>
      <c r="P251" s="87">
        <f>(VLOOKUP($A:$A,USD!$A:$AL,16,FALSE)*88)/88*20</f>
        <v>0</v>
      </c>
      <c r="Q251" s="68">
        <f t="shared" si="27"/>
        <v>135.91666666666669</v>
      </c>
      <c r="R251" s="68">
        <f t="shared" si="28"/>
        <v>85.916666666666671</v>
      </c>
      <c r="S251" s="68">
        <f>(VLOOKUP($A:$A,USD!$A:$AL,19,FALSE)*88)/88*20</f>
        <v>0</v>
      </c>
      <c r="T251" s="68">
        <f>(VLOOKUP($A:$A,USD!$A:$AL,20,FALSE)*88)/88*20</f>
        <v>0</v>
      </c>
      <c r="U251" s="68">
        <f>(VLOOKUP($A:$A,USD!$A:$AL,21,FALSE)*88)/88*20</f>
        <v>281.7045454545455</v>
      </c>
      <c r="V251" s="68"/>
      <c r="W251" s="68">
        <f t="shared" si="29"/>
        <v>281.7045454545455</v>
      </c>
      <c r="X251" s="1">
        <f>(VLOOKUP($A:$A,USD!$A:$AL,24,FALSE)*88)/88*20</f>
        <v>54</v>
      </c>
      <c r="Y251" s="68">
        <f>(VLOOKUP($A:$A,USD!$A:$AL,25,FALSE)*88)/88*20</f>
        <v>50.4</v>
      </c>
      <c r="Z251" s="68">
        <f>(VLOOKUP($A:$A,USD!$A:$AL,26,FALSE)*88)/88*20</f>
        <v>26.25</v>
      </c>
      <c r="AB251" s="68">
        <f t="shared" si="30"/>
        <v>130.65</v>
      </c>
      <c r="AC251" s="68">
        <f>(VLOOKUP($A:$A,USD!$A:$AL,29,FALSE)*88)/88*20</f>
        <v>132.95454545454544</v>
      </c>
      <c r="AD251" s="68">
        <f>(VLOOKUP($A:$A,USD!$A:$AL,30,FALSE)*88)/88*20</f>
        <v>197.95454545454547</v>
      </c>
      <c r="AF251" s="68">
        <f t="shared" si="31"/>
        <v>330.90909090909088</v>
      </c>
      <c r="AG251" s="87">
        <f>(VLOOKUP($A:$A,USD!$A:$AL,33,FALSE)*88)/88*20</f>
        <v>28.814300000000003</v>
      </c>
      <c r="AH251" s="68">
        <f>(VLOOKUP($A:$A,USD!$A:$AL,34,FALSE)*88)/88*20</f>
        <v>6.973140495867769</v>
      </c>
      <c r="AI251" s="87">
        <f>(VLOOKUP($A:$A,USD!$A:$AL,35,FALSE)*88)/88*20</f>
        <v>12.587317427197677</v>
      </c>
      <c r="AJ251" s="87">
        <f>(VLOOKUP($A:$A,USD!$A:$AL,36,FALSE)*88)/88*20</f>
        <v>6.7351999999999999</v>
      </c>
      <c r="AL251" s="68">
        <f t="shared" si="32"/>
        <v>55.109957923065444</v>
      </c>
      <c r="AM251" s="87">
        <f>(VLOOKUP($A:$A,USD!$A:$AR,39,FALSE)*88)/88*20</f>
        <v>79.999999999999986</v>
      </c>
      <c r="AN251" s="68">
        <f>(VLOOKUP($A:$A,USD!$A:$AR,40,FALSE)*88)/88*20</f>
        <v>26.17808219178082</v>
      </c>
      <c r="AO251" s="1">
        <f>(VLOOKUP($A:$A,USD!$A:$AR,41,FALSE)*88)/88*20</f>
        <v>0</v>
      </c>
      <c r="AR251" s="1">
        <f t="shared" si="33"/>
        <v>106.1780821917808</v>
      </c>
      <c r="AS251" s="38">
        <f t="shared" si="34"/>
        <v>990.46834314514933</v>
      </c>
      <c r="AT251" s="38">
        <f t="shared" si="35"/>
        <v>1040.4683431451494</v>
      </c>
      <c r="AW251" s="1" t="e">
        <f>(VLOOKUP(A:A,USD!A:AT,46,FALSE)*88)/88*20</f>
        <v>#N/A</v>
      </c>
      <c r="AX251" s="1" t="e">
        <f>(VLOOKUP(A:A,USD!A:AU,47,FALSE)*88)/88*20</f>
        <v>#N/A</v>
      </c>
    </row>
    <row r="252" spans="1:50" hidden="1">
      <c r="A252" s="1">
        <v>589209</v>
      </c>
      <c r="B252" s="1" t="s">
        <v>594</v>
      </c>
      <c r="C252" s="1" t="s">
        <v>2204</v>
      </c>
      <c r="D252" s="1" t="s">
        <v>136</v>
      </c>
      <c r="E252" s="1" t="str">
        <f>VLOOKUP(A:A,USD!A:E,5,FALSE)</f>
        <v>Eastern Rule 5</v>
      </c>
      <c r="F252" s="1" t="str">
        <f>VLOOKUP(A:A,USD!A:F,6,FALSE)</f>
        <v>ER5</v>
      </c>
      <c r="G252" s="1" t="str">
        <f>VLOOKUP(A:A,'Regions and Ports'!A:G,7,FALSE)</f>
        <v>Savannah</v>
      </c>
      <c r="H252" s="1">
        <f>VLOOKUP(A:A,USD!A:R,8,FALSE)</f>
        <v>1</v>
      </c>
      <c r="I252" s="87">
        <f>(VLOOKUP($A:$A,USD!$A:$AL,9,FALSE)*88)/88*20</f>
        <v>80</v>
      </c>
      <c r="J252" s="87">
        <f>(VLOOKUP($A:$A,USD!$A:$AL,10,FALSE)*88)/88*20</f>
        <v>100</v>
      </c>
      <c r="K252" s="87">
        <f>(VLOOKUP($A:$A,USD!$A:$AL,11,FALSE)*88)/88*20</f>
        <v>0</v>
      </c>
      <c r="L252" s="87">
        <f>(VLOOKUP($A:$A,USD!$A:$AL,12,FALSE)*88)/88*20</f>
        <v>0</v>
      </c>
      <c r="M252" s="87">
        <f>(VLOOKUP($A:$A,USD!$A:$AL,13,FALSE)*88)/88*20</f>
        <v>20</v>
      </c>
      <c r="N252" s="87">
        <f>(VLOOKUP($A:$A,USD!$A:$AL,14,FALSE)*88)/88*20</f>
        <v>50</v>
      </c>
      <c r="O252" s="68">
        <f>(VLOOKUP($A:$A,USD!$A:$AL,15,FALSE)*88)/88*20</f>
        <v>37.916666666666671</v>
      </c>
      <c r="P252" s="87">
        <f>(VLOOKUP($A:$A,USD!$A:$AL,16,FALSE)*88)/88*20</f>
        <v>0</v>
      </c>
      <c r="Q252" s="68">
        <f t="shared" si="27"/>
        <v>287.91666666666669</v>
      </c>
      <c r="R252" s="68">
        <f t="shared" si="28"/>
        <v>87.916666666666671</v>
      </c>
      <c r="S252" s="68">
        <f>(VLOOKUP($A:$A,USD!$A:$AL,19,FALSE)*88)/88*20</f>
        <v>0</v>
      </c>
      <c r="T252" s="68">
        <f>(VLOOKUP($A:$A,USD!$A:$AL,20,FALSE)*88)/88*20</f>
        <v>0</v>
      </c>
      <c r="U252" s="68">
        <f>(VLOOKUP($A:$A,USD!$A:$AL,21,FALSE)*88)/88*20</f>
        <v>231.35738636363638</v>
      </c>
      <c r="V252" s="68"/>
      <c r="W252" s="68">
        <f t="shared" si="29"/>
        <v>231.35738636363638</v>
      </c>
      <c r="X252" s="1">
        <f>(VLOOKUP($A:$A,USD!$A:$AL,24,FALSE)*88)/88*20</f>
        <v>52</v>
      </c>
      <c r="Y252" s="68">
        <f>(VLOOKUP($A:$A,USD!$A:$AL,25,FALSE)*88)/88*20</f>
        <v>50.4</v>
      </c>
      <c r="Z252" s="68">
        <f>(VLOOKUP($A:$A,USD!$A:$AL,26,FALSE)*88)/88*20</f>
        <v>26.25</v>
      </c>
      <c r="AB252" s="68">
        <f t="shared" si="30"/>
        <v>128.65</v>
      </c>
      <c r="AC252" s="68">
        <f>(VLOOKUP($A:$A,USD!$A:$AL,29,FALSE)*88)/88*20</f>
        <v>110.22727272727273</v>
      </c>
      <c r="AD252" s="68">
        <f>(VLOOKUP($A:$A,USD!$A:$AL,30,FALSE)*88)/88*20</f>
        <v>107.04545454545455</v>
      </c>
      <c r="AF252" s="68">
        <f t="shared" si="31"/>
        <v>217.27272727272728</v>
      </c>
      <c r="AG252" s="87">
        <f>(VLOOKUP($A:$A,USD!$A:$AL,33,FALSE)*88)/88*20</f>
        <v>28.814300000000003</v>
      </c>
      <c r="AH252" s="68">
        <f>(VLOOKUP($A:$A,USD!$A:$AL,34,FALSE)*88)/88*20</f>
        <v>6.973140495867769</v>
      </c>
      <c r="AI252" s="87">
        <f>(VLOOKUP($A:$A,USD!$A:$AL,35,FALSE)*88)/88*20</f>
        <v>12.587317427197677</v>
      </c>
      <c r="AJ252" s="87">
        <f>(VLOOKUP($A:$A,USD!$A:$AL,36,FALSE)*88)/88*20</f>
        <v>6.7351999999999999</v>
      </c>
      <c r="AL252" s="68">
        <f t="shared" si="32"/>
        <v>55.109957923065444</v>
      </c>
      <c r="AM252" s="87">
        <f>(VLOOKUP($A:$A,USD!$A:$AR,39,FALSE)*88)/88*20</f>
        <v>79.999999999999986</v>
      </c>
      <c r="AN252" s="68">
        <f>(VLOOKUP($A:$A,USD!$A:$AR,40,FALSE)*88)/88*20</f>
        <v>26.17808219178082</v>
      </c>
      <c r="AO252" s="1">
        <f>(VLOOKUP($A:$A,USD!$A:$AR,41,FALSE)*88)/88*20</f>
        <v>0</v>
      </c>
      <c r="AR252" s="1">
        <f t="shared" si="33"/>
        <v>106.1780821917808</v>
      </c>
      <c r="AS252" s="38">
        <f t="shared" si="34"/>
        <v>826.48482041787656</v>
      </c>
      <c r="AT252" s="38">
        <f t="shared" si="35"/>
        <v>1026.4848204178766</v>
      </c>
      <c r="AW252" s="1" t="e">
        <f>(VLOOKUP(A:A,USD!A:AT,46,FALSE)*88)/88*20</f>
        <v>#N/A</v>
      </c>
      <c r="AX252" s="1">
        <f>(VLOOKUP(A:A,USD!A:AU,47,FALSE)*88)/88*20</f>
        <v>248.29545454545453</v>
      </c>
    </row>
    <row r="253" spans="1:50" hidden="1">
      <c r="A253" s="1">
        <v>308005</v>
      </c>
      <c r="B253" s="1" t="s">
        <v>597</v>
      </c>
      <c r="C253" s="1" t="s">
        <v>598</v>
      </c>
      <c r="D253" s="1" t="s">
        <v>76</v>
      </c>
      <c r="E253" s="1" t="str">
        <f>VLOOKUP(A:A,USD!A:E,5,FALSE)</f>
        <v>GA 30 Day</v>
      </c>
      <c r="F253" s="1" t="str">
        <f>VLOOKUP(A:A,USD!A:F,6,FALSE)</f>
        <v>ER5</v>
      </c>
      <c r="G253" s="1" t="str">
        <f>VLOOKUP(A:A,'Regions and Ports'!A:G,7,FALSE)</f>
        <v>Savannah</v>
      </c>
      <c r="H253" s="1">
        <f>VLOOKUP(A:A,USD!A:R,8,FALSE)</f>
        <v>4</v>
      </c>
      <c r="I253" s="87">
        <f>(VLOOKUP($A:$A,USD!$A:$AL,9,FALSE)*88)/88*20</f>
        <v>80</v>
      </c>
      <c r="J253" s="87">
        <f>(VLOOKUP($A:$A,USD!$A:$AL,10,FALSE)*88)/88*20</f>
        <v>120</v>
      </c>
      <c r="K253" s="87">
        <f>(VLOOKUP($A:$A,USD!$A:$AL,11,FALSE)*88)/88*20</f>
        <v>0</v>
      </c>
      <c r="L253" s="87">
        <f>(VLOOKUP($A:$A,USD!$A:$AL,12,FALSE)*88)/88*20</f>
        <v>0</v>
      </c>
      <c r="M253" s="87">
        <f>(VLOOKUP($A:$A,USD!$A:$AL,13,FALSE)*88)/88*20</f>
        <v>0</v>
      </c>
      <c r="N253" s="87">
        <f>(VLOOKUP($A:$A,USD!$A:$AL,14,FALSE)*88)/88*20</f>
        <v>55</v>
      </c>
      <c r="O253" s="68">
        <f>(VLOOKUP($A:$A,USD!$A:$AL,15,FALSE)*88)/88*20</f>
        <v>37.916666666666671</v>
      </c>
      <c r="P253" s="87">
        <f>(VLOOKUP($A:$A,USD!$A:$AL,16,FALSE)*88)/88*20</f>
        <v>0</v>
      </c>
      <c r="Q253" s="68">
        <f t="shared" si="27"/>
        <v>292.91666666666669</v>
      </c>
      <c r="R253" s="68">
        <f t="shared" si="28"/>
        <v>37.916666666666671</v>
      </c>
      <c r="S253" s="68">
        <f>(VLOOKUP($A:$A,USD!$A:$AL,19,FALSE)*88)/88*20</f>
        <v>0</v>
      </c>
      <c r="T253" s="68">
        <f>(VLOOKUP($A:$A,USD!$A:$AL,20,FALSE)*88)/88*20</f>
        <v>0</v>
      </c>
      <c r="U253" s="68">
        <f>(VLOOKUP($A:$A,USD!$A:$AL,21,FALSE)*88)/88*20</f>
        <v>219.70909090909092</v>
      </c>
      <c r="V253" s="68"/>
      <c r="W253" s="68">
        <f t="shared" si="29"/>
        <v>219.70909090909092</v>
      </c>
      <c r="X253" s="1">
        <f>(VLOOKUP($A:$A,USD!$A:$AL,24,FALSE)*88)/88*20</f>
        <v>52</v>
      </c>
      <c r="Y253" s="68">
        <f>(VLOOKUP($A:$A,USD!$A:$AL,25,FALSE)*88)/88*20</f>
        <v>50.4</v>
      </c>
      <c r="Z253" s="68">
        <f>(VLOOKUP($A:$A,USD!$A:$AL,26,FALSE)*88)/88*20</f>
        <v>26.25</v>
      </c>
      <c r="AB253" s="68">
        <f t="shared" si="30"/>
        <v>128.65</v>
      </c>
      <c r="AC253" s="68">
        <f>(VLOOKUP($A:$A,USD!$A:$AL,29,FALSE)*88)/88*20</f>
        <v>110.22727272727273</v>
      </c>
      <c r="AD253" s="68">
        <f>(VLOOKUP($A:$A,USD!$A:$AL,30,FALSE)*88)/88*20</f>
        <v>107.04545454545455</v>
      </c>
      <c r="AF253" s="68">
        <f t="shared" si="31"/>
        <v>217.27272727272728</v>
      </c>
      <c r="AG253" s="87">
        <f>(VLOOKUP($A:$A,USD!$A:$AL,33,FALSE)*88)/88*20</f>
        <v>28.814300000000003</v>
      </c>
      <c r="AH253" s="68">
        <f>(VLOOKUP($A:$A,USD!$A:$AL,34,FALSE)*88)/88*20</f>
        <v>6.973140495867769</v>
      </c>
      <c r="AI253" s="87">
        <f>(VLOOKUP($A:$A,USD!$A:$AL,35,FALSE)*88)/88*20</f>
        <v>12.587317427197677</v>
      </c>
      <c r="AJ253" s="87">
        <f>(VLOOKUP($A:$A,USD!$A:$AL,36,FALSE)*88)/88*20</f>
        <v>6.7351999999999999</v>
      </c>
      <c r="AL253" s="68">
        <f t="shared" si="32"/>
        <v>55.109957923065444</v>
      </c>
      <c r="AM253" s="87">
        <f>(VLOOKUP($A:$A,USD!$A:$AR,39,FALSE)*88)/88*20</f>
        <v>79.999999999999986</v>
      </c>
      <c r="AN253" s="68">
        <f>(VLOOKUP($A:$A,USD!$A:$AR,40,FALSE)*88)/88*20</f>
        <v>26.17808219178082</v>
      </c>
      <c r="AO253" s="1">
        <f>(VLOOKUP($A:$A,USD!$A:$AR,41,FALSE)*88)/88*20</f>
        <v>0</v>
      </c>
      <c r="AR253" s="1">
        <f t="shared" si="33"/>
        <v>106.1780821917808</v>
      </c>
      <c r="AS253" s="38">
        <f t="shared" si="34"/>
        <v>764.83652496333104</v>
      </c>
      <c r="AT253" s="38">
        <f t="shared" si="35"/>
        <v>1019.836524963331</v>
      </c>
      <c r="AW253" s="1" t="e">
        <f>(VLOOKUP(A:A,USD!A:AT,46,FALSE)*88)/88*20</f>
        <v>#N/A</v>
      </c>
      <c r="AX253" s="1">
        <f>(VLOOKUP(A:A,USD!A:AU,47,FALSE)*88)/88*20</f>
        <v>331.47727272727275</v>
      </c>
    </row>
    <row r="254" spans="1:50" hidden="1">
      <c r="A254" s="1">
        <v>735030</v>
      </c>
      <c r="B254" s="1" t="s">
        <v>599</v>
      </c>
      <c r="C254" s="1" t="s">
        <v>600</v>
      </c>
      <c r="D254" s="1" t="s">
        <v>132</v>
      </c>
      <c r="E254" s="1" t="str">
        <f>VLOOKUP(A:A,USD!A:E,5,FALSE)</f>
        <v>Eastern Rule 5</v>
      </c>
      <c r="F254" s="1" t="str">
        <f>VLOOKUP(A:A,USD!A:F,6,FALSE)</f>
        <v>ER5</v>
      </c>
      <c r="G254" s="1" t="str">
        <f>VLOOKUP(A:A,'Regions and Ports'!A:G,7,FALSE)</f>
        <v>Savannah</v>
      </c>
      <c r="H254" s="1">
        <f>VLOOKUP(A:A,USD!A:R,8,FALSE)</f>
        <v>1</v>
      </c>
      <c r="I254" s="87">
        <f>(VLOOKUP($A:$A,USD!$A:$AL,9,FALSE)*88)/88*20</f>
        <v>40</v>
      </c>
      <c r="J254" s="87">
        <f>(VLOOKUP($A:$A,USD!$A:$AL,10,FALSE)*88)/88*20</f>
        <v>80</v>
      </c>
      <c r="K254" s="87">
        <f>(VLOOKUP($A:$A,USD!$A:$AL,11,FALSE)*88)/88*20</f>
        <v>0</v>
      </c>
      <c r="L254" s="87">
        <f>(VLOOKUP($A:$A,USD!$A:$AL,12,FALSE)*88)/88*20</f>
        <v>0</v>
      </c>
      <c r="M254" s="87">
        <f>(VLOOKUP($A:$A,USD!$A:$AL,13,FALSE)*88)/88*20</f>
        <v>10</v>
      </c>
      <c r="N254" s="87">
        <f>(VLOOKUP($A:$A,USD!$A:$AL,14,FALSE)*88)/88*20</f>
        <v>54</v>
      </c>
      <c r="O254" s="68">
        <f>(VLOOKUP($A:$A,USD!$A:$AL,15,FALSE)*88)/88*20</f>
        <v>37.916666666666671</v>
      </c>
      <c r="P254" s="87">
        <f>(VLOOKUP($A:$A,USD!$A:$AL,16,FALSE)*88)/88*20</f>
        <v>0</v>
      </c>
      <c r="Q254" s="68">
        <f t="shared" si="27"/>
        <v>221.91666666666669</v>
      </c>
      <c r="R254" s="68">
        <f t="shared" si="28"/>
        <v>91.916666666666671</v>
      </c>
      <c r="S254" s="68">
        <f>(VLOOKUP($A:$A,USD!$A:$AL,19,FALSE)*88)/88*20</f>
        <v>0</v>
      </c>
      <c r="T254" s="68">
        <f>(VLOOKUP($A:$A,USD!$A:$AL,20,FALSE)*88)/88*20</f>
        <v>0</v>
      </c>
      <c r="U254" s="68">
        <f>(VLOOKUP($A:$A,USD!$A:$AL,21,FALSE)*88)/88*20</f>
        <v>172.01704545454547</v>
      </c>
      <c r="V254" s="68"/>
      <c r="W254" s="68">
        <f t="shared" si="29"/>
        <v>172.01704545454547</v>
      </c>
      <c r="X254" s="1">
        <f>(VLOOKUP($A:$A,USD!$A:$AL,24,FALSE)*88)/88*20</f>
        <v>52</v>
      </c>
      <c r="Y254" s="68">
        <f>(VLOOKUP($A:$A,USD!$A:$AL,25,FALSE)*88)/88*20</f>
        <v>50.4</v>
      </c>
      <c r="Z254" s="68">
        <f>(VLOOKUP($A:$A,USD!$A:$AL,26,FALSE)*88)/88*20</f>
        <v>26.25</v>
      </c>
      <c r="AB254" s="68">
        <f t="shared" si="30"/>
        <v>128.65</v>
      </c>
      <c r="AC254" s="68">
        <f>(VLOOKUP($A:$A,USD!$A:$AL,29,FALSE)*88)/88*20</f>
        <v>110.22727272727273</v>
      </c>
      <c r="AD254" s="68">
        <f>(VLOOKUP($A:$A,USD!$A:$AL,30,FALSE)*88)/88*20</f>
        <v>107.04545454545455</v>
      </c>
      <c r="AF254" s="68">
        <f t="shared" si="31"/>
        <v>217.27272727272728</v>
      </c>
      <c r="AG254" s="87">
        <f>(VLOOKUP($A:$A,USD!$A:$AL,33,FALSE)*88)/88*20</f>
        <v>28.814300000000003</v>
      </c>
      <c r="AH254" s="68">
        <f>(VLOOKUP($A:$A,USD!$A:$AL,34,FALSE)*88)/88*20</f>
        <v>6.973140495867769</v>
      </c>
      <c r="AI254" s="87">
        <f>(VLOOKUP($A:$A,USD!$A:$AL,35,FALSE)*88)/88*20</f>
        <v>12.587317427197677</v>
      </c>
      <c r="AJ254" s="87">
        <f>(VLOOKUP($A:$A,USD!$A:$AL,36,FALSE)*88)/88*20</f>
        <v>6.7351999999999999</v>
      </c>
      <c r="AL254" s="68">
        <f t="shared" si="32"/>
        <v>55.109957923065444</v>
      </c>
      <c r="AM254" s="87">
        <f>(VLOOKUP($A:$A,USD!$A:$AR,39,FALSE)*88)/88*20</f>
        <v>79.999999999999986</v>
      </c>
      <c r="AN254" s="68">
        <f>(VLOOKUP($A:$A,USD!$A:$AR,40,FALSE)*88)/88*20</f>
        <v>26.17808219178082</v>
      </c>
      <c r="AO254" s="1">
        <f>(VLOOKUP($A:$A,USD!$A:$AR,41,FALSE)*88)/88*20</f>
        <v>0</v>
      </c>
      <c r="AR254" s="1">
        <f t="shared" si="33"/>
        <v>106.1780821917808</v>
      </c>
      <c r="AS254" s="38">
        <f t="shared" si="34"/>
        <v>771.14447950878559</v>
      </c>
      <c r="AT254" s="38">
        <f t="shared" si="35"/>
        <v>901.14447950878559</v>
      </c>
      <c r="AW254" s="1" t="e">
        <f>(VLOOKUP(A:A,USD!A:AT,46,FALSE)*88)/88*20</f>
        <v>#N/A</v>
      </c>
      <c r="AX254" s="1">
        <f>(VLOOKUP(A:A,USD!A:AU,47,FALSE)*88)/88*20</f>
        <v>203.97727272727275</v>
      </c>
    </row>
    <row r="255" spans="1:50" hidden="1">
      <c r="A255" s="1">
        <v>309100</v>
      </c>
      <c r="B255" s="1" t="s">
        <v>601</v>
      </c>
      <c r="C255" s="1" t="s">
        <v>602</v>
      </c>
      <c r="D255" s="1" t="s">
        <v>76</v>
      </c>
      <c r="E255" s="1" t="str">
        <f>VLOOKUP(A:A,USD!A:E,5,FALSE)</f>
        <v>GA 30 Day</v>
      </c>
      <c r="F255" s="1" t="str">
        <f>VLOOKUP(A:A,USD!A:F,6,FALSE)</f>
        <v>ER5</v>
      </c>
      <c r="G255" s="1" t="str">
        <f>VLOOKUP(A:A,'Regions and Ports'!A:G,7,FALSE)</f>
        <v>Savannah</v>
      </c>
      <c r="H255" s="1">
        <f>VLOOKUP(A:A,USD!A:R,8,FALSE)</f>
        <v>4</v>
      </c>
      <c r="I255" s="87">
        <f>(VLOOKUP($A:$A,USD!$A:$AL,9,FALSE)*88)/88*20</f>
        <v>60</v>
      </c>
      <c r="J255" s="87">
        <f>(VLOOKUP($A:$A,USD!$A:$AL,10,FALSE)*88)/88*20</f>
        <v>100</v>
      </c>
      <c r="K255" s="87">
        <f>(VLOOKUP($A:$A,USD!$A:$AL,11,FALSE)*88)/88*20</f>
        <v>0</v>
      </c>
      <c r="L255" s="87">
        <f>(VLOOKUP($A:$A,USD!$A:$AL,12,FALSE)*88)/88*20</f>
        <v>0</v>
      </c>
      <c r="M255" s="87">
        <f>(VLOOKUP($A:$A,USD!$A:$AL,13,FALSE)*88)/88*20</f>
        <v>10</v>
      </c>
      <c r="N255" s="87">
        <f>(VLOOKUP($A:$A,USD!$A:$AL,14,FALSE)*88)/88*20</f>
        <v>60</v>
      </c>
      <c r="O255" s="68">
        <f>(VLOOKUP($A:$A,USD!$A:$AL,15,FALSE)*88)/88*20</f>
        <v>37.916666666666671</v>
      </c>
      <c r="P255" s="87">
        <f>(VLOOKUP($A:$A,USD!$A:$AL,16,FALSE)*88)/88*20</f>
        <v>0</v>
      </c>
      <c r="Q255" s="68">
        <f t="shared" si="27"/>
        <v>267.91666666666669</v>
      </c>
      <c r="R255" s="68">
        <f t="shared" si="28"/>
        <v>37.916666666666671</v>
      </c>
      <c r="S255" s="68">
        <f>(VLOOKUP($A:$A,USD!$A:$AL,19,FALSE)*88)/88*20</f>
        <v>0</v>
      </c>
      <c r="T255" s="68">
        <f>(VLOOKUP($A:$A,USD!$A:$AL,20,FALSE)*88)/88*20</f>
        <v>0</v>
      </c>
      <c r="U255" s="68">
        <f>(VLOOKUP($A:$A,USD!$A:$AL,21,FALSE)*88)/88*20</f>
        <v>202.66363636363636</v>
      </c>
      <c r="V255" s="68"/>
      <c r="W255" s="68">
        <f t="shared" si="29"/>
        <v>202.66363636363636</v>
      </c>
      <c r="X255" s="1">
        <f>(VLOOKUP($A:$A,USD!$A:$AL,24,FALSE)*88)/88*20</f>
        <v>52</v>
      </c>
      <c r="Y255" s="68">
        <f>(VLOOKUP($A:$A,USD!$A:$AL,25,FALSE)*88)/88*20</f>
        <v>50.4</v>
      </c>
      <c r="Z255" s="68">
        <f>(VLOOKUP($A:$A,USD!$A:$AL,26,FALSE)*88)/88*20</f>
        <v>26.25</v>
      </c>
      <c r="AB255" s="68">
        <f t="shared" si="30"/>
        <v>128.65</v>
      </c>
      <c r="AC255" s="68">
        <f>(VLOOKUP($A:$A,USD!$A:$AL,29,FALSE)*88)/88*20</f>
        <v>110.22727272727273</v>
      </c>
      <c r="AD255" s="68">
        <f>(VLOOKUP($A:$A,USD!$A:$AL,30,FALSE)*88)/88*20</f>
        <v>107.04545454545455</v>
      </c>
      <c r="AF255" s="68">
        <f t="shared" si="31"/>
        <v>217.27272727272728</v>
      </c>
      <c r="AG255" s="87">
        <f>(VLOOKUP($A:$A,USD!$A:$AL,33,FALSE)*88)/88*20</f>
        <v>28.814300000000003</v>
      </c>
      <c r="AH255" s="68">
        <f>(VLOOKUP($A:$A,USD!$A:$AL,34,FALSE)*88)/88*20</f>
        <v>6.973140495867769</v>
      </c>
      <c r="AI255" s="87">
        <f>(VLOOKUP($A:$A,USD!$A:$AL,35,FALSE)*88)/88*20</f>
        <v>12.587317427197677</v>
      </c>
      <c r="AJ255" s="87">
        <f>(VLOOKUP($A:$A,USD!$A:$AL,36,FALSE)*88)/88*20</f>
        <v>6.7351999999999999</v>
      </c>
      <c r="AL255" s="68">
        <f t="shared" si="32"/>
        <v>55.109957923065444</v>
      </c>
      <c r="AM255" s="87">
        <f>(VLOOKUP($A:$A,USD!$A:$AR,39,FALSE)*88)/88*20</f>
        <v>79.999999999999986</v>
      </c>
      <c r="AN255" s="68">
        <f>(VLOOKUP($A:$A,USD!$A:$AR,40,FALSE)*88)/88*20</f>
        <v>26.17808219178082</v>
      </c>
      <c r="AO255" s="1">
        <f>(VLOOKUP($A:$A,USD!$A:$AR,41,FALSE)*88)/88*20</f>
        <v>0</v>
      </c>
      <c r="AR255" s="1">
        <f t="shared" si="33"/>
        <v>106.1780821917808</v>
      </c>
      <c r="AS255" s="38">
        <f t="shared" si="34"/>
        <v>747.79107041787654</v>
      </c>
      <c r="AT255" s="38">
        <f t="shared" si="35"/>
        <v>977.79107041787654</v>
      </c>
      <c r="AW255" s="1">
        <f>(VLOOKUP(A:A,USD!A:AT,46,FALSE)*88)/88*20</f>
        <v>490.76363636363635</v>
      </c>
      <c r="AX255" s="1">
        <f>(VLOOKUP(A:A,USD!A:AU,47,FALSE)*88)/88*20</f>
        <v>328.06818181818181</v>
      </c>
    </row>
    <row r="256" spans="1:50" hidden="1">
      <c r="A256" s="1">
        <v>310516</v>
      </c>
      <c r="B256" s="1" t="s">
        <v>604</v>
      </c>
      <c r="C256" s="1" t="s">
        <v>605</v>
      </c>
      <c r="D256" s="1" t="s">
        <v>76</v>
      </c>
      <c r="E256" s="1" t="str">
        <f>VLOOKUP(A:A,USD!A:E,5,FALSE)</f>
        <v>GA 30 Day</v>
      </c>
      <c r="F256" s="1" t="str">
        <f>VLOOKUP(A:A,USD!A:F,6,FALSE)</f>
        <v>ER5</v>
      </c>
      <c r="G256" s="1" t="str">
        <f>VLOOKUP(A:A,'Regions and Ports'!A:G,7,FALSE)</f>
        <v>Savannah</v>
      </c>
      <c r="H256" s="1">
        <f>VLOOKUP(A:A,USD!A:R,8,FALSE)</f>
        <v>4</v>
      </c>
      <c r="I256" s="87">
        <f>(VLOOKUP($A:$A,USD!$A:$AL,9,FALSE)*88)/88*20</f>
        <v>60</v>
      </c>
      <c r="J256" s="87">
        <f>(VLOOKUP($A:$A,USD!$A:$AL,10,FALSE)*88)/88*20</f>
        <v>100</v>
      </c>
      <c r="K256" s="87">
        <f>(VLOOKUP($A:$A,USD!$A:$AL,11,FALSE)*88)/88*20</f>
        <v>0</v>
      </c>
      <c r="L256" s="87">
        <f>(VLOOKUP($A:$A,USD!$A:$AL,12,FALSE)*88)/88*20</f>
        <v>0</v>
      </c>
      <c r="M256" s="87">
        <f>(VLOOKUP($A:$A,USD!$A:$AL,13,FALSE)*88)/88*20</f>
        <v>10</v>
      </c>
      <c r="N256" s="87">
        <f>(VLOOKUP($A:$A,USD!$A:$AL,14,FALSE)*88)/88*20</f>
        <v>60</v>
      </c>
      <c r="O256" s="68">
        <f>(VLOOKUP($A:$A,USD!$A:$AL,15,FALSE)*88)/88*20</f>
        <v>37.916666666666671</v>
      </c>
      <c r="P256" s="87">
        <f>(VLOOKUP($A:$A,USD!$A:$AL,16,FALSE)*88)/88*20</f>
        <v>0</v>
      </c>
      <c r="Q256" s="68">
        <f t="shared" si="27"/>
        <v>267.91666666666669</v>
      </c>
      <c r="R256" s="68">
        <f t="shared" si="28"/>
        <v>37.916666666666671</v>
      </c>
      <c r="S256" s="68">
        <f>(VLOOKUP($A:$A,USD!$A:$AL,19,FALSE)*88)/88*20</f>
        <v>0</v>
      </c>
      <c r="T256" s="68">
        <f>(VLOOKUP($A:$A,USD!$A:$AL,20,FALSE)*88)/88*20</f>
        <v>0</v>
      </c>
      <c r="U256" s="68">
        <f>(VLOOKUP($A:$A,USD!$A:$AL,21,FALSE)*88)/88*20</f>
        <v>202.66363636363636</v>
      </c>
      <c r="V256" s="68"/>
      <c r="W256" s="68">
        <f t="shared" si="29"/>
        <v>202.66363636363636</v>
      </c>
      <c r="X256" s="1">
        <f>(VLOOKUP($A:$A,USD!$A:$AL,24,FALSE)*88)/88*20</f>
        <v>52</v>
      </c>
      <c r="Y256" s="68">
        <f>(VLOOKUP($A:$A,USD!$A:$AL,25,FALSE)*88)/88*20</f>
        <v>50.4</v>
      </c>
      <c r="Z256" s="68">
        <f>(VLOOKUP($A:$A,USD!$A:$AL,26,FALSE)*88)/88*20</f>
        <v>26.25</v>
      </c>
      <c r="AB256" s="68">
        <f t="shared" si="30"/>
        <v>128.65</v>
      </c>
      <c r="AC256" s="68">
        <f>(VLOOKUP($A:$A,USD!$A:$AL,29,FALSE)*88)/88*20</f>
        <v>110.22727272727273</v>
      </c>
      <c r="AD256" s="68">
        <f>(VLOOKUP($A:$A,USD!$A:$AL,30,FALSE)*88)/88*20</f>
        <v>107.04545454545455</v>
      </c>
      <c r="AF256" s="68">
        <f t="shared" si="31"/>
        <v>217.27272727272728</v>
      </c>
      <c r="AG256" s="87">
        <f>(VLOOKUP($A:$A,USD!$A:$AL,33,FALSE)*88)/88*20</f>
        <v>28.814300000000003</v>
      </c>
      <c r="AH256" s="68">
        <f>(VLOOKUP($A:$A,USD!$A:$AL,34,FALSE)*88)/88*20</f>
        <v>6.973140495867769</v>
      </c>
      <c r="AI256" s="87">
        <f>(VLOOKUP($A:$A,USD!$A:$AL,35,FALSE)*88)/88*20</f>
        <v>12.587317427197677</v>
      </c>
      <c r="AJ256" s="87">
        <f>(VLOOKUP($A:$A,USD!$A:$AL,36,FALSE)*88)/88*20</f>
        <v>6.7351999999999999</v>
      </c>
      <c r="AL256" s="68">
        <f t="shared" si="32"/>
        <v>55.109957923065444</v>
      </c>
      <c r="AM256" s="87">
        <f>(VLOOKUP($A:$A,USD!$A:$AR,39,FALSE)*88)/88*20</f>
        <v>79.999999999999986</v>
      </c>
      <c r="AN256" s="68">
        <f>(VLOOKUP($A:$A,USD!$A:$AR,40,FALSE)*88)/88*20</f>
        <v>26.17808219178082</v>
      </c>
      <c r="AO256" s="1">
        <f>(VLOOKUP($A:$A,USD!$A:$AR,41,FALSE)*88)/88*20</f>
        <v>0</v>
      </c>
      <c r="AR256" s="1">
        <f t="shared" si="33"/>
        <v>106.1780821917808</v>
      </c>
      <c r="AS256" s="38">
        <f t="shared" si="34"/>
        <v>747.79107041787654</v>
      </c>
      <c r="AT256" s="38">
        <f t="shared" si="35"/>
        <v>977.79107041787654</v>
      </c>
      <c r="AW256" s="1">
        <f>(VLOOKUP(A:A,USD!A:AT,46,FALSE)*88)/88*20</f>
        <v>490.76363636363635</v>
      </c>
      <c r="AX256" s="1">
        <f>(VLOOKUP(A:A,USD!A:AU,47,FALSE)*88)/88*20</f>
        <v>328.06818181818181</v>
      </c>
    </row>
    <row r="257" spans="1:50" hidden="1">
      <c r="A257" s="1">
        <v>904033</v>
      </c>
      <c r="B257" s="1" t="s">
        <v>606</v>
      </c>
      <c r="C257" s="1" t="s">
        <v>607</v>
      </c>
      <c r="D257" s="1" t="s">
        <v>71</v>
      </c>
      <c r="E257" s="1" t="str">
        <f>VLOOKUP(A:A,USD!A:E,5,FALSE)</f>
        <v>WTX</v>
      </c>
      <c r="F257" s="1" t="str">
        <f>VLOOKUP(A:A,USD!A:F,6,FALSE)</f>
        <v>WTX</v>
      </c>
      <c r="G257" s="1" t="str">
        <f>VLOOKUP(A:A,'Regions and Ports'!A:G,7,FALSE)</f>
        <v>Dallas</v>
      </c>
      <c r="H257" s="1">
        <f>VLOOKUP(A:A,USD!A:R,8,FALSE)</f>
        <v>2</v>
      </c>
      <c r="I257" s="87">
        <f>(VLOOKUP($A:$A,USD!$A:$AL,9,FALSE)*88)/88*20</f>
        <v>95</v>
      </c>
      <c r="J257" s="87">
        <f>(VLOOKUP($A:$A,USD!$A:$AL,10,FALSE)*88)/88*20</f>
        <v>109</v>
      </c>
      <c r="K257" s="87">
        <f>(VLOOKUP($A:$A,USD!$A:$AL,11,FALSE)*88)/88*20</f>
        <v>195</v>
      </c>
      <c r="L257" s="87">
        <f>(VLOOKUP($A:$A,USD!$A:$AL,12,FALSE)*88)/88*20</f>
        <v>0</v>
      </c>
      <c r="M257" s="87">
        <f>(VLOOKUP($A:$A,USD!$A:$AL,13,FALSE)*88)/88*20</f>
        <v>20</v>
      </c>
      <c r="N257" s="87">
        <f>(VLOOKUP($A:$A,USD!$A:$AL,14,FALSE)*88)/88*20</f>
        <v>48</v>
      </c>
      <c r="O257" s="68">
        <f>(VLOOKUP($A:$A,USD!$A:$AL,15,FALSE)*88)/88*20</f>
        <v>37.916666666666671</v>
      </c>
      <c r="P257" s="87">
        <f>(VLOOKUP($A:$A,USD!$A:$AL,16,FALSE)*88)/88*20</f>
        <v>0</v>
      </c>
      <c r="Q257" s="68">
        <f t="shared" si="27"/>
        <v>504.91666666666669</v>
      </c>
      <c r="R257" s="68">
        <f t="shared" si="28"/>
        <v>280.91666666666669</v>
      </c>
      <c r="S257" s="68">
        <f>(VLOOKUP($A:$A,USD!$A:$AL,19,FALSE)*88)/88*20</f>
        <v>0</v>
      </c>
      <c r="T257" s="68">
        <f>(VLOOKUP($A:$A,USD!$A:$AL,20,FALSE)*88)/88*20</f>
        <v>0</v>
      </c>
      <c r="U257" s="68">
        <f>(VLOOKUP($A:$A,USD!$A:$AL,21,FALSE)*88)/88*20</f>
        <v>180.11363636363637</v>
      </c>
      <c r="V257" s="68"/>
      <c r="W257" s="68">
        <f t="shared" si="29"/>
        <v>180.11363636363637</v>
      </c>
      <c r="X257" s="1">
        <f>(VLOOKUP($A:$A,USD!$A:$AL,24,FALSE)*88)/88*20</f>
        <v>54</v>
      </c>
      <c r="Y257" s="68">
        <f>(VLOOKUP($A:$A,USD!$A:$AL,25,FALSE)*88)/88*20</f>
        <v>50.4</v>
      </c>
      <c r="Z257" s="68">
        <f>(VLOOKUP($A:$A,USD!$A:$AL,26,FALSE)*88)/88*20</f>
        <v>26.25</v>
      </c>
      <c r="AB257" s="68">
        <f t="shared" si="30"/>
        <v>130.65</v>
      </c>
      <c r="AC257" s="68">
        <f>(VLOOKUP($A:$A,USD!$A:$AL,29,FALSE)*88)/88*20</f>
        <v>162.5</v>
      </c>
      <c r="AD257" s="68">
        <f>(VLOOKUP($A:$A,USD!$A:$AL,30,FALSE)*88)/88*20</f>
        <v>268.18181818181819</v>
      </c>
      <c r="AF257" s="68">
        <f t="shared" si="31"/>
        <v>430.68181818181819</v>
      </c>
      <c r="AG257" s="87">
        <f>(VLOOKUP($A:$A,USD!$A:$AL,33,FALSE)*88)/88*20</f>
        <v>28.814300000000003</v>
      </c>
      <c r="AH257" s="68">
        <f>(VLOOKUP($A:$A,USD!$A:$AL,34,FALSE)*88)/88*20</f>
        <v>6.973140495867769</v>
      </c>
      <c r="AI257" s="87">
        <f>(VLOOKUP($A:$A,USD!$A:$AL,35,FALSE)*88)/88*20</f>
        <v>12.587317427197677</v>
      </c>
      <c r="AJ257" s="87">
        <f>(VLOOKUP($A:$A,USD!$A:$AL,36,FALSE)*88)/88*20</f>
        <v>6.7351999999999999</v>
      </c>
      <c r="AL257" s="68">
        <f t="shared" si="32"/>
        <v>55.109957923065444</v>
      </c>
      <c r="AM257" s="87">
        <f>(VLOOKUP($A:$A,USD!$A:$AR,39,FALSE)*88)/88*20</f>
        <v>79.999999999999986</v>
      </c>
      <c r="AN257" s="68">
        <f>(VLOOKUP($A:$A,USD!$A:$AR,40,FALSE)*88)/88*20</f>
        <v>26.17808219178082</v>
      </c>
      <c r="AO257" s="1">
        <f>(VLOOKUP($A:$A,USD!$A:$AR,41,FALSE)*88)/88*20</f>
        <v>0</v>
      </c>
      <c r="AR257" s="1">
        <f t="shared" si="33"/>
        <v>106.1780821917808</v>
      </c>
      <c r="AS257" s="38">
        <f t="shared" si="34"/>
        <v>1183.6501613269675</v>
      </c>
      <c r="AT257" s="38">
        <f t="shared" si="35"/>
        <v>1407.6501613269672</v>
      </c>
      <c r="AW257" s="1" t="e">
        <f>(VLOOKUP(A:A,USD!A:AT,46,FALSE)*88)/88*20</f>
        <v>#N/A</v>
      </c>
      <c r="AX257" s="1" t="e">
        <f>(VLOOKUP(A:A,USD!A:AU,47,FALSE)*88)/88*20</f>
        <v>#N/A</v>
      </c>
    </row>
    <row r="258" spans="1:50" hidden="1">
      <c r="A258" s="125">
        <v>904033</v>
      </c>
      <c r="B258" s="1" t="s">
        <v>606</v>
      </c>
      <c r="C258" s="1" t="s">
        <v>607</v>
      </c>
      <c r="D258" s="1" t="s">
        <v>71</v>
      </c>
      <c r="E258" s="1" t="s">
        <v>2067</v>
      </c>
      <c r="F258" s="1" t="str">
        <f>VLOOKUP(A:A,USD!A:F,6,FALSE)</f>
        <v>WTX</v>
      </c>
      <c r="G258" s="1" t="s">
        <v>439</v>
      </c>
      <c r="H258" s="1">
        <f>VLOOKUP(A:A,USD!A:R,8,FALSE)</f>
        <v>2</v>
      </c>
      <c r="I258" s="87">
        <f>(VLOOKUP($A:$A,USD!$A:$AL,9,FALSE)*88)/88*20</f>
        <v>95</v>
      </c>
      <c r="J258" s="87">
        <f>(VLOOKUP($A:$A,USD!$A:$AL,10,FALSE)*88)/88*20</f>
        <v>109</v>
      </c>
      <c r="K258" s="87">
        <f>(VLOOKUP($A:$A,USD!$A:$AL,11,FALSE)*88)/88*20</f>
        <v>195</v>
      </c>
      <c r="L258" s="87">
        <f>(VLOOKUP($A:$A,USD!$A:$AL,12,FALSE)*88)/88*20</f>
        <v>0</v>
      </c>
      <c r="M258" s="87">
        <f>(VLOOKUP($A:$A,USD!$A:$AL,13,FALSE)*88)/88*20</f>
        <v>20</v>
      </c>
      <c r="N258" s="87">
        <f>(VLOOKUP($A:$A,USD!$A:$AL,14,FALSE)*88)/88*20</f>
        <v>48</v>
      </c>
      <c r="O258" s="68">
        <f>(VLOOKUP($A:$A,USD!$A:$AL,15,FALSE)*88)/88*20</f>
        <v>37.916666666666671</v>
      </c>
      <c r="P258" s="87">
        <f>(VLOOKUP($A:$A,USD!$A:$AL,16,FALSE)*88)/88*20</f>
        <v>0</v>
      </c>
      <c r="Q258" s="68">
        <f t="shared" si="27"/>
        <v>504.91666666666669</v>
      </c>
      <c r="R258" s="68">
        <f t="shared" si="28"/>
        <v>280.91666666666669</v>
      </c>
      <c r="S258" s="68">
        <f>(VLOOKUP($A:$A,USD!$A:$AL,19,FALSE)*88)/88*20</f>
        <v>0</v>
      </c>
      <c r="T258" s="68">
        <f>(VLOOKUP($A:$A,USD!$A:$AL,20,FALSE)*88)/88*20</f>
        <v>0</v>
      </c>
      <c r="U258" s="68" cm="1">
        <f t="array" ref="U258">(_xlfn.XLOOKUP(1, (USD!$A:$A=$A258)*(USD!$E:$E=$E258), USD!$U:$U, "", 0)*88)/88*20</f>
        <v>267.0454545454545</v>
      </c>
      <c r="V258" s="68"/>
      <c r="W258" s="68">
        <f t="shared" si="29"/>
        <v>267.0454545454545</v>
      </c>
      <c r="X258" s="1">
        <f>(VLOOKUP($A:$A,USD!$A:$AL,24,FALSE)*88)/88*20</f>
        <v>54</v>
      </c>
      <c r="Y258" s="68">
        <f>(VLOOKUP($A:$A,USD!$A:$AL,25,FALSE)*88)/88*20</f>
        <v>50.4</v>
      </c>
      <c r="Z258" s="68">
        <f>(VLOOKUP($A:$A,USD!$A:$AL,26,FALSE)*88)/88*20</f>
        <v>26.25</v>
      </c>
      <c r="AB258" s="68">
        <f t="shared" si="30"/>
        <v>130.65</v>
      </c>
      <c r="AC258" s="68" cm="1">
        <f t="array" ref="AC258">_xlfn.XLOOKUP(A258&amp;E258, USD!$A:$A&amp;USD!$E:$E, USD!$AC:$AC, "")*20</f>
        <v>132.95454545454544</v>
      </c>
      <c r="AD258" s="68" cm="1">
        <f t="array" ref="AD258">_xlfn.XLOOKUP(A258&amp;E258, USD!$A:$A&amp;USD!$E:$E, USD!$AD:$AD, "")*20</f>
        <v>197.95454545454547</v>
      </c>
      <c r="AF258" s="68">
        <f t="shared" si="31"/>
        <v>330.90909090909088</v>
      </c>
      <c r="AG258" s="87">
        <f>(VLOOKUP($A:$A,USD!$A:$AL,33,FALSE)*88)/88*20</f>
        <v>28.814300000000003</v>
      </c>
      <c r="AH258" s="68">
        <f>(VLOOKUP($A:$A,USD!$A:$AL,34,FALSE)*88)/88*20</f>
        <v>6.973140495867769</v>
      </c>
      <c r="AI258" s="87">
        <f>(VLOOKUP($A:$A,USD!$A:$AL,35,FALSE)*88)/88*20</f>
        <v>12.587317427197677</v>
      </c>
      <c r="AJ258" s="87">
        <f>(VLOOKUP($A:$A,USD!$A:$AL,36,FALSE)*88)/88*20</f>
        <v>6.7351999999999999</v>
      </c>
      <c r="AL258" s="68">
        <f t="shared" si="32"/>
        <v>55.109957923065444</v>
      </c>
      <c r="AM258" s="87">
        <f>(VLOOKUP($A:$A,USD!$A:$AR,39,FALSE)*88)/88*20</f>
        <v>79.999999999999986</v>
      </c>
      <c r="AN258" s="68">
        <f>(VLOOKUP($A:$A,USD!$A:$AR,40,FALSE)*88)/88*20</f>
        <v>26.17808219178082</v>
      </c>
      <c r="AO258" s="1">
        <f>(VLOOKUP($A:$A,USD!$A:$AR,41,FALSE)*88)/88*20</f>
        <v>0</v>
      </c>
      <c r="AR258" s="1">
        <f t="shared" si="33"/>
        <v>106.1780821917808</v>
      </c>
      <c r="AS258" s="38">
        <f t="shared" si="34"/>
        <v>1170.8092522360582</v>
      </c>
      <c r="AT258" s="38">
        <f t="shared" si="35"/>
        <v>1394.8092522360582</v>
      </c>
      <c r="AW258" s="1" t="e">
        <f>(VLOOKUP(A:A,USD!A:AT,46,FALSE)*88)/88*20</f>
        <v>#N/A</v>
      </c>
      <c r="AX258" s="1" t="e">
        <f>(VLOOKUP(A:A,USD!A:AU,47,FALSE)*88)/88*20</f>
        <v>#N/A</v>
      </c>
    </row>
    <row r="259" spans="1:50" hidden="1">
      <c r="A259" s="1">
        <v>490150</v>
      </c>
      <c r="B259" s="1" t="s">
        <v>609</v>
      </c>
      <c r="C259" s="1" t="s">
        <v>610</v>
      </c>
      <c r="D259" s="1" t="s">
        <v>128</v>
      </c>
      <c r="E259" s="1" t="str">
        <f>VLOOKUP(A:A,USD!A:E,5,FALSE)</f>
        <v>Memphis Rule 5</v>
      </c>
      <c r="F259" s="1" t="str">
        <f>VLOOKUP(A:A,USD!A:F,6,FALSE)</f>
        <v>MR5</v>
      </c>
      <c r="G259" s="1" t="str">
        <f>VLOOKUP(A:A,'Regions and Ports'!A:G,7,FALSE)</f>
        <v>Memphis</v>
      </c>
      <c r="H259" s="1">
        <f>VLOOKUP(A:A,USD!A:R,8,FALSE)</f>
        <v>1</v>
      </c>
      <c r="I259" s="87">
        <f>(VLOOKUP($A:$A,USD!$A:$AL,9,FALSE)*88)/88*20</f>
        <v>100</v>
      </c>
      <c r="J259" s="87">
        <f>(VLOOKUP($A:$A,USD!$A:$AL,10,FALSE)*88)/88*20</f>
        <v>160</v>
      </c>
      <c r="K259" s="87">
        <f>(VLOOKUP($A:$A,USD!$A:$AL,11,FALSE)*88)/88*20</f>
        <v>160</v>
      </c>
      <c r="L259" s="87">
        <f>(VLOOKUP($A:$A,USD!$A:$AL,12,FALSE)*88)/88*20</f>
        <v>0</v>
      </c>
      <c r="M259" s="87">
        <f>(VLOOKUP($A:$A,USD!$A:$AL,13,FALSE)*88)/88*20</f>
        <v>0</v>
      </c>
      <c r="N259" s="87">
        <f>(VLOOKUP($A:$A,USD!$A:$AL,14,FALSE)*88)/88*20</f>
        <v>80</v>
      </c>
      <c r="O259" s="68">
        <f>(VLOOKUP($A:$A,USD!$A:$AL,15,FALSE)*88)/88*20</f>
        <v>37.916666666666671</v>
      </c>
      <c r="P259" s="87">
        <f>(VLOOKUP($A:$A,USD!$A:$AL,16,FALSE)*88)/88*20</f>
        <v>0</v>
      </c>
      <c r="Q259" s="68">
        <f t="shared" ref="Q259:Q322" si="36">I259+J259+K259+L259+M259+N259+O259+P259</f>
        <v>537.91666666666663</v>
      </c>
      <c r="R259" s="68">
        <f t="shared" ref="R259:R322" si="37">IF(H259=1,SUM(N259),IF(H259=2,SUM(K259,N259),IF(H259=3,SUM(J259,K259,L259,N259),IF(H259=4,SUM(L259),"ERROR"))))+O259</f>
        <v>117.91666666666667</v>
      </c>
      <c r="S259" s="68">
        <f>(VLOOKUP($A:$A,USD!$A:$AL,19,FALSE)*88)/88*20</f>
        <v>0</v>
      </c>
      <c r="T259" s="68">
        <f>(VLOOKUP($A:$A,USD!$A:$AL,20,FALSE)*88)/88*20</f>
        <v>0</v>
      </c>
      <c r="U259" s="68">
        <f>(VLOOKUP($A:$A,USD!$A:$AL,21,FALSE)*88)/88*20</f>
        <v>127.27272727272727</v>
      </c>
      <c r="V259" s="68"/>
      <c r="W259" s="68">
        <f t="shared" ref="W259:W322" si="38">S259+T259+U259+V259</f>
        <v>127.27272727272727</v>
      </c>
      <c r="X259" s="1">
        <f>(VLOOKUP($A:$A,USD!$A:$AL,24,FALSE)*88)/88*20</f>
        <v>50</v>
      </c>
      <c r="Y259" s="68">
        <f>(VLOOKUP($A:$A,USD!$A:$AL,25,FALSE)*88)/88*20</f>
        <v>33.6</v>
      </c>
      <c r="Z259" s="68">
        <f>(VLOOKUP($A:$A,USD!$A:$AL,26,FALSE)*88)/88*20</f>
        <v>26.25</v>
      </c>
      <c r="AB259" s="68">
        <f t="shared" ref="AB259:AB322" si="39">X259+Y259+Z259+AA259</f>
        <v>109.85</v>
      </c>
      <c r="AC259" s="68">
        <f>(VLOOKUP($A:$A,USD!$A:$AL,29,FALSE)*88)/88*20</f>
        <v>146.02272727272725</v>
      </c>
      <c r="AD259" s="68">
        <f>(VLOOKUP($A:$A,USD!$A:$AL,30,FALSE)*88)/88*20</f>
        <v>182.72727272727275</v>
      </c>
      <c r="AF259" s="68">
        <f t="shared" ref="AF259:AF322" si="40">AC259+AD259+AE259</f>
        <v>328.75</v>
      </c>
      <c r="AG259" s="87">
        <f>(VLOOKUP($A:$A,USD!$A:$AL,33,FALSE)*88)/88*20</f>
        <v>28.814300000000003</v>
      </c>
      <c r="AH259" s="68">
        <f>(VLOOKUP($A:$A,USD!$A:$AL,34,FALSE)*88)/88*20</f>
        <v>6.973140495867769</v>
      </c>
      <c r="AI259" s="87">
        <f>(VLOOKUP($A:$A,USD!$A:$AL,35,FALSE)*88)/88*20</f>
        <v>12.587317427197677</v>
      </c>
      <c r="AJ259" s="87">
        <f>(VLOOKUP($A:$A,USD!$A:$AL,36,FALSE)*88)/88*20</f>
        <v>6.7351999999999999</v>
      </c>
      <c r="AL259" s="68">
        <f t="shared" ref="AL259:AL322" si="41">AG259+AH259+AI259+AJ259</f>
        <v>55.109957923065444</v>
      </c>
      <c r="AM259" s="87">
        <f>(VLOOKUP($A:$A,USD!$A:$AR,39,FALSE)*88)/88*20</f>
        <v>79.999999999999986</v>
      </c>
      <c r="AN259" s="68">
        <f>(VLOOKUP($A:$A,USD!$A:$AR,40,FALSE)*88)/88*20</f>
        <v>26.17808219178082</v>
      </c>
      <c r="AO259" s="1">
        <f>(VLOOKUP($A:$A,USD!$A:$AR,41,FALSE)*88)/88*20</f>
        <v>0</v>
      </c>
      <c r="AR259" s="1">
        <f t="shared" ref="AR259:AR322" si="42">AM259+AN259+AO259+AP259+AQ259</f>
        <v>106.1780821917808</v>
      </c>
      <c r="AS259" s="38">
        <f t="shared" ref="AS259:AS322" si="43">R259+W259+AB259+AF259+AL259+AR259</f>
        <v>845.07743405424014</v>
      </c>
      <c r="AT259" s="38">
        <f t="shared" ref="AT259:AT322" si="44">Q259+W259+AB259+AF259+AR259+AL259</f>
        <v>1265.07743405424</v>
      </c>
      <c r="AW259" s="1" t="e">
        <f>(VLOOKUP(A:A,USD!A:AT,46,FALSE)*88)/88*20</f>
        <v>#N/A</v>
      </c>
      <c r="AX259" s="1">
        <f>(VLOOKUP(A:A,USD!A:AU,47,FALSE)*88)/88*20</f>
        <v>439.2045454545455</v>
      </c>
    </row>
    <row r="260" spans="1:50" hidden="1">
      <c r="A260" s="1">
        <v>309509</v>
      </c>
      <c r="B260" s="1" t="s">
        <v>612</v>
      </c>
      <c r="C260" s="1" t="s">
        <v>613</v>
      </c>
      <c r="D260" s="1" t="s">
        <v>76</v>
      </c>
      <c r="E260" s="1" t="str">
        <f>VLOOKUP(A:A,USD!A:E,5,FALSE)</f>
        <v>GA 30 Day</v>
      </c>
      <c r="F260" s="1" t="str">
        <f>VLOOKUP(A:A,USD!A:F,6,FALSE)</f>
        <v>ER5</v>
      </c>
      <c r="G260" s="1" t="str">
        <f>VLOOKUP(A:A,'Regions and Ports'!A:G,7,FALSE)</f>
        <v>Savannah</v>
      </c>
      <c r="H260" s="1">
        <f>VLOOKUP(A:A,USD!A:R,8,FALSE)</f>
        <v>4</v>
      </c>
      <c r="I260" s="87">
        <f>(VLOOKUP($A:$A,USD!$A:$AL,9,FALSE)*88)/88*20</f>
        <v>70</v>
      </c>
      <c r="J260" s="87">
        <f>(VLOOKUP($A:$A,USD!$A:$AL,10,FALSE)*88)/88*20</f>
        <v>110</v>
      </c>
      <c r="K260" s="87">
        <f>(VLOOKUP($A:$A,USD!$A:$AL,11,FALSE)*88)/88*20</f>
        <v>0</v>
      </c>
      <c r="L260" s="87">
        <f>(VLOOKUP($A:$A,USD!$A:$AL,12,FALSE)*88)/88*20</f>
        <v>0</v>
      </c>
      <c r="M260" s="87">
        <f>(VLOOKUP($A:$A,USD!$A:$AL,13,FALSE)*88)/88*20</f>
        <v>20</v>
      </c>
      <c r="N260" s="87">
        <f>(VLOOKUP($A:$A,USD!$A:$AL,14,FALSE)*88)/88*20</f>
        <v>70</v>
      </c>
      <c r="O260" s="68">
        <f>(VLOOKUP($A:$A,USD!$A:$AL,15,FALSE)*88)/88*20</f>
        <v>37.916666666666671</v>
      </c>
      <c r="P260" s="87">
        <f>(VLOOKUP($A:$A,USD!$A:$AL,16,FALSE)*88)/88*20</f>
        <v>0</v>
      </c>
      <c r="Q260" s="68">
        <f t="shared" si="36"/>
        <v>307.91666666666669</v>
      </c>
      <c r="R260" s="68">
        <f t="shared" si="37"/>
        <v>37.916666666666671</v>
      </c>
      <c r="S260" s="68">
        <f>(VLOOKUP($A:$A,USD!$A:$AL,19,FALSE)*88)/88*20</f>
        <v>0</v>
      </c>
      <c r="T260" s="68">
        <f>(VLOOKUP($A:$A,USD!$A:$AL,20,FALSE)*88)/88*20</f>
        <v>0</v>
      </c>
      <c r="U260" s="68">
        <f>(VLOOKUP($A:$A,USD!$A:$AL,21,FALSE)*88)/88*20</f>
        <v>217.43636363636367</v>
      </c>
      <c r="V260" s="68"/>
      <c r="W260" s="68">
        <f t="shared" si="38"/>
        <v>217.43636363636367</v>
      </c>
      <c r="X260" s="1">
        <f>(VLOOKUP($A:$A,USD!$A:$AL,24,FALSE)*88)/88*20</f>
        <v>52</v>
      </c>
      <c r="Y260" s="68">
        <f>(VLOOKUP($A:$A,USD!$A:$AL,25,FALSE)*88)/88*20</f>
        <v>50.4</v>
      </c>
      <c r="Z260" s="68">
        <f>(VLOOKUP($A:$A,USD!$A:$AL,26,FALSE)*88)/88*20</f>
        <v>26.25</v>
      </c>
      <c r="AB260" s="68">
        <f t="shared" si="39"/>
        <v>128.65</v>
      </c>
      <c r="AC260" s="68">
        <f>(VLOOKUP($A:$A,USD!$A:$AL,29,FALSE)*88)/88*20</f>
        <v>110.22727272727273</v>
      </c>
      <c r="AD260" s="68">
        <f>(VLOOKUP($A:$A,USD!$A:$AL,30,FALSE)*88)/88*20</f>
        <v>107.04545454545455</v>
      </c>
      <c r="AF260" s="68">
        <f t="shared" si="40"/>
        <v>217.27272727272728</v>
      </c>
      <c r="AG260" s="87">
        <f>(VLOOKUP($A:$A,USD!$A:$AL,33,FALSE)*88)/88*20</f>
        <v>28.814300000000003</v>
      </c>
      <c r="AH260" s="68">
        <f>(VLOOKUP($A:$A,USD!$A:$AL,34,FALSE)*88)/88*20</f>
        <v>6.973140495867769</v>
      </c>
      <c r="AI260" s="87">
        <f>(VLOOKUP($A:$A,USD!$A:$AL,35,FALSE)*88)/88*20</f>
        <v>12.587317427197677</v>
      </c>
      <c r="AJ260" s="87">
        <f>(VLOOKUP($A:$A,USD!$A:$AL,36,FALSE)*88)/88*20</f>
        <v>6.7351999999999999</v>
      </c>
      <c r="AL260" s="68">
        <f t="shared" si="41"/>
        <v>55.109957923065444</v>
      </c>
      <c r="AM260" s="87">
        <f>(VLOOKUP($A:$A,USD!$A:$AR,39,FALSE)*88)/88*20</f>
        <v>79.999999999999986</v>
      </c>
      <c r="AN260" s="68">
        <f>(VLOOKUP($A:$A,USD!$A:$AR,40,FALSE)*88)/88*20</f>
        <v>26.17808219178082</v>
      </c>
      <c r="AO260" s="1">
        <f>(VLOOKUP($A:$A,USD!$A:$AR,41,FALSE)*88)/88*20</f>
        <v>0</v>
      </c>
      <c r="AR260" s="1">
        <f t="shared" si="42"/>
        <v>106.1780821917808</v>
      </c>
      <c r="AS260" s="38">
        <f t="shared" si="43"/>
        <v>762.56379769060379</v>
      </c>
      <c r="AT260" s="38">
        <f t="shared" si="44"/>
        <v>1032.5637976906039</v>
      </c>
      <c r="AW260" s="1">
        <f>(VLOOKUP(A:A,USD!A:AT,46,FALSE)*88)/88*20</f>
        <v>488.2</v>
      </c>
      <c r="AX260" s="1">
        <f>(VLOOKUP(A:A,USD!A:AU,47,FALSE)*88)/88*20</f>
        <v>326.7045454545455</v>
      </c>
    </row>
    <row r="261" spans="1:50" hidden="1">
      <c r="A261" s="1">
        <v>906015</v>
      </c>
      <c r="B261" s="1" t="s">
        <v>615</v>
      </c>
      <c r="C261" s="1" t="s">
        <v>616</v>
      </c>
      <c r="D261" s="1" t="s">
        <v>71</v>
      </c>
      <c r="E261" s="1" t="str">
        <f>VLOOKUP(A:A,USD!A:E,5,FALSE)</f>
        <v>WTX</v>
      </c>
      <c r="F261" s="1" t="str">
        <f>VLOOKUP(A:A,USD!A:F,6,FALSE)</f>
        <v>WTX</v>
      </c>
      <c r="G261" s="1" t="str">
        <f>VLOOKUP(A:A,'Regions and Ports'!A:G,7,FALSE)</f>
        <v>Dallas</v>
      </c>
      <c r="H261" s="1">
        <f>VLOOKUP(A:A,USD!A:R,8,FALSE)</f>
        <v>2</v>
      </c>
      <c r="I261" s="87">
        <f>(VLOOKUP($A:$A,USD!$A:$AL,9,FALSE)*88)/88*20</f>
        <v>100</v>
      </c>
      <c r="J261" s="87">
        <f>(VLOOKUP($A:$A,USD!$A:$AL,10,FALSE)*88)/88*20</f>
        <v>125</v>
      </c>
      <c r="K261" s="87">
        <f>(VLOOKUP($A:$A,USD!$A:$AL,11,FALSE)*88)/88*20</f>
        <v>205</v>
      </c>
      <c r="L261" s="87">
        <f>(VLOOKUP($A:$A,USD!$A:$AL,12,FALSE)*88)/88*20</f>
        <v>0</v>
      </c>
      <c r="M261" s="87">
        <f>(VLOOKUP($A:$A,USD!$A:$AL,13,FALSE)*88)/88*20</f>
        <v>0</v>
      </c>
      <c r="N261" s="87">
        <f>(VLOOKUP($A:$A,USD!$A:$AL,14,FALSE)*88)/88*20</f>
        <v>48</v>
      </c>
      <c r="O261" s="68">
        <f>(VLOOKUP($A:$A,USD!$A:$AL,15,FALSE)*88)/88*20</f>
        <v>37.916666666666671</v>
      </c>
      <c r="P261" s="87">
        <f>(VLOOKUP($A:$A,USD!$A:$AL,16,FALSE)*88)/88*20</f>
        <v>0</v>
      </c>
      <c r="Q261" s="68">
        <f t="shared" si="36"/>
        <v>515.91666666666663</v>
      </c>
      <c r="R261" s="68">
        <f t="shared" si="37"/>
        <v>290.91666666666669</v>
      </c>
      <c r="S261" s="68">
        <f>(VLOOKUP($A:$A,USD!$A:$AL,19,FALSE)*88)/88*20</f>
        <v>0</v>
      </c>
      <c r="T261" s="68">
        <f>(VLOOKUP($A:$A,USD!$A:$AL,20,FALSE)*88)/88*20</f>
        <v>0</v>
      </c>
      <c r="U261" s="68">
        <f>(VLOOKUP($A:$A,USD!$A:$AL,21,FALSE)*88)/88*20</f>
        <v>176.70454545454547</v>
      </c>
      <c r="V261" s="68"/>
      <c r="W261" s="68">
        <f t="shared" si="38"/>
        <v>176.70454545454547</v>
      </c>
      <c r="X261" s="1">
        <f>(VLOOKUP($A:$A,USD!$A:$AL,24,FALSE)*88)/88*20</f>
        <v>54</v>
      </c>
      <c r="Y261" s="68">
        <f>(VLOOKUP($A:$A,USD!$A:$AL,25,FALSE)*88)/88*20</f>
        <v>50.4</v>
      </c>
      <c r="Z261" s="68">
        <f>(VLOOKUP($A:$A,USD!$A:$AL,26,FALSE)*88)/88*20</f>
        <v>26.25</v>
      </c>
      <c r="AB261" s="68">
        <f t="shared" si="39"/>
        <v>130.65</v>
      </c>
      <c r="AC261" s="68">
        <f>(VLOOKUP($A:$A,USD!$A:$AL,29,FALSE)*88)/88*20</f>
        <v>162.5</v>
      </c>
      <c r="AD261" s="68">
        <f>(VLOOKUP($A:$A,USD!$A:$AL,30,FALSE)*88)/88*20</f>
        <v>268.18181818181819</v>
      </c>
      <c r="AF261" s="68">
        <f t="shared" si="40"/>
        <v>430.68181818181819</v>
      </c>
      <c r="AG261" s="87">
        <f>(VLOOKUP($A:$A,USD!$A:$AL,33,FALSE)*88)/88*20</f>
        <v>28.814300000000003</v>
      </c>
      <c r="AH261" s="68">
        <f>(VLOOKUP($A:$A,USD!$A:$AL,34,FALSE)*88)/88*20</f>
        <v>6.973140495867769</v>
      </c>
      <c r="AI261" s="87">
        <f>(VLOOKUP($A:$A,USD!$A:$AL,35,FALSE)*88)/88*20</f>
        <v>12.587317427197677</v>
      </c>
      <c r="AJ261" s="87">
        <f>(VLOOKUP($A:$A,USD!$A:$AL,36,FALSE)*88)/88*20</f>
        <v>6.7351999999999999</v>
      </c>
      <c r="AL261" s="68">
        <f t="shared" si="41"/>
        <v>55.109957923065444</v>
      </c>
      <c r="AM261" s="87">
        <f>(VLOOKUP($A:$A,USD!$A:$AR,39,FALSE)*88)/88*20</f>
        <v>79.999999999999986</v>
      </c>
      <c r="AN261" s="68">
        <f>(VLOOKUP($A:$A,USD!$A:$AR,40,FALSE)*88)/88*20</f>
        <v>26.17808219178082</v>
      </c>
      <c r="AO261" s="1">
        <f>(VLOOKUP($A:$A,USD!$A:$AR,41,FALSE)*88)/88*20</f>
        <v>0</v>
      </c>
      <c r="AR261" s="1">
        <f t="shared" si="42"/>
        <v>106.1780821917808</v>
      </c>
      <c r="AS261" s="38">
        <f t="shared" si="43"/>
        <v>1190.2410704178765</v>
      </c>
      <c r="AT261" s="38">
        <f t="shared" si="44"/>
        <v>1415.2410704178765</v>
      </c>
      <c r="AW261" s="1">
        <f>(VLOOKUP(A:A,USD!A:AT,46,FALSE)*88)/88*20</f>
        <v>341.43181818181813</v>
      </c>
      <c r="AX261" s="1" t="e">
        <f>(VLOOKUP(A:A,USD!A:AU,47,FALSE)*88)/88*20</f>
        <v>#N/A</v>
      </c>
    </row>
    <row r="262" spans="1:50" hidden="1">
      <c r="A262" s="125">
        <v>906015</v>
      </c>
      <c r="B262" s="1" t="s">
        <v>615</v>
      </c>
      <c r="C262" s="1" t="s">
        <v>616</v>
      </c>
      <c r="D262" s="1" t="s">
        <v>71</v>
      </c>
      <c r="E262" s="1" t="s">
        <v>2067</v>
      </c>
      <c r="F262" s="1" t="str">
        <f>VLOOKUP(A:A,USD!A:F,6,FALSE)</f>
        <v>WTX</v>
      </c>
      <c r="G262" s="1" t="s">
        <v>439</v>
      </c>
      <c r="H262" s="1">
        <f>VLOOKUP(A:A,USD!A:R,8,FALSE)</f>
        <v>2</v>
      </c>
      <c r="I262" s="87">
        <f>(VLOOKUP($A:$A,USD!$A:$AL,9,FALSE)*88)/88*20</f>
        <v>100</v>
      </c>
      <c r="J262" s="87">
        <f>(VLOOKUP($A:$A,USD!$A:$AL,10,FALSE)*88)/88*20</f>
        <v>125</v>
      </c>
      <c r="K262" s="87">
        <f>(VLOOKUP($A:$A,USD!$A:$AL,11,FALSE)*88)/88*20</f>
        <v>205</v>
      </c>
      <c r="L262" s="87">
        <f>(VLOOKUP($A:$A,USD!$A:$AL,12,FALSE)*88)/88*20</f>
        <v>0</v>
      </c>
      <c r="M262" s="87">
        <f>(VLOOKUP($A:$A,USD!$A:$AL,13,FALSE)*88)/88*20</f>
        <v>0</v>
      </c>
      <c r="N262" s="87">
        <f>(VLOOKUP($A:$A,USD!$A:$AL,14,FALSE)*88)/88*20</f>
        <v>48</v>
      </c>
      <c r="O262" s="68">
        <f>(VLOOKUP($A:$A,USD!$A:$AL,15,FALSE)*88)/88*20</f>
        <v>37.916666666666671</v>
      </c>
      <c r="P262" s="87">
        <f>(VLOOKUP($A:$A,USD!$A:$AL,16,FALSE)*88)/88*20</f>
        <v>0</v>
      </c>
      <c r="Q262" s="68">
        <f t="shared" si="36"/>
        <v>515.91666666666663</v>
      </c>
      <c r="R262" s="68">
        <f t="shared" si="37"/>
        <v>290.91666666666669</v>
      </c>
      <c r="S262" s="68">
        <f>(VLOOKUP($A:$A,USD!$A:$AL,19,FALSE)*88)/88*20</f>
        <v>0</v>
      </c>
      <c r="T262" s="68">
        <f>(VLOOKUP($A:$A,USD!$A:$AL,20,FALSE)*88)/88*20</f>
        <v>0</v>
      </c>
      <c r="U262" s="68" cm="1">
        <f t="array" ref="U262">(_xlfn.XLOOKUP(1, (USD!$A:$A=$A262)*(USD!$E:$E=$E262), USD!$U:$U, "", 0)*88)/88*20</f>
        <v>301.13636363636363</v>
      </c>
      <c r="V262" s="68"/>
      <c r="W262" s="68">
        <f t="shared" si="38"/>
        <v>301.13636363636363</v>
      </c>
      <c r="X262" s="1">
        <f>(VLOOKUP($A:$A,USD!$A:$AL,24,FALSE)*88)/88*20</f>
        <v>54</v>
      </c>
      <c r="Y262" s="68">
        <f>(VLOOKUP($A:$A,USD!$A:$AL,25,FALSE)*88)/88*20</f>
        <v>50.4</v>
      </c>
      <c r="Z262" s="68">
        <f>(VLOOKUP($A:$A,USD!$A:$AL,26,FALSE)*88)/88*20</f>
        <v>26.25</v>
      </c>
      <c r="AB262" s="68">
        <f t="shared" si="39"/>
        <v>130.65</v>
      </c>
      <c r="AC262" s="68" cm="1">
        <f t="array" ref="AC262">_xlfn.XLOOKUP(A262&amp;E262, USD!$A:$A&amp;USD!$E:$E, USD!$AC:$AC, "")*20</f>
        <v>132.95454545454544</v>
      </c>
      <c r="AD262" s="68" cm="1">
        <f t="array" ref="AD262">_xlfn.XLOOKUP(A262&amp;E262, USD!$A:$A&amp;USD!$E:$E, USD!$AD:$AD, "")*20</f>
        <v>197.95454545454547</v>
      </c>
      <c r="AF262" s="68">
        <f t="shared" si="40"/>
        <v>330.90909090909088</v>
      </c>
      <c r="AG262" s="87">
        <f>(VLOOKUP($A:$A,USD!$A:$AL,33,FALSE)*88)/88*20</f>
        <v>28.814300000000003</v>
      </c>
      <c r="AH262" s="68">
        <f>(VLOOKUP($A:$A,USD!$A:$AL,34,FALSE)*88)/88*20</f>
        <v>6.973140495867769</v>
      </c>
      <c r="AI262" s="87">
        <f>(VLOOKUP($A:$A,USD!$A:$AL,35,FALSE)*88)/88*20</f>
        <v>12.587317427197677</v>
      </c>
      <c r="AJ262" s="87">
        <f>(VLOOKUP($A:$A,USD!$A:$AL,36,FALSE)*88)/88*20</f>
        <v>6.7351999999999999</v>
      </c>
      <c r="AL262" s="68">
        <f t="shared" si="41"/>
        <v>55.109957923065444</v>
      </c>
      <c r="AM262" s="87">
        <f>(VLOOKUP($A:$A,USD!$A:$AR,39,FALSE)*88)/88*20</f>
        <v>79.999999999999986</v>
      </c>
      <c r="AN262" s="68">
        <f>(VLOOKUP($A:$A,USD!$A:$AR,40,FALSE)*88)/88*20</f>
        <v>26.17808219178082</v>
      </c>
      <c r="AO262" s="1">
        <f>(VLOOKUP($A:$A,USD!$A:$AR,41,FALSE)*88)/88*20</f>
        <v>0</v>
      </c>
      <c r="AR262" s="1">
        <f t="shared" si="42"/>
        <v>106.1780821917808</v>
      </c>
      <c r="AS262" s="38">
        <f t="shared" si="43"/>
        <v>1214.9001613269672</v>
      </c>
      <c r="AT262" s="38">
        <f t="shared" si="44"/>
        <v>1439.9001613269672</v>
      </c>
      <c r="AW262" s="1">
        <f>(VLOOKUP(A:A,USD!A:AT,46,FALSE)*88)/88*20</f>
        <v>341.43181818181813</v>
      </c>
      <c r="AX262" s="1" t="e">
        <f>(VLOOKUP(A:A,USD!A:AU,47,FALSE)*88)/88*20</f>
        <v>#N/A</v>
      </c>
    </row>
    <row r="263" spans="1:50" hidden="1">
      <c r="A263" s="1">
        <v>590610</v>
      </c>
      <c r="B263" s="1" t="s">
        <v>618</v>
      </c>
      <c r="C263" s="1" t="s">
        <v>619</v>
      </c>
      <c r="D263" s="1" t="s">
        <v>136</v>
      </c>
      <c r="E263" s="1" t="str">
        <f>VLOOKUP(A:A,USD!A:E,5,FALSE)</f>
        <v>Eastern Rule 5</v>
      </c>
      <c r="F263" s="1" t="str">
        <f>VLOOKUP(A:A,USD!A:F,6,FALSE)</f>
        <v>ER5</v>
      </c>
      <c r="G263" s="1" t="str">
        <f>VLOOKUP(A:A,'Regions and Ports'!A:G,7,FALSE)</f>
        <v>Savannah</v>
      </c>
      <c r="H263" s="1">
        <f>VLOOKUP(A:A,USD!A:R,8,FALSE)</f>
        <v>1</v>
      </c>
      <c r="I263" s="87">
        <f>(VLOOKUP($A:$A,USD!$A:$AL,9,FALSE)*88)/88*20</f>
        <v>85</v>
      </c>
      <c r="J263" s="87">
        <f>(VLOOKUP($A:$A,USD!$A:$AL,10,FALSE)*88)/88*20</f>
        <v>85</v>
      </c>
      <c r="K263" s="87">
        <f>(VLOOKUP($A:$A,USD!$A:$AL,11,FALSE)*88)/88*20</f>
        <v>0</v>
      </c>
      <c r="L263" s="87">
        <f>(VLOOKUP($A:$A,USD!$A:$AL,12,FALSE)*88)/88*20</f>
        <v>0</v>
      </c>
      <c r="M263" s="87">
        <f>(VLOOKUP($A:$A,USD!$A:$AL,13,FALSE)*88)/88*20</f>
        <v>0</v>
      </c>
      <c r="N263" s="87">
        <f>(VLOOKUP($A:$A,USD!$A:$AL,14,FALSE)*88)/88*20</f>
        <v>40</v>
      </c>
      <c r="O263" s="68">
        <f>(VLOOKUP($A:$A,USD!$A:$AL,15,FALSE)*88)/88*20</f>
        <v>37.916666666666671</v>
      </c>
      <c r="P263" s="87">
        <f>(VLOOKUP($A:$A,USD!$A:$AL,16,FALSE)*88)/88*20</f>
        <v>0</v>
      </c>
      <c r="Q263" s="68">
        <f t="shared" si="36"/>
        <v>247.91666666666669</v>
      </c>
      <c r="R263" s="68">
        <f t="shared" si="37"/>
        <v>77.916666666666671</v>
      </c>
      <c r="S263" s="68">
        <f>(VLOOKUP($A:$A,USD!$A:$AL,19,FALSE)*88)/88*20</f>
        <v>0</v>
      </c>
      <c r="T263" s="68">
        <f>(VLOOKUP($A:$A,USD!$A:$AL,20,FALSE)*88)/88*20</f>
        <v>0</v>
      </c>
      <c r="U263" s="68">
        <f>(VLOOKUP($A:$A,USD!$A:$AL,21,FALSE)*88)/88*20</f>
        <v>291.3880681818182</v>
      </c>
      <c r="V263" s="68"/>
      <c r="W263" s="68">
        <f t="shared" si="38"/>
        <v>291.3880681818182</v>
      </c>
      <c r="X263" s="1">
        <f>(VLOOKUP($A:$A,USD!$A:$AL,24,FALSE)*88)/88*20</f>
        <v>52</v>
      </c>
      <c r="Y263" s="68">
        <f>(VLOOKUP($A:$A,USD!$A:$AL,25,FALSE)*88)/88*20</f>
        <v>50.4</v>
      </c>
      <c r="Z263" s="68">
        <f>(VLOOKUP($A:$A,USD!$A:$AL,26,FALSE)*88)/88*20</f>
        <v>26.25</v>
      </c>
      <c r="AB263" s="68">
        <f t="shared" si="39"/>
        <v>128.65</v>
      </c>
      <c r="AC263" s="68">
        <f>(VLOOKUP($A:$A,USD!$A:$AL,29,FALSE)*88)/88*20</f>
        <v>110.22727272727273</v>
      </c>
      <c r="AD263" s="68">
        <f>(VLOOKUP($A:$A,USD!$A:$AL,30,FALSE)*88)/88*20</f>
        <v>107.04545454545455</v>
      </c>
      <c r="AF263" s="68">
        <f t="shared" si="40"/>
        <v>217.27272727272728</v>
      </c>
      <c r="AG263" s="87">
        <f>(VLOOKUP($A:$A,USD!$A:$AL,33,FALSE)*88)/88*20</f>
        <v>28.814300000000003</v>
      </c>
      <c r="AH263" s="68">
        <f>(VLOOKUP($A:$A,USD!$A:$AL,34,FALSE)*88)/88*20</f>
        <v>6.973140495867769</v>
      </c>
      <c r="AI263" s="87">
        <f>(VLOOKUP($A:$A,USD!$A:$AL,35,FALSE)*88)/88*20</f>
        <v>12.587317427197677</v>
      </c>
      <c r="AJ263" s="87">
        <f>(VLOOKUP($A:$A,USD!$A:$AL,36,FALSE)*88)/88*20</f>
        <v>6.7351999999999999</v>
      </c>
      <c r="AL263" s="68">
        <f t="shared" si="41"/>
        <v>55.109957923065444</v>
      </c>
      <c r="AM263" s="87">
        <f>(VLOOKUP($A:$A,USD!$A:$AR,39,FALSE)*88)/88*20</f>
        <v>79.999999999999986</v>
      </c>
      <c r="AN263" s="68">
        <f>(VLOOKUP($A:$A,USD!$A:$AR,40,FALSE)*88)/88*20</f>
        <v>26.17808219178082</v>
      </c>
      <c r="AO263" s="1">
        <f>(VLOOKUP($A:$A,USD!$A:$AR,41,FALSE)*88)/88*20</f>
        <v>0</v>
      </c>
      <c r="AR263" s="1">
        <f t="shared" si="42"/>
        <v>106.1780821917808</v>
      </c>
      <c r="AS263" s="38">
        <f t="shared" si="43"/>
        <v>876.51550223605841</v>
      </c>
      <c r="AT263" s="38">
        <f t="shared" si="44"/>
        <v>1046.5155022360584</v>
      </c>
      <c r="AW263" s="1" t="e">
        <f>(VLOOKUP(A:A,USD!A:AT,46,FALSE)*88)/88*20</f>
        <v>#N/A</v>
      </c>
      <c r="AX263" s="1">
        <f>(VLOOKUP(A:A,USD!A:AU,47,FALSE)*88)/88*20</f>
        <v>285.7954545454545</v>
      </c>
    </row>
    <row r="264" spans="1:50" hidden="1">
      <c r="A264" s="1">
        <v>913054</v>
      </c>
      <c r="B264" s="1" t="s">
        <v>620</v>
      </c>
      <c r="C264" s="1" t="s">
        <v>621</v>
      </c>
      <c r="D264" s="1" t="s">
        <v>71</v>
      </c>
      <c r="E264" s="1" t="str">
        <f>VLOOKUP(A:A,USD!A:E,5,FALSE)</f>
        <v>STEX</v>
      </c>
      <c r="F264" s="1" t="str">
        <f>VLOOKUP(A:A,USD!A:F,6,FALSE)</f>
        <v>STX</v>
      </c>
      <c r="G264" s="1" t="str">
        <f>VLOOKUP(A:A,'Regions and Ports'!A:G,7,FALSE)</f>
        <v>Houston</v>
      </c>
      <c r="H264" s="1">
        <f>VLOOKUP(A:A,USD!A:R,8,FALSE)</f>
        <v>3</v>
      </c>
      <c r="I264" s="87">
        <f>(VLOOKUP($A:$A,USD!$A:$AL,9,FALSE)*88)/88*20</f>
        <v>60</v>
      </c>
      <c r="J264" s="87">
        <f>(VLOOKUP($A:$A,USD!$A:$AL,10,FALSE)*88)/88*20</f>
        <v>80</v>
      </c>
      <c r="K264" s="87">
        <f>(VLOOKUP($A:$A,USD!$A:$AL,11,FALSE)*88)/88*20</f>
        <v>0</v>
      </c>
      <c r="L264" s="87">
        <f>(VLOOKUP($A:$A,USD!$A:$AL,12,FALSE)*88)/88*20</f>
        <v>0</v>
      </c>
      <c r="M264" s="87">
        <f>(VLOOKUP($A:$A,USD!$A:$AL,13,FALSE)*88)/88*20</f>
        <v>0</v>
      </c>
      <c r="N264" s="87">
        <f>(VLOOKUP($A:$A,USD!$A:$AL,14,FALSE)*88)/88*20</f>
        <v>72</v>
      </c>
      <c r="O264" s="68">
        <f>(VLOOKUP($A:$A,USD!$A:$AL,15,FALSE)*88)/88*20</f>
        <v>37.916666666666671</v>
      </c>
      <c r="P264" s="87">
        <f>(VLOOKUP($A:$A,USD!$A:$AL,16,FALSE)*88)/88*20</f>
        <v>0</v>
      </c>
      <c r="Q264" s="68">
        <f t="shared" si="36"/>
        <v>249.91666666666669</v>
      </c>
      <c r="R264" s="68">
        <f t="shared" si="37"/>
        <v>189.91666666666669</v>
      </c>
      <c r="S264" s="68">
        <f>(VLOOKUP($A:$A,USD!$A:$AL,19,FALSE)*88)/88*20</f>
        <v>0</v>
      </c>
      <c r="T264" s="68">
        <f>(VLOOKUP($A:$A,USD!$A:$AL,20,FALSE)*88)/88*20</f>
        <v>0</v>
      </c>
      <c r="U264" s="68">
        <f>(VLOOKUP($A:$A,USD!$A:$AL,21,FALSE)*88)/88*20</f>
        <v>130.68181818181819</v>
      </c>
      <c r="V264" s="68"/>
      <c r="W264" s="68">
        <f t="shared" si="38"/>
        <v>130.68181818181819</v>
      </c>
      <c r="X264" s="1">
        <f>(VLOOKUP($A:$A,USD!$A:$AL,24,FALSE)*88)/88*20</f>
        <v>54</v>
      </c>
      <c r="Y264" s="68">
        <f>(VLOOKUP($A:$A,USD!$A:$AL,25,FALSE)*88)/88*20</f>
        <v>50.4</v>
      </c>
      <c r="Z264" s="68">
        <f>(VLOOKUP($A:$A,USD!$A:$AL,26,FALSE)*88)/88*20</f>
        <v>26.25</v>
      </c>
      <c r="AB264" s="68">
        <f t="shared" si="39"/>
        <v>130.65</v>
      </c>
      <c r="AC264" s="68">
        <f>(VLOOKUP($A:$A,USD!$A:$AL,29,FALSE)*88)/88*20</f>
        <v>132.95454545454544</v>
      </c>
      <c r="AD264" s="68">
        <f>(VLOOKUP($A:$A,USD!$A:$AL,30,FALSE)*88)/88*20</f>
        <v>197.95454545454547</v>
      </c>
      <c r="AF264" s="68">
        <f t="shared" si="40"/>
        <v>330.90909090909088</v>
      </c>
      <c r="AG264" s="87">
        <f>(VLOOKUP($A:$A,USD!$A:$AL,33,FALSE)*88)/88*20</f>
        <v>28.814300000000003</v>
      </c>
      <c r="AH264" s="68">
        <f>(VLOOKUP($A:$A,USD!$A:$AL,34,FALSE)*88)/88*20</f>
        <v>6.973140495867769</v>
      </c>
      <c r="AI264" s="87">
        <f>(VLOOKUP($A:$A,USD!$A:$AL,35,FALSE)*88)/88*20</f>
        <v>12.587317427197677</v>
      </c>
      <c r="AJ264" s="87">
        <f>(VLOOKUP($A:$A,USD!$A:$AL,36,FALSE)*88)/88*20</f>
        <v>6.7351999999999999</v>
      </c>
      <c r="AL264" s="68">
        <f t="shared" si="41"/>
        <v>55.109957923065444</v>
      </c>
      <c r="AM264" s="87">
        <f>(VLOOKUP($A:$A,USD!$A:$AR,39,FALSE)*88)/88*20</f>
        <v>79.999999999999986</v>
      </c>
      <c r="AN264" s="68">
        <f>(VLOOKUP($A:$A,USD!$A:$AR,40,FALSE)*88)/88*20</f>
        <v>26.17808219178082</v>
      </c>
      <c r="AO264" s="1">
        <f>(VLOOKUP($A:$A,USD!$A:$AR,41,FALSE)*88)/88*20</f>
        <v>0</v>
      </c>
      <c r="AR264" s="1">
        <f t="shared" si="42"/>
        <v>106.1780821917808</v>
      </c>
      <c r="AS264" s="38">
        <f t="shared" si="43"/>
        <v>943.44561587242197</v>
      </c>
      <c r="AT264" s="38">
        <f t="shared" si="44"/>
        <v>1003.445615872422</v>
      </c>
      <c r="AW264" s="1">
        <f>(VLOOKUP(A:A,USD!A:AT,46,FALSE)*88)/88*20</f>
        <v>251.70454545454547</v>
      </c>
      <c r="AX264" s="1" t="e">
        <f>(VLOOKUP(A:A,USD!A:AU,47,FALSE)*88)/88*20</f>
        <v>#N/A</v>
      </c>
    </row>
    <row r="265" spans="1:50" hidden="1">
      <c r="A265" s="1">
        <v>313023</v>
      </c>
      <c r="B265" s="1" t="s">
        <v>622</v>
      </c>
      <c r="C265" s="1" t="s">
        <v>623</v>
      </c>
      <c r="D265" s="1" t="s">
        <v>76</v>
      </c>
      <c r="E265" s="1" t="str">
        <f>VLOOKUP(A:A,USD!A:E,5,FALSE)</f>
        <v>GA 30 Day</v>
      </c>
      <c r="F265" s="1" t="str">
        <f>VLOOKUP(A:A,USD!A:F,6,FALSE)</f>
        <v>ER5</v>
      </c>
      <c r="G265" s="1" t="str">
        <f>VLOOKUP(A:A,'Regions and Ports'!A:G,7,FALSE)</f>
        <v>Savannah</v>
      </c>
      <c r="H265" s="1">
        <f>VLOOKUP(A:A,USD!A:R,8,FALSE)</f>
        <v>4</v>
      </c>
      <c r="I265" s="87">
        <f>(VLOOKUP($A:$A,USD!$A:$AL,9,FALSE)*88)/88*20</f>
        <v>80</v>
      </c>
      <c r="J265" s="87">
        <f>(VLOOKUP($A:$A,USD!$A:$AL,10,FALSE)*88)/88*20</f>
        <v>120</v>
      </c>
      <c r="K265" s="87">
        <f>(VLOOKUP($A:$A,USD!$A:$AL,11,FALSE)*88)/88*20</f>
        <v>0</v>
      </c>
      <c r="L265" s="87">
        <f>(VLOOKUP($A:$A,USD!$A:$AL,12,FALSE)*88)/88*20</f>
        <v>0</v>
      </c>
      <c r="M265" s="87">
        <f>(VLOOKUP($A:$A,USD!$A:$AL,13,FALSE)*88)/88*20</f>
        <v>20</v>
      </c>
      <c r="N265" s="87">
        <f>(VLOOKUP($A:$A,USD!$A:$AL,14,FALSE)*88)/88*20</f>
        <v>40</v>
      </c>
      <c r="O265" s="68">
        <f>(VLOOKUP($A:$A,USD!$A:$AL,15,FALSE)*88)/88*20</f>
        <v>37.916666666666671</v>
      </c>
      <c r="P265" s="87">
        <f>(VLOOKUP($A:$A,USD!$A:$AL,16,FALSE)*88)/88*20</f>
        <v>0</v>
      </c>
      <c r="Q265" s="68">
        <f t="shared" si="36"/>
        <v>297.91666666666669</v>
      </c>
      <c r="R265" s="68">
        <f t="shared" si="37"/>
        <v>37.916666666666671</v>
      </c>
      <c r="S265" s="68">
        <f>(VLOOKUP($A:$A,USD!$A:$AL,19,FALSE)*88)/88*20</f>
        <v>0</v>
      </c>
      <c r="T265" s="68">
        <f>(VLOOKUP($A:$A,USD!$A:$AL,20,FALSE)*88)/88*20</f>
        <v>0</v>
      </c>
      <c r="U265" s="68">
        <f>(VLOOKUP($A:$A,USD!$A:$AL,21,FALSE)*88)/88*20</f>
        <v>235.04999999999998</v>
      </c>
      <c r="V265" s="68"/>
      <c r="W265" s="68">
        <f t="shared" si="38"/>
        <v>235.04999999999998</v>
      </c>
      <c r="X265" s="1">
        <f>(VLOOKUP($A:$A,USD!$A:$AL,24,FALSE)*88)/88*20</f>
        <v>52</v>
      </c>
      <c r="Y265" s="68">
        <f>(VLOOKUP($A:$A,USD!$A:$AL,25,FALSE)*88)/88*20</f>
        <v>50.4</v>
      </c>
      <c r="Z265" s="68">
        <f>(VLOOKUP($A:$A,USD!$A:$AL,26,FALSE)*88)/88*20</f>
        <v>26.25</v>
      </c>
      <c r="AB265" s="68">
        <f t="shared" si="39"/>
        <v>128.65</v>
      </c>
      <c r="AC265" s="68">
        <f>(VLOOKUP($A:$A,USD!$A:$AL,29,FALSE)*88)/88*20</f>
        <v>110.22727272727273</v>
      </c>
      <c r="AD265" s="68">
        <f>(VLOOKUP($A:$A,USD!$A:$AL,30,FALSE)*88)/88*20</f>
        <v>107.04545454545455</v>
      </c>
      <c r="AF265" s="68">
        <f t="shared" si="40"/>
        <v>217.27272727272728</v>
      </c>
      <c r="AG265" s="87">
        <f>(VLOOKUP($A:$A,USD!$A:$AL,33,FALSE)*88)/88*20</f>
        <v>28.814300000000003</v>
      </c>
      <c r="AH265" s="68">
        <f>(VLOOKUP($A:$A,USD!$A:$AL,34,FALSE)*88)/88*20</f>
        <v>6.973140495867769</v>
      </c>
      <c r="AI265" s="87">
        <f>(VLOOKUP($A:$A,USD!$A:$AL,35,FALSE)*88)/88*20</f>
        <v>12.587317427197677</v>
      </c>
      <c r="AJ265" s="87">
        <f>(VLOOKUP($A:$A,USD!$A:$AL,36,FALSE)*88)/88*20</f>
        <v>6.7351999999999999</v>
      </c>
      <c r="AL265" s="68">
        <f t="shared" si="41"/>
        <v>55.109957923065444</v>
      </c>
      <c r="AM265" s="87">
        <f>(VLOOKUP($A:$A,USD!$A:$AR,39,FALSE)*88)/88*20</f>
        <v>79.999999999999986</v>
      </c>
      <c r="AN265" s="68">
        <f>(VLOOKUP($A:$A,USD!$A:$AR,40,FALSE)*88)/88*20</f>
        <v>26.17808219178082</v>
      </c>
      <c r="AO265" s="1">
        <f>(VLOOKUP($A:$A,USD!$A:$AR,41,FALSE)*88)/88*20</f>
        <v>0</v>
      </c>
      <c r="AR265" s="1">
        <f t="shared" si="42"/>
        <v>106.1780821917808</v>
      </c>
      <c r="AS265" s="38">
        <f t="shared" si="43"/>
        <v>780.17743405424017</v>
      </c>
      <c r="AT265" s="38">
        <f t="shared" si="44"/>
        <v>1040.1774340542402</v>
      </c>
      <c r="AW265" s="1">
        <f>(VLOOKUP(A:A,USD!A:AT,46,FALSE)*88)/88*20</f>
        <v>461.28181818181815</v>
      </c>
      <c r="AX265" s="1">
        <f>(VLOOKUP(A:A,USD!A:AU,47,FALSE)*88)/88*20</f>
        <v>333.18181818181819</v>
      </c>
    </row>
    <row r="266" spans="1:50" hidden="1">
      <c r="A266" s="1">
        <v>314006</v>
      </c>
      <c r="B266" s="1" t="s">
        <v>625</v>
      </c>
      <c r="C266" s="1" t="s">
        <v>623</v>
      </c>
      <c r="D266" s="1" t="s">
        <v>76</v>
      </c>
      <c r="E266" s="1" t="str">
        <f>VLOOKUP(A:A,USD!A:E,5,FALSE)</f>
        <v>GA 30 Day</v>
      </c>
      <c r="F266" s="1" t="str">
        <f>VLOOKUP(A:A,USD!A:F,6,FALSE)</f>
        <v>ER5</v>
      </c>
      <c r="G266" s="1" t="str">
        <f>VLOOKUP(A:A,'Regions and Ports'!A:G,7,FALSE)</f>
        <v>Savannah</v>
      </c>
      <c r="H266" s="1">
        <f>VLOOKUP(A:A,USD!A:R,8,FALSE)</f>
        <v>4</v>
      </c>
      <c r="I266" s="87">
        <f>(VLOOKUP($A:$A,USD!$A:$AL,9,FALSE)*88)/88*20</f>
        <v>70</v>
      </c>
      <c r="J266" s="87">
        <f>(VLOOKUP($A:$A,USD!$A:$AL,10,FALSE)*88)/88*20</f>
        <v>110</v>
      </c>
      <c r="K266" s="87">
        <f>(VLOOKUP($A:$A,USD!$A:$AL,11,FALSE)*88)/88*20</f>
        <v>0</v>
      </c>
      <c r="L266" s="87">
        <f>(VLOOKUP($A:$A,USD!$A:$AL,12,FALSE)*88)/88*20</f>
        <v>0</v>
      </c>
      <c r="M266" s="87">
        <f>(VLOOKUP($A:$A,USD!$A:$AL,13,FALSE)*88)/88*20</f>
        <v>20</v>
      </c>
      <c r="N266" s="87">
        <f>(VLOOKUP($A:$A,USD!$A:$AL,14,FALSE)*88)/88*20</f>
        <v>50</v>
      </c>
      <c r="O266" s="68">
        <f>(VLOOKUP($A:$A,USD!$A:$AL,15,FALSE)*88)/88*20</f>
        <v>37.916666666666671</v>
      </c>
      <c r="P266" s="87">
        <f>(VLOOKUP($A:$A,USD!$A:$AL,16,FALSE)*88)/88*20</f>
        <v>0</v>
      </c>
      <c r="Q266" s="68">
        <f t="shared" si="36"/>
        <v>287.91666666666669</v>
      </c>
      <c r="R266" s="68">
        <f t="shared" si="37"/>
        <v>37.916666666666671</v>
      </c>
      <c r="S266" s="68">
        <f>(VLOOKUP($A:$A,USD!$A:$AL,19,FALSE)*88)/88*20</f>
        <v>0</v>
      </c>
      <c r="T266" s="68">
        <f>(VLOOKUP($A:$A,USD!$A:$AL,20,FALSE)*88)/88*20</f>
        <v>0</v>
      </c>
      <c r="U266" s="68">
        <f>(VLOOKUP($A:$A,USD!$A:$AL,21,FALSE)*88)/88*20</f>
        <v>235.04999999999998</v>
      </c>
      <c r="V266" s="68"/>
      <c r="W266" s="68">
        <f t="shared" si="38"/>
        <v>235.04999999999998</v>
      </c>
      <c r="X266" s="1">
        <f>(VLOOKUP($A:$A,USD!$A:$AL,24,FALSE)*88)/88*20</f>
        <v>52</v>
      </c>
      <c r="Y266" s="68">
        <f>(VLOOKUP($A:$A,USD!$A:$AL,25,FALSE)*88)/88*20</f>
        <v>50.4</v>
      </c>
      <c r="Z266" s="68">
        <f>(VLOOKUP($A:$A,USD!$A:$AL,26,FALSE)*88)/88*20</f>
        <v>26.25</v>
      </c>
      <c r="AB266" s="68">
        <f t="shared" si="39"/>
        <v>128.65</v>
      </c>
      <c r="AC266" s="68">
        <f>(VLOOKUP($A:$A,USD!$A:$AL,29,FALSE)*88)/88*20</f>
        <v>110.22727272727273</v>
      </c>
      <c r="AD266" s="68">
        <f>(VLOOKUP($A:$A,USD!$A:$AL,30,FALSE)*88)/88*20</f>
        <v>107.04545454545455</v>
      </c>
      <c r="AF266" s="68">
        <f t="shared" si="40"/>
        <v>217.27272727272728</v>
      </c>
      <c r="AG266" s="87">
        <f>(VLOOKUP($A:$A,USD!$A:$AL,33,FALSE)*88)/88*20</f>
        <v>28.814300000000003</v>
      </c>
      <c r="AH266" s="68">
        <f>(VLOOKUP($A:$A,USD!$A:$AL,34,FALSE)*88)/88*20</f>
        <v>6.973140495867769</v>
      </c>
      <c r="AI266" s="87">
        <f>(VLOOKUP($A:$A,USD!$A:$AL,35,FALSE)*88)/88*20</f>
        <v>12.587317427197677</v>
      </c>
      <c r="AJ266" s="87">
        <f>(VLOOKUP($A:$A,USD!$A:$AL,36,FALSE)*88)/88*20</f>
        <v>6.7351999999999999</v>
      </c>
      <c r="AL266" s="68">
        <f t="shared" si="41"/>
        <v>55.109957923065444</v>
      </c>
      <c r="AM266" s="87">
        <f>(VLOOKUP($A:$A,USD!$A:$AR,39,FALSE)*88)/88*20</f>
        <v>79.999999999999986</v>
      </c>
      <c r="AN266" s="68">
        <f>(VLOOKUP($A:$A,USD!$A:$AR,40,FALSE)*88)/88*20</f>
        <v>26.17808219178082</v>
      </c>
      <c r="AO266" s="1">
        <f>(VLOOKUP($A:$A,USD!$A:$AR,41,FALSE)*88)/88*20</f>
        <v>0</v>
      </c>
      <c r="AR266" s="1">
        <f t="shared" si="42"/>
        <v>106.1780821917808</v>
      </c>
      <c r="AS266" s="38">
        <f t="shared" si="43"/>
        <v>780.17743405424017</v>
      </c>
      <c r="AT266" s="38">
        <f t="shared" si="44"/>
        <v>1030.1774340542402</v>
      </c>
      <c r="AW266" s="1">
        <f>(VLOOKUP(A:A,USD!A:AT,46,FALSE)*88)/88*20</f>
        <v>461.28181818181815</v>
      </c>
      <c r="AX266" s="1">
        <f>(VLOOKUP(A:A,USD!A:AU,47,FALSE)*88)/88*20</f>
        <v>333.18181818181819</v>
      </c>
    </row>
    <row r="267" spans="1:50" hidden="1">
      <c r="A267" s="1">
        <v>122531</v>
      </c>
      <c r="B267" s="1" t="s">
        <v>626</v>
      </c>
      <c r="C267" s="1" t="s">
        <v>627</v>
      </c>
      <c r="D267" s="1" t="s">
        <v>319</v>
      </c>
      <c r="E267" s="1" t="str">
        <f>VLOOKUP(A:A,USD!A:E,5,FALSE)</f>
        <v>Southwest</v>
      </c>
      <c r="F267" s="1">
        <f>VLOOKUP(A:A,USD!A:F,6,FALSE)</f>
        <v>0</v>
      </c>
      <c r="G267" s="1" t="str">
        <f>VLOOKUP(A:A,'Regions and Ports'!A:G,7,FALSE)</f>
        <v>Los Angeles</v>
      </c>
      <c r="H267" s="1">
        <f>VLOOKUP(A:A,USD!A:R,8,FALSE)</f>
        <v>6</v>
      </c>
      <c r="I267" s="87">
        <f>(VLOOKUP($A:$A,USD!$A:$AL,9,FALSE)*88)/88*20</f>
        <v>105</v>
      </c>
      <c r="J267" s="87">
        <f>(VLOOKUP($A:$A,USD!$A:$AL,10,FALSE)*88)/88*20</f>
        <v>105</v>
      </c>
      <c r="K267" s="87">
        <f>(VLOOKUP($A:$A,USD!$A:$AL,11,FALSE)*88)/88*20</f>
        <v>200</v>
      </c>
      <c r="L267" s="87">
        <f>(VLOOKUP($A:$A,USD!$A:$AL,12,FALSE)*88)/88*20</f>
        <v>0</v>
      </c>
      <c r="M267" s="87">
        <f>(VLOOKUP($A:$A,USD!$A:$AL,13,FALSE)*88)/88*20</f>
        <v>0</v>
      </c>
      <c r="N267" s="87">
        <f>(VLOOKUP($A:$A,USD!$A:$AL,14,FALSE)*88)/88*20</f>
        <v>90</v>
      </c>
      <c r="O267" s="68">
        <f>(VLOOKUP($A:$A,USD!$A:$AL,15,FALSE)*88)/88*20</f>
        <v>37.916666666666671</v>
      </c>
      <c r="P267" s="87" t="e">
        <f>(VLOOKUP($A:$A,USD!$A:$AL,16,FALSE)*88)/88*20</f>
        <v>#N/A</v>
      </c>
      <c r="Q267" s="68" t="e">
        <f t="shared" si="36"/>
        <v>#N/A</v>
      </c>
      <c r="R267" s="68" t="e">
        <f t="shared" si="37"/>
        <v>#VALUE!</v>
      </c>
      <c r="S267" s="68">
        <f>(VLOOKUP($A:$A,USD!$A:$AL,19,FALSE)*88)/88*20</f>
        <v>0</v>
      </c>
      <c r="T267" s="68">
        <f>(VLOOKUP($A:$A,USD!$A:$AL,20,FALSE)*88)/88*20</f>
        <v>0</v>
      </c>
      <c r="U267" s="68" t="e">
        <f>(VLOOKUP($A:$A,USD!$A:$AL,21,FALSE)*88)/88*20</f>
        <v>#N/A</v>
      </c>
      <c r="V267" s="68"/>
      <c r="W267" s="68" t="e">
        <f t="shared" si="38"/>
        <v>#N/A</v>
      </c>
      <c r="X267" s="1" t="e">
        <f>(VLOOKUP($A:$A,USD!$A:$AL,24,FALSE)*88)/88*20</f>
        <v>#N/A</v>
      </c>
      <c r="Y267" s="68" t="e">
        <f>(VLOOKUP($A:$A,USD!$A:$AL,25,FALSE)*88)/88*20</f>
        <v>#N/A</v>
      </c>
      <c r="Z267" s="68">
        <f>(VLOOKUP($A:$A,USD!$A:$AL,26,FALSE)*88)/88*20</f>
        <v>26.25</v>
      </c>
      <c r="AB267" s="68" t="e">
        <f t="shared" si="39"/>
        <v>#N/A</v>
      </c>
      <c r="AC267" s="68" t="e">
        <f>(VLOOKUP($A:$A,USD!$A:$AL,29,FALSE)*88)/88*20</f>
        <v>#N/A</v>
      </c>
      <c r="AD267" s="68" t="e">
        <f>(VLOOKUP($A:$A,USD!$A:$AL,30,FALSE)*88)/88*20</f>
        <v>#N/A</v>
      </c>
      <c r="AF267" s="68" t="e">
        <f t="shared" si="40"/>
        <v>#N/A</v>
      </c>
      <c r="AG267" s="87">
        <f>(VLOOKUP($A:$A,USD!$A:$AL,33,FALSE)*88)/88*20</f>
        <v>28.814300000000003</v>
      </c>
      <c r="AH267" s="68">
        <f>(VLOOKUP($A:$A,USD!$A:$AL,34,FALSE)*88)/88*20</f>
        <v>6.973140495867769</v>
      </c>
      <c r="AI267" s="87">
        <f>(VLOOKUP($A:$A,USD!$A:$AL,35,FALSE)*88)/88*20</f>
        <v>12.587317427197677</v>
      </c>
      <c r="AJ267" s="87">
        <f>(VLOOKUP($A:$A,USD!$A:$AL,36,FALSE)*88)/88*20</f>
        <v>6.7351999999999999</v>
      </c>
      <c r="AL267" s="68">
        <f t="shared" si="41"/>
        <v>55.109957923065444</v>
      </c>
      <c r="AM267" s="87">
        <f>(VLOOKUP($A:$A,USD!$A:$AR,39,FALSE)*88)/88*20</f>
        <v>79.999999999999986</v>
      </c>
      <c r="AN267" s="68">
        <f>(VLOOKUP($A:$A,USD!$A:$AR,40,FALSE)*88)/88*20</f>
        <v>26.17808219178082</v>
      </c>
      <c r="AO267" s="1">
        <f>(VLOOKUP($A:$A,USD!$A:$AR,41,FALSE)*88)/88*20</f>
        <v>0</v>
      </c>
      <c r="AR267" s="1">
        <f t="shared" si="42"/>
        <v>106.1780821917808</v>
      </c>
      <c r="AS267" s="38" t="e">
        <f t="shared" si="43"/>
        <v>#VALUE!</v>
      </c>
      <c r="AT267" s="38" t="e">
        <f t="shared" si="44"/>
        <v>#N/A</v>
      </c>
      <c r="AW267" s="1" t="e">
        <f>(VLOOKUP(A:A,USD!A:AT,46,FALSE)*88)/88*20</f>
        <v>#N/A</v>
      </c>
      <c r="AX267" s="1" t="e">
        <f>(VLOOKUP(A:A,USD!A:AU,47,FALSE)*88)/88*20</f>
        <v>#N/A</v>
      </c>
    </row>
    <row r="268" spans="1:50" hidden="1">
      <c r="A268" s="1">
        <v>313510</v>
      </c>
      <c r="B268" s="1" t="s">
        <v>628</v>
      </c>
      <c r="C268" s="1" t="s">
        <v>629</v>
      </c>
      <c r="D268" s="1" t="s">
        <v>76</v>
      </c>
      <c r="E268" s="1" t="str">
        <f>VLOOKUP(A:A,USD!A:E,5,FALSE)</f>
        <v>GA 30 Day</v>
      </c>
      <c r="F268" s="1" t="str">
        <f>VLOOKUP(A:A,USD!A:F,6,FALSE)</f>
        <v>ER5</v>
      </c>
      <c r="G268" s="1" t="str">
        <f>VLOOKUP(A:A,'Regions and Ports'!A:G,7,FALSE)</f>
        <v>Savannah</v>
      </c>
      <c r="H268" s="1">
        <f>VLOOKUP(A:A,USD!A:R,8,FALSE)</f>
        <v>4</v>
      </c>
      <c r="I268" s="87">
        <f>(VLOOKUP($A:$A,USD!$A:$AL,9,FALSE)*88)/88*20</f>
        <v>0</v>
      </c>
      <c r="J268" s="87">
        <f>(VLOOKUP($A:$A,USD!$A:$AL,10,FALSE)*88)/88*20</f>
        <v>0</v>
      </c>
      <c r="K268" s="87">
        <f>(VLOOKUP($A:$A,USD!$A:$AL,11,FALSE)*88)/88*20</f>
        <v>0</v>
      </c>
      <c r="L268" s="87">
        <f>(VLOOKUP($A:$A,USD!$A:$AL,12,FALSE)*88)/88*20</f>
        <v>0</v>
      </c>
      <c r="M268" s="87">
        <f>(VLOOKUP($A:$A,USD!$A:$AL,13,FALSE)*88)/88*20</f>
        <v>20</v>
      </c>
      <c r="N268" s="87">
        <f>(VLOOKUP($A:$A,USD!$A:$AL,14,FALSE)*88)/88*20</f>
        <v>85</v>
      </c>
      <c r="O268" s="68">
        <f>(VLOOKUP($A:$A,USD!$A:$AL,15,FALSE)*88)/88*20</f>
        <v>37.916666666666671</v>
      </c>
      <c r="P268" s="87">
        <f>(VLOOKUP($A:$A,USD!$A:$AL,16,FALSE)*88)/88*20</f>
        <v>0</v>
      </c>
      <c r="Q268" s="68">
        <f t="shared" si="36"/>
        <v>142.91666666666669</v>
      </c>
      <c r="R268" s="68">
        <f t="shared" si="37"/>
        <v>37.916666666666671</v>
      </c>
      <c r="S268" s="68">
        <f>(VLOOKUP($A:$A,USD!$A:$AL,19,FALSE)*88)/88*20</f>
        <v>0</v>
      </c>
      <c r="T268" s="68">
        <f>(VLOOKUP($A:$A,USD!$A:$AL,20,FALSE)*88)/88*20</f>
        <v>0</v>
      </c>
      <c r="U268" s="68">
        <f>(VLOOKUP($A:$A,USD!$A:$AL,21,FALSE)*88)/88*20</f>
        <v>224.04090909090908</v>
      </c>
      <c r="V268" s="68"/>
      <c r="W268" s="68">
        <f t="shared" si="38"/>
        <v>224.04090909090908</v>
      </c>
      <c r="X268" s="1">
        <f>(VLOOKUP($A:$A,USD!$A:$AL,24,FALSE)*88)/88*20</f>
        <v>52</v>
      </c>
      <c r="Y268" s="68">
        <f>(VLOOKUP($A:$A,USD!$A:$AL,25,FALSE)*88)/88*20</f>
        <v>50.4</v>
      </c>
      <c r="Z268" s="68">
        <f>(VLOOKUP($A:$A,USD!$A:$AL,26,FALSE)*88)/88*20</f>
        <v>26.25</v>
      </c>
      <c r="AB268" s="68">
        <f t="shared" si="39"/>
        <v>128.65</v>
      </c>
      <c r="AC268" s="68">
        <f>(VLOOKUP($A:$A,USD!$A:$AL,29,FALSE)*88)/88*20</f>
        <v>110.22727272727273</v>
      </c>
      <c r="AD268" s="68">
        <f>(VLOOKUP($A:$A,USD!$A:$AL,30,FALSE)*88)/88*20</f>
        <v>107.04545454545455</v>
      </c>
      <c r="AF268" s="68">
        <f t="shared" si="40"/>
        <v>217.27272727272728</v>
      </c>
      <c r="AG268" s="87">
        <f>(VLOOKUP($A:$A,USD!$A:$AL,33,FALSE)*88)/88*20</f>
        <v>28.814300000000003</v>
      </c>
      <c r="AH268" s="68">
        <f>(VLOOKUP($A:$A,USD!$A:$AL,34,FALSE)*88)/88*20</f>
        <v>6.973140495867769</v>
      </c>
      <c r="AI268" s="87">
        <f>(VLOOKUP($A:$A,USD!$A:$AL,35,FALSE)*88)/88*20</f>
        <v>12.587317427197677</v>
      </c>
      <c r="AJ268" s="87">
        <f>(VLOOKUP($A:$A,USD!$A:$AL,36,FALSE)*88)/88*20</f>
        <v>6.7351999999999999</v>
      </c>
      <c r="AL268" s="68">
        <f t="shared" si="41"/>
        <v>55.109957923065444</v>
      </c>
      <c r="AM268" s="87">
        <f>(VLOOKUP($A:$A,USD!$A:$AR,39,FALSE)*88)/88*20</f>
        <v>79.999999999999986</v>
      </c>
      <c r="AN268" s="68">
        <f>(VLOOKUP($A:$A,USD!$A:$AR,40,FALSE)*88)/88*20</f>
        <v>26.17808219178082</v>
      </c>
      <c r="AO268" s="1">
        <f>(VLOOKUP($A:$A,USD!$A:$AR,41,FALSE)*88)/88*20</f>
        <v>0</v>
      </c>
      <c r="AR268" s="1">
        <f t="shared" si="42"/>
        <v>106.1780821917808</v>
      </c>
      <c r="AS268" s="38">
        <f t="shared" si="43"/>
        <v>769.16834314514927</v>
      </c>
      <c r="AT268" s="38">
        <f t="shared" si="44"/>
        <v>874.16834314514927</v>
      </c>
      <c r="AW268" s="1">
        <f>(VLOOKUP(A:A,USD!A:AT,46,FALSE)*88)/88*20</f>
        <v>525.37272727272716</v>
      </c>
      <c r="AX268" s="1">
        <f>(VLOOKUP(A:A,USD!A:AU,47,FALSE)*88)/88*20</f>
        <v>313.06818181818181</v>
      </c>
    </row>
    <row r="269" spans="1:50" hidden="1">
      <c r="A269" s="1">
        <v>911510</v>
      </c>
      <c r="B269" s="1" t="s">
        <v>630</v>
      </c>
      <c r="C269" s="1" t="s">
        <v>631</v>
      </c>
      <c r="D269" s="1" t="s">
        <v>71</v>
      </c>
      <c r="E269" s="1" t="str">
        <f>VLOOKUP(A:A,USD!A:E,5,FALSE)</f>
        <v>WTX</v>
      </c>
      <c r="F269" s="1" t="str">
        <f>VLOOKUP(A:A,USD!A:F,6,FALSE)</f>
        <v>WTX</v>
      </c>
      <c r="G269" s="1" t="str">
        <f>VLOOKUP(A:A,'Regions and Ports'!A:G,7,FALSE)</f>
        <v>Dallas</v>
      </c>
      <c r="H269" s="1">
        <f>VLOOKUP(A:A,USD!A:R,8,FALSE)</f>
        <v>2</v>
      </c>
      <c r="I269" s="87">
        <f>(VLOOKUP($A:$A,USD!$A:$AL,9,FALSE)*88)/88*20</f>
        <v>102</v>
      </c>
      <c r="J269" s="87">
        <f>(VLOOKUP($A:$A,USD!$A:$AL,10,FALSE)*88)/88*20</f>
        <v>125</v>
      </c>
      <c r="K269" s="87">
        <f>(VLOOKUP($A:$A,USD!$A:$AL,11,FALSE)*88)/88*20</f>
        <v>205</v>
      </c>
      <c r="L269" s="87">
        <f>(VLOOKUP($A:$A,USD!$A:$AL,12,FALSE)*88)/88*20</f>
        <v>0</v>
      </c>
      <c r="M269" s="87">
        <f>(VLOOKUP($A:$A,USD!$A:$AL,13,FALSE)*88)/88*20</f>
        <v>0</v>
      </c>
      <c r="N269" s="87">
        <f>(VLOOKUP($A:$A,USD!$A:$AL,14,FALSE)*88)/88*20</f>
        <v>48</v>
      </c>
      <c r="O269" s="68">
        <f>(VLOOKUP($A:$A,USD!$A:$AL,15,FALSE)*88)/88*20</f>
        <v>37.916666666666671</v>
      </c>
      <c r="P269" s="87">
        <f>(VLOOKUP($A:$A,USD!$A:$AL,16,FALSE)*88)/88*20</f>
        <v>0</v>
      </c>
      <c r="Q269" s="68">
        <f t="shared" si="36"/>
        <v>517.91666666666663</v>
      </c>
      <c r="R269" s="68">
        <f t="shared" si="37"/>
        <v>290.91666666666669</v>
      </c>
      <c r="S269" s="68">
        <f>(VLOOKUP($A:$A,USD!$A:$AL,19,FALSE)*88)/88*20</f>
        <v>0</v>
      </c>
      <c r="T269" s="68">
        <f>(VLOOKUP($A:$A,USD!$A:$AL,20,FALSE)*88)/88*20</f>
        <v>0</v>
      </c>
      <c r="U269" s="68">
        <f>(VLOOKUP($A:$A,USD!$A:$AL,21,FALSE)*88)/88*20</f>
        <v>198.86363636363637</v>
      </c>
      <c r="V269" s="68"/>
      <c r="W269" s="68">
        <f t="shared" si="38"/>
        <v>198.86363636363637</v>
      </c>
      <c r="X269" s="1">
        <f>(VLOOKUP($A:$A,USD!$A:$AL,24,FALSE)*88)/88*20</f>
        <v>54</v>
      </c>
      <c r="Y269" s="68">
        <f>(VLOOKUP($A:$A,USD!$A:$AL,25,FALSE)*88)/88*20</f>
        <v>50.4</v>
      </c>
      <c r="Z269" s="68">
        <f>(VLOOKUP($A:$A,USD!$A:$AL,26,FALSE)*88)/88*20</f>
        <v>26.25</v>
      </c>
      <c r="AB269" s="68">
        <f t="shared" si="39"/>
        <v>130.65</v>
      </c>
      <c r="AC269" s="68">
        <f>(VLOOKUP($A:$A,USD!$A:$AL,29,FALSE)*88)/88*20</f>
        <v>162.5</v>
      </c>
      <c r="AD269" s="68">
        <f>(VLOOKUP($A:$A,USD!$A:$AL,30,FALSE)*88)/88*20</f>
        <v>268.18181818181819</v>
      </c>
      <c r="AF269" s="68">
        <f t="shared" si="40"/>
        <v>430.68181818181819</v>
      </c>
      <c r="AG269" s="87">
        <f>(VLOOKUP($A:$A,USD!$A:$AL,33,FALSE)*88)/88*20</f>
        <v>28.814300000000003</v>
      </c>
      <c r="AH269" s="68">
        <f>(VLOOKUP($A:$A,USD!$A:$AL,34,FALSE)*88)/88*20</f>
        <v>6.973140495867769</v>
      </c>
      <c r="AI269" s="87">
        <f>(VLOOKUP($A:$A,USD!$A:$AL,35,FALSE)*88)/88*20</f>
        <v>12.587317427197677</v>
      </c>
      <c r="AJ269" s="87">
        <f>(VLOOKUP($A:$A,USD!$A:$AL,36,FALSE)*88)/88*20</f>
        <v>6.7351999999999999</v>
      </c>
      <c r="AL269" s="68">
        <f t="shared" si="41"/>
        <v>55.109957923065444</v>
      </c>
      <c r="AM269" s="87">
        <f>(VLOOKUP($A:$A,USD!$A:$AR,39,FALSE)*88)/88*20</f>
        <v>79.999999999999986</v>
      </c>
      <c r="AN269" s="68">
        <f>(VLOOKUP($A:$A,USD!$A:$AR,40,FALSE)*88)/88*20</f>
        <v>26.17808219178082</v>
      </c>
      <c r="AO269" s="1">
        <f>(VLOOKUP($A:$A,USD!$A:$AR,41,FALSE)*88)/88*20</f>
        <v>0</v>
      </c>
      <c r="AR269" s="1">
        <f t="shared" si="42"/>
        <v>106.1780821917808</v>
      </c>
      <c r="AS269" s="38">
        <f t="shared" si="43"/>
        <v>1212.4001613269675</v>
      </c>
      <c r="AT269" s="38">
        <f t="shared" si="44"/>
        <v>1439.4001613269672</v>
      </c>
      <c r="AW269" s="1">
        <f>(VLOOKUP(A:A,USD!A:AT,46,FALSE)*88)/88*20</f>
        <v>372.51590909090902</v>
      </c>
      <c r="AX269" s="1" t="e">
        <f>(VLOOKUP(A:A,USD!A:AU,47,FALSE)*88)/88*20</f>
        <v>#N/A</v>
      </c>
    </row>
    <row r="270" spans="1:50" hidden="1">
      <c r="A270" s="125">
        <v>911510</v>
      </c>
      <c r="B270" s="1" t="s">
        <v>630</v>
      </c>
      <c r="C270" s="1" t="s">
        <v>631</v>
      </c>
      <c r="D270" s="1" t="s">
        <v>71</v>
      </c>
      <c r="E270" s="1" t="s">
        <v>2067</v>
      </c>
      <c r="F270" s="1" t="str">
        <f>VLOOKUP(A:A,USD!A:F,6,FALSE)</f>
        <v>WTX</v>
      </c>
      <c r="G270" s="1" t="s">
        <v>439</v>
      </c>
      <c r="H270" s="1">
        <f>VLOOKUP(A:A,USD!A:R,8,FALSE)</f>
        <v>2</v>
      </c>
      <c r="I270" s="87">
        <f>(VLOOKUP($A:$A,USD!$A:$AL,9,FALSE)*88)/88*20</f>
        <v>102</v>
      </c>
      <c r="J270" s="87">
        <f>(VLOOKUP($A:$A,USD!$A:$AL,10,FALSE)*88)/88*20</f>
        <v>125</v>
      </c>
      <c r="K270" s="87">
        <f>(VLOOKUP($A:$A,USD!$A:$AL,11,FALSE)*88)/88*20</f>
        <v>205</v>
      </c>
      <c r="L270" s="87">
        <f>(VLOOKUP($A:$A,USD!$A:$AL,12,FALSE)*88)/88*20</f>
        <v>0</v>
      </c>
      <c r="M270" s="87">
        <f>(VLOOKUP($A:$A,USD!$A:$AL,13,FALSE)*88)/88*20</f>
        <v>0</v>
      </c>
      <c r="N270" s="87">
        <f>(VLOOKUP($A:$A,USD!$A:$AL,14,FALSE)*88)/88*20</f>
        <v>48</v>
      </c>
      <c r="O270" s="68">
        <f>(VLOOKUP($A:$A,USD!$A:$AL,15,FALSE)*88)/88*20</f>
        <v>37.916666666666671</v>
      </c>
      <c r="P270" s="87">
        <f>(VLOOKUP($A:$A,USD!$A:$AL,16,FALSE)*88)/88*20</f>
        <v>0</v>
      </c>
      <c r="Q270" s="68">
        <f t="shared" si="36"/>
        <v>517.91666666666663</v>
      </c>
      <c r="R270" s="68">
        <f t="shared" si="37"/>
        <v>290.91666666666669</v>
      </c>
      <c r="S270" s="68">
        <f>(VLOOKUP($A:$A,USD!$A:$AL,19,FALSE)*88)/88*20</f>
        <v>0</v>
      </c>
      <c r="T270" s="68">
        <f>(VLOOKUP($A:$A,USD!$A:$AL,20,FALSE)*88)/88*20</f>
        <v>0</v>
      </c>
      <c r="U270" s="68" cm="1">
        <f t="array" ref="U270">(_xlfn.XLOOKUP(1, (USD!$A:$A=$A270)*(USD!$E:$E=$E270), USD!$U:$U, "", 0)*88)/88*20</f>
        <v>284.09090909090912</v>
      </c>
      <c r="V270" s="68"/>
      <c r="W270" s="68">
        <f t="shared" si="38"/>
        <v>284.09090909090912</v>
      </c>
      <c r="X270" s="1">
        <f>(VLOOKUP($A:$A,USD!$A:$AL,24,FALSE)*88)/88*20</f>
        <v>54</v>
      </c>
      <c r="Y270" s="68">
        <f>(VLOOKUP($A:$A,USD!$A:$AL,25,FALSE)*88)/88*20</f>
        <v>50.4</v>
      </c>
      <c r="Z270" s="68">
        <f>(VLOOKUP($A:$A,USD!$A:$AL,26,FALSE)*88)/88*20</f>
        <v>26.25</v>
      </c>
      <c r="AB270" s="68">
        <f t="shared" si="39"/>
        <v>130.65</v>
      </c>
      <c r="AC270" s="68" cm="1">
        <f t="array" ref="AC270">_xlfn.XLOOKUP(A270&amp;E270, USD!$A:$A&amp;USD!$E:$E, USD!$AC:$AC, "")*20</f>
        <v>132.95454545454544</v>
      </c>
      <c r="AD270" s="68" cm="1">
        <f t="array" ref="AD270">_xlfn.XLOOKUP(A270&amp;E270, USD!$A:$A&amp;USD!$E:$E, USD!$AD:$AD, "")*20</f>
        <v>197.95454545454547</v>
      </c>
      <c r="AF270" s="68">
        <f t="shared" si="40"/>
        <v>330.90909090909088</v>
      </c>
      <c r="AG270" s="87">
        <f>(VLOOKUP($A:$A,USD!$A:$AL,33,FALSE)*88)/88*20</f>
        <v>28.814300000000003</v>
      </c>
      <c r="AH270" s="68">
        <f>(VLOOKUP($A:$A,USD!$A:$AL,34,FALSE)*88)/88*20</f>
        <v>6.973140495867769</v>
      </c>
      <c r="AI270" s="87">
        <f>(VLOOKUP($A:$A,USD!$A:$AL,35,FALSE)*88)/88*20</f>
        <v>12.587317427197677</v>
      </c>
      <c r="AJ270" s="87">
        <f>(VLOOKUP($A:$A,USD!$A:$AL,36,FALSE)*88)/88*20</f>
        <v>6.7351999999999999</v>
      </c>
      <c r="AL270" s="68">
        <f t="shared" si="41"/>
        <v>55.109957923065444</v>
      </c>
      <c r="AM270" s="87">
        <f>(VLOOKUP($A:$A,USD!$A:$AR,39,FALSE)*88)/88*20</f>
        <v>79.999999999999986</v>
      </c>
      <c r="AN270" s="68">
        <f>(VLOOKUP($A:$A,USD!$A:$AR,40,FALSE)*88)/88*20</f>
        <v>26.17808219178082</v>
      </c>
      <c r="AO270" s="1">
        <f>(VLOOKUP($A:$A,USD!$A:$AR,41,FALSE)*88)/88*20</f>
        <v>0</v>
      </c>
      <c r="AR270" s="1">
        <f t="shared" si="42"/>
        <v>106.1780821917808</v>
      </c>
      <c r="AS270" s="38">
        <f t="shared" si="43"/>
        <v>1197.8547067815127</v>
      </c>
      <c r="AT270" s="38">
        <f t="shared" si="44"/>
        <v>1424.8547067815127</v>
      </c>
      <c r="AW270" s="1">
        <f>(VLOOKUP(A:A,USD!A:AT,46,FALSE)*88)/88*20</f>
        <v>372.51590909090902</v>
      </c>
      <c r="AX270" s="1" t="e">
        <f>(VLOOKUP(A:A,USD!A:AU,47,FALSE)*88)/88*20</f>
        <v>#N/A</v>
      </c>
    </row>
    <row r="271" spans="1:50" hidden="1">
      <c r="A271" s="1">
        <v>911520</v>
      </c>
      <c r="B271" s="1" t="s">
        <v>632</v>
      </c>
      <c r="C271" s="1" t="s">
        <v>631</v>
      </c>
      <c r="D271" s="1" t="s">
        <v>71</v>
      </c>
      <c r="E271" s="1" t="str">
        <f>VLOOKUP(A:A,USD!A:E,5,FALSE)</f>
        <v>WTX</v>
      </c>
      <c r="F271" s="1" t="str">
        <f>VLOOKUP(A:A,USD!A:F,6,FALSE)</f>
        <v>WTX</v>
      </c>
      <c r="G271" s="1" t="str">
        <f>VLOOKUP(A:A,'Regions and Ports'!A:G,7,FALSE)</f>
        <v>Dallas</v>
      </c>
      <c r="H271" s="1">
        <f>VLOOKUP(A:A,USD!A:R,8,FALSE)</f>
        <v>2</v>
      </c>
      <c r="I271" s="87">
        <f>(VLOOKUP($A:$A,USD!$A:$AL,9,FALSE)*88)/88*20</f>
        <v>87</v>
      </c>
      <c r="J271" s="87">
        <f>(VLOOKUP($A:$A,USD!$A:$AL,10,FALSE)*88)/88*20</f>
        <v>115</v>
      </c>
      <c r="K271" s="87">
        <f>(VLOOKUP($A:$A,USD!$A:$AL,11,FALSE)*88)/88*20</f>
        <v>225</v>
      </c>
      <c r="L271" s="87">
        <f>(VLOOKUP($A:$A,USD!$A:$AL,12,FALSE)*88)/88*20</f>
        <v>0</v>
      </c>
      <c r="M271" s="87">
        <f>(VLOOKUP($A:$A,USD!$A:$AL,13,FALSE)*88)/88*20</f>
        <v>0</v>
      </c>
      <c r="N271" s="87">
        <f>(VLOOKUP($A:$A,USD!$A:$AL,14,FALSE)*88)/88*20</f>
        <v>45</v>
      </c>
      <c r="O271" s="68">
        <f>(VLOOKUP($A:$A,USD!$A:$AL,15,FALSE)*88)/88*20</f>
        <v>37.916666666666671</v>
      </c>
      <c r="P271" s="87">
        <f>(VLOOKUP($A:$A,USD!$A:$AL,16,FALSE)*88)/88*20</f>
        <v>0</v>
      </c>
      <c r="Q271" s="68">
        <f t="shared" si="36"/>
        <v>509.91666666666669</v>
      </c>
      <c r="R271" s="68">
        <f t="shared" si="37"/>
        <v>307.91666666666669</v>
      </c>
      <c r="S271" s="68">
        <f>(VLOOKUP($A:$A,USD!$A:$AL,19,FALSE)*88)/88*20</f>
        <v>0</v>
      </c>
      <c r="T271" s="68">
        <f>(VLOOKUP($A:$A,USD!$A:$AL,20,FALSE)*88)/88*20</f>
        <v>0</v>
      </c>
      <c r="U271" s="68">
        <f>(VLOOKUP($A:$A,USD!$A:$AL,21,FALSE)*88)/88*20</f>
        <v>198.86363636363637</v>
      </c>
      <c r="V271" s="68"/>
      <c r="W271" s="68">
        <f t="shared" si="38"/>
        <v>198.86363636363637</v>
      </c>
      <c r="X271" s="1">
        <f>(VLOOKUP($A:$A,USD!$A:$AL,24,FALSE)*88)/88*20</f>
        <v>54</v>
      </c>
      <c r="Y271" s="68">
        <f>(VLOOKUP($A:$A,USD!$A:$AL,25,FALSE)*88)/88*20</f>
        <v>50.4</v>
      </c>
      <c r="Z271" s="68">
        <f>(VLOOKUP($A:$A,USD!$A:$AL,26,FALSE)*88)/88*20</f>
        <v>26.25</v>
      </c>
      <c r="AB271" s="68">
        <f t="shared" si="39"/>
        <v>130.65</v>
      </c>
      <c r="AC271" s="68">
        <f>(VLOOKUP($A:$A,USD!$A:$AL,29,FALSE)*88)/88*20</f>
        <v>162.5</v>
      </c>
      <c r="AD271" s="68">
        <f>(VLOOKUP($A:$A,USD!$A:$AL,30,FALSE)*88)/88*20</f>
        <v>268.18181818181819</v>
      </c>
      <c r="AF271" s="68">
        <f t="shared" si="40"/>
        <v>430.68181818181819</v>
      </c>
      <c r="AG271" s="87">
        <f>(VLOOKUP($A:$A,USD!$A:$AL,33,FALSE)*88)/88*20</f>
        <v>28.814300000000003</v>
      </c>
      <c r="AH271" s="68">
        <f>(VLOOKUP($A:$A,USD!$A:$AL,34,FALSE)*88)/88*20</f>
        <v>6.973140495867769</v>
      </c>
      <c r="AI271" s="87">
        <f>(VLOOKUP($A:$A,USD!$A:$AL,35,FALSE)*88)/88*20</f>
        <v>12.587317427197677</v>
      </c>
      <c r="AJ271" s="87">
        <f>(VLOOKUP($A:$A,USD!$A:$AL,36,FALSE)*88)/88*20</f>
        <v>6.7351999999999999</v>
      </c>
      <c r="AL271" s="68">
        <f t="shared" si="41"/>
        <v>55.109957923065444</v>
      </c>
      <c r="AM271" s="87">
        <f>(VLOOKUP($A:$A,USD!$A:$AR,39,FALSE)*88)/88*20</f>
        <v>79.999999999999986</v>
      </c>
      <c r="AN271" s="68">
        <f>(VLOOKUP($A:$A,USD!$A:$AR,40,FALSE)*88)/88*20</f>
        <v>26.17808219178082</v>
      </c>
      <c r="AO271" s="1">
        <f>(VLOOKUP($A:$A,USD!$A:$AR,41,FALSE)*88)/88*20</f>
        <v>0</v>
      </c>
      <c r="AR271" s="1">
        <f t="shared" si="42"/>
        <v>106.1780821917808</v>
      </c>
      <c r="AS271" s="38">
        <f t="shared" si="43"/>
        <v>1229.4001613269675</v>
      </c>
      <c r="AT271" s="38">
        <f t="shared" si="44"/>
        <v>1431.4001613269672</v>
      </c>
      <c r="AW271" s="1">
        <f>(VLOOKUP(A:A,USD!A:AT,46,FALSE)*88)/88*20</f>
        <v>372.51590909090902</v>
      </c>
      <c r="AX271" s="1" t="e">
        <f>(VLOOKUP(A:A,USD!A:AU,47,FALSE)*88)/88*20</f>
        <v>#N/A</v>
      </c>
    </row>
    <row r="272" spans="1:50" hidden="1">
      <c r="A272" s="125">
        <v>911520</v>
      </c>
      <c r="B272" s="1" t="s">
        <v>632</v>
      </c>
      <c r="C272" s="1" t="s">
        <v>631</v>
      </c>
      <c r="D272" s="1" t="s">
        <v>71</v>
      </c>
      <c r="E272" s="1" t="s">
        <v>2067</v>
      </c>
      <c r="F272" s="1" t="str">
        <f>VLOOKUP(A:A,USD!A:F,6,FALSE)</f>
        <v>WTX</v>
      </c>
      <c r="G272" s="1" t="s">
        <v>439</v>
      </c>
      <c r="H272" s="1">
        <f>VLOOKUP(A:A,USD!A:R,8,FALSE)</f>
        <v>2</v>
      </c>
      <c r="I272" s="87">
        <f>(VLOOKUP($A:$A,USD!$A:$AL,9,FALSE)*88)/88*20</f>
        <v>87</v>
      </c>
      <c r="J272" s="87">
        <f>(VLOOKUP($A:$A,USD!$A:$AL,10,FALSE)*88)/88*20</f>
        <v>115</v>
      </c>
      <c r="K272" s="87">
        <f>(VLOOKUP($A:$A,USD!$A:$AL,11,FALSE)*88)/88*20</f>
        <v>225</v>
      </c>
      <c r="L272" s="87">
        <f>(VLOOKUP($A:$A,USD!$A:$AL,12,FALSE)*88)/88*20</f>
        <v>0</v>
      </c>
      <c r="M272" s="87">
        <f>(VLOOKUP($A:$A,USD!$A:$AL,13,FALSE)*88)/88*20</f>
        <v>0</v>
      </c>
      <c r="N272" s="87">
        <f>(VLOOKUP($A:$A,USD!$A:$AL,14,FALSE)*88)/88*20</f>
        <v>45</v>
      </c>
      <c r="O272" s="68">
        <f>(VLOOKUP($A:$A,USD!$A:$AL,15,FALSE)*88)/88*20</f>
        <v>37.916666666666671</v>
      </c>
      <c r="P272" s="87">
        <f>(VLOOKUP($A:$A,USD!$A:$AL,16,FALSE)*88)/88*20</f>
        <v>0</v>
      </c>
      <c r="Q272" s="68">
        <f t="shared" si="36"/>
        <v>509.91666666666669</v>
      </c>
      <c r="R272" s="68">
        <f t="shared" si="37"/>
        <v>307.91666666666669</v>
      </c>
      <c r="S272" s="68">
        <f>(VLOOKUP($A:$A,USD!$A:$AL,19,FALSE)*88)/88*20</f>
        <v>0</v>
      </c>
      <c r="T272" s="68">
        <f>(VLOOKUP($A:$A,USD!$A:$AL,20,FALSE)*88)/88*20</f>
        <v>0</v>
      </c>
      <c r="U272" s="68" cm="1">
        <f t="array" ref="U272">(_xlfn.XLOOKUP(1, (USD!$A:$A=$A272)*(USD!$E:$E=$E272), USD!$U:$U, "", 0)*88)/88*20</f>
        <v>284.09090909090912</v>
      </c>
      <c r="V272" s="68"/>
      <c r="W272" s="68">
        <f t="shared" si="38"/>
        <v>284.09090909090912</v>
      </c>
      <c r="X272" s="1">
        <f>(VLOOKUP($A:$A,USD!$A:$AL,24,FALSE)*88)/88*20</f>
        <v>54</v>
      </c>
      <c r="Y272" s="68">
        <f>(VLOOKUP($A:$A,USD!$A:$AL,25,FALSE)*88)/88*20</f>
        <v>50.4</v>
      </c>
      <c r="Z272" s="68">
        <f>(VLOOKUP($A:$A,USD!$A:$AL,26,FALSE)*88)/88*20</f>
        <v>26.25</v>
      </c>
      <c r="AB272" s="68">
        <f t="shared" si="39"/>
        <v>130.65</v>
      </c>
      <c r="AC272" s="68" cm="1">
        <f t="array" ref="AC272">_xlfn.XLOOKUP(A272&amp;E272, USD!$A:$A&amp;USD!$E:$E, USD!$AC:$AC, "")*20</f>
        <v>132.95454545454544</v>
      </c>
      <c r="AD272" s="68" cm="1">
        <f t="array" ref="AD272">_xlfn.XLOOKUP(A272&amp;E272, USD!$A:$A&amp;USD!$E:$E, USD!$AD:$AD, "")*20</f>
        <v>197.95454545454547</v>
      </c>
      <c r="AF272" s="68">
        <f t="shared" si="40"/>
        <v>330.90909090909088</v>
      </c>
      <c r="AG272" s="87">
        <f>(VLOOKUP($A:$A,USD!$A:$AL,33,FALSE)*88)/88*20</f>
        <v>28.814300000000003</v>
      </c>
      <c r="AH272" s="68">
        <f>(VLOOKUP($A:$A,USD!$A:$AL,34,FALSE)*88)/88*20</f>
        <v>6.973140495867769</v>
      </c>
      <c r="AI272" s="87">
        <f>(VLOOKUP($A:$A,USD!$A:$AL,35,FALSE)*88)/88*20</f>
        <v>12.587317427197677</v>
      </c>
      <c r="AJ272" s="87">
        <f>(VLOOKUP($A:$A,USD!$A:$AL,36,FALSE)*88)/88*20</f>
        <v>6.7351999999999999</v>
      </c>
      <c r="AL272" s="68">
        <f t="shared" si="41"/>
        <v>55.109957923065444</v>
      </c>
      <c r="AM272" s="87">
        <f>(VLOOKUP($A:$A,USD!$A:$AR,39,FALSE)*88)/88*20</f>
        <v>79.999999999999986</v>
      </c>
      <c r="AN272" s="68">
        <f>(VLOOKUP($A:$A,USD!$A:$AR,40,FALSE)*88)/88*20</f>
        <v>26.17808219178082</v>
      </c>
      <c r="AO272" s="1">
        <f>(VLOOKUP($A:$A,USD!$A:$AR,41,FALSE)*88)/88*20</f>
        <v>0</v>
      </c>
      <c r="AR272" s="1">
        <f t="shared" si="42"/>
        <v>106.1780821917808</v>
      </c>
      <c r="AS272" s="38">
        <f t="shared" si="43"/>
        <v>1214.8547067815127</v>
      </c>
      <c r="AT272" s="38">
        <f t="shared" si="44"/>
        <v>1416.8547067815127</v>
      </c>
      <c r="AW272" s="1">
        <f>(VLOOKUP(A:A,USD!A:AT,46,FALSE)*88)/88*20</f>
        <v>372.51590909090902</v>
      </c>
      <c r="AX272" s="1" t="e">
        <f>(VLOOKUP(A:A,USD!A:AU,47,FALSE)*88)/88*20</f>
        <v>#N/A</v>
      </c>
    </row>
    <row r="273" spans="1:50" hidden="1">
      <c r="A273" s="1">
        <v>911525</v>
      </c>
      <c r="B273" s="1" t="s">
        <v>633</v>
      </c>
      <c r="C273" s="1" t="s">
        <v>631</v>
      </c>
      <c r="D273" s="1" t="s">
        <v>71</v>
      </c>
      <c r="E273" s="1" t="str">
        <f>VLOOKUP(A:A,USD!A:E,5,FALSE)</f>
        <v>WTX</v>
      </c>
      <c r="F273" s="1" t="str">
        <f>VLOOKUP(A:A,USD!A:F,6,FALSE)</f>
        <v>WTX</v>
      </c>
      <c r="G273" s="1" t="str">
        <f>VLOOKUP(A:A,'Regions and Ports'!A:G,7,FALSE)</f>
        <v>Dallas</v>
      </c>
      <c r="H273" s="1">
        <f>VLOOKUP(A:A,USD!A:R,8,FALSE)</f>
        <v>2</v>
      </c>
      <c r="I273" s="87">
        <f>(VLOOKUP($A:$A,USD!$A:$AL,9,FALSE)*88)/88*20</f>
        <v>87</v>
      </c>
      <c r="J273" s="87">
        <f>(VLOOKUP($A:$A,USD!$A:$AL,10,FALSE)*88)/88*20</f>
        <v>115</v>
      </c>
      <c r="K273" s="87">
        <f>(VLOOKUP($A:$A,USD!$A:$AL,11,FALSE)*88)/88*20</f>
        <v>225</v>
      </c>
      <c r="L273" s="87">
        <f>(VLOOKUP($A:$A,USD!$A:$AL,12,FALSE)*88)/88*20</f>
        <v>0</v>
      </c>
      <c r="M273" s="87">
        <f>(VLOOKUP($A:$A,USD!$A:$AL,13,FALSE)*88)/88*20</f>
        <v>0</v>
      </c>
      <c r="N273" s="87">
        <f>(VLOOKUP($A:$A,USD!$A:$AL,14,FALSE)*88)/88*20</f>
        <v>45</v>
      </c>
      <c r="O273" s="68">
        <f>(VLOOKUP($A:$A,USD!$A:$AL,15,FALSE)*88)/88*20</f>
        <v>37.916666666666671</v>
      </c>
      <c r="P273" s="87">
        <f>(VLOOKUP($A:$A,USD!$A:$AL,16,FALSE)*88)/88*20</f>
        <v>0</v>
      </c>
      <c r="Q273" s="68">
        <f t="shared" si="36"/>
        <v>509.91666666666669</v>
      </c>
      <c r="R273" s="68">
        <f t="shared" si="37"/>
        <v>307.91666666666669</v>
      </c>
      <c r="S273" s="68">
        <f>(VLOOKUP($A:$A,USD!$A:$AL,19,FALSE)*88)/88*20</f>
        <v>0</v>
      </c>
      <c r="T273" s="68">
        <f>(VLOOKUP($A:$A,USD!$A:$AL,20,FALSE)*88)/88*20</f>
        <v>0</v>
      </c>
      <c r="U273" s="68">
        <f>(VLOOKUP($A:$A,USD!$A:$AL,21,FALSE)*88)/88*20</f>
        <v>198.86363636363637</v>
      </c>
      <c r="V273" s="68"/>
      <c r="W273" s="68">
        <f t="shared" si="38"/>
        <v>198.86363636363637</v>
      </c>
      <c r="X273" s="1">
        <f>(VLOOKUP($A:$A,USD!$A:$AL,24,FALSE)*88)/88*20</f>
        <v>54</v>
      </c>
      <c r="Y273" s="68">
        <f>(VLOOKUP($A:$A,USD!$A:$AL,25,FALSE)*88)/88*20</f>
        <v>50.4</v>
      </c>
      <c r="Z273" s="68">
        <f>(VLOOKUP($A:$A,USD!$A:$AL,26,FALSE)*88)/88*20</f>
        <v>26.25</v>
      </c>
      <c r="AB273" s="68">
        <f t="shared" si="39"/>
        <v>130.65</v>
      </c>
      <c r="AC273" s="68">
        <f>(VLOOKUP($A:$A,USD!$A:$AL,29,FALSE)*88)/88*20</f>
        <v>162.5</v>
      </c>
      <c r="AD273" s="68">
        <f>(VLOOKUP($A:$A,USD!$A:$AL,30,FALSE)*88)/88*20</f>
        <v>268.18181818181819</v>
      </c>
      <c r="AF273" s="68">
        <f t="shared" si="40"/>
        <v>430.68181818181819</v>
      </c>
      <c r="AG273" s="87">
        <f>(VLOOKUP($A:$A,USD!$A:$AL,33,FALSE)*88)/88*20</f>
        <v>28.814300000000003</v>
      </c>
      <c r="AH273" s="68">
        <f>(VLOOKUP($A:$A,USD!$A:$AL,34,FALSE)*88)/88*20</f>
        <v>6.973140495867769</v>
      </c>
      <c r="AI273" s="87">
        <f>(VLOOKUP($A:$A,USD!$A:$AL,35,FALSE)*88)/88*20</f>
        <v>12.587317427197677</v>
      </c>
      <c r="AJ273" s="87">
        <f>(VLOOKUP($A:$A,USD!$A:$AL,36,FALSE)*88)/88*20</f>
        <v>6.7351999999999999</v>
      </c>
      <c r="AL273" s="68">
        <f t="shared" si="41"/>
        <v>55.109957923065444</v>
      </c>
      <c r="AM273" s="87">
        <f>(VLOOKUP($A:$A,USD!$A:$AR,39,FALSE)*88)/88*20</f>
        <v>79.999999999999986</v>
      </c>
      <c r="AN273" s="68">
        <f>(VLOOKUP($A:$A,USD!$A:$AR,40,FALSE)*88)/88*20</f>
        <v>26.17808219178082</v>
      </c>
      <c r="AO273" s="1">
        <f>(VLOOKUP($A:$A,USD!$A:$AR,41,FALSE)*88)/88*20</f>
        <v>0</v>
      </c>
      <c r="AR273" s="1">
        <f t="shared" si="42"/>
        <v>106.1780821917808</v>
      </c>
      <c r="AS273" s="38">
        <f t="shared" si="43"/>
        <v>1229.4001613269675</v>
      </c>
      <c r="AT273" s="38">
        <f t="shared" si="44"/>
        <v>1431.4001613269672</v>
      </c>
      <c r="AW273" s="1">
        <f>(VLOOKUP(A:A,USD!A:AT,46,FALSE)*88)/88*20</f>
        <v>372.51590909090902</v>
      </c>
      <c r="AX273" s="1" t="e">
        <f>(VLOOKUP(A:A,USD!A:AU,47,FALSE)*88)/88*20</f>
        <v>#N/A</v>
      </c>
    </row>
    <row r="274" spans="1:50" hidden="1">
      <c r="A274" s="125">
        <v>911525</v>
      </c>
      <c r="B274" s="1" t="s">
        <v>633</v>
      </c>
      <c r="C274" s="1" t="s">
        <v>631</v>
      </c>
      <c r="D274" s="1" t="s">
        <v>71</v>
      </c>
      <c r="E274" s="1" t="s">
        <v>2067</v>
      </c>
      <c r="F274" s="1" t="str">
        <f>VLOOKUP(A:A,USD!A:F,6,FALSE)</f>
        <v>WTX</v>
      </c>
      <c r="G274" s="1" t="s">
        <v>439</v>
      </c>
      <c r="H274" s="1">
        <f>VLOOKUP(A:A,USD!A:R,8,FALSE)</f>
        <v>2</v>
      </c>
      <c r="I274" s="87">
        <f>(VLOOKUP($A:$A,USD!$A:$AL,9,FALSE)*88)/88*20</f>
        <v>87</v>
      </c>
      <c r="J274" s="87">
        <f>(VLOOKUP($A:$A,USD!$A:$AL,10,FALSE)*88)/88*20</f>
        <v>115</v>
      </c>
      <c r="K274" s="87">
        <f>(VLOOKUP($A:$A,USD!$A:$AL,11,FALSE)*88)/88*20</f>
        <v>225</v>
      </c>
      <c r="L274" s="87">
        <f>(VLOOKUP($A:$A,USD!$A:$AL,12,FALSE)*88)/88*20</f>
        <v>0</v>
      </c>
      <c r="M274" s="87">
        <f>(VLOOKUP($A:$A,USD!$A:$AL,13,FALSE)*88)/88*20</f>
        <v>0</v>
      </c>
      <c r="N274" s="87">
        <f>(VLOOKUP($A:$A,USD!$A:$AL,14,FALSE)*88)/88*20</f>
        <v>45</v>
      </c>
      <c r="O274" s="68">
        <f>(VLOOKUP($A:$A,USD!$A:$AL,15,FALSE)*88)/88*20</f>
        <v>37.916666666666671</v>
      </c>
      <c r="P274" s="87">
        <f>(VLOOKUP($A:$A,USD!$A:$AL,16,FALSE)*88)/88*20</f>
        <v>0</v>
      </c>
      <c r="Q274" s="68">
        <f t="shared" si="36"/>
        <v>509.91666666666669</v>
      </c>
      <c r="R274" s="68">
        <f t="shared" si="37"/>
        <v>307.91666666666669</v>
      </c>
      <c r="S274" s="68">
        <f>(VLOOKUP($A:$A,USD!$A:$AL,19,FALSE)*88)/88*20</f>
        <v>0</v>
      </c>
      <c r="T274" s="68">
        <f>(VLOOKUP($A:$A,USD!$A:$AL,20,FALSE)*88)/88*20</f>
        <v>0</v>
      </c>
      <c r="U274" s="68" cm="1">
        <f t="array" ref="U274">(_xlfn.XLOOKUP(1, (USD!$A:$A=$A274)*(USD!$E:$E=$E274), USD!$U:$U, "", 0)*88)/88*20</f>
        <v>284.09090909090912</v>
      </c>
      <c r="V274" s="68"/>
      <c r="W274" s="68">
        <f t="shared" si="38"/>
        <v>284.09090909090912</v>
      </c>
      <c r="X274" s="1">
        <f>(VLOOKUP($A:$A,USD!$A:$AL,24,FALSE)*88)/88*20</f>
        <v>54</v>
      </c>
      <c r="Y274" s="68">
        <f>(VLOOKUP($A:$A,USD!$A:$AL,25,FALSE)*88)/88*20</f>
        <v>50.4</v>
      </c>
      <c r="Z274" s="68">
        <f>(VLOOKUP($A:$A,USD!$A:$AL,26,FALSE)*88)/88*20</f>
        <v>26.25</v>
      </c>
      <c r="AB274" s="68">
        <f t="shared" si="39"/>
        <v>130.65</v>
      </c>
      <c r="AC274" s="68" cm="1">
        <f t="array" ref="AC274">_xlfn.XLOOKUP(A274&amp;E274, USD!$A:$A&amp;USD!$E:$E, USD!$AC:$AC, "")*20</f>
        <v>132.95454545454544</v>
      </c>
      <c r="AD274" s="68" cm="1">
        <f t="array" ref="AD274">_xlfn.XLOOKUP(A274&amp;E274, USD!$A:$A&amp;USD!$E:$E, USD!$AD:$AD, "")*20</f>
        <v>197.95454545454547</v>
      </c>
      <c r="AF274" s="68">
        <f t="shared" si="40"/>
        <v>330.90909090909088</v>
      </c>
      <c r="AG274" s="87">
        <f>(VLOOKUP($A:$A,USD!$A:$AL,33,FALSE)*88)/88*20</f>
        <v>28.814300000000003</v>
      </c>
      <c r="AH274" s="68">
        <f>(VLOOKUP($A:$A,USD!$A:$AL,34,FALSE)*88)/88*20</f>
        <v>6.973140495867769</v>
      </c>
      <c r="AI274" s="87">
        <f>(VLOOKUP($A:$A,USD!$A:$AL,35,FALSE)*88)/88*20</f>
        <v>12.587317427197677</v>
      </c>
      <c r="AJ274" s="87">
        <f>(VLOOKUP($A:$A,USD!$A:$AL,36,FALSE)*88)/88*20</f>
        <v>6.7351999999999999</v>
      </c>
      <c r="AL274" s="68">
        <f t="shared" si="41"/>
        <v>55.109957923065444</v>
      </c>
      <c r="AM274" s="87">
        <f>(VLOOKUP($A:$A,USD!$A:$AR,39,FALSE)*88)/88*20</f>
        <v>79.999999999999986</v>
      </c>
      <c r="AN274" s="68">
        <f>(VLOOKUP($A:$A,USD!$A:$AR,40,FALSE)*88)/88*20</f>
        <v>26.17808219178082</v>
      </c>
      <c r="AO274" s="1">
        <f>(VLOOKUP($A:$A,USD!$A:$AR,41,FALSE)*88)/88*20</f>
        <v>0</v>
      </c>
      <c r="AR274" s="1">
        <f t="shared" si="42"/>
        <v>106.1780821917808</v>
      </c>
      <c r="AS274" s="38">
        <f t="shared" si="43"/>
        <v>1214.8547067815127</v>
      </c>
      <c r="AT274" s="38">
        <f t="shared" si="44"/>
        <v>1416.8547067815127</v>
      </c>
      <c r="AW274" s="1">
        <f>(VLOOKUP(A:A,USD!A:AT,46,FALSE)*88)/88*20</f>
        <v>372.51590909090902</v>
      </c>
      <c r="AX274" s="1" t="e">
        <f>(VLOOKUP(A:A,USD!A:AU,47,FALSE)*88)/88*20</f>
        <v>#N/A</v>
      </c>
    </row>
    <row r="275" spans="1:50" hidden="1">
      <c r="A275" s="1">
        <v>911533</v>
      </c>
      <c r="B275" s="1" t="s">
        <v>634</v>
      </c>
      <c r="C275" s="1" t="s">
        <v>631</v>
      </c>
      <c r="D275" s="1" t="s">
        <v>71</v>
      </c>
      <c r="E275" s="1" t="str">
        <f>VLOOKUP(A:A,USD!A:E,5,FALSE)</f>
        <v>WTX</v>
      </c>
      <c r="F275" s="1" t="str">
        <f>VLOOKUP(A:A,USD!A:F,6,FALSE)</f>
        <v>WTX</v>
      </c>
      <c r="G275" s="1" t="str">
        <f>VLOOKUP(A:A,'Regions and Ports'!A:G,7,FALSE)</f>
        <v>Dallas</v>
      </c>
      <c r="H275" s="1">
        <f>VLOOKUP(A:A,USD!A:R,8,FALSE)</f>
        <v>2</v>
      </c>
      <c r="I275" s="87">
        <f>(VLOOKUP($A:$A,USD!$A:$AL,9,FALSE)*88)/88*20</f>
        <v>82</v>
      </c>
      <c r="J275" s="87">
        <f>(VLOOKUP($A:$A,USD!$A:$AL,10,FALSE)*88)/88*20</f>
        <v>100</v>
      </c>
      <c r="K275" s="87">
        <f>(VLOOKUP($A:$A,USD!$A:$AL,11,FALSE)*88)/88*20</f>
        <v>225</v>
      </c>
      <c r="L275" s="87">
        <f>(VLOOKUP($A:$A,USD!$A:$AL,12,FALSE)*88)/88*20</f>
        <v>0</v>
      </c>
      <c r="M275" s="87">
        <f>(VLOOKUP($A:$A,USD!$A:$AL,13,FALSE)*88)/88*20</f>
        <v>10</v>
      </c>
      <c r="N275" s="87">
        <f>(VLOOKUP($A:$A,USD!$A:$AL,14,FALSE)*88)/88*20</f>
        <v>48</v>
      </c>
      <c r="O275" s="68">
        <f>(VLOOKUP($A:$A,USD!$A:$AL,15,FALSE)*88)/88*20</f>
        <v>37.916666666666671</v>
      </c>
      <c r="P275" s="87">
        <f>(VLOOKUP($A:$A,USD!$A:$AL,16,FALSE)*88)/88*20</f>
        <v>0</v>
      </c>
      <c r="Q275" s="68">
        <f t="shared" si="36"/>
        <v>502.91666666666669</v>
      </c>
      <c r="R275" s="68">
        <f t="shared" si="37"/>
        <v>310.91666666666669</v>
      </c>
      <c r="S275" s="68">
        <f>(VLOOKUP($A:$A,USD!$A:$AL,19,FALSE)*88)/88*20</f>
        <v>0</v>
      </c>
      <c r="T275" s="68">
        <f>(VLOOKUP($A:$A,USD!$A:$AL,20,FALSE)*88)/88*20</f>
        <v>0</v>
      </c>
      <c r="U275" s="68">
        <f>(VLOOKUP($A:$A,USD!$A:$AL,21,FALSE)*88)/88*20</f>
        <v>198.86363636363637</v>
      </c>
      <c r="V275" s="68"/>
      <c r="W275" s="68">
        <f t="shared" si="38"/>
        <v>198.86363636363637</v>
      </c>
      <c r="X275" s="1">
        <f>(VLOOKUP($A:$A,USD!$A:$AL,24,FALSE)*88)/88*20</f>
        <v>54</v>
      </c>
      <c r="Y275" s="68">
        <f>(VLOOKUP($A:$A,USD!$A:$AL,25,FALSE)*88)/88*20</f>
        <v>50.4</v>
      </c>
      <c r="Z275" s="68">
        <f>(VLOOKUP($A:$A,USD!$A:$AL,26,FALSE)*88)/88*20</f>
        <v>26.25</v>
      </c>
      <c r="AB275" s="68">
        <f t="shared" si="39"/>
        <v>130.65</v>
      </c>
      <c r="AC275" s="68">
        <f>(VLOOKUP($A:$A,USD!$A:$AL,29,FALSE)*88)/88*20</f>
        <v>162.5</v>
      </c>
      <c r="AD275" s="68">
        <f>(VLOOKUP($A:$A,USD!$A:$AL,30,FALSE)*88)/88*20</f>
        <v>268.18181818181819</v>
      </c>
      <c r="AF275" s="68">
        <f t="shared" si="40"/>
        <v>430.68181818181819</v>
      </c>
      <c r="AG275" s="87">
        <f>(VLOOKUP($A:$A,USD!$A:$AL,33,FALSE)*88)/88*20</f>
        <v>28.814300000000003</v>
      </c>
      <c r="AH275" s="68">
        <f>(VLOOKUP($A:$A,USD!$A:$AL,34,FALSE)*88)/88*20</f>
        <v>6.973140495867769</v>
      </c>
      <c r="AI275" s="87">
        <f>(VLOOKUP($A:$A,USD!$A:$AL,35,FALSE)*88)/88*20</f>
        <v>12.587317427197677</v>
      </c>
      <c r="AJ275" s="87">
        <f>(VLOOKUP($A:$A,USD!$A:$AL,36,FALSE)*88)/88*20</f>
        <v>6.7351999999999999</v>
      </c>
      <c r="AL275" s="68">
        <f t="shared" si="41"/>
        <v>55.109957923065444</v>
      </c>
      <c r="AM275" s="87">
        <f>(VLOOKUP($A:$A,USD!$A:$AR,39,FALSE)*88)/88*20</f>
        <v>79.999999999999986</v>
      </c>
      <c r="AN275" s="68">
        <f>(VLOOKUP($A:$A,USD!$A:$AR,40,FALSE)*88)/88*20</f>
        <v>26.17808219178082</v>
      </c>
      <c r="AO275" s="1">
        <f>(VLOOKUP($A:$A,USD!$A:$AR,41,FALSE)*88)/88*20</f>
        <v>0</v>
      </c>
      <c r="AR275" s="1">
        <f t="shared" si="42"/>
        <v>106.1780821917808</v>
      </c>
      <c r="AS275" s="38">
        <f t="shared" si="43"/>
        <v>1232.4001613269675</v>
      </c>
      <c r="AT275" s="38">
        <f t="shared" si="44"/>
        <v>1424.4001613269672</v>
      </c>
      <c r="AW275" s="1">
        <f>(VLOOKUP(A:A,USD!A:AT,46,FALSE)*88)/88*20</f>
        <v>372.51590909090902</v>
      </c>
      <c r="AX275" s="1" t="e">
        <f>(VLOOKUP(A:A,USD!A:AU,47,FALSE)*88)/88*20</f>
        <v>#N/A</v>
      </c>
    </row>
    <row r="276" spans="1:50" hidden="1">
      <c r="A276" s="125">
        <v>911533</v>
      </c>
      <c r="B276" s="1" t="s">
        <v>634</v>
      </c>
      <c r="C276" s="1" t="s">
        <v>631</v>
      </c>
      <c r="D276" s="1" t="s">
        <v>71</v>
      </c>
      <c r="E276" s="1" t="s">
        <v>2067</v>
      </c>
      <c r="F276" s="1" t="str">
        <f>VLOOKUP(A:A,USD!A:F,6,FALSE)</f>
        <v>WTX</v>
      </c>
      <c r="G276" s="1" t="s">
        <v>439</v>
      </c>
      <c r="H276" s="1">
        <f>VLOOKUP(A:A,USD!A:R,8,FALSE)</f>
        <v>2</v>
      </c>
      <c r="I276" s="87">
        <f>(VLOOKUP($A:$A,USD!$A:$AL,9,FALSE)*88)/88*20</f>
        <v>82</v>
      </c>
      <c r="J276" s="87">
        <f>(VLOOKUP($A:$A,USD!$A:$AL,10,FALSE)*88)/88*20</f>
        <v>100</v>
      </c>
      <c r="K276" s="87">
        <f>(VLOOKUP($A:$A,USD!$A:$AL,11,FALSE)*88)/88*20</f>
        <v>225</v>
      </c>
      <c r="L276" s="87">
        <f>(VLOOKUP($A:$A,USD!$A:$AL,12,FALSE)*88)/88*20</f>
        <v>0</v>
      </c>
      <c r="M276" s="87">
        <f>(VLOOKUP($A:$A,USD!$A:$AL,13,FALSE)*88)/88*20</f>
        <v>10</v>
      </c>
      <c r="N276" s="87">
        <f>(VLOOKUP($A:$A,USD!$A:$AL,14,FALSE)*88)/88*20</f>
        <v>48</v>
      </c>
      <c r="O276" s="68">
        <f>(VLOOKUP($A:$A,USD!$A:$AL,15,FALSE)*88)/88*20</f>
        <v>37.916666666666671</v>
      </c>
      <c r="P276" s="87">
        <f>(VLOOKUP($A:$A,USD!$A:$AL,16,FALSE)*88)/88*20</f>
        <v>0</v>
      </c>
      <c r="Q276" s="68">
        <f t="shared" si="36"/>
        <v>502.91666666666669</v>
      </c>
      <c r="R276" s="68">
        <f t="shared" si="37"/>
        <v>310.91666666666669</v>
      </c>
      <c r="S276" s="68">
        <f>(VLOOKUP($A:$A,USD!$A:$AL,19,FALSE)*88)/88*20</f>
        <v>0</v>
      </c>
      <c r="T276" s="68">
        <f>(VLOOKUP($A:$A,USD!$A:$AL,20,FALSE)*88)/88*20</f>
        <v>0</v>
      </c>
      <c r="U276" s="68" cm="1">
        <f t="array" ref="U276">(_xlfn.XLOOKUP(1, (USD!$A:$A=$A276)*(USD!$E:$E=$E276), USD!$U:$U, "", 0)*88)/88*20</f>
        <v>284.09090909090912</v>
      </c>
      <c r="V276" s="68"/>
      <c r="W276" s="68">
        <f t="shared" si="38"/>
        <v>284.09090909090912</v>
      </c>
      <c r="X276" s="1">
        <f>(VLOOKUP($A:$A,USD!$A:$AL,24,FALSE)*88)/88*20</f>
        <v>54</v>
      </c>
      <c r="Y276" s="68">
        <f>(VLOOKUP($A:$A,USD!$A:$AL,25,FALSE)*88)/88*20</f>
        <v>50.4</v>
      </c>
      <c r="Z276" s="68">
        <f>(VLOOKUP($A:$A,USD!$A:$AL,26,FALSE)*88)/88*20</f>
        <v>26.25</v>
      </c>
      <c r="AB276" s="68">
        <f t="shared" si="39"/>
        <v>130.65</v>
      </c>
      <c r="AC276" s="68" cm="1">
        <f t="array" ref="AC276">_xlfn.XLOOKUP(A276&amp;E276, USD!$A:$A&amp;USD!$E:$E, USD!$AC:$AC, "")*20</f>
        <v>132.95454545454544</v>
      </c>
      <c r="AD276" s="68" cm="1">
        <f t="array" ref="AD276">_xlfn.XLOOKUP(A276&amp;E276, USD!$A:$A&amp;USD!$E:$E, USD!$AD:$AD, "")*20</f>
        <v>197.95454545454547</v>
      </c>
      <c r="AF276" s="68">
        <f t="shared" si="40"/>
        <v>330.90909090909088</v>
      </c>
      <c r="AG276" s="87">
        <f>(VLOOKUP($A:$A,USD!$A:$AL,33,FALSE)*88)/88*20</f>
        <v>28.814300000000003</v>
      </c>
      <c r="AH276" s="68">
        <f>(VLOOKUP($A:$A,USD!$A:$AL,34,FALSE)*88)/88*20</f>
        <v>6.973140495867769</v>
      </c>
      <c r="AI276" s="87">
        <f>(VLOOKUP($A:$A,USD!$A:$AL,35,FALSE)*88)/88*20</f>
        <v>12.587317427197677</v>
      </c>
      <c r="AJ276" s="87">
        <f>(VLOOKUP($A:$A,USD!$A:$AL,36,FALSE)*88)/88*20</f>
        <v>6.7351999999999999</v>
      </c>
      <c r="AL276" s="68">
        <f t="shared" si="41"/>
        <v>55.109957923065444</v>
      </c>
      <c r="AM276" s="87">
        <f>(VLOOKUP($A:$A,USD!$A:$AR,39,FALSE)*88)/88*20</f>
        <v>79.999999999999986</v>
      </c>
      <c r="AN276" s="68">
        <f>(VLOOKUP($A:$A,USD!$A:$AR,40,FALSE)*88)/88*20</f>
        <v>26.17808219178082</v>
      </c>
      <c r="AO276" s="1">
        <f>(VLOOKUP($A:$A,USD!$A:$AR,41,FALSE)*88)/88*20</f>
        <v>0</v>
      </c>
      <c r="AR276" s="1">
        <f t="shared" si="42"/>
        <v>106.1780821917808</v>
      </c>
      <c r="AS276" s="38">
        <f t="shared" si="43"/>
        <v>1217.8547067815127</v>
      </c>
      <c r="AT276" s="38">
        <f t="shared" si="44"/>
        <v>1409.8547067815127</v>
      </c>
      <c r="AW276" s="1">
        <f>(VLOOKUP(A:A,USD!A:AT,46,FALSE)*88)/88*20</f>
        <v>372.51590909090902</v>
      </c>
      <c r="AX276" s="1" t="e">
        <f>(VLOOKUP(A:A,USD!A:AU,47,FALSE)*88)/88*20</f>
        <v>#N/A</v>
      </c>
    </row>
    <row r="277" spans="1:50" hidden="1">
      <c r="A277" s="1">
        <v>266861</v>
      </c>
      <c r="B277" s="1" t="s">
        <v>635</v>
      </c>
      <c r="C277" s="1" t="s">
        <v>636</v>
      </c>
      <c r="D277" s="1" t="s">
        <v>76</v>
      </c>
      <c r="E277" s="1" t="str">
        <f>VLOOKUP(A:A,USD!A:E,5,FALSE)</f>
        <v>GA 30 Day</v>
      </c>
      <c r="F277" s="1" t="str">
        <f>VLOOKUP(A:A,USD!A:F,6,FALSE)</f>
        <v>ER5</v>
      </c>
      <c r="G277" s="1" t="str">
        <f>VLOOKUP(A:A,'Regions and Ports'!A:G,7,FALSE)</f>
        <v>Savannah</v>
      </c>
      <c r="H277" s="1">
        <f>VLOOKUP(A:A,USD!A:R,8,FALSE)</f>
        <v>4</v>
      </c>
      <c r="I277" s="87">
        <f>(VLOOKUP($A:$A,USD!$A:$AL,9,FALSE)*88)/88*20</f>
        <v>60</v>
      </c>
      <c r="J277" s="87">
        <f>(VLOOKUP($A:$A,USD!$A:$AL,10,FALSE)*88)/88*20</f>
        <v>80</v>
      </c>
      <c r="K277" s="87">
        <f>(VLOOKUP($A:$A,USD!$A:$AL,11,FALSE)*88)/88*20</f>
        <v>0</v>
      </c>
      <c r="L277" s="87">
        <f>(VLOOKUP($A:$A,USD!$A:$AL,12,FALSE)*88)/88*20</f>
        <v>0</v>
      </c>
      <c r="M277" s="87">
        <f>(VLOOKUP($A:$A,USD!$A:$AL,13,FALSE)*88)/88*20</f>
        <v>0</v>
      </c>
      <c r="N277" s="87">
        <f>(VLOOKUP($A:$A,USD!$A:$AL,14,FALSE)*88)/88*20</f>
        <v>72</v>
      </c>
      <c r="O277" s="68">
        <f>(VLOOKUP($A:$A,USD!$A:$AL,15,FALSE)*88)/88*20</f>
        <v>37.916666666666671</v>
      </c>
      <c r="P277" s="87">
        <f>(VLOOKUP($A:$A,USD!$A:$AL,16,FALSE)*88)/88*20</f>
        <v>0</v>
      </c>
      <c r="Q277" s="68">
        <f t="shared" si="36"/>
        <v>249.91666666666669</v>
      </c>
      <c r="R277" s="68">
        <f t="shared" si="37"/>
        <v>37.916666666666671</v>
      </c>
      <c r="S277" s="68">
        <f>(VLOOKUP($A:$A,USD!$A:$AL,19,FALSE)*88)/88*20</f>
        <v>0</v>
      </c>
      <c r="T277" s="68">
        <f>(VLOOKUP($A:$A,USD!$A:$AL,20,FALSE)*88)/88*20</f>
        <v>0</v>
      </c>
      <c r="U277" s="68" t="e">
        <f>(VLOOKUP($A:$A,USD!$A:$AL,21,FALSE)*88)/88*20</f>
        <v>#N/A</v>
      </c>
      <c r="V277" s="68"/>
      <c r="W277" s="68" t="e">
        <f t="shared" si="38"/>
        <v>#N/A</v>
      </c>
      <c r="X277" s="1">
        <f>(VLOOKUP($A:$A,USD!$A:$AL,24,FALSE)*88)/88*20</f>
        <v>52</v>
      </c>
      <c r="Y277" s="68">
        <f>(VLOOKUP($A:$A,USD!$A:$AL,25,FALSE)*88)/88*20</f>
        <v>50.4</v>
      </c>
      <c r="Z277" s="68">
        <f>(VLOOKUP($A:$A,USD!$A:$AL,26,FALSE)*88)/88*20</f>
        <v>26.25</v>
      </c>
      <c r="AB277" s="68">
        <f t="shared" si="39"/>
        <v>128.65</v>
      </c>
      <c r="AC277" s="68">
        <f>(VLOOKUP($A:$A,USD!$A:$AL,29,FALSE)*88)/88*20</f>
        <v>110.22727272727273</v>
      </c>
      <c r="AD277" s="68">
        <f>(VLOOKUP($A:$A,USD!$A:$AL,30,FALSE)*88)/88*20</f>
        <v>107.04545454545455</v>
      </c>
      <c r="AF277" s="68">
        <f t="shared" si="40"/>
        <v>217.27272727272728</v>
      </c>
      <c r="AG277" s="87">
        <f>(VLOOKUP($A:$A,USD!$A:$AL,33,FALSE)*88)/88*20</f>
        <v>28.814300000000003</v>
      </c>
      <c r="AH277" s="68">
        <f>(VLOOKUP($A:$A,USD!$A:$AL,34,FALSE)*88)/88*20</f>
        <v>6.973140495867769</v>
      </c>
      <c r="AI277" s="87">
        <f>(VLOOKUP($A:$A,USD!$A:$AL,35,FALSE)*88)/88*20</f>
        <v>12.587317427197677</v>
      </c>
      <c r="AJ277" s="87">
        <f>(VLOOKUP($A:$A,USD!$A:$AL,36,FALSE)*88)/88*20</f>
        <v>6.7351999999999999</v>
      </c>
      <c r="AL277" s="68">
        <f t="shared" si="41"/>
        <v>55.109957923065444</v>
      </c>
      <c r="AM277" s="87">
        <f>(VLOOKUP($A:$A,USD!$A:$AR,39,FALSE)*88)/88*20</f>
        <v>79.999999999999986</v>
      </c>
      <c r="AN277" s="68">
        <f>(VLOOKUP($A:$A,USD!$A:$AR,40,FALSE)*88)/88*20</f>
        <v>26.17808219178082</v>
      </c>
      <c r="AO277" s="1">
        <f>(VLOOKUP($A:$A,USD!$A:$AR,41,FALSE)*88)/88*20</f>
        <v>0</v>
      </c>
      <c r="AR277" s="1">
        <f t="shared" si="42"/>
        <v>106.1780821917808</v>
      </c>
      <c r="AS277" s="38" t="e">
        <f t="shared" si="43"/>
        <v>#N/A</v>
      </c>
      <c r="AT277" s="38" t="e">
        <f t="shared" si="44"/>
        <v>#N/A</v>
      </c>
      <c r="AW277" s="1" t="e">
        <f>(VLOOKUP(A:A,USD!A:AT,46,FALSE)*88)/88*20</f>
        <v>#N/A</v>
      </c>
      <c r="AX277" s="1" t="e">
        <f>(VLOOKUP(A:A,USD!A:AU,47,FALSE)*88)/88*20</f>
        <v>#N/A</v>
      </c>
    </row>
    <row r="278" spans="1:50" hidden="1">
      <c r="A278" s="1">
        <v>311000</v>
      </c>
      <c r="B278" s="1" t="s">
        <v>638</v>
      </c>
      <c r="C278" s="1" t="s">
        <v>639</v>
      </c>
      <c r="D278" s="1" t="s">
        <v>76</v>
      </c>
      <c r="E278" s="1" t="str">
        <f>VLOOKUP(A:A,USD!A:E,5,FALSE)</f>
        <v>GA 30 Day</v>
      </c>
      <c r="F278" s="1" t="str">
        <f>VLOOKUP(A:A,USD!A:F,6,FALSE)</f>
        <v>ER5</v>
      </c>
      <c r="G278" s="1" t="str">
        <f>VLOOKUP(A:A,'Regions and Ports'!A:G,7,FALSE)</f>
        <v>Savannah</v>
      </c>
      <c r="H278" s="1">
        <f>VLOOKUP(A:A,USD!A:R,8,FALSE)</f>
        <v>1</v>
      </c>
      <c r="I278" s="87">
        <f>(VLOOKUP($A:$A,USD!$A:$AL,9,FALSE)*88)/88*20</f>
        <v>60</v>
      </c>
      <c r="J278" s="87">
        <f>(VLOOKUP($A:$A,USD!$A:$AL,10,FALSE)*88)/88*20</f>
        <v>120</v>
      </c>
      <c r="K278" s="87">
        <f>(VLOOKUP($A:$A,USD!$A:$AL,11,FALSE)*88)/88*20</f>
        <v>140</v>
      </c>
      <c r="L278" s="87">
        <f>(VLOOKUP($A:$A,USD!$A:$AL,12,FALSE)*88)/88*20</f>
        <v>61</v>
      </c>
      <c r="M278" s="87">
        <f>(VLOOKUP($A:$A,USD!$A:$AL,13,FALSE)*88)/88*20</f>
        <v>10</v>
      </c>
      <c r="N278" s="87">
        <f>(VLOOKUP($A:$A,USD!$A:$AL,14,FALSE)*88)/88*20</f>
        <v>60</v>
      </c>
      <c r="O278" s="68">
        <f>(VLOOKUP($A:$A,USD!$A:$AL,15,FALSE)*88)/88*20</f>
        <v>37.916666666666671</v>
      </c>
      <c r="P278" s="87">
        <f>(VLOOKUP($A:$A,USD!$A:$AL,16,FALSE)*88)/88*20</f>
        <v>0</v>
      </c>
      <c r="Q278" s="68">
        <f t="shared" si="36"/>
        <v>488.91666666666669</v>
      </c>
      <c r="R278" s="68">
        <f t="shared" si="37"/>
        <v>97.916666666666671</v>
      </c>
      <c r="S278" s="68">
        <f>(VLOOKUP($A:$A,USD!$A:$AL,19,FALSE)*88)/88*20</f>
        <v>0</v>
      </c>
      <c r="T278" s="68">
        <f>(VLOOKUP($A:$A,USD!$A:$AL,20,FALSE)*88)/88*20</f>
        <v>0</v>
      </c>
      <c r="U278" s="68">
        <f>(VLOOKUP($A:$A,USD!$A:$AL,21,FALSE)*88)/88*20</f>
        <v>116.54886363636365</v>
      </c>
      <c r="V278" s="68"/>
      <c r="W278" s="68">
        <f t="shared" si="38"/>
        <v>116.54886363636365</v>
      </c>
      <c r="X278" s="1">
        <f>(VLOOKUP($A:$A,USD!$A:$AL,24,FALSE)*88)/88*20</f>
        <v>52</v>
      </c>
      <c r="Y278" s="68">
        <f>(VLOOKUP($A:$A,USD!$A:$AL,25,FALSE)*88)/88*20</f>
        <v>50.4</v>
      </c>
      <c r="Z278" s="68">
        <f>(VLOOKUP($A:$A,USD!$A:$AL,26,FALSE)*88)/88*20</f>
        <v>26.25</v>
      </c>
      <c r="AB278" s="68">
        <f t="shared" si="39"/>
        <v>128.65</v>
      </c>
      <c r="AC278" s="68">
        <f>(VLOOKUP($A:$A,USD!$A:$AL,29,FALSE)*88)/88*20</f>
        <v>110.22727272727273</v>
      </c>
      <c r="AD278" s="68">
        <f>(VLOOKUP($A:$A,USD!$A:$AL,30,FALSE)*88)/88*20</f>
        <v>107.04545454545455</v>
      </c>
      <c r="AF278" s="68">
        <f t="shared" si="40"/>
        <v>217.27272727272728</v>
      </c>
      <c r="AG278" s="87">
        <f>(VLOOKUP($A:$A,USD!$A:$AL,33,FALSE)*88)/88*20</f>
        <v>28.814300000000003</v>
      </c>
      <c r="AH278" s="68">
        <f>(VLOOKUP($A:$A,USD!$A:$AL,34,FALSE)*88)/88*20</f>
        <v>6.973140495867769</v>
      </c>
      <c r="AI278" s="87">
        <f>(VLOOKUP($A:$A,USD!$A:$AL,35,FALSE)*88)/88*20</f>
        <v>12.587317427197677</v>
      </c>
      <c r="AJ278" s="87">
        <f>(VLOOKUP($A:$A,USD!$A:$AL,36,FALSE)*88)/88*20</f>
        <v>6.7351999999999999</v>
      </c>
      <c r="AL278" s="68">
        <f t="shared" si="41"/>
        <v>55.109957923065444</v>
      </c>
      <c r="AM278" s="87">
        <f>(VLOOKUP($A:$A,USD!$A:$AR,39,FALSE)*88)/88*20</f>
        <v>79.999999999999986</v>
      </c>
      <c r="AN278" s="68">
        <f>(VLOOKUP($A:$A,USD!$A:$AR,40,FALSE)*88)/88*20</f>
        <v>26.17808219178082</v>
      </c>
      <c r="AO278" s="1">
        <f>(VLOOKUP($A:$A,USD!$A:$AR,41,FALSE)*88)/88*20</f>
        <v>0</v>
      </c>
      <c r="AR278" s="1">
        <f t="shared" si="42"/>
        <v>106.1780821917808</v>
      </c>
      <c r="AS278" s="38">
        <f t="shared" si="43"/>
        <v>721.67629769060386</v>
      </c>
      <c r="AT278" s="38">
        <f t="shared" si="44"/>
        <v>1112.6762976906039</v>
      </c>
      <c r="AW278" s="1" t="e">
        <f>(VLOOKUP(A:A,USD!A:AT,46,FALSE)*88)/88*20</f>
        <v>#N/A</v>
      </c>
      <c r="AX278" s="1">
        <f>(VLOOKUP(A:A,USD!A:AU,47,FALSE)*88)/88*20</f>
        <v>258.52272727272725</v>
      </c>
    </row>
    <row r="279" spans="1:50" hidden="1">
      <c r="A279" s="1">
        <v>518505</v>
      </c>
      <c r="B279" s="1" t="s">
        <v>640</v>
      </c>
      <c r="C279" s="1" t="s">
        <v>641</v>
      </c>
      <c r="D279" s="1" t="s">
        <v>190</v>
      </c>
      <c r="E279" s="1" t="str">
        <f>VLOOKUP(A:A,USD!A:E,5,FALSE)</f>
        <v>Memphis Rule 5</v>
      </c>
      <c r="F279" s="1" t="str">
        <f>VLOOKUP(A:A,USD!A:F,6,FALSE)</f>
        <v>MR5</v>
      </c>
      <c r="G279" s="1" t="str">
        <f>VLOOKUP(A:A,'Regions and Ports'!A:G,7,FALSE)</f>
        <v>Memphis</v>
      </c>
      <c r="H279" s="1">
        <f>VLOOKUP(A:A,USD!A:R,8,FALSE)</f>
        <v>1</v>
      </c>
      <c r="I279" s="87">
        <f>(VLOOKUP($A:$A,USD!$A:$AL,9,FALSE)*88)/88*20</f>
        <v>42</v>
      </c>
      <c r="J279" s="87">
        <f>(VLOOKUP($A:$A,USD!$A:$AL,10,FALSE)*88)/88*20</f>
        <v>415</v>
      </c>
      <c r="K279" s="87">
        <f>(VLOOKUP($A:$A,USD!$A:$AL,11,FALSE)*88)/88*20</f>
        <v>0</v>
      </c>
      <c r="L279" s="87">
        <f>(VLOOKUP($A:$A,USD!$A:$AL,12,FALSE)*88)/88*20</f>
        <v>0</v>
      </c>
      <c r="M279" s="87">
        <f>(VLOOKUP($A:$A,USD!$A:$AL,13,FALSE)*88)/88*20</f>
        <v>10</v>
      </c>
      <c r="N279" s="87">
        <f>(VLOOKUP($A:$A,USD!$A:$AL,14,FALSE)*88)/88*20</f>
        <v>65</v>
      </c>
      <c r="O279" s="68">
        <f>(VLOOKUP($A:$A,USD!$A:$AL,15,FALSE)*88)/88*20</f>
        <v>37.916666666666671</v>
      </c>
      <c r="P279" s="87">
        <f>(VLOOKUP($A:$A,USD!$A:$AL,16,FALSE)*88)/88*20</f>
        <v>0</v>
      </c>
      <c r="Q279" s="68">
        <f t="shared" si="36"/>
        <v>569.91666666666663</v>
      </c>
      <c r="R279" s="68">
        <f t="shared" si="37"/>
        <v>102.91666666666667</v>
      </c>
      <c r="S279" s="68">
        <f>(VLOOKUP($A:$A,USD!$A:$AL,19,FALSE)*88)/88*20</f>
        <v>0</v>
      </c>
      <c r="T279" s="68">
        <f>(VLOOKUP($A:$A,USD!$A:$AL,20,FALSE)*88)/88*20</f>
        <v>0</v>
      </c>
      <c r="U279" s="68">
        <f>(VLOOKUP($A:$A,USD!$A:$AL,21,FALSE)*88)/88*20</f>
        <v>186.93181818181816</v>
      </c>
      <c r="V279" s="68"/>
      <c r="W279" s="68">
        <f t="shared" si="38"/>
        <v>186.93181818181816</v>
      </c>
      <c r="X279" s="1">
        <f>(VLOOKUP($A:$A,USD!$A:$AL,24,FALSE)*88)/88*20</f>
        <v>50</v>
      </c>
      <c r="Y279" s="68">
        <f>(VLOOKUP($A:$A,USD!$A:$AL,25,FALSE)*88)/88*20</f>
        <v>33.6</v>
      </c>
      <c r="Z279" s="68">
        <f>(VLOOKUP($A:$A,USD!$A:$AL,26,FALSE)*88)/88*20</f>
        <v>26.25</v>
      </c>
      <c r="AB279" s="68">
        <f t="shared" si="39"/>
        <v>109.85</v>
      </c>
      <c r="AC279" s="68">
        <f>(VLOOKUP($A:$A,USD!$A:$AL,29,FALSE)*88)/88*20</f>
        <v>146.02272727272725</v>
      </c>
      <c r="AD279" s="68">
        <f>(VLOOKUP($A:$A,USD!$A:$AL,30,FALSE)*88)/88*20</f>
        <v>182.72727272727275</v>
      </c>
      <c r="AF279" s="68">
        <f t="shared" si="40"/>
        <v>328.75</v>
      </c>
      <c r="AG279" s="87">
        <f>(VLOOKUP($A:$A,USD!$A:$AL,33,FALSE)*88)/88*20</f>
        <v>28.814300000000003</v>
      </c>
      <c r="AH279" s="68">
        <f>(VLOOKUP($A:$A,USD!$A:$AL,34,FALSE)*88)/88*20</f>
        <v>6.973140495867769</v>
      </c>
      <c r="AI279" s="87">
        <f>(VLOOKUP($A:$A,USD!$A:$AL,35,FALSE)*88)/88*20</f>
        <v>12.587317427197677</v>
      </c>
      <c r="AJ279" s="87">
        <f>(VLOOKUP($A:$A,USD!$A:$AL,36,FALSE)*88)/88*20</f>
        <v>6.7351999999999999</v>
      </c>
      <c r="AL279" s="68">
        <f t="shared" si="41"/>
        <v>55.109957923065444</v>
      </c>
      <c r="AM279" s="87">
        <f>(VLOOKUP($A:$A,USD!$A:$AR,39,FALSE)*88)/88*20</f>
        <v>79.999999999999986</v>
      </c>
      <c r="AN279" s="68">
        <f>(VLOOKUP($A:$A,USD!$A:$AR,40,FALSE)*88)/88*20</f>
        <v>26.17808219178082</v>
      </c>
      <c r="AO279" s="1">
        <f>(VLOOKUP($A:$A,USD!$A:$AR,41,FALSE)*88)/88*20</f>
        <v>0</v>
      </c>
      <c r="AR279" s="1">
        <f t="shared" si="42"/>
        <v>106.1780821917808</v>
      </c>
      <c r="AS279" s="38">
        <f t="shared" si="43"/>
        <v>889.73652496333102</v>
      </c>
      <c r="AT279" s="38">
        <f t="shared" si="44"/>
        <v>1356.736524963331</v>
      </c>
      <c r="AW279" s="1">
        <f>(VLOOKUP(A:A,USD!A:AT,46,FALSE)*88)/88*20</f>
        <v>592.66818181818178</v>
      </c>
      <c r="AX279" s="1">
        <f>(VLOOKUP(A:A,USD!A:AU,47,FALSE)*88)/88*20</f>
        <v>504.31818181818181</v>
      </c>
    </row>
    <row r="280" spans="1:50" hidden="1">
      <c r="A280" s="1">
        <v>518510</v>
      </c>
      <c r="B280" s="1" t="s">
        <v>642</v>
      </c>
      <c r="C280" s="1" t="s">
        <v>641</v>
      </c>
      <c r="D280" s="1" t="s">
        <v>190</v>
      </c>
      <c r="E280" s="1" t="str">
        <f>VLOOKUP(A:A,USD!A:E,5,FALSE)</f>
        <v>Memphis Rule 5</v>
      </c>
      <c r="F280" s="1" t="str">
        <f>VLOOKUP(A:A,USD!A:F,6,FALSE)</f>
        <v>MR5</v>
      </c>
      <c r="G280" s="1" t="str">
        <f>VLOOKUP(A:A,'Regions and Ports'!A:G,7,FALSE)</f>
        <v>Memphis</v>
      </c>
      <c r="H280" s="1">
        <f>VLOOKUP(A:A,USD!A:R,8,FALSE)</f>
        <v>1</v>
      </c>
      <c r="I280" s="87">
        <f>(VLOOKUP($A:$A,USD!$A:$AL,9,FALSE)*88)/88*20</f>
        <v>30</v>
      </c>
      <c r="J280" s="87">
        <f>(VLOOKUP($A:$A,USD!$A:$AL,10,FALSE)*88)/88*20</f>
        <v>205</v>
      </c>
      <c r="K280" s="87">
        <f>(VLOOKUP($A:$A,USD!$A:$AL,11,FALSE)*88)/88*20</f>
        <v>160</v>
      </c>
      <c r="L280" s="87">
        <f>(VLOOKUP($A:$A,USD!$A:$AL,12,FALSE)*88)/88*20</f>
        <v>0</v>
      </c>
      <c r="M280" s="87">
        <f>(VLOOKUP($A:$A,USD!$A:$AL,13,FALSE)*88)/88*20</f>
        <v>0</v>
      </c>
      <c r="N280" s="87">
        <f>(VLOOKUP($A:$A,USD!$A:$AL,14,FALSE)*88)/88*20</f>
        <v>55</v>
      </c>
      <c r="O280" s="68">
        <f>(VLOOKUP($A:$A,USD!$A:$AL,15,FALSE)*88)/88*20</f>
        <v>37.916666666666671</v>
      </c>
      <c r="P280" s="87">
        <f>(VLOOKUP($A:$A,USD!$A:$AL,16,FALSE)*88)/88*20</f>
        <v>0</v>
      </c>
      <c r="Q280" s="68">
        <f t="shared" si="36"/>
        <v>487.91666666666669</v>
      </c>
      <c r="R280" s="68">
        <f t="shared" si="37"/>
        <v>92.916666666666671</v>
      </c>
      <c r="S280" s="68">
        <f>(VLOOKUP($A:$A,USD!$A:$AL,19,FALSE)*88)/88*20</f>
        <v>0</v>
      </c>
      <c r="T280" s="68">
        <f>(VLOOKUP($A:$A,USD!$A:$AL,20,FALSE)*88)/88*20</f>
        <v>0</v>
      </c>
      <c r="U280" s="68">
        <f>(VLOOKUP($A:$A,USD!$A:$AL,21,FALSE)*88)/88*20</f>
        <v>186.93181818181816</v>
      </c>
      <c r="V280" s="68"/>
      <c r="W280" s="68">
        <f t="shared" si="38"/>
        <v>186.93181818181816</v>
      </c>
      <c r="X280" s="1">
        <f>(VLOOKUP($A:$A,USD!$A:$AL,24,FALSE)*88)/88*20</f>
        <v>50</v>
      </c>
      <c r="Y280" s="68">
        <f>(VLOOKUP($A:$A,USD!$A:$AL,25,FALSE)*88)/88*20</f>
        <v>33.6</v>
      </c>
      <c r="Z280" s="68">
        <f>(VLOOKUP($A:$A,USD!$A:$AL,26,FALSE)*88)/88*20</f>
        <v>26.25</v>
      </c>
      <c r="AB280" s="68">
        <f t="shared" si="39"/>
        <v>109.85</v>
      </c>
      <c r="AC280" s="68">
        <f>(VLOOKUP($A:$A,USD!$A:$AL,29,FALSE)*88)/88*20</f>
        <v>146.02272727272725</v>
      </c>
      <c r="AD280" s="68">
        <f>(VLOOKUP($A:$A,USD!$A:$AL,30,FALSE)*88)/88*20</f>
        <v>182.72727272727275</v>
      </c>
      <c r="AF280" s="68">
        <f t="shared" si="40"/>
        <v>328.75</v>
      </c>
      <c r="AG280" s="87">
        <f>(VLOOKUP($A:$A,USD!$A:$AL,33,FALSE)*88)/88*20</f>
        <v>28.814300000000003</v>
      </c>
      <c r="AH280" s="68">
        <f>(VLOOKUP($A:$A,USD!$A:$AL,34,FALSE)*88)/88*20</f>
        <v>6.973140495867769</v>
      </c>
      <c r="AI280" s="87">
        <f>(VLOOKUP($A:$A,USD!$A:$AL,35,FALSE)*88)/88*20</f>
        <v>12.587317427197677</v>
      </c>
      <c r="AJ280" s="87">
        <f>(VLOOKUP($A:$A,USD!$A:$AL,36,FALSE)*88)/88*20</f>
        <v>6.7351999999999999</v>
      </c>
      <c r="AL280" s="68">
        <f t="shared" si="41"/>
        <v>55.109957923065444</v>
      </c>
      <c r="AM280" s="87">
        <f>(VLOOKUP($A:$A,USD!$A:$AR,39,FALSE)*88)/88*20</f>
        <v>79.999999999999986</v>
      </c>
      <c r="AN280" s="68">
        <f>(VLOOKUP($A:$A,USD!$A:$AR,40,FALSE)*88)/88*20</f>
        <v>26.17808219178082</v>
      </c>
      <c r="AO280" s="1">
        <f>(VLOOKUP($A:$A,USD!$A:$AR,41,FALSE)*88)/88*20</f>
        <v>0</v>
      </c>
      <c r="AR280" s="1">
        <f t="shared" si="42"/>
        <v>106.1780821917808</v>
      </c>
      <c r="AS280" s="38">
        <f t="shared" si="43"/>
        <v>879.73652496333102</v>
      </c>
      <c r="AT280" s="38">
        <f t="shared" si="44"/>
        <v>1274.736524963331</v>
      </c>
      <c r="AW280" s="1">
        <f>(VLOOKUP(A:A,USD!A:AT,46,FALSE)*88)/88*20</f>
        <v>592.66818181818178</v>
      </c>
      <c r="AX280" s="1">
        <f>(VLOOKUP(A:A,USD!A:AU,47,FALSE)*88)/88*20</f>
        <v>504.31818181818181</v>
      </c>
    </row>
    <row r="281" spans="1:50" hidden="1">
      <c r="A281" s="1">
        <v>160006</v>
      </c>
      <c r="B281" s="1" t="s">
        <v>643</v>
      </c>
      <c r="C281" s="1" t="s">
        <v>644</v>
      </c>
      <c r="D281" s="1" t="s">
        <v>149</v>
      </c>
      <c r="E281" s="1" t="str">
        <f>VLOOKUP(A:A,USD!A:E,5,FALSE)</f>
        <v>Memphis Rule 5</v>
      </c>
      <c r="F281" s="1" t="str">
        <f>VLOOKUP(A:A,USD!A:F,6,FALSE)</f>
        <v>MR5</v>
      </c>
      <c r="G281" s="1" t="str">
        <f>VLOOKUP(A:A,'Regions and Ports'!A:G,7,FALSE)</f>
        <v>Memphis</v>
      </c>
      <c r="H281" s="1">
        <f>VLOOKUP(A:A,USD!A:R,8,FALSE)</f>
        <v>1</v>
      </c>
      <c r="I281" s="87">
        <f>(VLOOKUP($A:$A,USD!$A:$AL,9,FALSE)*88)/88*20</f>
        <v>96</v>
      </c>
      <c r="J281" s="87">
        <f>(VLOOKUP($A:$A,USD!$A:$AL,10,FALSE)*88)/88*20</f>
        <v>195</v>
      </c>
      <c r="K281" s="87">
        <f>(VLOOKUP($A:$A,USD!$A:$AL,11,FALSE)*88)/88*20</f>
        <v>180</v>
      </c>
      <c r="L281" s="87">
        <f>(VLOOKUP($A:$A,USD!$A:$AL,12,FALSE)*88)/88*20</f>
        <v>0</v>
      </c>
      <c r="M281" s="87">
        <f>(VLOOKUP($A:$A,USD!$A:$AL,13,FALSE)*88)/88*20</f>
        <v>0</v>
      </c>
      <c r="N281" s="87">
        <f>(VLOOKUP($A:$A,USD!$A:$AL,14,FALSE)*88)/88*20</f>
        <v>65</v>
      </c>
      <c r="O281" s="68">
        <f>(VLOOKUP($A:$A,USD!$A:$AL,15,FALSE)*88)/88*20</f>
        <v>37.916666666666671</v>
      </c>
      <c r="P281" s="87">
        <f>(VLOOKUP($A:$A,USD!$A:$AL,16,FALSE)*88)/88*20</f>
        <v>0</v>
      </c>
      <c r="Q281" s="68">
        <f t="shared" si="36"/>
        <v>573.91666666666663</v>
      </c>
      <c r="R281" s="68">
        <f t="shared" si="37"/>
        <v>102.91666666666667</v>
      </c>
      <c r="S281" s="68">
        <f>(VLOOKUP($A:$A,USD!$A:$AL,19,FALSE)*88)/88*20</f>
        <v>0</v>
      </c>
      <c r="T281" s="68">
        <f>(VLOOKUP($A:$A,USD!$A:$AL,20,FALSE)*88)/88*20</f>
        <v>0</v>
      </c>
      <c r="U281" s="68">
        <f>(VLOOKUP($A:$A,USD!$A:$AL,21,FALSE)*88)/88*20</f>
        <v>321.59090909090907</v>
      </c>
      <c r="V281" s="68"/>
      <c r="W281" s="68">
        <f t="shared" si="38"/>
        <v>321.59090909090907</v>
      </c>
      <c r="X281" s="1">
        <f>(VLOOKUP($A:$A,USD!$A:$AL,24,FALSE)*88)/88*20</f>
        <v>50</v>
      </c>
      <c r="Y281" s="68">
        <f>(VLOOKUP($A:$A,USD!$A:$AL,25,FALSE)*88)/88*20</f>
        <v>33.6</v>
      </c>
      <c r="Z281" s="68">
        <f>(VLOOKUP($A:$A,USD!$A:$AL,26,FALSE)*88)/88*20</f>
        <v>26.25</v>
      </c>
      <c r="AB281" s="68">
        <f t="shared" si="39"/>
        <v>109.85</v>
      </c>
      <c r="AC281" s="68">
        <f>(VLOOKUP($A:$A,USD!$A:$AL,29,FALSE)*88)/88*20</f>
        <v>146.02272727272725</v>
      </c>
      <c r="AD281" s="68">
        <f>(VLOOKUP($A:$A,USD!$A:$AL,30,FALSE)*88)/88*20</f>
        <v>182.72727272727275</v>
      </c>
      <c r="AF281" s="68">
        <f t="shared" si="40"/>
        <v>328.75</v>
      </c>
      <c r="AG281" s="87">
        <f>(VLOOKUP($A:$A,USD!$A:$AL,33,FALSE)*88)/88*20</f>
        <v>28.814300000000003</v>
      </c>
      <c r="AH281" s="68">
        <f>(VLOOKUP($A:$A,USD!$A:$AL,34,FALSE)*88)/88*20</f>
        <v>6.973140495867769</v>
      </c>
      <c r="AI281" s="87">
        <f>(VLOOKUP($A:$A,USD!$A:$AL,35,FALSE)*88)/88*20</f>
        <v>12.587317427197677</v>
      </c>
      <c r="AJ281" s="87">
        <f>(VLOOKUP($A:$A,USD!$A:$AL,36,FALSE)*88)/88*20</f>
        <v>6.7351999999999999</v>
      </c>
      <c r="AL281" s="68">
        <f t="shared" si="41"/>
        <v>55.109957923065444</v>
      </c>
      <c r="AM281" s="87">
        <f>(VLOOKUP($A:$A,USD!$A:$AR,39,FALSE)*88)/88*20</f>
        <v>79.999999999999986</v>
      </c>
      <c r="AN281" s="68">
        <f>(VLOOKUP($A:$A,USD!$A:$AR,40,FALSE)*88)/88*20</f>
        <v>26.17808219178082</v>
      </c>
      <c r="AO281" s="1">
        <f>(VLOOKUP($A:$A,USD!$A:$AR,41,FALSE)*88)/88*20</f>
        <v>0</v>
      </c>
      <c r="AR281" s="1">
        <f t="shared" si="42"/>
        <v>106.1780821917808</v>
      </c>
      <c r="AS281" s="38">
        <f t="shared" si="43"/>
        <v>1024.395615872422</v>
      </c>
      <c r="AT281" s="38">
        <f t="shared" si="44"/>
        <v>1495.395615872422</v>
      </c>
      <c r="AW281" s="1">
        <f>(VLOOKUP(A:A,USD!A:AT,46,FALSE)*88)/88*20</f>
        <v>211.64772727272725</v>
      </c>
      <c r="AX281" s="1">
        <f>(VLOOKUP(A:A,USD!A:AU,47,FALSE)*88)/88*20</f>
        <v>522.38636363636363</v>
      </c>
    </row>
    <row r="282" spans="1:50" hidden="1">
      <c r="A282" s="1">
        <v>160008</v>
      </c>
      <c r="B282" s="1" t="s">
        <v>646</v>
      </c>
      <c r="C282" s="1" t="s">
        <v>644</v>
      </c>
      <c r="D282" s="1" t="s">
        <v>149</v>
      </c>
      <c r="E282" s="1" t="str">
        <f>VLOOKUP(A:A,USD!A:E,5,FALSE)</f>
        <v>Memphis Rule 5</v>
      </c>
      <c r="F282" s="1" t="str">
        <f>VLOOKUP(A:A,USD!A:F,6,FALSE)</f>
        <v>MR5</v>
      </c>
      <c r="G282" s="1" t="str">
        <f>VLOOKUP(A:A,'Regions and Ports'!A:G,7,FALSE)</f>
        <v>Memphis</v>
      </c>
      <c r="H282" s="1">
        <f>VLOOKUP(A:A,USD!A:R,8,FALSE)</f>
        <v>1</v>
      </c>
      <c r="I282" s="87">
        <f>(VLOOKUP($A:$A,USD!$A:$AL,9,FALSE)*88)/88*20</f>
        <v>102</v>
      </c>
      <c r="J282" s="87">
        <f>(VLOOKUP($A:$A,USD!$A:$AL,10,FALSE)*88)/88*20</f>
        <v>180</v>
      </c>
      <c r="K282" s="87">
        <f>(VLOOKUP($A:$A,USD!$A:$AL,11,FALSE)*88)/88*20</f>
        <v>180</v>
      </c>
      <c r="L282" s="87">
        <f>(VLOOKUP($A:$A,USD!$A:$AL,12,FALSE)*88)/88*20</f>
        <v>0</v>
      </c>
      <c r="M282" s="87">
        <f>(VLOOKUP($A:$A,USD!$A:$AL,13,FALSE)*88)/88*20</f>
        <v>0</v>
      </c>
      <c r="N282" s="87">
        <f>(VLOOKUP($A:$A,USD!$A:$AL,14,FALSE)*88)/88*20</f>
        <v>65</v>
      </c>
      <c r="O282" s="68">
        <f>(VLOOKUP($A:$A,USD!$A:$AL,15,FALSE)*88)/88*20</f>
        <v>37.916666666666671</v>
      </c>
      <c r="P282" s="87">
        <f>(VLOOKUP($A:$A,USD!$A:$AL,16,FALSE)*88)/88*20</f>
        <v>0</v>
      </c>
      <c r="Q282" s="68">
        <f t="shared" si="36"/>
        <v>564.91666666666663</v>
      </c>
      <c r="R282" s="68">
        <f t="shared" si="37"/>
        <v>102.91666666666667</v>
      </c>
      <c r="S282" s="68">
        <f>(VLOOKUP($A:$A,USD!$A:$AL,19,FALSE)*88)/88*20</f>
        <v>0</v>
      </c>
      <c r="T282" s="68">
        <f>(VLOOKUP($A:$A,USD!$A:$AL,20,FALSE)*88)/88*20</f>
        <v>0</v>
      </c>
      <c r="U282" s="68">
        <f>(VLOOKUP($A:$A,USD!$A:$AL,21,FALSE)*88)/88*20</f>
        <v>321.59090909090907</v>
      </c>
      <c r="V282" s="68"/>
      <c r="W282" s="68">
        <f t="shared" si="38"/>
        <v>321.59090909090907</v>
      </c>
      <c r="X282" s="1">
        <f>(VLOOKUP($A:$A,USD!$A:$AL,24,FALSE)*88)/88*20</f>
        <v>50</v>
      </c>
      <c r="Y282" s="68">
        <f>(VLOOKUP($A:$A,USD!$A:$AL,25,FALSE)*88)/88*20</f>
        <v>33.6</v>
      </c>
      <c r="Z282" s="68">
        <f>(VLOOKUP($A:$A,USD!$A:$AL,26,FALSE)*88)/88*20</f>
        <v>26.25</v>
      </c>
      <c r="AB282" s="68">
        <f t="shared" si="39"/>
        <v>109.85</v>
      </c>
      <c r="AC282" s="68">
        <f>(VLOOKUP($A:$A,USD!$A:$AL,29,FALSE)*88)/88*20</f>
        <v>146.02272727272725</v>
      </c>
      <c r="AD282" s="68">
        <f>(VLOOKUP($A:$A,USD!$A:$AL,30,FALSE)*88)/88*20</f>
        <v>182.72727272727275</v>
      </c>
      <c r="AF282" s="68">
        <f t="shared" si="40"/>
        <v>328.75</v>
      </c>
      <c r="AG282" s="87">
        <f>(VLOOKUP($A:$A,USD!$A:$AL,33,FALSE)*88)/88*20</f>
        <v>28.814300000000003</v>
      </c>
      <c r="AH282" s="68">
        <f>(VLOOKUP($A:$A,USD!$A:$AL,34,FALSE)*88)/88*20</f>
        <v>6.973140495867769</v>
      </c>
      <c r="AI282" s="87">
        <f>(VLOOKUP($A:$A,USD!$A:$AL,35,FALSE)*88)/88*20</f>
        <v>12.587317427197677</v>
      </c>
      <c r="AJ282" s="87">
        <f>(VLOOKUP($A:$A,USD!$A:$AL,36,FALSE)*88)/88*20</f>
        <v>6.7351999999999999</v>
      </c>
      <c r="AL282" s="68">
        <f t="shared" si="41"/>
        <v>55.109957923065444</v>
      </c>
      <c r="AM282" s="87">
        <f>(VLOOKUP($A:$A,USD!$A:$AR,39,FALSE)*88)/88*20</f>
        <v>79.999999999999986</v>
      </c>
      <c r="AN282" s="68">
        <f>(VLOOKUP($A:$A,USD!$A:$AR,40,FALSE)*88)/88*20</f>
        <v>26.17808219178082</v>
      </c>
      <c r="AO282" s="1">
        <f>(VLOOKUP($A:$A,USD!$A:$AR,41,FALSE)*88)/88*20</f>
        <v>0</v>
      </c>
      <c r="AR282" s="1">
        <f t="shared" si="42"/>
        <v>106.1780821917808</v>
      </c>
      <c r="AS282" s="38">
        <f t="shared" si="43"/>
        <v>1024.395615872422</v>
      </c>
      <c r="AT282" s="38">
        <f t="shared" si="44"/>
        <v>1486.395615872422</v>
      </c>
      <c r="AW282" s="1">
        <f>(VLOOKUP(A:A,USD!A:AT,46,FALSE)*88)/88*20</f>
        <v>211.64772727272725</v>
      </c>
      <c r="AX282" s="1">
        <f>(VLOOKUP(A:A,USD!A:AU,47,FALSE)*88)/88*20</f>
        <v>522.38636363636363</v>
      </c>
    </row>
    <row r="283" spans="1:50" hidden="1">
      <c r="A283" s="1">
        <v>160009</v>
      </c>
      <c r="B283" s="1" t="s">
        <v>647</v>
      </c>
      <c r="C283" s="1" t="s">
        <v>644</v>
      </c>
      <c r="D283" s="1" t="s">
        <v>149</v>
      </c>
      <c r="E283" s="1" t="str">
        <f>VLOOKUP(A:A,USD!A:E,5,FALSE)</f>
        <v>Memphis Rule 5</v>
      </c>
      <c r="F283" s="1" t="str">
        <f>VLOOKUP(A:A,USD!A:F,6,FALSE)</f>
        <v>MR5</v>
      </c>
      <c r="G283" s="1" t="str">
        <f>VLOOKUP(A:A,'Regions and Ports'!A:G,7,FALSE)</f>
        <v>Memphis</v>
      </c>
      <c r="H283" s="1">
        <f>VLOOKUP(A:A,USD!A:R,8,FALSE)</f>
        <v>1</v>
      </c>
      <c r="I283" s="87">
        <f>(VLOOKUP($A:$A,USD!$A:$AL,9,FALSE)*88)/88*20</f>
        <v>88</v>
      </c>
      <c r="J283" s="87">
        <f>(VLOOKUP($A:$A,USD!$A:$AL,10,FALSE)*88)/88*20</f>
        <v>195</v>
      </c>
      <c r="K283" s="87">
        <f>(VLOOKUP($A:$A,USD!$A:$AL,11,FALSE)*88)/88*20</f>
        <v>180</v>
      </c>
      <c r="L283" s="87">
        <f>(VLOOKUP($A:$A,USD!$A:$AL,12,FALSE)*88)/88*20</f>
        <v>0</v>
      </c>
      <c r="M283" s="87">
        <f>(VLOOKUP($A:$A,USD!$A:$AL,13,FALSE)*88)/88*20</f>
        <v>0</v>
      </c>
      <c r="N283" s="87">
        <f>(VLOOKUP($A:$A,USD!$A:$AL,14,FALSE)*88)/88*20</f>
        <v>70</v>
      </c>
      <c r="O283" s="68">
        <f>(VLOOKUP($A:$A,USD!$A:$AL,15,FALSE)*88)/88*20</f>
        <v>37.916666666666671</v>
      </c>
      <c r="P283" s="87">
        <f>(VLOOKUP($A:$A,USD!$A:$AL,16,FALSE)*88)/88*20</f>
        <v>0</v>
      </c>
      <c r="Q283" s="68">
        <f t="shared" si="36"/>
        <v>570.91666666666663</v>
      </c>
      <c r="R283" s="68">
        <f t="shared" si="37"/>
        <v>107.91666666666667</v>
      </c>
      <c r="S283" s="68">
        <f>(VLOOKUP($A:$A,USD!$A:$AL,19,FALSE)*88)/88*20</f>
        <v>0</v>
      </c>
      <c r="T283" s="68">
        <f>(VLOOKUP($A:$A,USD!$A:$AL,20,FALSE)*88)/88*20</f>
        <v>0</v>
      </c>
      <c r="U283" s="68">
        <f>(VLOOKUP($A:$A,USD!$A:$AL,21,FALSE)*88)/88*20</f>
        <v>321.59090909090907</v>
      </c>
      <c r="V283" s="68"/>
      <c r="W283" s="68">
        <f t="shared" si="38"/>
        <v>321.59090909090907</v>
      </c>
      <c r="X283" s="1">
        <f>(VLOOKUP($A:$A,USD!$A:$AL,24,FALSE)*88)/88*20</f>
        <v>50</v>
      </c>
      <c r="Y283" s="68">
        <f>(VLOOKUP($A:$A,USD!$A:$AL,25,FALSE)*88)/88*20</f>
        <v>33.6</v>
      </c>
      <c r="Z283" s="68">
        <f>(VLOOKUP($A:$A,USD!$A:$AL,26,FALSE)*88)/88*20</f>
        <v>26.25</v>
      </c>
      <c r="AB283" s="68">
        <f t="shared" si="39"/>
        <v>109.85</v>
      </c>
      <c r="AC283" s="68">
        <f>(VLOOKUP($A:$A,USD!$A:$AL,29,FALSE)*88)/88*20</f>
        <v>146.02272727272725</v>
      </c>
      <c r="AD283" s="68">
        <f>(VLOOKUP($A:$A,USD!$A:$AL,30,FALSE)*88)/88*20</f>
        <v>182.72727272727275</v>
      </c>
      <c r="AF283" s="68">
        <f t="shared" si="40"/>
        <v>328.75</v>
      </c>
      <c r="AG283" s="87">
        <f>(VLOOKUP($A:$A,USD!$A:$AL,33,FALSE)*88)/88*20</f>
        <v>28.814300000000003</v>
      </c>
      <c r="AH283" s="68">
        <f>(VLOOKUP($A:$A,USD!$A:$AL,34,FALSE)*88)/88*20</f>
        <v>6.973140495867769</v>
      </c>
      <c r="AI283" s="87">
        <f>(VLOOKUP($A:$A,USD!$A:$AL,35,FALSE)*88)/88*20</f>
        <v>12.587317427197677</v>
      </c>
      <c r="AJ283" s="87">
        <f>(VLOOKUP($A:$A,USD!$A:$AL,36,FALSE)*88)/88*20</f>
        <v>6.7351999999999999</v>
      </c>
      <c r="AL283" s="68">
        <f t="shared" si="41"/>
        <v>55.109957923065444</v>
      </c>
      <c r="AM283" s="87">
        <f>(VLOOKUP($A:$A,USD!$A:$AR,39,FALSE)*88)/88*20</f>
        <v>79.999999999999986</v>
      </c>
      <c r="AN283" s="68">
        <f>(VLOOKUP($A:$A,USD!$A:$AR,40,FALSE)*88)/88*20</f>
        <v>26.17808219178082</v>
      </c>
      <c r="AO283" s="1">
        <f>(VLOOKUP($A:$A,USD!$A:$AR,41,FALSE)*88)/88*20</f>
        <v>0</v>
      </c>
      <c r="AR283" s="1">
        <f t="shared" si="42"/>
        <v>106.1780821917808</v>
      </c>
      <c r="AS283" s="38">
        <f t="shared" si="43"/>
        <v>1029.395615872422</v>
      </c>
      <c r="AT283" s="38">
        <f t="shared" si="44"/>
        <v>1492.395615872422</v>
      </c>
      <c r="AW283" s="1">
        <f>(VLOOKUP(A:A,USD!A:AT,46,FALSE)*88)/88*20</f>
        <v>211.64772727272725</v>
      </c>
      <c r="AX283" s="1">
        <f>(VLOOKUP(A:A,USD!A:AU,47,FALSE)*88)/88*20</f>
        <v>522.38636363636363</v>
      </c>
    </row>
    <row r="284" spans="1:50" hidden="1">
      <c r="A284" s="1">
        <v>840510</v>
      </c>
      <c r="B284" s="1" t="s">
        <v>648</v>
      </c>
      <c r="C284" s="1" t="s">
        <v>644</v>
      </c>
      <c r="D284" s="1" t="s">
        <v>71</v>
      </c>
      <c r="E284" s="1" t="str">
        <f>VLOOKUP(A:A,USD!A:E,5,FALSE)</f>
        <v>STEX</v>
      </c>
      <c r="F284" s="1" t="str">
        <f>VLOOKUP(A:A,USD!A:F,6,FALSE)</f>
        <v>STX</v>
      </c>
      <c r="G284" s="1" t="str">
        <f>VLOOKUP(A:A,'Regions and Ports'!A:G,7,FALSE)</f>
        <v>Houston</v>
      </c>
      <c r="H284" s="1">
        <f>VLOOKUP(A:A,USD!A:R,8,FALSE)</f>
        <v>3</v>
      </c>
      <c r="I284" s="87">
        <f>(VLOOKUP($A:$A,USD!$A:$AL,9,FALSE)*88)/88*20</f>
        <v>110</v>
      </c>
      <c r="J284" s="87">
        <f>(VLOOKUP($A:$A,USD!$A:$AL,10,FALSE)*88)/88*20</f>
        <v>350</v>
      </c>
      <c r="K284" s="87">
        <f>(VLOOKUP($A:$A,USD!$A:$AL,11,FALSE)*88)/88*20</f>
        <v>0</v>
      </c>
      <c r="L284" s="87">
        <f>(VLOOKUP($A:$A,USD!$A:$AL,12,FALSE)*88)/88*20</f>
        <v>0</v>
      </c>
      <c r="M284" s="87">
        <f>(VLOOKUP($A:$A,USD!$A:$AL,13,FALSE)*88)/88*20</f>
        <v>0</v>
      </c>
      <c r="N284" s="87">
        <f>(VLOOKUP($A:$A,USD!$A:$AL,14,FALSE)*88)/88*20</f>
        <v>80</v>
      </c>
      <c r="O284" s="68">
        <f>(VLOOKUP($A:$A,USD!$A:$AL,15,FALSE)*88)/88*20</f>
        <v>37.916666666666671</v>
      </c>
      <c r="P284" s="87">
        <f>(VLOOKUP($A:$A,USD!$A:$AL,16,FALSE)*88)/88*20</f>
        <v>0</v>
      </c>
      <c r="Q284" s="68">
        <f t="shared" si="36"/>
        <v>577.91666666666663</v>
      </c>
      <c r="R284" s="68">
        <f t="shared" si="37"/>
        <v>467.91666666666669</v>
      </c>
      <c r="S284" s="68">
        <f>(VLOOKUP($A:$A,USD!$A:$AL,19,FALSE)*88)/88*20</f>
        <v>20</v>
      </c>
      <c r="T284" s="68">
        <f>(VLOOKUP($A:$A,USD!$A:$AL,20,FALSE)*88)/88*20</f>
        <v>0</v>
      </c>
      <c r="U284" s="68">
        <f>(VLOOKUP($A:$A,USD!$A:$AL,21,FALSE)*88)/88*20</f>
        <v>207.38636363636363</v>
      </c>
      <c r="V284" s="68"/>
      <c r="W284" s="68">
        <f t="shared" si="38"/>
        <v>227.38636363636363</v>
      </c>
      <c r="X284" s="1">
        <f>(VLOOKUP($A:$A,USD!$A:$AL,24,FALSE)*88)/88*20</f>
        <v>54</v>
      </c>
      <c r="Y284" s="68">
        <f>(VLOOKUP($A:$A,USD!$A:$AL,25,FALSE)*88)/88*20</f>
        <v>50.4</v>
      </c>
      <c r="Z284" s="68">
        <f>(VLOOKUP($A:$A,USD!$A:$AL,26,FALSE)*88)/88*20</f>
        <v>26.25</v>
      </c>
      <c r="AB284" s="68">
        <f t="shared" si="39"/>
        <v>130.65</v>
      </c>
      <c r="AC284" s="68">
        <f>(VLOOKUP($A:$A,USD!$A:$AL,29,FALSE)*88)/88*20</f>
        <v>132.95454545454544</v>
      </c>
      <c r="AD284" s="68">
        <f>(VLOOKUP($A:$A,USD!$A:$AL,30,FALSE)*88)/88*20</f>
        <v>197.95454545454547</v>
      </c>
      <c r="AF284" s="68">
        <f t="shared" si="40"/>
        <v>330.90909090909088</v>
      </c>
      <c r="AG284" s="87">
        <f>(VLOOKUP($A:$A,USD!$A:$AL,33,FALSE)*88)/88*20</f>
        <v>28.814300000000003</v>
      </c>
      <c r="AH284" s="68">
        <f>(VLOOKUP($A:$A,USD!$A:$AL,34,FALSE)*88)/88*20</f>
        <v>6.973140495867769</v>
      </c>
      <c r="AI284" s="87">
        <f>(VLOOKUP($A:$A,USD!$A:$AL,35,FALSE)*88)/88*20</f>
        <v>12.587317427197677</v>
      </c>
      <c r="AJ284" s="87">
        <f>(VLOOKUP($A:$A,USD!$A:$AL,36,FALSE)*88)/88*20</f>
        <v>6.7351999999999999</v>
      </c>
      <c r="AL284" s="68">
        <f t="shared" si="41"/>
        <v>55.109957923065444</v>
      </c>
      <c r="AM284" s="87">
        <f>(VLOOKUP($A:$A,USD!$A:$AR,39,FALSE)*88)/88*20</f>
        <v>79.999999999999986</v>
      </c>
      <c r="AN284" s="68">
        <f>(VLOOKUP($A:$A,USD!$A:$AR,40,FALSE)*88)/88*20</f>
        <v>26.17808219178082</v>
      </c>
      <c r="AO284" s="1">
        <f>(VLOOKUP($A:$A,USD!$A:$AR,41,FALSE)*88)/88*20</f>
        <v>0</v>
      </c>
      <c r="AR284" s="1">
        <f t="shared" si="42"/>
        <v>106.1780821917808</v>
      </c>
      <c r="AS284" s="38">
        <f t="shared" si="43"/>
        <v>1318.1501613269672</v>
      </c>
      <c r="AT284" s="38">
        <f t="shared" si="44"/>
        <v>1428.1501613269672</v>
      </c>
      <c r="AW284" s="1">
        <f>(VLOOKUP(A:A,USD!A:AT,46,FALSE)*88)/88*20</f>
        <v>211.64772727272725</v>
      </c>
      <c r="AX284" s="1">
        <f>(VLOOKUP(A:A,USD!A:AU,47,FALSE)*88)/88*20</f>
        <v>522.38636363636363</v>
      </c>
    </row>
    <row r="285" spans="1:50" hidden="1">
      <c r="A285" s="1">
        <v>913030</v>
      </c>
      <c r="B285" s="1" t="s">
        <v>630</v>
      </c>
      <c r="C285" s="1" t="s">
        <v>650</v>
      </c>
      <c r="D285" s="1" t="s">
        <v>71</v>
      </c>
      <c r="E285" s="1" t="str">
        <f>VLOOKUP(A:A,USD!A:E,5,FALSE)</f>
        <v>WTX</v>
      </c>
      <c r="F285" s="1" t="str">
        <f>VLOOKUP(A:A,USD!A:F,6,FALSE)</f>
        <v>WTX</v>
      </c>
      <c r="G285" s="1" t="str">
        <f>VLOOKUP(A:A,'Regions and Ports'!A:G,7,FALSE)</f>
        <v>Dallas</v>
      </c>
      <c r="H285" s="1">
        <f>VLOOKUP(A:A,USD!A:R,8,FALSE)</f>
        <v>2</v>
      </c>
      <c r="I285" s="87">
        <f>(VLOOKUP($A:$A,USD!$A:$AL,9,FALSE)*88)/88*20</f>
        <v>102</v>
      </c>
      <c r="J285" s="87">
        <f>(VLOOKUP($A:$A,USD!$A:$AL,10,FALSE)*88)/88*20</f>
        <v>125</v>
      </c>
      <c r="K285" s="87">
        <f>(VLOOKUP($A:$A,USD!$A:$AL,11,FALSE)*88)/88*20</f>
        <v>205</v>
      </c>
      <c r="L285" s="87">
        <f>(VLOOKUP($A:$A,USD!$A:$AL,12,FALSE)*88)/88*20</f>
        <v>0</v>
      </c>
      <c r="M285" s="87">
        <f>(VLOOKUP($A:$A,USD!$A:$AL,13,FALSE)*88)/88*20</f>
        <v>0</v>
      </c>
      <c r="N285" s="87">
        <f>(VLOOKUP($A:$A,USD!$A:$AL,14,FALSE)*88)/88*20</f>
        <v>48</v>
      </c>
      <c r="O285" s="68">
        <f>(VLOOKUP($A:$A,USD!$A:$AL,15,FALSE)*88)/88*20</f>
        <v>37.916666666666671</v>
      </c>
      <c r="P285" s="87">
        <f>(VLOOKUP($A:$A,USD!$A:$AL,16,FALSE)*88)/88*20</f>
        <v>0</v>
      </c>
      <c r="Q285" s="68">
        <f t="shared" si="36"/>
        <v>517.91666666666663</v>
      </c>
      <c r="R285" s="68">
        <f t="shared" si="37"/>
        <v>290.91666666666669</v>
      </c>
      <c r="S285" s="68">
        <f>(VLOOKUP($A:$A,USD!$A:$AL,19,FALSE)*88)/88*20</f>
        <v>0</v>
      </c>
      <c r="T285" s="68">
        <f>(VLOOKUP($A:$A,USD!$A:$AL,20,FALSE)*88)/88*20</f>
        <v>0</v>
      </c>
      <c r="U285" s="68">
        <f>(VLOOKUP($A:$A,USD!$A:$AL,21,FALSE)*88)/88*20</f>
        <v>178.40909090909091</v>
      </c>
      <c r="V285" s="68"/>
      <c r="W285" s="68">
        <f t="shared" si="38"/>
        <v>178.40909090909091</v>
      </c>
      <c r="X285" s="1">
        <f>(VLOOKUP($A:$A,USD!$A:$AL,24,FALSE)*88)/88*20</f>
        <v>54</v>
      </c>
      <c r="Y285" s="68">
        <f>(VLOOKUP($A:$A,USD!$A:$AL,25,FALSE)*88)/88*20</f>
        <v>50.4</v>
      </c>
      <c r="Z285" s="68">
        <f>(VLOOKUP($A:$A,USD!$A:$AL,26,FALSE)*88)/88*20</f>
        <v>26.25</v>
      </c>
      <c r="AB285" s="68">
        <f t="shared" si="39"/>
        <v>130.65</v>
      </c>
      <c r="AC285" s="68">
        <f>(VLOOKUP($A:$A,USD!$A:$AL,29,FALSE)*88)/88*20</f>
        <v>162.5</v>
      </c>
      <c r="AD285" s="68">
        <f>(VLOOKUP($A:$A,USD!$A:$AL,30,FALSE)*88)/88*20</f>
        <v>268.18181818181819</v>
      </c>
      <c r="AF285" s="68">
        <f t="shared" si="40"/>
        <v>430.68181818181819</v>
      </c>
      <c r="AG285" s="87">
        <f>(VLOOKUP($A:$A,USD!$A:$AL,33,FALSE)*88)/88*20</f>
        <v>28.814300000000003</v>
      </c>
      <c r="AH285" s="68">
        <f>(VLOOKUP($A:$A,USD!$A:$AL,34,FALSE)*88)/88*20</f>
        <v>6.973140495867769</v>
      </c>
      <c r="AI285" s="87">
        <f>(VLOOKUP($A:$A,USD!$A:$AL,35,FALSE)*88)/88*20</f>
        <v>12.587317427197677</v>
      </c>
      <c r="AJ285" s="87">
        <f>(VLOOKUP($A:$A,USD!$A:$AL,36,FALSE)*88)/88*20</f>
        <v>6.7351999999999999</v>
      </c>
      <c r="AL285" s="68">
        <f t="shared" si="41"/>
        <v>55.109957923065444</v>
      </c>
      <c r="AM285" s="87">
        <f>(VLOOKUP($A:$A,USD!$A:$AR,39,FALSE)*88)/88*20</f>
        <v>79.999999999999986</v>
      </c>
      <c r="AN285" s="68">
        <f>(VLOOKUP($A:$A,USD!$A:$AR,40,FALSE)*88)/88*20</f>
        <v>26.17808219178082</v>
      </c>
      <c r="AO285" s="1">
        <f>(VLOOKUP($A:$A,USD!$A:$AR,41,FALSE)*88)/88*20</f>
        <v>0</v>
      </c>
      <c r="AR285" s="1">
        <f t="shared" si="42"/>
        <v>106.1780821917808</v>
      </c>
      <c r="AS285" s="38">
        <f t="shared" si="43"/>
        <v>1191.945615872422</v>
      </c>
      <c r="AT285" s="38">
        <f t="shared" si="44"/>
        <v>1418.9456158724217</v>
      </c>
      <c r="AW285" s="1">
        <f>(VLOOKUP(A:A,USD!A:AT,46,FALSE)*88)/88*20</f>
        <v>340.79090909090905</v>
      </c>
      <c r="AX285" s="1" t="e">
        <f>(VLOOKUP(A:A,USD!A:AU,47,FALSE)*88)/88*20</f>
        <v>#N/A</v>
      </c>
    </row>
    <row r="286" spans="1:50" hidden="1">
      <c r="A286" s="125">
        <v>913030</v>
      </c>
      <c r="B286" s="1" t="s">
        <v>630</v>
      </c>
      <c r="C286" s="1" t="s">
        <v>650</v>
      </c>
      <c r="D286" s="1" t="s">
        <v>71</v>
      </c>
      <c r="E286" s="1" t="s">
        <v>2067</v>
      </c>
      <c r="F286" s="1" t="str">
        <f>VLOOKUP(A:A,USD!A:F,6,FALSE)</f>
        <v>WTX</v>
      </c>
      <c r="G286" s="1" t="s">
        <v>439</v>
      </c>
      <c r="H286" s="1">
        <f>VLOOKUP(A:A,USD!A:R,8,FALSE)</f>
        <v>2</v>
      </c>
      <c r="I286" s="87">
        <f>(VLOOKUP($A:$A,USD!$A:$AL,9,FALSE)*88)/88*20</f>
        <v>102</v>
      </c>
      <c r="J286" s="87">
        <f>(VLOOKUP($A:$A,USD!$A:$AL,10,FALSE)*88)/88*20</f>
        <v>125</v>
      </c>
      <c r="K286" s="87">
        <f>(VLOOKUP($A:$A,USD!$A:$AL,11,FALSE)*88)/88*20</f>
        <v>205</v>
      </c>
      <c r="L286" s="87">
        <f>(VLOOKUP($A:$A,USD!$A:$AL,12,FALSE)*88)/88*20</f>
        <v>0</v>
      </c>
      <c r="M286" s="87">
        <f>(VLOOKUP($A:$A,USD!$A:$AL,13,FALSE)*88)/88*20</f>
        <v>0</v>
      </c>
      <c r="N286" s="87">
        <f>(VLOOKUP($A:$A,USD!$A:$AL,14,FALSE)*88)/88*20</f>
        <v>48</v>
      </c>
      <c r="O286" s="68">
        <f>(VLOOKUP($A:$A,USD!$A:$AL,15,FALSE)*88)/88*20</f>
        <v>37.916666666666671</v>
      </c>
      <c r="P286" s="87">
        <f>(VLOOKUP($A:$A,USD!$A:$AL,16,FALSE)*88)/88*20</f>
        <v>0</v>
      </c>
      <c r="Q286" s="68">
        <f t="shared" si="36"/>
        <v>517.91666666666663</v>
      </c>
      <c r="R286" s="68">
        <f t="shared" si="37"/>
        <v>290.91666666666669</v>
      </c>
      <c r="S286" s="68">
        <f>(VLOOKUP($A:$A,USD!$A:$AL,19,FALSE)*88)/88*20</f>
        <v>0</v>
      </c>
      <c r="T286" s="68">
        <f>(VLOOKUP($A:$A,USD!$A:$AL,20,FALSE)*88)/88*20</f>
        <v>0</v>
      </c>
      <c r="U286" s="68" cm="1">
        <f t="array" ref="U286">(_xlfn.XLOOKUP(1, (USD!$A:$A=$A286)*(USD!$E:$E=$E286), USD!$U:$U, "", 0)*88)/88*20</f>
        <v>284.09090909090912</v>
      </c>
      <c r="V286" s="68"/>
      <c r="W286" s="68">
        <f t="shared" si="38"/>
        <v>284.09090909090912</v>
      </c>
      <c r="X286" s="1">
        <f>(VLOOKUP($A:$A,USD!$A:$AL,24,FALSE)*88)/88*20</f>
        <v>54</v>
      </c>
      <c r="Y286" s="68">
        <f>(VLOOKUP($A:$A,USD!$A:$AL,25,FALSE)*88)/88*20</f>
        <v>50.4</v>
      </c>
      <c r="Z286" s="68">
        <f>(VLOOKUP($A:$A,USD!$A:$AL,26,FALSE)*88)/88*20</f>
        <v>26.25</v>
      </c>
      <c r="AB286" s="68">
        <f t="shared" si="39"/>
        <v>130.65</v>
      </c>
      <c r="AC286" s="68" cm="1">
        <f t="array" ref="AC286">_xlfn.XLOOKUP(A286&amp;E286, USD!$A:$A&amp;USD!$E:$E, USD!$AC:$AC, "")*20</f>
        <v>132.95454545454544</v>
      </c>
      <c r="AD286" s="68" cm="1">
        <f t="array" ref="AD286">_xlfn.XLOOKUP(A286&amp;E286, USD!$A:$A&amp;USD!$E:$E, USD!$AD:$AD, "")*20</f>
        <v>197.95454545454547</v>
      </c>
      <c r="AF286" s="68">
        <f t="shared" si="40"/>
        <v>330.90909090909088</v>
      </c>
      <c r="AG286" s="87">
        <f>(VLOOKUP($A:$A,USD!$A:$AL,33,FALSE)*88)/88*20</f>
        <v>28.814300000000003</v>
      </c>
      <c r="AH286" s="68">
        <f>(VLOOKUP($A:$A,USD!$A:$AL,34,FALSE)*88)/88*20</f>
        <v>6.973140495867769</v>
      </c>
      <c r="AI286" s="87">
        <f>(VLOOKUP($A:$A,USD!$A:$AL,35,FALSE)*88)/88*20</f>
        <v>12.587317427197677</v>
      </c>
      <c r="AJ286" s="87">
        <f>(VLOOKUP($A:$A,USD!$A:$AL,36,FALSE)*88)/88*20</f>
        <v>6.7351999999999999</v>
      </c>
      <c r="AL286" s="68">
        <f t="shared" si="41"/>
        <v>55.109957923065444</v>
      </c>
      <c r="AM286" s="87">
        <f>(VLOOKUP($A:$A,USD!$A:$AR,39,FALSE)*88)/88*20</f>
        <v>79.999999999999986</v>
      </c>
      <c r="AN286" s="68">
        <f>(VLOOKUP($A:$A,USD!$A:$AR,40,FALSE)*88)/88*20</f>
        <v>26.17808219178082</v>
      </c>
      <c r="AO286" s="1">
        <f>(VLOOKUP($A:$A,USD!$A:$AR,41,FALSE)*88)/88*20</f>
        <v>0</v>
      </c>
      <c r="AR286" s="1">
        <f t="shared" si="42"/>
        <v>106.1780821917808</v>
      </c>
      <c r="AS286" s="38">
        <f t="shared" si="43"/>
        <v>1197.8547067815127</v>
      </c>
      <c r="AT286" s="38">
        <f t="shared" si="44"/>
        <v>1424.8547067815127</v>
      </c>
      <c r="AW286" s="1">
        <f>(VLOOKUP(A:A,USD!A:AT,46,FALSE)*88)/88*20</f>
        <v>340.79090909090905</v>
      </c>
      <c r="AX286" s="1" t="e">
        <f>(VLOOKUP(A:A,USD!A:AU,47,FALSE)*88)/88*20</f>
        <v>#N/A</v>
      </c>
    </row>
    <row r="287" spans="1:50" hidden="1">
      <c r="A287" s="1">
        <v>914510</v>
      </c>
      <c r="B287" s="1" t="s">
        <v>652</v>
      </c>
      <c r="C287" s="1" t="s">
        <v>653</v>
      </c>
      <c r="D287" s="1" t="s">
        <v>71</v>
      </c>
      <c r="E287" s="1" t="str">
        <f>VLOOKUP(A:A,USD!A:E,5,FALSE)</f>
        <v>WTX</v>
      </c>
      <c r="F287" s="1" t="str">
        <f>VLOOKUP(A:A,USD!A:F,6,FALSE)</f>
        <v>WTX</v>
      </c>
      <c r="G287" s="1" t="str">
        <f>VLOOKUP(A:A,'Regions and Ports'!A:G,7,FALSE)</f>
        <v>Dallas</v>
      </c>
      <c r="H287" s="1">
        <f>VLOOKUP(A:A,USD!A:R,8,FALSE)</f>
        <v>2</v>
      </c>
      <c r="I287" s="87">
        <f>(VLOOKUP($A:$A,USD!$A:$AL,9,FALSE)*88)/88*20</f>
        <v>100</v>
      </c>
      <c r="J287" s="87">
        <f>(VLOOKUP($A:$A,USD!$A:$AL,10,FALSE)*88)/88*20</f>
        <v>125</v>
      </c>
      <c r="K287" s="87">
        <f>(VLOOKUP($A:$A,USD!$A:$AL,11,FALSE)*88)/88*20</f>
        <v>205</v>
      </c>
      <c r="L287" s="87">
        <f>(VLOOKUP($A:$A,USD!$A:$AL,12,FALSE)*88)/88*20</f>
        <v>0</v>
      </c>
      <c r="M287" s="87">
        <f>(VLOOKUP($A:$A,USD!$A:$AL,13,FALSE)*88)/88*20</f>
        <v>0</v>
      </c>
      <c r="N287" s="87">
        <f>(VLOOKUP($A:$A,USD!$A:$AL,14,FALSE)*88)/88*20</f>
        <v>48</v>
      </c>
      <c r="O287" s="68">
        <f>(VLOOKUP($A:$A,USD!$A:$AL,15,FALSE)*88)/88*20</f>
        <v>37.916666666666671</v>
      </c>
      <c r="P287" s="87">
        <f>(VLOOKUP($A:$A,USD!$A:$AL,16,FALSE)*88)/88*20</f>
        <v>0</v>
      </c>
      <c r="Q287" s="68">
        <f t="shared" si="36"/>
        <v>515.91666666666663</v>
      </c>
      <c r="R287" s="68">
        <f t="shared" si="37"/>
        <v>290.91666666666669</v>
      </c>
      <c r="S287" s="68">
        <f>(VLOOKUP($A:$A,USD!$A:$AL,19,FALSE)*88)/88*20</f>
        <v>0</v>
      </c>
      <c r="T287" s="68">
        <f>(VLOOKUP($A:$A,USD!$A:$AL,20,FALSE)*88)/88*20</f>
        <v>0</v>
      </c>
      <c r="U287" s="68">
        <f>(VLOOKUP($A:$A,USD!$A:$AL,21,FALSE)*88)/88*20</f>
        <v>169.88636363636363</v>
      </c>
      <c r="V287" s="68"/>
      <c r="W287" s="68">
        <f t="shared" si="38"/>
        <v>169.88636363636363</v>
      </c>
      <c r="X287" s="1">
        <f>(VLOOKUP($A:$A,USD!$A:$AL,24,FALSE)*88)/88*20</f>
        <v>54</v>
      </c>
      <c r="Y287" s="68">
        <f>(VLOOKUP($A:$A,USD!$A:$AL,25,FALSE)*88)/88*20</f>
        <v>50.4</v>
      </c>
      <c r="Z287" s="68">
        <f>(VLOOKUP($A:$A,USD!$A:$AL,26,FALSE)*88)/88*20</f>
        <v>26.25</v>
      </c>
      <c r="AB287" s="68">
        <f t="shared" si="39"/>
        <v>130.65</v>
      </c>
      <c r="AC287" s="68">
        <f>(VLOOKUP($A:$A,USD!$A:$AL,29,FALSE)*88)/88*20</f>
        <v>162.5</v>
      </c>
      <c r="AD287" s="68">
        <f>(VLOOKUP($A:$A,USD!$A:$AL,30,FALSE)*88)/88*20</f>
        <v>268.18181818181819</v>
      </c>
      <c r="AF287" s="68">
        <f t="shared" si="40"/>
        <v>430.68181818181819</v>
      </c>
      <c r="AG287" s="87">
        <f>(VLOOKUP($A:$A,USD!$A:$AL,33,FALSE)*88)/88*20</f>
        <v>28.814300000000003</v>
      </c>
      <c r="AH287" s="68">
        <f>(VLOOKUP($A:$A,USD!$A:$AL,34,FALSE)*88)/88*20</f>
        <v>6.973140495867769</v>
      </c>
      <c r="AI287" s="87">
        <f>(VLOOKUP($A:$A,USD!$A:$AL,35,FALSE)*88)/88*20</f>
        <v>12.587317427197677</v>
      </c>
      <c r="AJ287" s="87">
        <f>(VLOOKUP($A:$A,USD!$A:$AL,36,FALSE)*88)/88*20</f>
        <v>6.7351999999999999</v>
      </c>
      <c r="AL287" s="68">
        <f t="shared" si="41"/>
        <v>55.109957923065444</v>
      </c>
      <c r="AM287" s="87">
        <f>(VLOOKUP($A:$A,USD!$A:$AR,39,FALSE)*88)/88*20</f>
        <v>79.999999999999986</v>
      </c>
      <c r="AN287" s="68">
        <f>(VLOOKUP($A:$A,USD!$A:$AR,40,FALSE)*88)/88*20</f>
        <v>26.17808219178082</v>
      </c>
      <c r="AO287" s="1">
        <f>(VLOOKUP($A:$A,USD!$A:$AR,41,FALSE)*88)/88*20</f>
        <v>0</v>
      </c>
      <c r="AR287" s="1">
        <f t="shared" si="42"/>
        <v>106.1780821917808</v>
      </c>
      <c r="AS287" s="38">
        <f t="shared" si="43"/>
        <v>1183.4228885996947</v>
      </c>
      <c r="AT287" s="38">
        <f t="shared" si="44"/>
        <v>1408.4228885996945</v>
      </c>
      <c r="AW287" s="1">
        <f>(VLOOKUP(A:A,USD!A:AT,46,FALSE)*88)/88*20</f>
        <v>372.51590909090902</v>
      </c>
      <c r="AX287" s="1" t="e">
        <f>(VLOOKUP(A:A,USD!A:AU,47,FALSE)*88)/88*20</f>
        <v>#N/A</v>
      </c>
    </row>
    <row r="288" spans="1:50" hidden="1">
      <c r="A288" s="125">
        <v>914510</v>
      </c>
      <c r="B288" s="1" t="s">
        <v>652</v>
      </c>
      <c r="C288" s="1" t="s">
        <v>653</v>
      </c>
      <c r="D288" s="1" t="s">
        <v>71</v>
      </c>
      <c r="E288" s="1" t="s">
        <v>2067</v>
      </c>
      <c r="F288" s="1" t="str">
        <f>VLOOKUP(A:A,USD!A:F,6,FALSE)</f>
        <v>WTX</v>
      </c>
      <c r="G288" s="1" t="s">
        <v>439</v>
      </c>
      <c r="H288" s="1">
        <f>VLOOKUP(A:A,USD!A:R,8,FALSE)</f>
        <v>2</v>
      </c>
      <c r="I288" s="87">
        <f>(VLOOKUP($A:$A,USD!$A:$AL,9,FALSE)*88)/88*20</f>
        <v>100</v>
      </c>
      <c r="J288" s="87">
        <f>(VLOOKUP($A:$A,USD!$A:$AL,10,FALSE)*88)/88*20</f>
        <v>125</v>
      </c>
      <c r="K288" s="87">
        <f>(VLOOKUP($A:$A,USD!$A:$AL,11,FALSE)*88)/88*20</f>
        <v>205</v>
      </c>
      <c r="L288" s="87">
        <f>(VLOOKUP($A:$A,USD!$A:$AL,12,FALSE)*88)/88*20</f>
        <v>0</v>
      </c>
      <c r="M288" s="87">
        <f>(VLOOKUP($A:$A,USD!$A:$AL,13,FALSE)*88)/88*20</f>
        <v>0</v>
      </c>
      <c r="N288" s="87">
        <f>(VLOOKUP($A:$A,USD!$A:$AL,14,FALSE)*88)/88*20</f>
        <v>48</v>
      </c>
      <c r="O288" s="68">
        <f>(VLOOKUP($A:$A,USD!$A:$AL,15,FALSE)*88)/88*20</f>
        <v>37.916666666666671</v>
      </c>
      <c r="P288" s="87">
        <f>(VLOOKUP($A:$A,USD!$A:$AL,16,FALSE)*88)/88*20</f>
        <v>0</v>
      </c>
      <c r="Q288" s="68">
        <f t="shared" si="36"/>
        <v>515.91666666666663</v>
      </c>
      <c r="R288" s="68">
        <f t="shared" si="37"/>
        <v>290.91666666666669</v>
      </c>
      <c r="S288" s="68">
        <f>(VLOOKUP($A:$A,USD!$A:$AL,19,FALSE)*88)/88*20</f>
        <v>0</v>
      </c>
      <c r="T288" s="68">
        <f>(VLOOKUP($A:$A,USD!$A:$AL,20,FALSE)*88)/88*20</f>
        <v>0</v>
      </c>
      <c r="U288" s="68" cm="1">
        <f t="array" ref="U288">(_xlfn.XLOOKUP(1, (USD!$A:$A=$A288)*(USD!$E:$E=$E288), USD!$U:$U, "", 0)*88)/88*20</f>
        <v>295.68181818181819</v>
      </c>
      <c r="V288" s="68"/>
      <c r="W288" s="68">
        <f t="shared" si="38"/>
        <v>295.68181818181819</v>
      </c>
      <c r="X288" s="1">
        <f>(VLOOKUP($A:$A,USD!$A:$AL,24,FALSE)*88)/88*20</f>
        <v>54</v>
      </c>
      <c r="Y288" s="68">
        <f>(VLOOKUP($A:$A,USD!$A:$AL,25,FALSE)*88)/88*20</f>
        <v>50.4</v>
      </c>
      <c r="Z288" s="68">
        <f>(VLOOKUP($A:$A,USD!$A:$AL,26,FALSE)*88)/88*20</f>
        <v>26.25</v>
      </c>
      <c r="AB288" s="68">
        <f t="shared" si="39"/>
        <v>130.65</v>
      </c>
      <c r="AC288" s="68" cm="1">
        <f t="array" ref="AC288">_xlfn.XLOOKUP(A288&amp;E288, USD!$A:$A&amp;USD!$E:$E, USD!$AC:$AC, "")*20</f>
        <v>132.95454545454544</v>
      </c>
      <c r="AD288" s="68" cm="1">
        <f t="array" ref="AD288">_xlfn.XLOOKUP(A288&amp;E288, USD!$A:$A&amp;USD!$E:$E, USD!$AD:$AD, "")*20</f>
        <v>197.95454545454547</v>
      </c>
      <c r="AF288" s="68">
        <f t="shared" si="40"/>
        <v>330.90909090909088</v>
      </c>
      <c r="AG288" s="87">
        <f>(VLOOKUP($A:$A,USD!$A:$AL,33,FALSE)*88)/88*20</f>
        <v>28.814300000000003</v>
      </c>
      <c r="AH288" s="68">
        <f>(VLOOKUP($A:$A,USD!$A:$AL,34,FALSE)*88)/88*20</f>
        <v>6.973140495867769</v>
      </c>
      <c r="AI288" s="87">
        <f>(VLOOKUP($A:$A,USD!$A:$AL,35,FALSE)*88)/88*20</f>
        <v>12.587317427197677</v>
      </c>
      <c r="AJ288" s="87">
        <f>(VLOOKUP($A:$A,USD!$A:$AL,36,FALSE)*88)/88*20</f>
        <v>6.7351999999999999</v>
      </c>
      <c r="AL288" s="68">
        <f t="shared" si="41"/>
        <v>55.109957923065444</v>
      </c>
      <c r="AM288" s="87">
        <f>(VLOOKUP($A:$A,USD!$A:$AR,39,FALSE)*88)/88*20</f>
        <v>79.999999999999986</v>
      </c>
      <c r="AN288" s="68">
        <f>(VLOOKUP($A:$A,USD!$A:$AR,40,FALSE)*88)/88*20</f>
        <v>26.17808219178082</v>
      </c>
      <c r="AO288" s="1">
        <f>(VLOOKUP($A:$A,USD!$A:$AR,41,FALSE)*88)/88*20</f>
        <v>0</v>
      </c>
      <c r="AR288" s="1">
        <f t="shared" si="42"/>
        <v>106.1780821917808</v>
      </c>
      <c r="AS288" s="38">
        <f t="shared" si="43"/>
        <v>1209.4456158724217</v>
      </c>
      <c r="AT288" s="38">
        <f t="shared" si="44"/>
        <v>1434.4456158724217</v>
      </c>
      <c r="AW288" s="1">
        <f>(VLOOKUP(A:A,USD!A:AT,46,FALSE)*88)/88*20</f>
        <v>372.51590909090902</v>
      </c>
      <c r="AX288" s="1" t="e">
        <f>(VLOOKUP(A:A,USD!A:AU,47,FALSE)*88)/88*20</f>
        <v>#N/A</v>
      </c>
    </row>
    <row r="289" spans="1:50" hidden="1">
      <c r="A289" s="1">
        <v>593005</v>
      </c>
      <c r="B289" s="1" t="s">
        <v>655</v>
      </c>
      <c r="C289" s="1" t="s">
        <v>656</v>
      </c>
      <c r="D289" s="1" t="s">
        <v>136</v>
      </c>
      <c r="E289" s="1" t="str">
        <f>VLOOKUP(A:A,USD!A:E,5,FALSE)</f>
        <v>Eastern Rule 5</v>
      </c>
      <c r="F289" s="1" t="str">
        <f>VLOOKUP(A:A,USD!A:F,6,FALSE)</f>
        <v>ER5</v>
      </c>
      <c r="G289" s="1" t="str">
        <f>VLOOKUP(A:A,'Regions and Ports'!A:G,7,FALSE)</f>
        <v>Savannah</v>
      </c>
      <c r="H289" s="1">
        <f>VLOOKUP(A:A,USD!A:R,8,FALSE)</f>
        <v>1</v>
      </c>
      <c r="I289" s="87">
        <f>(VLOOKUP($A:$A,USD!$A:$AL,9,FALSE)*88)/88*20</f>
        <v>80</v>
      </c>
      <c r="J289" s="87">
        <f>(VLOOKUP($A:$A,USD!$A:$AL,10,FALSE)*88)/88*20</f>
        <v>97</v>
      </c>
      <c r="K289" s="87">
        <f>(VLOOKUP($A:$A,USD!$A:$AL,11,FALSE)*88)/88*20</f>
        <v>0</v>
      </c>
      <c r="L289" s="87">
        <f>(VLOOKUP($A:$A,USD!$A:$AL,12,FALSE)*88)/88*20</f>
        <v>0</v>
      </c>
      <c r="M289" s="87">
        <f>(VLOOKUP($A:$A,USD!$A:$AL,13,FALSE)*88)/88*20</f>
        <v>0</v>
      </c>
      <c r="N289" s="87">
        <f>(VLOOKUP($A:$A,USD!$A:$AL,14,FALSE)*88)/88*20</f>
        <v>60</v>
      </c>
      <c r="O289" s="68">
        <f>(VLOOKUP($A:$A,USD!$A:$AL,15,FALSE)*88)/88*20</f>
        <v>37.916666666666671</v>
      </c>
      <c r="P289" s="87">
        <f>(VLOOKUP($A:$A,USD!$A:$AL,16,FALSE)*88)/88*20</f>
        <v>0</v>
      </c>
      <c r="Q289" s="68">
        <f t="shared" si="36"/>
        <v>274.91666666666669</v>
      </c>
      <c r="R289" s="68">
        <f t="shared" si="37"/>
        <v>97.916666666666671</v>
      </c>
      <c r="S289" s="68">
        <f>(VLOOKUP($A:$A,USD!$A:$AL,19,FALSE)*88)/88*20</f>
        <v>0</v>
      </c>
      <c r="T289" s="68">
        <f>(VLOOKUP($A:$A,USD!$A:$AL,20,FALSE)*88)/88*20</f>
        <v>0</v>
      </c>
      <c r="U289" s="68">
        <f>(VLOOKUP($A:$A,USD!$A:$AL,21,FALSE)*88)/88*20</f>
        <v>221.28863636363636</v>
      </c>
      <c r="V289" s="68"/>
      <c r="W289" s="68">
        <f t="shared" si="38"/>
        <v>221.28863636363636</v>
      </c>
      <c r="X289" s="1">
        <f>(VLOOKUP($A:$A,USD!$A:$AL,24,FALSE)*88)/88*20</f>
        <v>52</v>
      </c>
      <c r="Y289" s="68">
        <f>(VLOOKUP($A:$A,USD!$A:$AL,25,FALSE)*88)/88*20</f>
        <v>50.4</v>
      </c>
      <c r="Z289" s="68">
        <f>(VLOOKUP($A:$A,USD!$A:$AL,26,FALSE)*88)/88*20</f>
        <v>26.25</v>
      </c>
      <c r="AB289" s="68">
        <f t="shared" si="39"/>
        <v>128.65</v>
      </c>
      <c r="AC289" s="68">
        <f>(VLOOKUP($A:$A,USD!$A:$AL,29,FALSE)*88)/88*20</f>
        <v>110.22727272727273</v>
      </c>
      <c r="AD289" s="68">
        <f>(VLOOKUP($A:$A,USD!$A:$AL,30,FALSE)*88)/88*20</f>
        <v>107.04545454545455</v>
      </c>
      <c r="AF289" s="68">
        <f t="shared" si="40"/>
        <v>217.27272727272728</v>
      </c>
      <c r="AG289" s="87">
        <f>(VLOOKUP($A:$A,USD!$A:$AL,33,FALSE)*88)/88*20</f>
        <v>28.814300000000003</v>
      </c>
      <c r="AH289" s="68">
        <f>(VLOOKUP($A:$A,USD!$A:$AL,34,FALSE)*88)/88*20</f>
        <v>6.973140495867769</v>
      </c>
      <c r="AI289" s="87">
        <f>(VLOOKUP($A:$A,USD!$A:$AL,35,FALSE)*88)/88*20</f>
        <v>12.587317427197677</v>
      </c>
      <c r="AJ289" s="87">
        <f>(VLOOKUP($A:$A,USD!$A:$AL,36,FALSE)*88)/88*20</f>
        <v>6.7351999999999999</v>
      </c>
      <c r="AL289" s="68">
        <f t="shared" si="41"/>
        <v>55.109957923065444</v>
      </c>
      <c r="AM289" s="87">
        <f>(VLOOKUP($A:$A,USD!$A:$AR,39,FALSE)*88)/88*20</f>
        <v>79.999999999999986</v>
      </c>
      <c r="AN289" s="68">
        <f>(VLOOKUP($A:$A,USD!$A:$AR,40,FALSE)*88)/88*20</f>
        <v>26.17808219178082</v>
      </c>
      <c r="AO289" s="1">
        <f>(VLOOKUP($A:$A,USD!$A:$AR,41,FALSE)*88)/88*20</f>
        <v>0</v>
      </c>
      <c r="AR289" s="1">
        <f t="shared" si="42"/>
        <v>106.1780821917808</v>
      </c>
      <c r="AS289" s="38">
        <f t="shared" si="43"/>
        <v>826.41607041787654</v>
      </c>
      <c r="AT289" s="38">
        <f t="shared" si="44"/>
        <v>1003.4160704178765</v>
      </c>
      <c r="AW289" s="1" t="e">
        <f>(VLOOKUP(A:A,USD!A:AT,46,FALSE)*88)/88*20</f>
        <v>#N/A</v>
      </c>
      <c r="AX289" s="1">
        <f>(VLOOKUP(A:A,USD!A:AU,47,FALSE)*88)/88*20</f>
        <v>181.81818181818184</v>
      </c>
    </row>
    <row r="290" spans="1:50" hidden="1">
      <c r="A290" s="1">
        <v>916501</v>
      </c>
      <c r="B290" s="1" t="s">
        <v>658</v>
      </c>
      <c r="C290" s="1" t="s">
        <v>659</v>
      </c>
      <c r="D290" s="1" t="s">
        <v>71</v>
      </c>
      <c r="E290" s="1" t="str">
        <f>VLOOKUP(A:A,USD!A:E,5,FALSE)</f>
        <v>WTX</v>
      </c>
      <c r="F290" s="1" t="str">
        <f>VLOOKUP(A:A,USD!A:F,6,FALSE)</f>
        <v>WTX</v>
      </c>
      <c r="G290" s="1" t="str">
        <f>VLOOKUP(A:A,'Regions and Ports'!A:G,7,FALSE)</f>
        <v>Dallas</v>
      </c>
      <c r="H290" s="1">
        <f>VLOOKUP(A:A,USD!A:R,8,FALSE)</f>
        <v>2</v>
      </c>
      <c r="I290" s="87">
        <f>(VLOOKUP($A:$A,USD!$A:$AL,9,FALSE)*88)/88*20</f>
        <v>95</v>
      </c>
      <c r="J290" s="87">
        <f>(VLOOKUP($A:$A,USD!$A:$AL,10,FALSE)*88)/88*20</f>
        <v>109</v>
      </c>
      <c r="K290" s="87">
        <f>(VLOOKUP($A:$A,USD!$A:$AL,11,FALSE)*88)/88*20</f>
        <v>195</v>
      </c>
      <c r="L290" s="87">
        <f>(VLOOKUP($A:$A,USD!$A:$AL,12,FALSE)*88)/88*20</f>
        <v>0</v>
      </c>
      <c r="M290" s="87">
        <f>(VLOOKUP($A:$A,USD!$A:$AL,13,FALSE)*88)/88*20</f>
        <v>20</v>
      </c>
      <c r="N290" s="87">
        <f>(VLOOKUP($A:$A,USD!$A:$AL,14,FALSE)*88)/88*20</f>
        <v>48</v>
      </c>
      <c r="O290" s="68">
        <f>(VLOOKUP($A:$A,USD!$A:$AL,15,FALSE)*88)/88*20</f>
        <v>37.916666666666671</v>
      </c>
      <c r="P290" s="87">
        <f>(VLOOKUP($A:$A,USD!$A:$AL,16,FALSE)*88)/88*20</f>
        <v>0</v>
      </c>
      <c r="Q290" s="68">
        <f t="shared" si="36"/>
        <v>504.91666666666669</v>
      </c>
      <c r="R290" s="68">
        <f t="shared" si="37"/>
        <v>280.91666666666669</v>
      </c>
      <c r="S290" s="68">
        <f>(VLOOKUP($A:$A,USD!$A:$AL,19,FALSE)*88)/88*20</f>
        <v>0</v>
      </c>
      <c r="T290" s="68">
        <f>(VLOOKUP($A:$A,USD!$A:$AL,20,FALSE)*88)/88*20</f>
        <v>0</v>
      </c>
      <c r="U290" s="68">
        <f>(VLOOKUP($A:$A,USD!$A:$AL,21,FALSE)*88)/88*20</f>
        <v>168.18181818181816</v>
      </c>
      <c r="V290" s="68"/>
      <c r="W290" s="68">
        <f t="shared" si="38"/>
        <v>168.18181818181816</v>
      </c>
      <c r="X290" s="1">
        <f>(VLOOKUP($A:$A,USD!$A:$AL,24,FALSE)*88)/88*20</f>
        <v>54</v>
      </c>
      <c r="Y290" s="68">
        <f>(VLOOKUP($A:$A,USD!$A:$AL,25,FALSE)*88)/88*20</f>
        <v>50.4</v>
      </c>
      <c r="Z290" s="68">
        <f>(VLOOKUP($A:$A,USD!$A:$AL,26,FALSE)*88)/88*20</f>
        <v>26.25</v>
      </c>
      <c r="AB290" s="68">
        <f t="shared" si="39"/>
        <v>130.65</v>
      </c>
      <c r="AC290" s="68">
        <f>(VLOOKUP($A:$A,USD!$A:$AL,29,FALSE)*88)/88*20</f>
        <v>162.5</v>
      </c>
      <c r="AD290" s="68">
        <f>(VLOOKUP($A:$A,USD!$A:$AL,30,FALSE)*88)/88*20</f>
        <v>268.18181818181819</v>
      </c>
      <c r="AF290" s="68">
        <f t="shared" si="40"/>
        <v>430.68181818181819</v>
      </c>
      <c r="AG290" s="87">
        <f>(VLOOKUP($A:$A,USD!$A:$AL,33,FALSE)*88)/88*20</f>
        <v>28.814300000000003</v>
      </c>
      <c r="AH290" s="68">
        <f>(VLOOKUP($A:$A,USD!$A:$AL,34,FALSE)*88)/88*20</f>
        <v>6.973140495867769</v>
      </c>
      <c r="AI290" s="87">
        <f>(VLOOKUP($A:$A,USD!$A:$AL,35,FALSE)*88)/88*20</f>
        <v>12.587317427197677</v>
      </c>
      <c r="AJ290" s="87">
        <f>(VLOOKUP($A:$A,USD!$A:$AL,36,FALSE)*88)/88*20</f>
        <v>6.7351999999999999</v>
      </c>
      <c r="AL290" s="68">
        <f t="shared" si="41"/>
        <v>55.109957923065444</v>
      </c>
      <c r="AM290" s="87">
        <f>(VLOOKUP($A:$A,USD!$A:$AR,39,FALSE)*88)/88*20</f>
        <v>79.999999999999986</v>
      </c>
      <c r="AN290" s="68">
        <f>(VLOOKUP($A:$A,USD!$A:$AR,40,FALSE)*88)/88*20</f>
        <v>26.17808219178082</v>
      </c>
      <c r="AO290" s="1">
        <f>(VLOOKUP($A:$A,USD!$A:$AR,41,FALSE)*88)/88*20</f>
        <v>0</v>
      </c>
      <c r="AR290" s="1">
        <f t="shared" si="42"/>
        <v>106.1780821917808</v>
      </c>
      <c r="AS290" s="38">
        <f t="shared" si="43"/>
        <v>1171.7183431451492</v>
      </c>
      <c r="AT290" s="38">
        <f t="shared" si="44"/>
        <v>1395.7183431451492</v>
      </c>
      <c r="AW290" s="1">
        <f>(VLOOKUP(A:A,USD!A:AT,46,FALSE)*88)/88*20</f>
        <v>341.11136363636365</v>
      </c>
      <c r="AX290" s="1" t="e">
        <f>(VLOOKUP(A:A,USD!A:AU,47,FALSE)*88)/88*20</f>
        <v>#N/A</v>
      </c>
    </row>
    <row r="291" spans="1:50" hidden="1">
      <c r="A291" s="125">
        <v>916501</v>
      </c>
      <c r="B291" s="1" t="s">
        <v>658</v>
      </c>
      <c r="C291" s="1" t="s">
        <v>659</v>
      </c>
      <c r="D291" s="1" t="s">
        <v>71</v>
      </c>
      <c r="E291" s="1" t="s">
        <v>2067</v>
      </c>
      <c r="F291" s="1" t="str">
        <f>VLOOKUP(A:A,USD!A:F,6,FALSE)</f>
        <v>WTX</v>
      </c>
      <c r="G291" s="1" t="s">
        <v>439</v>
      </c>
      <c r="H291" s="1">
        <f>VLOOKUP(A:A,USD!A:R,8,FALSE)</f>
        <v>2</v>
      </c>
      <c r="I291" s="87">
        <f>(VLOOKUP($A:$A,USD!$A:$AL,9,FALSE)*88)/88*20</f>
        <v>95</v>
      </c>
      <c r="J291" s="87">
        <f>(VLOOKUP($A:$A,USD!$A:$AL,10,FALSE)*88)/88*20</f>
        <v>109</v>
      </c>
      <c r="K291" s="87">
        <f>(VLOOKUP($A:$A,USD!$A:$AL,11,FALSE)*88)/88*20</f>
        <v>195</v>
      </c>
      <c r="L291" s="87">
        <f>(VLOOKUP($A:$A,USD!$A:$AL,12,FALSE)*88)/88*20</f>
        <v>0</v>
      </c>
      <c r="M291" s="87">
        <f>(VLOOKUP($A:$A,USD!$A:$AL,13,FALSE)*88)/88*20</f>
        <v>20</v>
      </c>
      <c r="N291" s="87">
        <f>(VLOOKUP($A:$A,USD!$A:$AL,14,FALSE)*88)/88*20</f>
        <v>48</v>
      </c>
      <c r="O291" s="68">
        <f>(VLOOKUP($A:$A,USD!$A:$AL,15,FALSE)*88)/88*20</f>
        <v>37.916666666666671</v>
      </c>
      <c r="P291" s="87">
        <f>(VLOOKUP($A:$A,USD!$A:$AL,16,FALSE)*88)/88*20</f>
        <v>0</v>
      </c>
      <c r="Q291" s="68">
        <f t="shared" si="36"/>
        <v>504.91666666666669</v>
      </c>
      <c r="R291" s="68">
        <f t="shared" si="37"/>
        <v>280.91666666666669</v>
      </c>
      <c r="S291" s="68">
        <f>(VLOOKUP($A:$A,USD!$A:$AL,19,FALSE)*88)/88*20</f>
        <v>0</v>
      </c>
      <c r="T291" s="68">
        <f>(VLOOKUP($A:$A,USD!$A:$AL,20,FALSE)*88)/88*20</f>
        <v>0</v>
      </c>
      <c r="U291" s="68" cm="1">
        <f t="array" ref="U291">(_xlfn.XLOOKUP(1, (USD!$A:$A=$A291)*(USD!$E:$E=$E291), USD!$U:$U, "", 0)*88)/88*20</f>
        <v>284.09090909090912</v>
      </c>
      <c r="V291" s="68"/>
      <c r="W291" s="68">
        <f t="shared" si="38"/>
        <v>284.09090909090912</v>
      </c>
      <c r="X291" s="1">
        <f>(VLOOKUP($A:$A,USD!$A:$AL,24,FALSE)*88)/88*20</f>
        <v>54</v>
      </c>
      <c r="Y291" s="68">
        <f>(VLOOKUP($A:$A,USD!$A:$AL,25,FALSE)*88)/88*20</f>
        <v>50.4</v>
      </c>
      <c r="Z291" s="68">
        <f>(VLOOKUP($A:$A,USD!$A:$AL,26,FALSE)*88)/88*20</f>
        <v>26.25</v>
      </c>
      <c r="AB291" s="68">
        <f t="shared" si="39"/>
        <v>130.65</v>
      </c>
      <c r="AC291" s="68" cm="1">
        <f t="array" ref="AC291">_xlfn.XLOOKUP(A291&amp;E291, USD!$A:$A&amp;USD!$E:$E, USD!$AC:$AC, "")*20</f>
        <v>132.95454545454544</v>
      </c>
      <c r="AD291" s="68" cm="1">
        <f t="array" ref="AD291">_xlfn.XLOOKUP(A291&amp;E291, USD!$A:$A&amp;USD!$E:$E, USD!$AD:$AD, "")*20</f>
        <v>197.95454545454547</v>
      </c>
      <c r="AF291" s="68">
        <f t="shared" si="40"/>
        <v>330.90909090909088</v>
      </c>
      <c r="AG291" s="87">
        <f>(VLOOKUP($A:$A,USD!$A:$AL,33,FALSE)*88)/88*20</f>
        <v>28.814300000000003</v>
      </c>
      <c r="AH291" s="68">
        <f>(VLOOKUP($A:$A,USD!$A:$AL,34,FALSE)*88)/88*20</f>
        <v>6.973140495867769</v>
      </c>
      <c r="AI291" s="87">
        <f>(VLOOKUP($A:$A,USD!$A:$AL,35,FALSE)*88)/88*20</f>
        <v>12.587317427197677</v>
      </c>
      <c r="AJ291" s="87">
        <f>(VLOOKUP($A:$A,USD!$A:$AL,36,FALSE)*88)/88*20</f>
        <v>6.7351999999999999</v>
      </c>
      <c r="AL291" s="68">
        <f t="shared" si="41"/>
        <v>55.109957923065444</v>
      </c>
      <c r="AM291" s="87">
        <f>(VLOOKUP($A:$A,USD!$A:$AR,39,FALSE)*88)/88*20</f>
        <v>79.999999999999986</v>
      </c>
      <c r="AN291" s="68">
        <f>(VLOOKUP($A:$A,USD!$A:$AR,40,FALSE)*88)/88*20</f>
        <v>26.17808219178082</v>
      </c>
      <c r="AO291" s="1">
        <f>(VLOOKUP($A:$A,USD!$A:$AR,41,FALSE)*88)/88*20</f>
        <v>0</v>
      </c>
      <c r="AR291" s="1">
        <f t="shared" si="42"/>
        <v>106.1780821917808</v>
      </c>
      <c r="AS291" s="38">
        <f t="shared" si="43"/>
        <v>1187.8547067815127</v>
      </c>
      <c r="AT291" s="38">
        <f t="shared" si="44"/>
        <v>1411.8547067815127</v>
      </c>
      <c r="AW291" s="1">
        <f>(VLOOKUP(A:A,USD!A:AT,46,FALSE)*88)/88*20</f>
        <v>341.11136363636365</v>
      </c>
      <c r="AX291" s="1" t="e">
        <f>(VLOOKUP(A:A,USD!A:AU,47,FALSE)*88)/88*20</f>
        <v>#N/A</v>
      </c>
    </row>
    <row r="292" spans="1:50" hidden="1">
      <c r="A292" s="1">
        <v>916710</v>
      </c>
      <c r="B292" s="1" t="s">
        <v>661</v>
      </c>
      <c r="C292" s="1" t="s">
        <v>662</v>
      </c>
      <c r="D292" s="1" t="s">
        <v>71</v>
      </c>
      <c r="E292" s="1" t="str">
        <f>VLOOKUP(A:A,USD!A:E,5,FALSE)</f>
        <v>STEX</v>
      </c>
      <c r="F292" s="1" t="str">
        <f>VLOOKUP(A:A,USD!A:F,6,FALSE)</f>
        <v>STX</v>
      </c>
      <c r="G292" s="1" t="str">
        <f>VLOOKUP(A:A,'Regions and Ports'!A:G,7,FALSE)</f>
        <v>Houston</v>
      </c>
      <c r="H292" s="1">
        <f>VLOOKUP(A:A,USD!A:R,8,FALSE)</f>
        <v>3</v>
      </c>
      <c r="I292" s="87">
        <f>(VLOOKUP($A:$A,USD!$A:$AL,9,FALSE)*88)/88*20</f>
        <v>70</v>
      </c>
      <c r="J292" s="87">
        <f>(VLOOKUP($A:$A,USD!$A:$AL,10,FALSE)*88)/88*20</f>
        <v>350</v>
      </c>
      <c r="K292" s="87">
        <f>(VLOOKUP($A:$A,USD!$A:$AL,11,FALSE)*88)/88*20</f>
        <v>0</v>
      </c>
      <c r="L292" s="87">
        <f>(VLOOKUP($A:$A,USD!$A:$AL,12,FALSE)*88)/88*20</f>
        <v>0</v>
      </c>
      <c r="M292" s="87">
        <f>(VLOOKUP($A:$A,USD!$A:$AL,13,FALSE)*88)/88*20</f>
        <v>0</v>
      </c>
      <c r="N292" s="87">
        <f>(VLOOKUP($A:$A,USD!$A:$AL,14,FALSE)*88)/88*20</f>
        <v>80</v>
      </c>
      <c r="O292" s="68">
        <f>(VLOOKUP($A:$A,USD!$A:$AL,15,FALSE)*88)/88*20</f>
        <v>37.916666666666671</v>
      </c>
      <c r="P292" s="87">
        <f>(VLOOKUP($A:$A,USD!$A:$AL,16,FALSE)*88)/88*20</f>
        <v>0</v>
      </c>
      <c r="Q292" s="68">
        <f t="shared" si="36"/>
        <v>537.91666666666663</v>
      </c>
      <c r="R292" s="68">
        <f t="shared" si="37"/>
        <v>467.91666666666669</v>
      </c>
      <c r="S292" s="68">
        <f>(VLOOKUP($A:$A,USD!$A:$AL,19,FALSE)*88)/88*20</f>
        <v>20</v>
      </c>
      <c r="T292" s="68">
        <f>(VLOOKUP($A:$A,USD!$A:$AL,20,FALSE)*88)/88*20</f>
        <v>0</v>
      </c>
      <c r="U292" s="68">
        <f>(VLOOKUP($A:$A,USD!$A:$AL,21,FALSE)*88)/88*20</f>
        <v>258.52272727272725</v>
      </c>
      <c r="V292" s="68"/>
      <c r="W292" s="68">
        <f t="shared" si="38"/>
        <v>278.52272727272725</v>
      </c>
      <c r="X292" s="1">
        <f>(VLOOKUP($A:$A,USD!$A:$AL,24,FALSE)*88)/88*20</f>
        <v>54</v>
      </c>
      <c r="Y292" s="68">
        <f>(VLOOKUP($A:$A,USD!$A:$AL,25,FALSE)*88)/88*20</f>
        <v>50.4</v>
      </c>
      <c r="Z292" s="68">
        <f>(VLOOKUP($A:$A,USD!$A:$AL,26,FALSE)*88)/88*20</f>
        <v>26.25</v>
      </c>
      <c r="AB292" s="68">
        <f t="shared" si="39"/>
        <v>130.65</v>
      </c>
      <c r="AC292" s="68">
        <f>(VLOOKUP($A:$A,USD!$A:$AL,29,FALSE)*88)/88*20</f>
        <v>132.95454545454544</v>
      </c>
      <c r="AD292" s="68">
        <f>(VLOOKUP($A:$A,USD!$A:$AL,30,FALSE)*88)/88*20</f>
        <v>197.95454545454547</v>
      </c>
      <c r="AF292" s="68">
        <f t="shared" si="40"/>
        <v>330.90909090909088</v>
      </c>
      <c r="AG292" s="87">
        <f>(VLOOKUP($A:$A,USD!$A:$AL,33,FALSE)*88)/88*20</f>
        <v>28.814300000000003</v>
      </c>
      <c r="AH292" s="68">
        <f>(VLOOKUP($A:$A,USD!$A:$AL,34,FALSE)*88)/88*20</f>
        <v>6.973140495867769</v>
      </c>
      <c r="AI292" s="87">
        <f>(VLOOKUP($A:$A,USD!$A:$AL,35,FALSE)*88)/88*20</f>
        <v>12.587317427197677</v>
      </c>
      <c r="AJ292" s="87">
        <f>(VLOOKUP($A:$A,USD!$A:$AL,36,FALSE)*88)/88*20</f>
        <v>6.7351999999999999</v>
      </c>
      <c r="AL292" s="68">
        <f t="shared" si="41"/>
        <v>55.109957923065444</v>
      </c>
      <c r="AM292" s="87">
        <f>(VLOOKUP($A:$A,USD!$A:$AR,39,FALSE)*88)/88*20</f>
        <v>79.999999999999986</v>
      </c>
      <c r="AN292" s="68">
        <f>(VLOOKUP($A:$A,USD!$A:$AR,40,FALSE)*88)/88*20</f>
        <v>26.17808219178082</v>
      </c>
      <c r="AO292" s="1">
        <f>(VLOOKUP($A:$A,USD!$A:$AR,41,FALSE)*88)/88*20</f>
        <v>0</v>
      </c>
      <c r="AR292" s="1">
        <f t="shared" si="42"/>
        <v>106.1780821917808</v>
      </c>
      <c r="AS292" s="38">
        <f t="shared" si="43"/>
        <v>1369.286524963331</v>
      </c>
      <c r="AT292" s="38">
        <f t="shared" si="44"/>
        <v>1439.2865249633307</v>
      </c>
      <c r="AW292" s="1" t="e">
        <f>(VLOOKUP(A:A,USD!A:AT,46,FALSE)*88)/88*20</f>
        <v>#N/A</v>
      </c>
      <c r="AX292" s="1" t="e">
        <f>(VLOOKUP(A:A,USD!A:AU,47,FALSE)*88)/88*20</f>
        <v>#N/A</v>
      </c>
    </row>
    <row r="293" spans="1:50" hidden="1">
      <c r="A293" s="1">
        <v>916711</v>
      </c>
      <c r="B293" s="1" t="s">
        <v>664</v>
      </c>
      <c r="C293" s="1" t="s">
        <v>662</v>
      </c>
      <c r="D293" s="1" t="s">
        <v>71</v>
      </c>
      <c r="E293" s="1" t="str">
        <f>VLOOKUP(A:A,USD!A:E,5,FALSE)</f>
        <v>STEX</v>
      </c>
      <c r="F293" s="1" t="str">
        <f>VLOOKUP(A:A,USD!A:F,6,FALSE)</f>
        <v>STX</v>
      </c>
      <c r="G293" s="1" t="str">
        <f>VLOOKUP(A:A,'Regions and Ports'!A:G,7,FALSE)</f>
        <v>Houston</v>
      </c>
      <c r="H293" s="1">
        <f>VLOOKUP(A:A,USD!A:R,8,FALSE)</f>
        <v>3</v>
      </c>
      <c r="I293" s="87">
        <f>(VLOOKUP($A:$A,USD!$A:$AL,9,FALSE)*88)/88*20</f>
        <v>70</v>
      </c>
      <c r="J293" s="87">
        <f>(VLOOKUP($A:$A,USD!$A:$AL,10,FALSE)*88)/88*20</f>
        <v>350</v>
      </c>
      <c r="K293" s="87">
        <f>(VLOOKUP($A:$A,USD!$A:$AL,11,FALSE)*88)/88*20</f>
        <v>0</v>
      </c>
      <c r="L293" s="87">
        <f>(VLOOKUP($A:$A,USD!$A:$AL,12,FALSE)*88)/88*20</f>
        <v>0</v>
      </c>
      <c r="M293" s="87">
        <f>(VLOOKUP($A:$A,USD!$A:$AL,13,FALSE)*88)/88*20</f>
        <v>0</v>
      </c>
      <c r="N293" s="87">
        <f>(VLOOKUP($A:$A,USD!$A:$AL,14,FALSE)*88)/88*20</f>
        <v>80</v>
      </c>
      <c r="O293" s="68">
        <f>(VLOOKUP($A:$A,USD!$A:$AL,15,FALSE)*88)/88*20</f>
        <v>37.916666666666671</v>
      </c>
      <c r="P293" s="87">
        <f>(VLOOKUP($A:$A,USD!$A:$AL,16,FALSE)*88)/88*20</f>
        <v>0</v>
      </c>
      <c r="Q293" s="68">
        <f t="shared" si="36"/>
        <v>537.91666666666663</v>
      </c>
      <c r="R293" s="68">
        <f t="shared" si="37"/>
        <v>467.91666666666669</v>
      </c>
      <c r="S293" s="68">
        <f>(VLOOKUP($A:$A,USD!$A:$AL,19,FALSE)*88)/88*20</f>
        <v>20</v>
      </c>
      <c r="T293" s="68">
        <f>(VLOOKUP($A:$A,USD!$A:$AL,20,FALSE)*88)/88*20</f>
        <v>0</v>
      </c>
      <c r="U293" s="68">
        <f>(VLOOKUP($A:$A,USD!$A:$AL,21,FALSE)*88)/88*20</f>
        <v>258.52272727272725</v>
      </c>
      <c r="V293" s="68"/>
      <c r="W293" s="68">
        <f t="shared" si="38"/>
        <v>278.52272727272725</v>
      </c>
      <c r="X293" s="1">
        <f>(VLOOKUP($A:$A,USD!$A:$AL,24,FALSE)*88)/88*20</f>
        <v>54</v>
      </c>
      <c r="Y293" s="68">
        <f>(VLOOKUP($A:$A,USD!$A:$AL,25,FALSE)*88)/88*20</f>
        <v>50.4</v>
      </c>
      <c r="Z293" s="68">
        <f>(VLOOKUP($A:$A,USD!$A:$AL,26,FALSE)*88)/88*20</f>
        <v>26.25</v>
      </c>
      <c r="AB293" s="68">
        <f t="shared" si="39"/>
        <v>130.65</v>
      </c>
      <c r="AC293" s="68">
        <f>(VLOOKUP($A:$A,USD!$A:$AL,29,FALSE)*88)/88*20</f>
        <v>132.95454545454544</v>
      </c>
      <c r="AD293" s="68">
        <f>(VLOOKUP($A:$A,USD!$A:$AL,30,FALSE)*88)/88*20</f>
        <v>197.95454545454547</v>
      </c>
      <c r="AF293" s="68">
        <f t="shared" si="40"/>
        <v>330.90909090909088</v>
      </c>
      <c r="AG293" s="87">
        <f>(VLOOKUP($A:$A,USD!$A:$AL,33,FALSE)*88)/88*20</f>
        <v>28.814300000000003</v>
      </c>
      <c r="AH293" s="68">
        <f>(VLOOKUP($A:$A,USD!$A:$AL,34,FALSE)*88)/88*20</f>
        <v>6.973140495867769</v>
      </c>
      <c r="AI293" s="87">
        <f>(VLOOKUP($A:$A,USD!$A:$AL,35,FALSE)*88)/88*20</f>
        <v>12.587317427197677</v>
      </c>
      <c r="AJ293" s="87">
        <f>(VLOOKUP($A:$A,USD!$A:$AL,36,FALSE)*88)/88*20</f>
        <v>6.7351999999999999</v>
      </c>
      <c r="AL293" s="68">
        <f t="shared" si="41"/>
        <v>55.109957923065444</v>
      </c>
      <c r="AM293" s="87">
        <f>(VLOOKUP($A:$A,USD!$A:$AR,39,FALSE)*88)/88*20</f>
        <v>79.999999999999986</v>
      </c>
      <c r="AN293" s="68">
        <f>(VLOOKUP($A:$A,USD!$A:$AR,40,FALSE)*88)/88*20</f>
        <v>26.17808219178082</v>
      </c>
      <c r="AO293" s="1">
        <f>(VLOOKUP($A:$A,USD!$A:$AR,41,FALSE)*88)/88*20</f>
        <v>0</v>
      </c>
      <c r="AR293" s="1">
        <f t="shared" si="42"/>
        <v>106.1780821917808</v>
      </c>
      <c r="AS293" s="38">
        <f t="shared" si="43"/>
        <v>1369.286524963331</v>
      </c>
      <c r="AT293" s="38">
        <f t="shared" si="44"/>
        <v>1439.2865249633307</v>
      </c>
      <c r="AW293" s="1" t="e">
        <f>(VLOOKUP(A:A,USD!A:AT,46,FALSE)*88)/88*20</f>
        <v>#N/A</v>
      </c>
      <c r="AX293" s="1" t="e">
        <f>(VLOOKUP(A:A,USD!A:AU,47,FALSE)*88)/88*20</f>
        <v>#N/A</v>
      </c>
    </row>
    <row r="294" spans="1:50" hidden="1">
      <c r="A294" s="1">
        <v>916712</v>
      </c>
      <c r="B294" s="1" t="s">
        <v>665</v>
      </c>
      <c r="C294" s="1" t="s">
        <v>662</v>
      </c>
      <c r="D294" s="1" t="s">
        <v>71</v>
      </c>
      <c r="E294" s="1" t="str">
        <f>VLOOKUP(A:A,USD!A:E,5,FALSE)</f>
        <v>STEX</v>
      </c>
      <c r="F294" s="1" t="str">
        <f>VLOOKUP(A:A,USD!A:F,6,FALSE)</f>
        <v>STX</v>
      </c>
      <c r="G294" s="1" t="str">
        <f>VLOOKUP(A:A,'Regions and Ports'!A:G,7,FALSE)</f>
        <v>Houston</v>
      </c>
      <c r="H294" s="1">
        <f>VLOOKUP(A:A,USD!A:R,8,FALSE)</f>
        <v>3</v>
      </c>
      <c r="I294" s="87">
        <f>(VLOOKUP($A:$A,USD!$A:$AL,9,FALSE)*88)/88*20</f>
        <v>110</v>
      </c>
      <c r="J294" s="87">
        <f>(VLOOKUP($A:$A,USD!$A:$AL,10,FALSE)*88)/88*20</f>
        <v>350</v>
      </c>
      <c r="K294" s="87">
        <f>(VLOOKUP($A:$A,USD!$A:$AL,11,FALSE)*88)/88*20</f>
        <v>0</v>
      </c>
      <c r="L294" s="87">
        <f>(VLOOKUP($A:$A,USD!$A:$AL,12,FALSE)*88)/88*20</f>
        <v>0</v>
      </c>
      <c r="M294" s="87">
        <f>(VLOOKUP($A:$A,USD!$A:$AL,13,FALSE)*88)/88*20</f>
        <v>0</v>
      </c>
      <c r="N294" s="87">
        <f>(VLOOKUP($A:$A,USD!$A:$AL,14,FALSE)*88)/88*20</f>
        <v>80</v>
      </c>
      <c r="O294" s="68">
        <f>(VLOOKUP($A:$A,USD!$A:$AL,15,FALSE)*88)/88*20</f>
        <v>37.916666666666671</v>
      </c>
      <c r="P294" s="87">
        <f>(VLOOKUP($A:$A,USD!$A:$AL,16,FALSE)*88)/88*20</f>
        <v>0</v>
      </c>
      <c r="Q294" s="68">
        <f t="shared" si="36"/>
        <v>577.91666666666663</v>
      </c>
      <c r="R294" s="68">
        <f t="shared" si="37"/>
        <v>467.91666666666669</v>
      </c>
      <c r="S294" s="68">
        <f>(VLOOKUP($A:$A,USD!$A:$AL,19,FALSE)*88)/88*20</f>
        <v>20</v>
      </c>
      <c r="T294" s="68">
        <f>(VLOOKUP($A:$A,USD!$A:$AL,20,FALSE)*88)/88*20</f>
        <v>0</v>
      </c>
      <c r="U294" s="68">
        <f>(VLOOKUP($A:$A,USD!$A:$AL,21,FALSE)*88)/88*20</f>
        <v>258.52272727272725</v>
      </c>
      <c r="V294" s="68"/>
      <c r="W294" s="68">
        <f t="shared" si="38"/>
        <v>278.52272727272725</v>
      </c>
      <c r="X294" s="1">
        <f>(VLOOKUP($A:$A,USD!$A:$AL,24,FALSE)*88)/88*20</f>
        <v>54</v>
      </c>
      <c r="Y294" s="68">
        <f>(VLOOKUP($A:$A,USD!$A:$AL,25,FALSE)*88)/88*20</f>
        <v>50.4</v>
      </c>
      <c r="Z294" s="68">
        <f>(VLOOKUP($A:$A,USD!$A:$AL,26,FALSE)*88)/88*20</f>
        <v>26.25</v>
      </c>
      <c r="AB294" s="68">
        <f t="shared" si="39"/>
        <v>130.65</v>
      </c>
      <c r="AC294" s="68">
        <f>(VLOOKUP($A:$A,USD!$A:$AL,29,FALSE)*88)/88*20</f>
        <v>132.95454545454544</v>
      </c>
      <c r="AD294" s="68">
        <f>(VLOOKUP($A:$A,USD!$A:$AL,30,FALSE)*88)/88*20</f>
        <v>197.95454545454547</v>
      </c>
      <c r="AF294" s="68">
        <f t="shared" si="40"/>
        <v>330.90909090909088</v>
      </c>
      <c r="AG294" s="87">
        <f>(VLOOKUP($A:$A,USD!$A:$AL,33,FALSE)*88)/88*20</f>
        <v>28.814300000000003</v>
      </c>
      <c r="AH294" s="68">
        <f>(VLOOKUP($A:$A,USD!$A:$AL,34,FALSE)*88)/88*20</f>
        <v>6.973140495867769</v>
      </c>
      <c r="AI294" s="87">
        <f>(VLOOKUP($A:$A,USD!$A:$AL,35,FALSE)*88)/88*20</f>
        <v>12.587317427197677</v>
      </c>
      <c r="AJ294" s="87">
        <f>(VLOOKUP($A:$A,USD!$A:$AL,36,FALSE)*88)/88*20</f>
        <v>6.7351999999999999</v>
      </c>
      <c r="AL294" s="68">
        <f t="shared" si="41"/>
        <v>55.109957923065444</v>
      </c>
      <c r="AM294" s="87">
        <f>(VLOOKUP($A:$A,USD!$A:$AR,39,FALSE)*88)/88*20</f>
        <v>79.999999999999986</v>
      </c>
      <c r="AN294" s="68">
        <f>(VLOOKUP($A:$A,USD!$A:$AR,40,FALSE)*88)/88*20</f>
        <v>26.17808219178082</v>
      </c>
      <c r="AO294" s="1">
        <f>(VLOOKUP($A:$A,USD!$A:$AR,41,FALSE)*88)/88*20</f>
        <v>0</v>
      </c>
      <c r="AR294" s="1">
        <f t="shared" si="42"/>
        <v>106.1780821917808</v>
      </c>
      <c r="AS294" s="38">
        <f t="shared" si="43"/>
        <v>1369.286524963331</v>
      </c>
      <c r="AT294" s="38">
        <f t="shared" si="44"/>
        <v>1479.2865249633307</v>
      </c>
      <c r="AW294" s="1" t="e">
        <f>(VLOOKUP(A:A,USD!A:AT,46,FALSE)*88)/88*20</f>
        <v>#N/A</v>
      </c>
      <c r="AX294" s="1" t="e">
        <f>(VLOOKUP(A:A,USD!A:AU,47,FALSE)*88)/88*20</f>
        <v>#N/A</v>
      </c>
    </row>
    <row r="295" spans="1:50" hidden="1">
      <c r="A295" s="1">
        <v>416010</v>
      </c>
      <c r="B295" s="1" t="s">
        <v>666</v>
      </c>
      <c r="C295" s="1" t="s">
        <v>667</v>
      </c>
      <c r="D295" s="1" t="s">
        <v>80</v>
      </c>
      <c r="E295" s="1" t="str">
        <f>VLOOKUP(A:A,USD!A:E,5,FALSE)</f>
        <v>Memphis Rule 5</v>
      </c>
      <c r="F295" s="1" t="str">
        <f>VLOOKUP(A:A,USD!A:F,6,FALSE)</f>
        <v>MR5</v>
      </c>
      <c r="G295" s="1" t="str">
        <f>VLOOKUP(A:A,'Regions and Ports'!A:G,7,FALSE)</f>
        <v>Houston</v>
      </c>
      <c r="H295" s="1">
        <f>VLOOKUP(A:A,USD!A:R,8,FALSE)</f>
        <v>1</v>
      </c>
      <c r="I295" s="87">
        <f>(VLOOKUP($A:$A,USD!$A:$AL,9,FALSE)*88)/88*20</f>
        <v>48</v>
      </c>
      <c r="J295" s="87">
        <f>(VLOOKUP($A:$A,USD!$A:$AL,10,FALSE)*88)/88*20</f>
        <v>80</v>
      </c>
      <c r="K295" s="87">
        <f>(VLOOKUP($A:$A,USD!$A:$AL,11,FALSE)*88)/88*20</f>
        <v>140</v>
      </c>
      <c r="L295" s="87">
        <f>(VLOOKUP($A:$A,USD!$A:$AL,12,FALSE)*88)/88*20</f>
        <v>61</v>
      </c>
      <c r="M295" s="87">
        <f>(VLOOKUP($A:$A,USD!$A:$AL,13,FALSE)*88)/88*20</f>
        <v>0</v>
      </c>
      <c r="N295" s="87">
        <f>(VLOOKUP($A:$A,USD!$A:$AL,14,FALSE)*88)/88*20</f>
        <v>60</v>
      </c>
      <c r="O295" s="68">
        <f>(VLOOKUP($A:$A,USD!$A:$AL,15,FALSE)*88)/88*20</f>
        <v>37.916666666666671</v>
      </c>
      <c r="P295" s="87">
        <f>(VLOOKUP($A:$A,USD!$A:$AL,16,FALSE)*88)/88*20</f>
        <v>0</v>
      </c>
      <c r="Q295" s="68">
        <f t="shared" si="36"/>
        <v>426.91666666666669</v>
      </c>
      <c r="R295" s="68">
        <f t="shared" si="37"/>
        <v>97.916666666666671</v>
      </c>
      <c r="S295" s="68">
        <f>(VLOOKUP($A:$A,USD!$A:$AL,19,FALSE)*88)/88*20</f>
        <v>0</v>
      </c>
      <c r="T295" s="68">
        <f>(VLOOKUP($A:$A,USD!$A:$AL,20,FALSE)*88)/88*20</f>
        <v>0</v>
      </c>
      <c r="U295" s="68">
        <f>(VLOOKUP($A:$A,USD!$A:$AL,21,FALSE)*88)/88*20</f>
        <v>343.75</v>
      </c>
      <c r="V295" s="68"/>
      <c r="W295" s="68">
        <f t="shared" si="38"/>
        <v>343.75</v>
      </c>
      <c r="X295" s="1">
        <f>(VLOOKUP($A:$A,USD!$A:$AL,24,FALSE)*88)/88*20</f>
        <v>54</v>
      </c>
      <c r="Y295" s="68">
        <f>(VLOOKUP($A:$A,USD!$A:$AL,25,FALSE)*88)/88*20</f>
        <v>50.4</v>
      </c>
      <c r="Z295" s="68">
        <f>(VLOOKUP($A:$A,USD!$A:$AL,26,FALSE)*88)/88*20</f>
        <v>26.25</v>
      </c>
      <c r="AB295" s="68">
        <f t="shared" si="39"/>
        <v>130.65</v>
      </c>
      <c r="AC295" s="68">
        <f>(VLOOKUP($A:$A,USD!$A:$AL,29,FALSE)*88)/88*20</f>
        <v>132.95454545454544</v>
      </c>
      <c r="AD295" s="68">
        <f>(VLOOKUP($A:$A,USD!$A:$AL,30,FALSE)*88)/88*20</f>
        <v>197.95454545454547</v>
      </c>
      <c r="AF295" s="68">
        <f t="shared" si="40"/>
        <v>330.90909090909088</v>
      </c>
      <c r="AG295" s="87">
        <f>(VLOOKUP($A:$A,USD!$A:$AL,33,FALSE)*88)/88*20</f>
        <v>28.814300000000003</v>
      </c>
      <c r="AH295" s="68">
        <f>(VLOOKUP($A:$A,USD!$A:$AL,34,FALSE)*88)/88*20</f>
        <v>6.973140495867769</v>
      </c>
      <c r="AI295" s="87">
        <f>(VLOOKUP($A:$A,USD!$A:$AL,35,FALSE)*88)/88*20</f>
        <v>12.587317427197677</v>
      </c>
      <c r="AJ295" s="87">
        <f>(VLOOKUP($A:$A,USD!$A:$AL,36,FALSE)*88)/88*20</f>
        <v>6.7351999999999999</v>
      </c>
      <c r="AL295" s="68">
        <f t="shared" si="41"/>
        <v>55.109957923065444</v>
      </c>
      <c r="AM295" s="87">
        <f>(VLOOKUP($A:$A,USD!$A:$AR,39,FALSE)*88)/88*20</f>
        <v>79.999999999999986</v>
      </c>
      <c r="AN295" s="68">
        <f>(VLOOKUP($A:$A,USD!$A:$AR,40,FALSE)*88)/88*20</f>
        <v>26.17808219178082</v>
      </c>
      <c r="AO295" s="1">
        <f>(VLOOKUP($A:$A,USD!$A:$AR,41,FALSE)*88)/88*20</f>
        <v>0</v>
      </c>
      <c r="AR295" s="1">
        <f t="shared" si="42"/>
        <v>106.1780821917808</v>
      </c>
      <c r="AS295" s="38">
        <f t="shared" si="43"/>
        <v>1064.5137976906037</v>
      </c>
      <c r="AT295" s="38">
        <f t="shared" si="44"/>
        <v>1393.5137976906037</v>
      </c>
      <c r="AW295" s="1">
        <f>(VLOOKUP(A:A,USD!A:AT,46,FALSE)*88)/88*20</f>
        <v>363.54318181818178</v>
      </c>
      <c r="AX295" s="1">
        <f>(VLOOKUP(A:A,USD!A:AU,47,FALSE)*88)/88*20</f>
        <v>498.52272727272725</v>
      </c>
    </row>
    <row r="296" spans="1:50" hidden="1">
      <c r="A296" s="1">
        <v>316751</v>
      </c>
      <c r="B296" s="1" t="s">
        <v>669</v>
      </c>
      <c r="C296" s="1" t="s">
        <v>670</v>
      </c>
      <c r="D296" s="1" t="s">
        <v>76</v>
      </c>
      <c r="E296" s="1" t="str">
        <f>VLOOKUP(A:A,USD!A:E,5,FALSE)</f>
        <v>GA 30 Day</v>
      </c>
      <c r="F296" s="1" t="str">
        <f>VLOOKUP(A:A,USD!A:F,6,FALSE)</f>
        <v>ER5</v>
      </c>
      <c r="G296" s="1" t="str">
        <f>VLOOKUP(A:A,'Regions and Ports'!A:G,7,FALSE)</f>
        <v>Savannah</v>
      </c>
      <c r="H296" s="1">
        <f>VLOOKUP(A:A,USD!A:R,8,FALSE)</f>
        <v>4</v>
      </c>
      <c r="I296" s="87">
        <f>(VLOOKUP($A:$A,USD!$A:$AL,9,FALSE)*88)/88*20</f>
        <v>60</v>
      </c>
      <c r="J296" s="87">
        <f>(VLOOKUP($A:$A,USD!$A:$AL,10,FALSE)*88)/88*20</f>
        <v>80</v>
      </c>
      <c r="K296" s="87">
        <f>(VLOOKUP($A:$A,USD!$A:$AL,11,FALSE)*88)/88*20</f>
        <v>0</v>
      </c>
      <c r="L296" s="87">
        <f>(VLOOKUP($A:$A,USD!$A:$AL,12,FALSE)*88)/88*20</f>
        <v>0</v>
      </c>
      <c r="M296" s="87">
        <f>(VLOOKUP($A:$A,USD!$A:$AL,13,FALSE)*88)/88*20</f>
        <v>0</v>
      </c>
      <c r="N296" s="87">
        <f>(VLOOKUP($A:$A,USD!$A:$AL,14,FALSE)*88)/88*20</f>
        <v>72</v>
      </c>
      <c r="O296" s="68">
        <f>(VLOOKUP($A:$A,USD!$A:$AL,15,FALSE)*88)/88*20</f>
        <v>37.916666666666671</v>
      </c>
      <c r="P296" s="87">
        <f>(VLOOKUP($A:$A,USD!$A:$AL,16,FALSE)*88)/88*20</f>
        <v>0</v>
      </c>
      <c r="Q296" s="68">
        <f t="shared" si="36"/>
        <v>249.91666666666669</v>
      </c>
      <c r="R296" s="68">
        <f t="shared" si="37"/>
        <v>37.916666666666671</v>
      </c>
      <c r="S296" s="68">
        <f>(VLOOKUP($A:$A,USD!$A:$AL,19,FALSE)*88)/88*20</f>
        <v>0</v>
      </c>
      <c r="T296" s="68">
        <f>(VLOOKUP($A:$A,USD!$A:$AL,20,FALSE)*88)/88*20</f>
        <v>0</v>
      </c>
      <c r="U296" s="68">
        <f>(VLOOKUP($A:$A,USD!$A:$AL,21,FALSE)*88)/88*20</f>
        <v>109.48238636363635</v>
      </c>
      <c r="V296" s="68"/>
      <c r="W296" s="68">
        <f t="shared" si="38"/>
        <v>109.48238636363635</v>
      </c>
      <c r="X296" s="1">
        <f>(VLOOKUP($A:$A,USD!$A:$AL,24,FALSE)*88)/88*20</f>
        <v>52</v>
      </c>
      <c r="Y296" s="68">
        <f>(VLOOKUP($A:$A,USD!$A:$AL,25,FALSE)*88)/88*20</f>
        <v>50.4</v>
      </c>
      <c r="Z296" s="68">
        <f>(VLOOKUP($A:$A,USD!$A:$AL,26,FALSE)*88)/88*20</f>
        <v>26.25</v>
      </c>
      <c r="AB296" s="68">
        <f t="shared" si="39"/>
        <v>128.65</v>
      </c>
      <c r="AC296" s="68">
        <f>(VLOOKUP($A:$A,USD!$A:$AL,29,FALSE)*88)/88*20</f>
        <v>110.22727272727273</v>
      </c>
      <c r="AD296" s="68">
        <f>(VLOOKUP($A:$A,USD!$A:$AL,30,FALSE)*88)/88*20</f>
        <v>107.04545454545455</v>
      </c>
      <c r="AF296" s="68">
        <f t="shared" si="40"/>
        <v>217.27272727272728</v>
      </c>
      <c r="AG296" s="87">
        <f>(VLOOKUP($A:$A,USD!$A:$AL,33,FALSE)*88)/88*20</f>
        <v>28.814300000000003</v>
      </c>
      <c r="AH296" s="68">
        <f>(VLOOKUP($A:$A,USD!$A:$AL,34,FALSE)*88)/88*20</f>
        <v>6.973140495867769</v>
      </c>
      <c r="AI296" s="87">
        <f>(VLOOKUP($A:$A,USD!$A:$AL,35,FALSE)*88)/88*20</f>
        <v>12.587317427197677</v>
      </c>
      <c r="AJ296" s="87">
        <f>(VLOOKUP($A:$A,USD!$A:$AL,36,FALSE)*88)/88*20</f>
        <v>6.7351999999999999</v>
      </c>
      <c r="AL296" s="68">
        <f t="shared" si="41"/>
        <v>55.109957923065444</v>
      </c>
      <c r="AM296" s="87">
        <f>(VLOOKUP($A:$A,USD!$A:$AR,39,FALSE)*88)/88*20</f>
        <v>79.999999999999986</v>
      </c>
      <c r="AN296" s="68">
        <f>(VLOOKUP($A:$A,USD!$A:$AR,40,FALSE)*88)/88*20</f>
        <v>26.17808219178082</v>
      </c>
      <c r="AO296" s="1">
        <f>(VLOOKUP($A:$A,USD!$A:$AR,41,FALSE)*88)/88*20</f>
        <v>0</v>
      </c>
      <c r="AR296" s="1">
        <f t="shared" si="42"/>
        <v>106.1780821917808</v>
      </c>
      <c r="AS296" s="38">
        <f t="shared" si="43"/>
        <v>654.60982041787656</v>
      </c>
      <c r="AT296" s="38">
        <f t="shared" si="44"/>
        <v>866.60982041787656</v>
      </c>
      <c r="AW296" s="1" t="e">
        <f>(VLOOKUP(A:A,USD!A:AT,46,FALSE)*88)/88*20</f>
        <v>#N/A</v>
      </c>
      <c r="AX296" s="1">
        <f>(VLOOKUP(A:A,USD!A:AU,47,FALSE)*88)/88*20</f>
        <v>261.93181818181819</v>
      </c>
    </row>
    <row r="297" spans="1:50" hidden="1">
      <c r="A297" s="1">
        <v>596010</v>
      </c>
      <c r="B297" s="1" t="s">
        <v>672</v>
      </c>
      <c r="C297" s="1" t="s">
        <v>673</v>
      </c>
      <c r="D297" s="1" t="s">
        <v>136</v>
      </c>
      <c r="E297" s="1" t="str">
        <f>VLOOKUP(A:A,USD!A:E,5,FALSE)</f>
        <v>Eastern Rule 5</v>
      </c>
      <c r="F297" s="1" t="str">
        <f>VLOOKUP(A:A,USD!A:F,6,FALSE)</f>
        <v>ER5</v>
      </c>
      <c r="G297" s="1" t="str">
        <f>VLOOKUP(A:A,'Regions and Ports'!A:G,7,FALSE)</f>
        <v>Savannah</v>
      </c>
      <c r="H297" s="1">
        <f>VLOOKUP(A:A,USD!A:R,8,FALSE)</f>
        <v>1</v>
      </c>
      <c r="I297" s="87">
        <f>(VLOOKUP($A:$A,USD!$A:$AL,9,FALSE)*88)/88*20</f>
        <v>70</v>
      </c>
      <c r="J297" s="87">
        <f>(VLOOKUP($A:$A,USD!$A:$AL,10,FALSE)*88)/88*20</f>
        <v>100</v>
      </c>
      <c r="K297" s="87">
        <f>(VLOOKUP($A:$A,USD!$A:$AL,11,FALSE)*88)/88*20</f>
        <v>0</v>
      </c>
      <c r="L297" s="87">
        <f>(VLOOKUP($A:$A,USD!$A:$AL,12,FALSE)*88)/88*20</f>
        <v>0</v>
      </c>
      <c r="M297" s="87">
        <f>(VLOOKUP($A:$A,USD!$A:$AL,13,FALSE)*88)/88*20</f>
        <v>20</v>
      </c>
      <c r="N297" s="87">
        <f>(VLOOKUP($A:$A,USD!$A:$AL,14,FALSE)*88)/88*20</f>
        <v>50</v>
      </c>
      <c r="O297" s="68">
        <f>(VLOOKUP($A:$A,USD!$A:$AL,15,FALSE)*88)/88*20</f>
        <v>37.916666666666671</v>
      </c>
      <c r="P297" s="87">
        <f>(VLOOKUP($A:$A,USD!$A:$AL,16,FALSE)*88)/88*20</f>
        <v>0</v>
      </c>
      <c r="Q297" s="68">
        <f t="shared" si="36"/>
        <v>277.91666666666669</v>
      </c>
      <c r="R297" s="68">
        <f t="shared" si="37"/>
        <v>87.916666666666671</v>
      </c>
      <c r="S297" s="68">
        <f>(VLOOKUP($A:$A,USD!$A:$AL,19,FALSE)*88)/88*20</f>
        <v>0</v>
      </c>
      <c r="T297" s="68">
        <f>(VLOOKUP($A:$A,USD!$A:$AL,20,FALSE)*88)/88*20</f>
        <v>0</v>
      </c>
      <c r="U297" s="68">
        <f>(VLOOKUP($A:$A,USD!$A:$AL,21,FALSE)*88)/88*20</f>
        <v>293.80511363636367</v>
      </c>
      <c r="V297" s="68"/>
      <c r="W297" s="68">
        <f t="shared" si="38"/>
        <v>293.80511363636367</v>
      </c>
      <c r="X297" s="1">
        <f>(VLOOKUP($A:$A,USD!$A:$AL,24,FALSE)*88)/88*20</f>
        <v>52</v>
      </c>
      <c r="Y297" s="68">
        <f>(VLOOKUP($A:$A,USD!$A:$AL,25,FALSE)*88)/88*20</f>
        <v>50.4</v>
      </c>
      <c r="Z297" s="68">
        <f>(VLOOKUP($A:$A,USD!$A:$AL,26,FALSE)*88)/88*20</f>
        <v>26.25</v>
      </c>
      <c r="AB297" s="68">
        <f t="shared" si="39"/>
        <v>128.65</v>
      </c>
      <c r="AC297" s="68">
        <f>(VLOOKUP($A:$A,USD!$A:$AL,29,FALSE)*88)/88*20</f>
        <v>110.22727272727273</v>
      </c>
      <c r="AD297" s="68">
        <f>(VLOOKUP($A:$A,USD!$A:$AL,30,FALSE)*88)/88*20</f>
        <v>107.04545454545455</v>
      </c>
      <c r="AF297" s="68">
        <f t="shared" si="40"/>
        <v>217.27272727272728</v>
      </c>
      <c r="AG297" s="87">
        <f>(VLOOKUP($A:$A,USD!$A:$AL,33,FALSE)*88)/88*20</f>
        <v>28.814300000000003</v>
      </c>
      <c r="AH297" s="68">
        <f>(VLOOKUP($A:$A,USD!$A:$AL,34,FALSE)*88)/88*20</f>
        <v>6.973140495867769</v>
      </c>
      <c r="AI297" s="87">
        <f>(VLOOKUP($A:$A,USD!$A:$AL,35,FALSE)*88)/88*20</f>
        <v>12.587317427197677</v>
      </c>
      <c r="AJ297" s="87">
        <f>(VLOOKUP($A:$A,USD!$A:$AL,36,FALSE)*88)/88*20</f>
        <v>6.7351999999999999</v>
      </c>
      <c r="AL297" s="68">
        <f t="shared" si="41"/>
        <v>55.109957923065444</v>
      </c>
      <c r="AM297" s="87">
        <f>(VLOOKUP($A:$A,USD!$A:$AR,39,FALSE)*88)/88*20</f>
        <v>79.999999999999986</v>
      </c>
      <c r="AN297" s="68">
        <f>(VLOOKUP($A:$A,USD!$A:$AR,40,FALSE)*88)/88*20</f>
        <v>26.17808219178082</v>
      </c>
      <c r="AO297" s="1">
        <f>(VLOOKUP($A:$A,USD!$A:$AR,41,FALSE)*88)/88*20</f>
        <v>0</v>
      </c>
      <c r="AR297" s="1">
        <f t="shared" si="42"/>
        <v>106.1780821917808</v>
      </c>
      <c r="AS297" s="38">
        <f t="shared" si="43"/>
        <v>888.93254769060388</v>
      </c>
      <c r="AT297" s="38">
        <f t="shared" si="44"/>
        <v>1078.9325476906038</v>
      </c>
      <c r="AW297" s="1" t="e">
        <f>(VLOOKUP(A:A,USD!A:AT,46,FALSE)*88)/88*20</f>
        <v>#N/A</v>
      </c>
      <c r="AX297" s="1">
        <f>(VLOOKUP(A:A,USD!A:AU,47,FALSE)*88)/88*20</f>
        <v>248.29545454545453</v>
      </c>
    </row>
    <row r="298" spans="1:50" hidden="1">
      <c r="A298" s="1">
        <v>925012</v>
      </c>
      <c r="B298" s="1" t="s">
        <v>83</v>
      </c>
      <c r="C298" s="1" t="s">
        <v>674</v>
      </c>
      <c r="D298" s="1" t="s">
        <v>71</v>
      </c>
      <c r="E298" s="1" t="str">
        <f>VLOOKUP(A:A,USD!A:E,5,FALSE)</f>
        <v>WTX</v>
      </c>
      <c r="F298" s="1" t="str">
        <f>VLOOKUP(A:A,USD!A:F,6,FALSE)</f>
        <v>WTX</v>
      </c>
      <c r="G298" s="1" t="str">
        <f>VLOOKUP(A:A,'Regions and Ports'!A:G,7,FALSE)</f>
        <v>Dallas</v>
      </c>
      <c r="H298" s="1">
        <f>VLOOKUP(A:A,USD!A:R,8,FALSE)</f>
        <v>2</v>
      </c>
      <c r="I298" s="87">
        <f>(VLOOKUP($A:$A,USD!$A:$AL,9,FALSE)*88)/88*20</f>
        <v>103</v>
      </c>
      <c r="J298" s="87">
        <f>(VLOOKUP($A:$A,USD!$A:$AL,10,FALSE)*88)/88*20</f>
        <v>125</v>
      </c>
      <c r="K298" s="87">
        <f>(VLOOKUP($A:$A,USD!$A:$AL,11,FALSE)*88)/88*20</f>
        <v>240</v>
      </c>
      <c r="L298" s="87">
        <f>(VLOOKUP($A:$A,USD!$A:$AL,12,FALSE)*88)/88*20</f>
        <v>0</v>
      </c>
      <c r="M298" s="87">
        <f>(VLOOKUP($A:$A,USD!$A:$AL,13,FALSE)*88)/88*20</f>
        <v>0</v>
      </c>
      <c r="N298" s="87">
        <f>(VLOOKUP($A:$A,USD!$A:$AL,14,FALSE)*88)/88*20</f>
        <v>39</v>
      </c>
      <c r="O298" s="68">
        <f>(VLOOKUP($A:$A,USD!$A:$AL,15,FALSE)*88)/88*20</f>
        <v>37.916666666666671</v>
      </c>
      <c r="P298" s="87">
        <f>(VLOOKUP($A:$A,USD!$A:$AL,16,FALSE)*88)/88*20</f>
        <v>0</v>
      </c>
      <c r="Q298" s="68">
        <f t="shared" si="36"/>
        <v>544.91666666666663</v>
      </c>
      <c r="R298" s="68">
        <f t="shared" si="37"/>
        <v>316.91666666666669</v>
      </c>
      <c r="S298" s="68">
        <f>(VLOOKUP($A:$A,USD!$A:$AL,19,FALSE)*88)/88*20</f>
        <v>20</v>
      </c>
      <c r="T298" s="68">
        <f>(VLOOKUP($A:$A,USD!$A:$AL,20,FALSE)*88)/88*20</f>
        <v>5</v>
      </c>
      <c r="U298" s="68">
        <f>(VLOOKUP($A:$A,USD!$A:$AL,21,FALSE)*88)/88*20</f>
        <v>147.72727272727275</v>
      </c>
      <c r="V298" s="68"/>
      <c r="W298" s="68">
        <f t="shared" si="38"/>
        <v>172.72727272727275</v>
      </c>
      <c r="X298" s="1">
        <f>(VLOOKUP($A:$A,USD!$A:$AL,24,FALSE)*88)/88*20</f>
        <v>54</v>
      </c>
      <c r="Y298" s="68">
        <f>(VLOOKUP($A:$A,USD!$A:$AL,25,FALSE)*88)/88*20</f>
        <v>50.4</v>
      </c>
      <c r="Z298" s="68">
        <f>(VLOOKUP($A:$A,USD!$A:$AL,26,FALSE)*88)/88*20</f>
        <v>26.25</v>
      </c>
      <c r="AB298" s="68">
        <f t="shared" si="39"/>
        <v>130.65</v>
      </c>
      <c r="AC298" s="68">
        <f>(VLOOKUP($A:$A,USD!$A:$AL,29,FALSE)*88)/88*20</f>
        <v>162.5</v>
      </c>
      <c r="AD298" s="68">
        <f>(VLOOKUP($A:$A,USD!$A:$AL,30,FALSE)*88)/88*20</f>
        <v>268.18181818181819</v>
      </c>
      <c r="AF298" s="68">
        <f t="shared" si="40"/>
        <v>430.68181818181819</v>
      </c>
      <c r="AG298" s="87">
        <f>(VLOOKUP($A:$A,USD!$A:$AL,33,FALSE)*88)/88*20</f>
        <v>28.814300000000003</v>
      </c>
      <c r="AH298" s="68">
        <f>(VLOOKUP($A:$A,USD!$A:$AL,34,FALSE)*88)/88*20</f>
        <v>6.973140495867769</v>
      </c>
      <c r="AI298" s="87">
        <f>(VLOOKUP($A:$A,USD!$A:$AL,35,FALSE)*88)/88*20</f>
        <v>12.587317427197677</v>
      </c>
      <c r="AJ298" s="87">
        <f>(VLOOKUP($A:$A,USD!$A:$AL,36,FALSE)*88)/88*20</f>
        <v>6.7351999999999999</v>
      </c>
      <c r="AL298" s="68">
        <f t="shared" si="41"/>
        <v>55.109957923065444</v>
      </c>
      <c r="AM298" s="87">
        <f>(VLOOKUP($A:$A,USD!$A:$AR,39,FALSE)*88)/88*20</f>
        <v>79.999999999999986</v>
      </c>
      <c r="AN298" s="68">
        <f>(VLOOKUP($A:$A,USD!$A:$AR,40,FALSE)*88)/88*20</f>
        <v>26.17808219178082</v>
      </c>
      <c r="AO298" s="1">
        <f>(VLOOKUP($A:$A,USD!$A:$AR,41,FALSE)*88)/88*20</f>
        <v>0</v>
      </c>
      <c r="AR298" s="1">
        <f t="shared" si="42"/>
        <v>106.1780821917808</v>
      </c>
      <c r="AS298" s="38">
        <f t="shared" si="43"/>
        <v>1212.2637976906037</v>
      </c>
      <c r="AT298" s="38">
        <f t="shared" si="44"/>
        <v>1440.2637976906037</v>
      </c>
      <c r="AW298" s="1">
        <f>(VLOOKUP(A:A,USD!A:AT,46,FALSE)*88)/88*20</f>
        <v>322.52499999999998</v>
      </c>
      <c r="AX298" s="1" t="e">
        <f>(VLOOKUP(A:A,USD!A:AU,47,FALSE)*88)/88*20</f>
        <v>#N/A</v>
      </c>
    </row>
    <row r="299" spans="1:50" hidden="1">
      <c r="A299" s="125">
        <v>925012</v>
      </c>
      <c r="B299" s="1" t="s">
        <v>83</v>
      </c>
      <c r="C299" s="1" t="s">
        <v>674</v>
      </c>
      <c r="D299" s="1" t="s">
        <v>71</v>
      </c>
      <c r="E299" s="1" t="s">
        <v>2067</v>
      </c>
      <c r="F299" s="1" t="str">
        <f>VLOOKUP(A:A,USD!A:F,6,FALSE)</f>
        <v>WTX</v>
      </c>
      <c r="G299" s="1" t="s">
        <v>439</v>
      </c>
      <c r="H299" s="1">
        <f>VLOOKUP(A:A,USD!A:R,8,FALSE)</f>
        <v>2</v>
      </c>
      <c r="I299" s="87">
        <f>(VLOOKUP($A:$A,USD!$A:$AL,9,FALSE)*88)/88*20</f>
        <v>103</v>
      </c>
      <c r="J299" s="87">
        <f>(VLOOKUP($A:$A,USD!$A:$AL,10,FALSE)*88)/88*20</f>
        <v>125</v>
      </c>
      <c r="K299" s="87">
        <f>(VLOOKUP($A:$A,USD!$A:$AL,11,FALSE)*88)/88*20</f>
        <v>240</v>
      </c>
      <c r="L299" s="87">
        <f>(VLOOKUP($A:$A,USD!$A:$AL,12,FALSE)*88)/88*20</f>
        <v>0</v>
      </c>
      <c r="M299" s="87">
        <f>(VLOOKUP($A:$A,USD!$A:$AL,13,FALSE)*88)/88*20</f>
        <v>0</v>
      </c>
      <c r="N299" s="87">
        <f>(VLOOKUP($A:$A,USD!$A:$AL,14,FALSE)*88)/88*20</f>
        <v>39</v>
      </c>
      <c r="O299" s="68">
        <f>(VLOOKUP($A:$A,USD!$A:$AL,15,FALSE)*88)/88*20</f>
        <v>37.916666666666671</v>
      </c>
      <c r="P299" s="87">
        <f>(VLOOKUP($A:$A,USD!$A:$AL,16,FALSE)*88)/88*20</f>
        <v>0</v>
      </c>
      <c r="Q299" s="68">
        <f t="shared" si="36"/>
        <v>544.91666666666663</v>
      </c>
      <c r="R299" s="68">
        <f t="shared" si="37"/>
        <v>316.91666666666669</v>
      </c>
      <c r="S299" s="68">
        <f>(VLOOKUP($A:$A,USD!$A:$AL,19,FALSE)*88)/88*20</f>
        <v>20</v>
      </c>
      <c r="T299" s="68">
        <f>(VLOOKUP($A:$A,USD!$A:$AL,20,FALSE)*88)/88*20</f>
        <v>5</v>
      </c>
      <c r="U299" s="68" cm="1">
        <f t="array" ref="U299">(_xlfn.XLOOKUP(1, (USD!$A:$A=$A299)*(USD!$E:$E=$E299), USD!$U:$U, "", 0)*88)/88*20</f>
        <v>232.95454545454547</v>
      </c>
      <c r="V299" s="68"/>
      <c r="W299" s="68">
        <f t="shared" si="38"/>
        <v>257.9545454545455</v>
      </c>
      <c r="X299" s="1">
        <f>(VLOOKUP($A:$A,USD!$A:$AL,24,FALSE)*88)/88*20</f>
        <v>54</v>
      </c>
      <c r="Y299" s="68">
        <f>(VLOOKUP($A:$A,USD!$A:$AL,25,FALSE)*88)/88*20</f>
        <v>50.4</v>
      </c>
      <c r="Z299" s="68">
        <f>(VLOOKUP($A:$A,USD!$A:$AL,26,FALSE)*88)/88*20</f>
        <v>26.25</v>
      </c>
      <c r="AB299" s="68">
        <f t="shared" si="39"/>
        <v>130.65</v>
      </c>
      <c r="AC299" s="68" cm="1">
        <f t="array" ref="AC299">_xlfn.XLOOKUP(A299&amp;E299, USD!$A:$A&amp;USD!$E:$E, USD!$AC:$AC, "")*20</f>
        <v>132.95454545454544</v>
      </c>
      <c r="AD299" s="68" cm="1">
        <f t="array" ref="AD299">_xlfn.XLOOKUP(A299&amp;E299, USD!$A:$A&amp;USD!$E:$E, USD!$AD:$AD, "")*20</f>
        <v>197.95454545454547</v>
      </c>
      <c r="AF299" s="68">
        <f t="shared" si="40"/>
        <v>330.90909090909088</v>
      </c>
      <c r="AG299" s="87">
        <f>(VLOOKUP($A:$A,USD!$A:$AL,33,FALSE)*88)/88*20</f>
        <v>28.814300000000003</v>
      </c>
      <c r="AH299" s="68">
        <f>(VLOOKUP($A:$A,USD!$A:$AL,34,FALSE)*88)/88*20</f>
        <v>6.973140495867769</v>
      </c>
      <c r="AI299" s="87">
        <f>(VLOOKUP($A:$A,USD!$A:$AL,35,FALSE)*88)/88*20</f>
        <v>12.587317427197677</v>
      </c>
      <c r="AJ299" s="87">
        <f>(VLOOKUP($A:$A,USD!$A:$AL,36,FALSE)*88)/88*20</f>
        <v>6.7351999999999999</v>
      </c>
      <c r="AL299" s="68">
        <f t="shared" si="41"/>
        <v>55.109957923065444</v>
      </c>
      <c r="AM299" s="87">
        <f>(VLOOKUP($A:$A,USD!$A:$AR,39,FALSE)*88)/88*20</f>
        <v>79.999999999999986</v>
      </c>
      <c r="AN299" s="68">
        <f>(VLOOKUP($A:$A,USD!$A:$AR,40,FALSE)*88)/88*20</f>
        <v>26.17808219178082</v>
      </c>
      <c r="AO299" s="1">
        <f>(VLOOKUP($A:$A,USD!$A:$AR,41,FALSE)*88)/88*20</f>
        <v>0</v>
      </c>
      <c r="AR299" s="1">
        <f t="shared" si="42"/>
        <v>106.1780821917808</v>
      </c>
      <c r="AS299" s="38">
        <f t="shared" si="43"/>
        <v>1197.7183431451492</v>
      </c>
      <c r="AT299" s="38">
        <f t="shared" si="44"/>
        <v>1425.7183431451492</v>
      </c>
      <c r="AW299" s="1">
        <f>(VLOOKUP(A:A,USD!A:AT,46,FALSE)*88)/88*20</f>
        <v>322.52499999999998</v>
      </c>
      <c r="AX299" s="1" t="e">
        <f>(VLOOKUP(A:A,USD!A:AU,47,FALSE)*88)/88*20</f>
        <v>#N/A</v>
      </c>
    </row>
    <row r="300" spans="1:50" hidden="1">
      <c r="A300" s="1">
        <v>466466</v>
      </c>
      <c r="B300" s="1" t="s">
        <v>676</v>
      </c>
      <c r="C300" s="1" t="s">
        <v>677</v>
      </c>
      <c r="D300" s="1" t="s">
        <v>128</v>
      </c>
      <c r="E300" s="1" t="str">
        <f>VLOOKUP(A:A,USD!A:E,5,FALSE)</f>
        <v>Memphis Rule 5</v>
      </c>
      <c r="F300" s="1" t="str">
        <f>VLOOKUP(A:A,USD!A:F,6,FALSE)</f>
        <v>MR5</v>
      </c>
      <c r="G300" s="1" t="str">
        <f>VLOOKUP(A:A,'Regions and Ports'!A:G,7,FALSE)</f>
        <v>Memphis</v>
      </c>
      <c r="H300" s="1">
        <f>VLOOKUP(A:A,USD!A:R,8,FALSE)</f>
        <v>1</v>
      </c>
      <c r="I300" s="87">
        <f>(VLOOKUP($A:$A,USD!$A:$AL,9,FALSE)*88)/88*20</f>
        <v>100</v>
      </c>
      <c r="J300" s="87">
        <f>(VLOOKUP($A:$A,USD!$A:$AL,10,FALSE)*88)/88*20</f>
        <v>100</v>
      </c>
      <c r="K300" s="87">
        <f>(VLOOKUP($A:$A,USD!$A:$AL,11,FALSE)*88)/88*20</f>
        <v>0</v>
      </c>
      <c r="L300" s="87">
        <f>(VLOOKUP($A:$A,USD!$A:$AL,12,FALSE)*88)/88*20</f>
        <v>61</v>
      </c>
      <c r="M300" s="87">
        <f>(VLOOKUP($A:$A,USD!$A:$AL,13,FALSE)*88)/88*20</f>
        <v>0</v>
      </c>
      <c r="N300" s="87">
        <f>(VLOOKUP($A:$A,USD!$A:$AL,14,FALSE)*88)/88*20</f>
        <v>50</v>
      </c>
      <c r="O300" s="68">
        <f>(VLOOKUP($A:$A,USD!$A:$AL,15,FALSE)*88)/88*20</f>
        <v>37.916666666666671</v>
      </c>
      <c r="P300" s="87">
        <f>(VLOOKUP($A:$A,USD!$A:$AL,16,FALSE)*88)/88*20</f>
        <v>0</v>
      </c>
      <c r="Q300" s="68">
        <f t="shared" si="36"/>
        <v>348.91666666666669</v>
      </c>
      <c r="R300" s="68">
        <f t="shared" si="37"/>
        <v>87.916666666666671</v>
      </c>
      <c r="S300" s="68">
        <f>(VLOOKUP($A:$A,USD!$A:$AL,19,FALSE)*88)/88*20</f>
        <v>0</v>
      </c>
      <c r="T300" s="68">
        <f>(VLOOKUP($A:$A,USD!$A:$AL,20,FALSE)*88)/88*20</f>
        <v>0</v>
      </c>
      <c r="U300" s="68">
        <f>(VLOOKUP($A:$A,USD!$A:$AL,21,FALSE)*88)/88*20</f>
        <v>213.8125</v>
      </c>
      <c r="V300" s="68"/>
      <c r="W300" s="68">
        <f t="shared" si="38"/>
        <v>213.8125</v>
      </c>
      <c r="X300" s="1">
        <f>(VLOOKUP($A:$A,USD!$A:$AL,24,FALSE)*88)/88*20</f>
        <v>50</v>
      </c>
      <c r="Y300" s="68">
        <f>(VLOOKUP($A:$A,USD!$A:$AL,25,FALSE)*88)/88*20</f>
        <v>33.6</v>
      </c>
      <c r="Z300" s="68">
        <f>(VLOOKUP($A:$A,USD!$A:$AL,26,FALSE)*88)/88*20</f>
        <v>26.25</v>
      </c>
      <c r="AB300" s="68">
        <f t="shared" si="39"/>
        <v>109.85</v>
      </c>
      <c r="AC300" s="68">
        <f>(VLOOKUP($A:$A,USD!$A:$AL,29,FALSE)*88)/88*20</f>
        <v>146.02272727272725</v>
      </c>
      <c r="AD300" s="68">
        <f>(VLOOKUP($A:$A,USD!$A:$AL,30,FALSE)*88)/88*20</f>
        <v>182.72727272727275</v>
      </c>
      <c r="AF300" s="68">
        <f t="shared" si="40"/>
        <v>328.75</v>
      </c>
      <c r="AG300" s="87">
        <f>(VLOOKUP($A:$A,USD!$A:$AL,33,FALSE)*88)/88*20</f>
        <v>28.814300000000003</v>
      </c>
      <c r="AH300" s="68">
        <f>(VLOOKUP($A:$A,USD!$A:$AL,34,FALSE)*88)/88*20</f>
        <v>6.973140495867769</v>
      </c>
      <c r="AI300" s="87">
        <f>(VLOOKUP($A:$A,USD!$A:$AL,35,FALSE)*88)/88*20</f>
        <v>12.587317427197677</v>
      </c>
      <c r="AJ300" s="87">
        <f>(VLOOKUP($A:$A,USD!$A:$AL,36,FALSE)*88)/88*20</f>
        <v>6.7351999999999999</v>
      </c>
      <c r="AL300" s="68">
        <f t="shared" si="41"/>
        <v>55.109957923065444</v>
      </c>
      <c r="AM300" s="87">
        <f>(VLOOKUP($A:$A,USD!$A:$AR,39,FALSE)*88)/88*20</f>
        <v>79.999999999999986</v>
      </c>
      <c r="AN300" s="68">
        <f>(VLOOKUP($A:$A,USD!$A:$AR,40,FALSE)*88)/88*20</f>
        <v>26.17808219178082</v>
      </c>
      <c r="AO300" s="1">
        <f>(VLOOKUP($A:$A,USD!$A:$AR,41,FALSE)*88)/88*20</f>
        <v>0</v>
      </c>
      <c r="AR300" s="1">
        <f t="shared" si="42"/>
        <v>106.1780821917808</v>
      </c>
      <c r="AS300" s="38">
        <f t="shared" si="43"/>
        <v>901.61720678151289</v>
      </c>
      <c r="AT300" s="38">
        <f t="shared" si="44"/>
        <v>1162.617206781513</v>
      </c>
      <c r="AW300" s="1">
        <f>(VLOOKUP(A:A,USD!A:AT,46,FALSE)*88)/88*20</f>
        <v>441.09318181818185</v>
      </c>
      <c r="AX300" s="1" t="e">
        <f>(VLOOKUP(A:A,USD!A:AU,47,FALSE)*88)/88*20</f>
        <v>#N/A</v>
      </c>
    </row>
    <row r="301" spans="1:50" hidden="1">
      <c r="A301" s="1">
        <v>926005</v>
      </c>
      <c r="B301" s="1" t="s">
        <v>678</v>
      </c>
      <c r="C301" s="1" t="s">
        <v>679</v>
      </c>
      <c r="D301" s="1" t="s">
        <v>71</v>
      </c>
      <c r="E301" s="1" t="str">
        <f>VLOOKUP(A:A,USD!A:E,5,FALSE)</f>
        <v>STEX</v>
      </c>
      <c r="F301" s="1" t="str">
        <f>VLOOKUP(A:A,USD!A:F,6,FALSE)</f>
        <v>STX</v>
      </c>
      <c r="G301" s="1" t="str">
        <f>VLOOKUP(A:A,'Regions and Ports'!A:G,7,FALSE)</f>
        <v>Houston</v>
      </c>
      <c r="H301" s="1">
        <f>VLOOKUP(A:A,USD!A:R,8,FALSE)</f>
        <v>2</v>
      </c>
      <c r="I301" s="87">
        <f>(VLOOKUP($A:$A,USD!$A:$AL,9,FALSE)*88)/88*20</f>
        <v>102</v>
      </c>
      <c r="J301" s="87">
        <f>(VLOOKUP($A:$A,USD!$A:$AL,10,FALSE)*88)/88*20</f>
        <v>125</v>
      </c>
      <c r="K301" s="87">
        <f>(VLOOKUP($A:$A,USD!$A:$AL,11,FALSE)*88)/88*20</f>
        <v>240</v>
      </c>
      <c r="L301" s="87">
        <f>(VLOOKUP($A:$A,USD!$A:$AL,12,FALSE)*88)/88*20</f>
        <v>0</v>
      </c>
      <c r="M301" s="87">
        <f>(VLOOKUP($A:$A,USD!$A:$AL,13,FALSE)*88)/88*20</f>
        <v>0</v>
      </c>
      <c r="N301" s="87">
        <f>(VLOOKUP($A:$A,USD!$A:$AL,14,FALSE)*88)/88*20</f>
        <v>57</v>
      </c>
      <c r="O301" s="68">
        <f>(VLOOKUP($A:$A,USD!$A:$AL,15,FALSE)*88)/88*20</f>
        <v>37.916666666666671</v>
      </c>
      <c r="P301" s="87">
        <f>(VLOOKUP($A:$A,USD!$A:$AL,16,FALSE)*88)/88*20</f>
        <v>0</v>
      </c>
      <c r="Q301" s="68">
        <f t="shared" si="36"/>
        <v>561.91666666666663</v>
      </c>
      <c r="R301" s="68">
        <f t="shared" si="37"/>
        <v>334.91666666666669</v>
      </c>
      <c r="S301" s="68">
        <f>(VLOOKUP($A:$A,USD!$A:$AL,19,FALSE)*88)/88*20</f>
        <v>0</v>
      </c>
      <c r="T301" s="68">
        <f>(VLOOKUP($A:$A,USD!$A:$AL,20,FALSE)*88)/88*20</f>
        <v>0</v>
      </c>
      <c r="U301" s="68" t="e">
        <f>(VLOOKUP($A:$A,USD!$A:$AL,21,FALSE)*88)/88*20</f>
        <v>#N/A</v>
      </c>
      <c r="V301" s="68"/>
      <c r="W301" s="68" t="e">
        <f t="shared" si="38"/>
        <v>#N/A</v>
      </c>
      <c r="X301" s="1">
        <f>(VLOOKUP($A:$A,USD!$A:$AL,24,FALSE)*88)/88*20</f>
        <v>54</v>
      </c>
      <c r="Y301" s="68">
        <f>(VLOOKUP($A:$A,USD!$A:$AL,25,FALSE)*88)/88*20</f>
        <v>50.4</v>
      </c>
      <c r="Z301" s="68">
        <f>(VLOOKUP($A:$A,USD!$A:$AL,26,FALSE)*88)/88*20</f>
        <v>26.25</v>
      </c>
      <c r="AB301" s="68">
        <f t="shared" si="39"/>
        <v>130.65</v>
      </c>
      <c r="AC301" s="68">
        <f>(VLOOKUP($A:$A,USD!$A:$AL,29,FALSE)*88)/88*20</f>
        <v>132.95454545454544</v>
      </c>
      <c r="AD301" s="68">
        <f>(VLOOKUP($A:$A,USD!$A:$AL,30,FALSE)*88)/88*20</f>
        <v>197.95454545454547</v>
      </c>
      <c r="AF301" s="68">
        <f t="shared" si="40"/>
        <v>330.90909090909088</v>
      </c>
      <c r="AG301" s="87">
        <f>(VLOOKUP($A:$A,USD!$A:$AL,33,FALSE)*88)/88*20</f>
        <v>28.814300000000003</v>
      </c>
      <c r="AH301" s="68">
        <f>(VLOOKUP($A:$A,USD!$A:$AL,34,FALSE)*88)/88*20</f>
        <v>6.973140495867769</v>
      </c>
      <c r="AI301" s="87">
        <f>(VLOOKUP($A:$A,USD!$A:$AL,35,FALSE)*88)/88*20</f>
        <v>12.587317427197677</v>
      </c>
      <c r="AJ301" s="87">
        <f>(VLOOKUP($A:$A,USD!$A:$AL,36,FALSE)*88)/88*20</f>
        <v>6.7351999999999999</v>
      </c>
      <c r="AL301" s="68">
        <f t="shared" si="41"/>
        <v>55.109957923065444</v>
      </c>
      <c r="AM301" s="87">
        <f>(VLOOKUP($A:$A,USD!$A:$AR,39,FALSE)*88)/88*20</f>
        <v>79.999999999999986</v>
      </c>
      <c r="AN301" s="68">
        <f>(VLOOKUP($A:$A,USD!$A:$AR,40,FALSE)*88)/88*20</f>
        <v>26.17808219178082</v>
      </c>
      <c r="AO301" s="1">
        <f>(VLOOKUP($A:$A,USD!$A:$AR,41,FALSE)*88)/88*20</f>
        <v>0</v>
      </c>
      <c r="AR301" s="1">
        <f t="shared" si="42"/>
        <v>106.1780821917808</v>
      </c>
      <c r="AS301" s="38" t="e">
        <f t="shared" si="43"/>
        <v>#N/A</v>
      </c>
      <c r="AT301" s="38" t="e">
        <f t="shared" si="44"/>
        <v>#N/A</v>
      </c>
      <c r="AW301" s="1">
        <f>(VLOOKUP(A:A,USD!A:AT,46,FALSE)*88)/88*20</f>
        <v>298.1704545454545</v>
      </c>
      <c r="AX301" s="1" t="e">
        <f>(VLOOKUP(A:A,USD!A:AU,47,FALSE)*88)/88*20</f>
        <v>#N/A</v>
      </c>
    </row>
    <row r="302" spans="1:50" hidden="1">
      <c r="A302" s="1">
        <v>340017</v>
      </c>
      <c r="B302" s="1" t="s">
        <v>681</v>
      </c>
      <c r="C302" s="1" t="s">
        <v>682</v>
      </c>
      <c r="D302" s="1" t="s">
        <v>76</v>
      </c>
      <c r="E302" s="1" t="str">
        <f>VLOOKUP(A:A,USD!A:E,5,FALSE)</f>
        <v>GA 30 Day</v>
      </c>
      <c r="F302" s="1" t="str">
        <f>VLOOKUP(A:A,USD!A:F,6,FALSE)</f>
        <v>ER5</v>
      </c>
      <c r="G302" s="1" t="str">
        <f>VLOOKUP(A:A,'Regions and Ports'!A:G,7,FALSE)</f>
        <v>Savannah</v>
      </c>
      <c r="H302" s="1">
        <f>VLOOKUP(A:A,USD!A:R,8,FALSE)</f>
        <v>4</v>
      </c>
      <c r="I302" s="87">
        <f>(VLOOKUP($A:$A,USD!$A:$AL,9,FALSE)*88)/88*20</f>
        <v>37</v>
      </c>
      <c r="J302" s="87">
        <f>(VLOOKUP($A:$A,USD!$A:$AL,10,FALSE)*88)/88*20</f>
        <v>80</v>
      </c>
      <c r="K302" s="87">
        <f>(VLOOKUP($A:$A,USD!$A:$AL,11,FALSE)*88)/88*20</f>
        <v>140</v>
      </c>
      <c r="L302" s="87">
        <f>(VLOOKUP($A:$A,USD!$A:$AL,12,FALSE)*88)/88*20</f>
        <v>61</v>
      </c>
      <c r="M302" s="87">
        <f>(VLOOKUP($A:$A,USD!$A:$AL,13,FALSE)*88)/88*20</f>
        <v>0</v>
      </c>
      <c r="N302" s="87">
        <f>(VLOOKUP($A:$A,USD!$A:$AL,14,FALSE)*88)/88*20</f>
        <v>60</v>
      </c>
      <c r="O302" s="68">
        <f>(VLOOKUP($A:$A,USD!$A:$AL,15,FALSE)*88)/88*20</f>
        <v>37.916666666666671</v>
      </c>
      <c r="P302" s="87">
        <f>(VLOOKUP($A:$A,USD!$A:$AL,16,FALSE)*88)/88*20</f>
        <v>0</v>
      </c>
      <c r="Q302" s="68">
        <f t="shared" si="36"/>
        <v>415.91666666666669</v>
      </c>
      <c r="R302" s="68">
        <f t="shared" si="37"/>
        <v>98.916666666666671</v>
      </c>
      <c r="S302" s="68">
        <f>(VLOOKUP($A:$A,USD!$A:$AL,19,FALSE)*88)/88*20</f>
        <v>0</v>
      </c>
      <c r="T302" s="68">
        <f>(VLOOKUP($A:$A,USD!$A:$AL,20,FALSE)*88)/88*20</f>
        <v>0</v>
      </c>
      <c r="U302" s="68">
        <f>(VLOOKUP($A:$A,USD!$A:$AL,21,FALSE)*88)/88*20</f>
        <v>122.23068181818179</v>
      </c>
      <c r="V302" s="68"/>
      <c r="W302" s="68">
        <f t="shared" si="38"/>
        <v>122.23068181818179</v>
      </c>
      <c r="X302" s="1">
        <f>(VLOOKUP($A:$A,USD!$A:$AL,24,FALSE)*88)/88*20</f>
        <v>52</v>
      </c>
      <c r="Y302" s="68">
        <f>(VLOOKUP($A:$A,USD!$A:$AL,25,FALSE)*88)/88*20</f>
        <v>50.4</v>
      </c>
      <c r="Z302" s="68">
        <f>(VLOOKUP($A:$A,USD!$A:$AL,26,FALSE)*88)/88*20</f>
        <v>26.25</v>
      </c>
      <c r="AB302" s="68">
        <f t="shared" si="39"/>
        <v>128.65</v>
      </c>
      <c r="AC302" s="68">
        <f>(VLOOKUP($A:$A,USD!$A:$AL,29,FALSE)*88)/88*20</f>
        <v>110.22727272727273</v>
      </c>
      <c r="AD302" s="68">
        <f>(VLOOKUP($A:$A,USD!$A:$AL,30,FALSE)*88)/88*20</f>
        <v>107.04545454545455</v>
      </c>
      <c r="AF302" s="68">
        <f t="shared" si="40"/>
        <v>217.27272727272728</v>
      </c>
      <c r="AG302" s="87">
        <f>(VLOOKUP($A:$A,USD!$A:$AL,33,FALSE)*88)/88*20</f>
        <v>28.814300000000003</v>
      </c>
      <c r="AH302" s="68">
        <f>(VLOOKUP($A:$A,USD!$A:$AL,34,FALSE)*88)/88*20</f>
        <v>6.973140495867769</v>
      </c>
      <c r="AI302" s="87">
        <f>(VLOOKUP($A:$A,USD!$A:$AL,35,FALSE)*88)/88*20</f>
        <v>12.587317427197677</v>
      </c>
      <c r="AJ302" s="87">
        <f>(VLOOKUP($A:$A,USD!$A:$AL,36,FALSE)*88)/88*20</f>
        <v>6.7351999999999999</v>
      </c>
      <c r="AL302" s="68">
        <f t="shared" si="41"/>
        <v>55.109957923065444</v>
      </c>
      <c r="AM302" s="87">
        <f>(VLOOKUP($A:$A,USD!$A:$AR,39,FALSE)*88)/88*20</f>
        <v>79.999999999999986</v>
      </c>
      <c r="AN302" s="68">
        <f>(VLOOKUP($A:$A,USD!$A:$AR,40,FALSE)*88)/88*20</f>
        <v>26.17808219178082</v>
      </c>
      <c r="AO302" s="1">
        <f>(VLOOKUP($A:$A,USD!$A:$AR,41,FALSE)*88)/88*20</f>
        <v>0</v>
      </c>
      <c r="AR302" s="1">
        <f t="shared" si="42"/>
        <v>106.1780821917808</v>
      </c>
      <c r="AS302" s="38">
        <f t="shared" si="43"/>
        <v>728.35811587242199</v>
      </c>
      <c r="AT302" s="38">
        <f t="shared" si="44"/>
        <v>1045.3581158724221</v>
      </c>
      <c r="AW302" s="1" t="e">
        <f>(VLOOKUP(A:A,USD!A:AT,46,FALSE)*88)/88*20</f>
        <v>#N/A</v>
      </c>
      <c r="AX302" s="1">
        <f>(VLOOKUP(A:A,USD!A:AU,47,FALSE)*88)/88*20</f>
        <v>253.40909090909091</v>
      </c>
    </row>
    <row r="303" spans="1:50" hidden="1">
      <c r="A303" s="1">
        <v>600505</v>
      </c>
      <c r="B303" s="1" t="s">
        <v>683</v>
      </c>
      <c r="C303" s="1" t="s">
        <v>684</v>
      </c>
      <c r="D303" s="1" t="s">
        <v>136</v>
      </c>
      <c r="E303" s="1" t="str">
        <f>VLOOKUP(A:A,USD!A:E,5,FALSE)</f>
        <v>Eastern Rule 5</v>
      </c>
      <c r="F303" s="1" t="str">
        <f>VLOOKUP(A:A,USD!A:F,6,FALSE)</f>
        <v>ER5</v>
      </c>
      <c r="G303" s="1" t="str">
        <f>VLOOKUP(A:A,'Regions and Ports'!A:G,7,FALSE)</f>
        <v>Savannah</v>
      </c>
      <c r="H303" s="1">
        <f>VLOOKUP(A:A,USD!A:R,8,FALSE)</f>
        <v>1</v>
      </c>
      <c r="I303" s="87">
        <f>(VLOOKUP($A:$A,USD!$A:$AL,9,FALSE)*88)/88*20</f>
        <v>85</v>
      </c>
      <c r="J303" s="87">
        <f>(VLOOKUP($A:$A,USD!$A:$AL,10,FALSE)*88)/88*20</f>
        <v>85</v>
      </c>
      <c r="K303" s="87">
        <f>(VLOOKUP($A:$A,USD!$A:$AL,11,FALSE)*88)/88*20</f>
        <v>0</v>
      </c>
      <c r="L303" s="87">
        <f>(VLOOKUP($A:$A,USD!$A:$AL,12,FALSE)*88)/88*20</f>
        <v>0</v>
      </c>
      <c r="M303" s="87">
        <f>(VLOOKUP($A:$A,USD!$A:$AL,13,FALSE)*88)/88*20</f>
        <v>10</v>
      </c>
      <c r="N303" s="87">
        <f>(VLOOKUP($A:$A,USD!$A:$AL,14,FALSE)*88)/88*20</f>
        <v>50</v>
      </c>
      <c r="O303" s="68">
        <f>(VLOOKUP($A:$A,USD!$A:$AL,15,FALSE)*88)/88*20</f>
        <v>37.916666666666671</v>
      </c>
      <c r="P303" s="87">
        <f>(VLOOKUP($A:$A,USD!$A:$AL,16,FALSE)*88)/88*20</f>
        <v>0</v>
      </c>
      <c r="Q303" s="68">
        <f t="shared" si="36"/>
        <v>267.91666666666669</v>
      </c>
      <c r="R303" s="68">
        <f t="shared" si="37"/>
        <v>87.916666666666671</v>
      </c>
      <c r="S303" s="68">
        <f>(VLOOKUP($A:$A,USD!$A:$AL,19,FALSE)*88)/88*20</f>
        <v>0</v>
      </c>
      <c r="T303" s="68">
        <f>(VLOOKUP($A:$A,USD!$A:$AL,20,FALSE)*88)/88*20</f>
        <v>0</v>
      </c>
      <c r="U303" s="68">
        <f>(VLOOKUP($A:$A,USD!$A:$AL,21,FALSE)*88)/88*20</f>
        <v>290.71818181818185</v>
      </c>
      <c r="V303" s="68"/>
      <c r="W303" s="68">
        <f t="shared" si="38"/>
        <v>290.71818181818185</v>
      </c>
      <c r="X303" s="1">
        <f>(VLOOKUP($A:$A,USD!$A:$AL,24,FALSE)*88)/88*20</f>
        <v>52</v>
      </c>
      <c r="Y303" s="68">
        <f>(VLOOKUP($A:$A,USD!$A:$AL,25,FALSE)*88)/88*20</f>
        <v>50.4</v>
      </c>
      <c r="Z303" s="68">
        <f>(VLOOKUP($A:$A,USD!$A:$AL,26,FALSE)*88)/88*20</f>
        <v>26.25</v>
      </c>
      <c r="AB303" s="68">
        <f t="shared" si="39"/>
        <v>128.65</v>
      </c>
      <c r="AC303" s="68">
        <f>(VLOOKUP($A:$A,USD!$A:$AL,29,FALSE)*88)/88*20</f>
        <v>110.22727272727273</v>
      </c>
      <c r="AD303" s="68">
        <f>(VLOOKUP($A:$A,USD!$A:$AL,30,FALSE)*88)/88*20</f>
        <v>107.04545454545455</v>
      </c>
      <c r="AF303" s="68">
        <f t="shared" si="40"/>
        <v>217.27272727272728</v>
      </c>
      <c r="AG303" s="87">
        <f>(VLOOKUP($A:$A,USD!$A:$AL,33,FALSE)*88)/88*20</f>
        <v>28.814300000000003</v>
      </c>
      <c r="AH303" s="68">
        <f>(VLOOKUP($A:$A,USD!$A:$AL,34,FALSE)*88)/88*20</f>
        <v>6.973140495867769</v>
      </c>
      <c r="AI303" s="87">
        <f>(VLOOKUP($A:$A,USD!$A:$AL,35,FALSE)*88)/88*20</f>
        <v>12.587317427197677</v>
      </c>
      <c r="AJ303" s="87">
        <f>(VLOOKUP($A:$A,USD!$A:$AL,36,FALSE)*88)/88*20</f>
        <v>6.7351999999999999</v>
      </c>
      <c r="AL303" s="68">
        <f t="shared" si="41"/>
        <v>55.109957923065444</v>
      </c>
      <c r="AM303" s="87">
        <f>(VLOOKUP($A:$A,USD!$A:$AR,39,FALSE)*88)/88*20</f>
        <v>79.999999999999986</v>
      </c>
      <c r="AN303" s="68">
        <f>(VLOOKUP($A:$A,USD!$A:$AR,40,FALSE)*88)/88*20</f>
        <v>26.17808219178082</v>
      </c>
      <c r="AO303" s="1">
        <f>(VLOOKUP($A:$A,USD!$A:$AR,41,FALSE)*88)/88*20</f>
        <v>0</v>
      </c>
      <c r="AR303" s="1">
        <f t="shared" si="42"/>
        <v>106.1780821917808</v>
      </c>
      <c r="AS303" s="38">
        <f t="shared" si="43"/>
        <v>885.84561587242206</v>
      </c>
      <c r="AT303" s="38">
        <f t="shared" si="44"/>
        <v>1065.8456158724221</v>
      </c>
      <c r="AW303" s="1" t="e">
        <f>(VLOOKUP(A:A,USD!A:AT,46,FALSE)*88)/88*20</f>
        <v>#N/A</v>
      </c>
      <c r="AX303" s="1">
        <f>(VLOOKUP(A:A,USD!A:AU,47,FALSE)*88)/88*20</f>
        <v>256.47727272727275</v>
      </c>
    </row>
    <row r="304" spans="1:50" hidden="1">
      <c r="A304" s="1">
        <v>601004</v>
      </c>
      <c r="B304" s="1" t="s">
        <v>685</v>
      </c>
      <c r="C304" s="1" t="s">
        <v>686</v>
      </c>
      <c r="D304" s="1" t="s">
        <v>136</v>
      </c>
      <c r="E304" s="1" t="str">
        <f>VLOOKUP(A:A,USD!A:E,5,FALSE)</f>
        <v>Eastern Rule 5</v>
      </c>
      <c r="F304" s="1" t="str">
        <f>VLOOKUP(A:A,USD!A:F,6,FALSE)</f>
        <v>ER5</v>
      </c>
      <c r="G304" s="1" t="str">
        <f>VLOOKUP(A:A,'Regions and Ports'!A:G,7,FALSE)</f>
        <v>Savannah</v>
      </c>
      <c r="H304" s="1">
        <f>VLOOKUP(A:A,USD!A:R,8,FALSE)</f>
        <v>1</v>
      </c>
      <c r="I304" s="87">
        <f>(VLOOKUP($A:$A,USD!$A:$AL,9,FALSE)*88)/88*20</f>
        <v>75</v>
      </c>
      <c r="J304" s="87">
        <f>(VLOOKUP($A:$A,USD!$A:$AL,10,FALSE)*88)/88*20</f>
        <v>85</v>
      </c>
      <c r="K304" s="87">
        <f>(VLOOKUP($A:$A,USD!$A:$AL,11,FALSE)*88)/88*20</f>
        <v>0</v>
      </c>
      <c r="L304" s="87">
        <f>(VLOOKUP($A:$A,USD!$A:$AL,12,FALSE)*88)/88*20</f>
        <v>0</v>
      </c>
      <c r="M304" s="87">
        <f>(VLOOKUP($A:$A,USD!$A:$AL,13,FALSE)*88)/88*20</f>
        <v>5</v>
      </c>
      <c r="N304" s="87">
        <f>(VLOOKUP($A:$A,USD!$A:$AL,14,FALSE)*88)/88*20</f>
        <v>50</v>
      </c>
      <c r="O304" s="68">
        <f>(VLOOKUP($A:$A,USD!$A:$AL,15,FALSE)*88)/88*20</f>
        <v>37.916666666666671</v>
      </c>
      <c r="P304" s="87">
        <f>(VLOOKUP($A:$A,USD!$A:$AL,16,FALSE)*88)/88*20</f>
        <v>0</v>
      </c>
      <c r="Q304" s="68">
        <f t="shared" si="36"/>
        <v>252.91666666666669</v>
      </c>
      <c r="R304" s="68">
        <f t="shared" si="37"/>
        <v>87.916666666666671</v>
      </c>
      <c r="S304" s="68">
        <f>(VLOOKUP($A:$A,USD!$A:$AL,19,FALSE)*88)/88*20</f>
        <v>0</v>
      </c>
      <c r="T304" s="68">
        <f>(VLOOKUP($A:$A,USD!$A:$AL,20,FALSE)*88)/88*20</f>
        <v>0</v>
      </c>
      <c r="U304" s="68">
        <f>(VLOOKUP($A:$A,USD!$A:$AL,21,FALSE)*88)/88*20</f>
        <v>297.83124999999995</v>
      </c>
      <c r="V304" s="68"/>
      <c r="W304" s="68">
        <f t="shared" si="38"/>
        <v>297.83124999999995</v>
      </c>
      <c r="X304" s="1">
        <f>(VLOOKUP($A:$A,USD!$A:$AL,24,FALSE)*88)/88*20</f>
        <v>52</v>
      </c>
      <c r="Y304" s="68">
        <f>(VLOOKUP($A:$A,USD!$A:$AL,25,FALSE)*88)/88*20</f>
        <v>50.4</v>
      </c>
      <c r="Z304" s="68">
        <f>(VLOOKUP($A:$A,USD!$A:$AL,26,FALSE)*88)/88*20</f>
        <v>26.25</v>
      </c>
      <c r="AB304" s="68">
        <f t="shared" si="39"/>
        <v>128.65</v>
      </c>
      <c r="AC304" s="68">
        <f>(VLOOKUP($A:$A,USD!$A:$AL,29,FALSE)*88)/88*20</f>
        <v>110.22727272727273</v>
      </c>
      <c r="AD304" s="68">
        <f>(VLOOKUP($A:$A,USD!$A:$AL,30,FALSE)*88)/88*20</f>
        <v>107.04545454545455</v>
      </c>
      <c r="AF304" s="68">
        <f t="shared" si="40"/>
        <v>217.27272727272728</v>
      </c>
      <c r="AG304" s="87">
        <f>(VLOOKUP($A:$A,USD!$A:$AL,33,FALSE)*88)/88*20</f>
        <v>28.814300000000003</v>
      </c>
      <c r="AH304" s="68">
        <f>(VLOOKUP($A:$A,USD!$A:$AL,34,FALSE)*88)/88*20</f>
        <v>6.973140495867769</v>
      </c>
      <c r="AI304" s="87">
        <f>(VLOOKUP($A:$A,USD!$A:$AL,35,FALSE)*88)/88*20</f>
        <v>12.587317427197677</v>
      </c>
      <c r="AJ304" s="87">
        <f>(VLOOKUP($A:$A,USD!$A:$AL,36,FALSE)*88)/88*20</f>
        <v>6.7351999999999999</v>
      </c>
      <c r="AL304" s="68">
        <f t="shared" si="41"/>
        <v>55.109957923065444</v>
      </c>
      <c r="AM304" s="87">
        <f>(VLOOKUP($A:$A,USD!$A:$AR,39,FALSE)*88)/88*20</f>
        <v>79.999999999999986</v>
      </c>
      <c r="AN304" s="68">
        <f>(VLOOKUP($A:$A,USD!$A:$AR,40,FALSE)*88)/88*20</f>
        <v>26.17808219178082</v>
      </c>
      <c r="AO304" s="1">
        <f>(VLOOKUP($A:$A,USD!$A:$AR,41,FALSE)*88)/88*20</f>
        <v>0</v>
      </c>
      <c r="AR304" s="1">
        <f t="shared" si="42"/>
        <v>106.1780821917808</v>
      </c>
      <c r="AS304" s="38">
        <f t="shared" si="43"/>
        <v>892.95868405424017</v>
      </c>
      <c r="AT304" s="38">
        <f t="shared" si="44"/>
        <v>1057.9586840542402</v>
      </c>
      <c r="AW304" s="1" t="e">
        <f>(VLOOKUP(A:A,USD!A:AT,46,FALSE)*88)/88*20</f>
        <v>#N/A</v>
      </c>
      <c r="AX304" s="1">
        <f>(VLOOKUP(A:A,USD!A:AU,47,FALSE)*88)/88*20</f>
        <v>256.13636363636363</v>
      </c>
    </row>
    <row r="305" spans="1:50" hidden="1">
      <c r="A305" s="1">
        <v>928532</v>
      </c>
      <c r="B305" s="1" t="s">
        <v>687</v>
      </c>
      <c r="C305" s="1" t="s">
        <v>688</v>
      </c>
      <c r="D305" s="1" t="s">
        <v>71</v>
      </c>
      <c r="E305" s="1" t="str">
        <f>VLOOKUP(A:A,USD!A:E,5,FALSE)</f>
        <v>WTX</v>
      </c>
      <c r="F305" s="1" t="str">
        <f>VLOOKUP(A:A,USD!A:F,6,FALSE)</f>
        <v>WTX</v>
      </c>
      <c r="G305" s="1" t="str">
        <f>VLOOKUP(A:A,'Regions and Ports'!A:G,7,FALSE)</f>
        <v>Dallas</v>
      </c>
      <c r="H305" s="1">
        <f>VLOOKUP(A:A,USD!A:R,8,FALSE)</f>
        <v>2</v>
      </c>
      <c r="I305" s="87">
        <f>(VLOOKUP($A:$A,USD!$A:$AL,9,FALSE)*88)/88*20</f>
        <v>95</v>
      </c>
      <c r="J305" s="87">
        <f>(VLOOKUP($A:$A,USD!$A:$AL,10,FALSE)*88)/88*20</f>
        <v>109</v>
      </c>
      <c r="K305" s="87">
        <f>(VLOOKUP($A:$A,USD!$A:$AL,11,FALSE)*88)/88*20</f>
        <v>195</v>
      </c>
      <c r="L305" s="87">
        <f>(VLOOKUP($A:$A,USD!$A:$AL,12,FALSE)*88)/88*20</f>
        <v>0</v>
      </c>
      <c r="M305" s="87">
        <f>(VLOOKUP($A:$A,USD!$A:$AL,13,FALSE)*88)/88*20</f>
        <v>20</v>
      </c>
      <c r="N305" s="87">
        <f>(VLOOKUP($A:$A,USD!$A:$AL,14,FALSE)*88)/88*20</f>
        <v>48</v>
      </c>
      <c r="O305" s="68">
        <f>(VLOOKUP($A:$A,USD!$A:$AL,15,FALSE)*88)/88*20</f>
        <v>37.916666666666671</v>
      </c>
      <c r="P305" s="87">
        <f>(VLOOKUP($A:$A,USD!$A:$AL,16,FALSE)*88)/88*20</f>
        <v>0</v>
      </c>
      <c r="Q305" s="68">
        <f t="shared" si="36"/>
        <v>504.91666666666669</v>
      </c>
      <c r="R305" s="68">
        <f t="shared" si="37"/>
        <v>280.91666666666669</v>
      </c>
      <c r="S305" s="68">
        <f>(VLOOKUP($A:$A,USD!$A:$AL,19,FALSE)*88)/88*20</f>
        <v>0</v>
      </c>
      <c r="T305" s="68">
        <f>(VLOOKUP($A:$A,USD!$A:$AL,20,FALSE)*88)/88*20</f>
        <v>0</v>
      </c>
      <c r="U305" s="68">
        <f>(VLOOKUP($A:$A,USD!$A:$AL,21,FALSE)*88)/88*20</f>
        <v>185.22727272727275</v>
      </c>
      <c r="V305" s="68"/>
      <c r="W305" s="68">
        <f t="shared" si="38"/>
        <v>185.22727272727275</v>
      </c>
      <c r="X305" s="1">
        <f>(VLOOKUP($A:$A,USD!$A:$AL,24,FALSE)*88)/88*20</f>
        <v>54</v>
      </c>
      <c r="Y305" s="68">
        <f>(VLOOKUP($A:$A,USD!$A:$AL,25,FALSE)*88)/88*20</f>
        <v>50.4</v>
      </c>
      <c r="Z305" s="68">
        <f>(VLOOKUP($A:$A,USD!$A:$AL,26,FALSE)*88)/88*20</f>
        <v>26.25</v>
      </c>
      <c r="AB305" s="68">
        <f t="shared" si="39"/>
        <v>130.65</v>
      </c>
      <c r="AC305" s="68">
        <f>(VLOOKUP($A:$A,USD!$A:$AL,29,FALSE)*88)/88*20</f>
        <v>162.5</v>
      </c>
      <c r="AD305" s="68">
        <f>(VLOOKUP($A:$A,USD!$A:$AL,30,FALSE)*88)/88*20</f>
        <v>268.18181818181819</v>
      </c>
      <c r="AF305" s="68">
        <f t="shared" si="40"/>
        <v>430.68181818181819</v>
      </c>
      <c r="AG305" s="87">
        <f>(VLOOKUP($A:$A,USD!$A:$AL,33,FALSE)*88)/88*20</f>
        <v>28.814300000000003</v>
      </c>
      <c r="AH305" s="68">
        <f>(VLOOKUP($A:$A,USD!$A:$AL,34,FALSE)*88)/88*20</f>
        <v>6.973140495867769</v>
      </c>
      <c r="AI305" s="87">
        <f>(VLOOKUP($A:$A,USD!$A:$AL,35,FALSE)*88)/88*20</f>
        <v>12.587317427197677</v>
      </c>
      <c r="AJ305" s="87">
        <f>(VLOOKUP($A:$A,USD!$A:$AL,36,FALSE)*88)/88*20</f>
        <v>6.7351999999999999</v>
      </c>
      <c r="AL305" s="68">
        <f t="shared" si="41"/>
        <v>55.109957923065444</v>
      </c>
      <c r="AM305" s="87">
        <f>(VLOOKUP($A:$A,USD!$A:$AR,39,FALSE)*88)/88*20</f>
        <v>79.999999999999986</v>
      </c>
      <c r="AN305" s="68">
        <f>(VLOOKUP($A:$A,USD!$A:$AR,40,FALSE)*88)/88*20</f>
        <v>26.17808219178082</v>
      </c>
      <c r="AO305" s="1">
        <f>(VLOOKUP($A:$A,USD!$A:$AR,41,FALSE)*88)/88*20</f>
        <v>0</v>
      </c>
      <c r="AR305" s="1">
        <f t="shared" si="42"/>
        <v>106.1780821917808</v>
      </c>
      <c r="AS305" s="38">
        <f t="shared" si="43"/>
        <v>1188.7637976906037</v>
      </c>
      <c r="AT305" s="38">
        <f t="shared" si="44"/>
        <v>1412.7637976906037</v>
      </c>
      <c r="AW305" s="1">
        <f>(VLOOKUP(A:A,USD!A:AT,46,FALSE)*88)/88*20</f>
        <v>344.31590909090909</v>
      </c>
      <c r="AX305" s="1" t="e">
        <f>(VLOOKUP(A:A,USD!A:AU,47,FALSE)*88)/88*20</f>
        <v>#N/A</v>
      </c>
    </row>
    <row r="306" spans="1:50" hidden="1">
      <c r="A306" s="125">
        <v>928532</v>
      </c>
      <c r="B306" s="1" t="s">
        <v>687</v>
      </c>
      <c r="C306" s="1" t="s">
        <v>688</v>
      </c>
      <c r="D306" s="1" t="s">
        <v>71</v>
      </c>
      <c r="E306" s="1" t="s">
        <v>2067</v>
      </c>
      <c r="F306" s="1" t="str">
        <f>VLOOKUP(A:A,USD!A:F,6,FALSE)</f>
        <v>WTX</v>
      </c>
      <c r="G306" s="1" t="s">
        <v>439</v>
      </c>
      <c r="H306" s="1">
        <f>VLOOKUP(A:A,USD!A:R,8,FALSE)</f>
        <v>2</v>
      </c>
      <c r="I306" s="87">
        <f>(VLOOKUP($A:$A,USD!$A:$AL,9,FALSE)*88)/88*20</f>
        <v>95</v>
      </c>
      <c r="J306" s="87">
        <f>(VLOOKUP($A:$A,USD!$A:$AL,10,FALSE)*88)/88*20</f>
        <v>109</v>
      </c>
      <c r="K306" s="87">
        <f>(VLOOKUP($A:$A,USD!$A:$AL,11,FALSE)*88)/88*20</f>
        <v>195</v>
      </c>
      <c r="L306" s="87">
        <f>(VLOOKUP($A:$A,USD!$A:$AL,12,FALSE)*88)/88*20</f>
        <v>0</v>
      </c>
      <c r="M306" s="87">
        <f>(VLOOKUP($A:$A,USD!$A:$AL,13,FALSE)*88)/88*20</f>
        <v>20</v>
      </c>
      <c r="N306" s="87">
        <f>(VLOOKUP($A:$A,USD!$A:$AL,14,FALSE)*88)/88*20</f>
        <v>48</v>
      </c>
      <c r="O306" s="68">
        <f>(VLOOKUP($A:$A,USD!$A:$AL,15,FALSE)*88)/88*20</f>
        <v>37.916666666666671</v>
      </c>
      <c r="P306" s="87">
        <f>(VLOOKUP($A:$A,USD!$A:$AL,16,FALSE)*88)/88*20</f>
        <v>0</v>
      </c>
      <c r="Q306" s="68">
        <f t="shared" si="36"/>
        <v>504.91666666666669</v>
      </c>
      <c r="R306" s="68">
        <f t="shared" si="37"/>
        <v>280.91666666666669</v>
      </c>
      <c r="S306" s="68">
        <f>(VLOOKUP($A:$A,USD!$A:$AL,19,FALSE)*88)/88*20</f>
        <v>0</v>
      </c>
      <c r="T306" s="68">
        <f>(VLOOKUP($A:$A,USD!$A:$AL,20,FALSE)*88)/88*20</f>
        <v>0</v>
      </c>
      <c r="U306" s="68" cm="1">
        <f t="array" ref="U306">(_xlfn.XLOOKUP(1, (USD!$A:$A=$A306)*(USD!$E:$E=$E306), USD!$U:$U, "", 0)*88)/88*20</f>
        <v>258.52272727272725</v>
      </c>
      <c r="V306" s="68"/>
      <c r="W306" s="68">
        <f t="shared" si="38"/>
        <v>258.52272727272725</v>
      </c>
      <c r="X306" s="1">
        <f>(VLOOKUP($A:$A,USD!$A:$AL,24,FALSE)*88)/88*20</f>
        <v>54</v>
      </c>
      <c r="Y306" s="68">
        <f>(VLOOKUP($A:$A,USD!$A:$AL,25,FALSE)*88)/88*20</f>
        <v>50.4</v>
      </c>
      <c r="Z306" s="68">
        <f>(VLOOKUP($A:$A,USD!$A:$AL,26,FALSE)*88)/88*20</f>
        <v>26.25</v>
      </c>
      <c r="AB306" s="68">
        <f t="shared" si="39"/>
        <v>130.65</v>
      </c>
      <c r="AC306" s="68" cm="1">
        <f t="array" ref="AC306">_xlfn.XLOOKUP(A306&amp;E306, USD!$A:$A&amp;USD!$E:$E, USD!$AC:$AC, "")*20</f>
        <v>132.95454545454544</v>
      </c>
      <c r="AD306" s="68" cm="1">
        <f t="array" ref="AD306">_xlfn.XLOOKUP(A306&amp;E306, USD!$A:$A&amp;USD!$E:$E, USD!$AD:$AD, "")*20</f>
        <v>197.95454545454547</v>
      </c>
      <c r="AF306" s="68">
        <f t="shared" si="40"/>
        <v>330.90909090909088</v>
      </c>
      <c r="AG306" s="87">
        <f>(VLOOKUP($A:$A,USD!$A:$AL,33,FALSE)*88)/88*20</f>
        <v>28.814300000000003</v>
      </c>
      <c r="AH306" s="68">
        <f>(VLOOKUP($A:$A,USD!$A:$AL,34,FALSE)*88)/88*20</f>
        <v>6.973140495867769</v>
      </c>
      <c r="AI306" s="87">
        <f>(VLOOKUP($A:$A,USD!$A:$AL,35,FALSE)*88)/88*20</f>
        <v>12.587317427197677</v>
      </c>
      <c r="AJ306" s="87">
        <f>(VLOOKUP($A:$A,USD!$A:$AL,36,FALSE)*88)/88*20</f>
        <v>6.7351999999999999</v>
      </c>
      <c r="AL306" s="68">
        <f t="shared" si="41"/>
        <v>55.109957923065444</v>
      </c>
      <c r="AM306" s="87">
        <f>(VLOOKUP($A:$A,USD!$A:$AR,39,FALSE)*88)/88*20</f>
        <v>79.999999999999986</v>
      </c>
      <c r="AN306" s="68">
        <f>(VLOOKUP($A:$A,USD!$A:$AR,40,FALSE)*88)/88*20</f>
        <v>26.17808219178082</v>
      </c>
      <c r="AO306" s="1">
        <f>(VLOOKUP($A:$A,USD!$A:$AR,41,FALSE)*88)/88*20</f>
        <v>0</v>
      </c>
      <c r="AR306" s="1">
        <f t="shared" si="42"/>
        <v>106.1780821917808</v>
      </c>
      <c r="AS306" s="38">
        <f t="shared" si="43"/>
        <v>1162.286524963331</v>
      </c>
      <c r="AT306" s="38">
        <f t="shared" si="44"/>
        <v>1386.286524963331</v>
      </c>
      <c r="AW306" s="1">
        <f>(VLOOKUP(A:A,USD!A:AT,46,FALSE)*88)/88*20</f>
        <v>344.31590909090909</v>
      </c>
      <c r="AX306" s="1" t="e">
        <f>(VLOOKUP(A:A,USD!A:AU,47,FALSE)*88)/88*20</f>
        <v>#N/A</v>
      </c>
    </row>
    <row r="307" spans="1:50" hidden="1">
      <c r="A307" s="1">
        <v>928715</v>
      </c>
      <c r="B307" s="1" t="s">
        <v>690</v>
      </c>
      <c r="C307" s="1" t="s">
        <v>691</v>
      </c>
      <c r="D307" s="1" t="s">
        <v>71</v>
      </c>
      <c r="E307" s="1" t="str">
        <f>VLOOKUP(A:A,USD!A:E,5,FALSE)</f>
        <v>STEX</v>
      </c>
      <c r="F307" s="1" t="str">
        <f>VLOOKUP(A:A,USD!A:F,6,FALSE)</f>
        <v>STX</v>
      </c>
      <c r="G307" s="1" t="str">
        <f>VLOOKUP(A:A,'Regions and Ports'!A:G,7,FALSE)</f>
        <v>Houston</v>
      </c>
      <c r="H307" s="1">
        <f>VLOOKUP(A:A,USD!A:R,8,FALSE)</f>
        <v>3</v>
      </c>
      <c r="I307" s="87">
        <f>(VLOOKUP($A:$A,USD!$A:$AL,9,FALSE)*88)/88*20</f>
        <v>70</v>
      </c>
      <c r="J307" s="87">
        <f>(VLOOKUP($A:$A,USD!$A:$AL,10,FALSE)*88)/88*20</f>
        <v>160</v>
      </c>
      <c r="K307" s="87">
        <f>(VLOOKUP($A:$A,USD!$A:$AL,11,FALSE)*88)/88*20</f>
        <v>190</v>
      </c>
      <c r="L307" s="87">
        <f>(VLOOKUP($A:$A,USD!$A:$AL,12,FALSE)*88)/88*20</f>
        <v>0</v>
      </c>
      <c r="M307" s="87">
        <f>(VLOOKUP($A:$A,USD!$A:$AL,13,FALSE)*88)/88*20</f>
        <v>0</v>
      </c>
      <c r="N307" s="87">
        <f>(VLOOKUP($A:$A,USD!$A:$AL,14,FALSE)*88)/88*20</f>
        <v>80</v>
      </c>
      <c r="O307" s="68">
        <f>(VLOOKUP($A:$A,USD!$A:$AL,15,FALSE)*88)/88*20</f>
        <v>37.916666666666671</v>
      </c>
      <c r="P307" s="87">
        <f>(VLOOKUP($A:$A,USD!$A:$AL,16,FALSE)*88)/88*20</f>
        <v>0</v>
      </c>
      <c r="Q307" s="68">
        <f t="shared" si="36"/>
        <v>537.91666666666663</v>
      </c>
      <c r="R307" s="68">
        <f t="shared" si="37"/>
        <v>467.91666666666669</v>
      </c>
      <c r="S307" s="68">
        <f>(VLOOKUP($A:$A,USD!$A:$AL,19,FALSE)*88)/88*20</f>
        <v>0</v>
      </c>
      <c r="T307" s="68">
        <f>(VLOOKUP($A:$A,USD!$A:$AL,20,FALSE)*88)/88*20</f>
        <v>0</v>
      </c>
      <c r="U307" s="68">
        <f>(VLOOKUP($A:$A,USD!$A:$AL,21,FALSE)*88)/88*20</f>
        <v>267.0454545454545</v>
      </c>
      <c r="V307" s="68"/>
      <c r="W307" s="68">
        <f t="shared" si="38"/>
        <v>267.0454545454545</v>
      </c>
      <c r="X307" s="1">
        <f>(VLOOKUP($A:$A,USD!$A:$AL,24,FALSE)*88)/88*20</f>
        <v>54</v>
      </c>
      <c r="Y307" s="68">
        <f>(VLOOKUP($A:$A,USD!$A:$AL,25,FALSE)*88)/88*20</f>
        <v>50.4</v>
      </c>
      <c r="Z307" s="68">
        <f>(VLOOKUP($A:$A,USD!$A:$AL,26,FALSE)*88)/88*20</f>
        <v>26.25</v>
      </c>
      <c r="AB307" s="68">
        <f t="shared" si="39"/>
        <v>130.65</v>
      </c>
      <c r="AC307" s="68">
        <f>(VLOOKUP($A:$A,USD!$A:$AL,29,FALSE)*88)/88*20</f>
        <v>132.95454545454544</v>
      </c>
      <c r="AD307" s="68">
        <f>(VLOOKUP($A:$A,USD!$A:$AL,30,FALSE)*88)/88*20</f>
        <v>197.95454545454547</v>
      </c>
      <c r="AF307" s="68">
        <f t="shared" si="40"/>
        <v>330.90909090909088</v>
      </c>
      <c r="AG307" s="87">
        <f>(VLOOKUP($A:$A,USD!$A:$AL,33,FALSE)*88)/88*20</f>
        <v>28.814300000000003</v>
      </c>
      <c r="AH307" s="68">
        <f>(VLOOKUP($A:$A,USD!$A:$AL,34,FALSE)*88)/88*20</f>
        <v>6.973140495867769</v>
      </c>
      <c r="AI307" s="87">
        <f>(VLOOKUP($A:$A,USD!$A:$AL,35,FALSE)*88)/88*20</f>
        <v>12.587317427197677</v>
      </c>
      <c r="AJ307" s="87">
        <f>(VLOOKUP($A:$A,USD!$A:$AL,36,FALSE)*88)/88*20</f>
        <v>6.7351999999999999</v>
      </c>
      <c r="AL307" s="68">
        <f t="shared" si="41"/>
        <v>55.109957923065444</v>
      </c>
      <c r="AM307" s="87">
        <f>(VLOOKUP($A:$A,USD!$A:$AR,39,FALSE)*88)/88*20</f>
        <v>79.999999999999986</v>
      </c>
      <c r="AN307" s="68">
        <f>(VLOOKUP($A:$A,USD!$A:$AR,40,FALSE)*88)/88*20</f>
        <v>26.17808219178082</v>
      </c>
      <c r="AO307" s="1">
        <f>(VLOOKUP($A:$A,USD!$A:$AR,41,FALSE)*88)/88*20</f>
        <v>0</v>
      </c>
      <c r="AR307" s="1">
        <f t="shared" si="42"/>
        <v>106.1780821917808</v>
      </c>
      <c r="AS307" s="38">
        <f t="shared" si="43"/>
        <v>1357.8092522360582</v>
      </c>
      <c r="AT307" s="38">
        <f t="shared" si="44"/>
        <v>1427.8092522360582</v>
      </c>
      <c r="AW307" s="1" t="e">
        <f>(VLOOKUP(A:A,USD!A:AT,46,FALSE)*88)/88*20</f>
        <v>#N/A</v>
      </c>
      <c r="AX307" s="1" t="e">
        <f>(VLOOKUP(A:A,USD!A:AU,47,FALSE)*88)/88*20</f>
        <v>#N/A</v>
      </c>
    </row>
    <row r="308" spans="1:50">
      <c r="A308" s="1">
        <v>111</v>
      </c>
      <c r="B308" s="1" t="s">
        <v>692</v>
      </c>
      <c r="C308" s="1" t="s">
        <v>693</v>
      </c>
      <c r="D308" s="1" t="s">
        <v>65</v>
      </c>
      <c r="E308" s="1" t="str">
        <f>VLOOKUP(A:A,USD!A:E,5,FALSE)</f>
        <v>Eastern Rule 5</v>
      </c>
      <c r="F308" s="1" t="str">
        <f>VLOOKUP(A:A,USD!A:F,6,FALSE)</f>
        <v>ER5</v>
      </c>
      <c r="G308" s="1" t="str">
        <f>VLOOKUP(A:A,'Regions and Ports'!A:G,7,FALSE)</f>
        <v>Savannah</v>
      </c>
      <c r="H308" s="1">
        <f>VLOOKUP(A:A,USD!A:R,8,FALSE)</f>
        <v>1</v>
      </c>
      <c r="I308" s="87">
        <f>(VLOOKUP($A:$A,USD!$A:$AL,9,FALSE)*88)/88*20</f>
        <v>80</v>
      </c>
      <c r="J308" s="87">
        <f>(VLOOKUP($A:$A,USD!$A:$AL,10,FALSE)*88)/88*20</f>
        <v>125</v>
      </c>
      <c r="K308" s="87">
        <f>(VLOOKUP($A:$A,USD!$A:$AL,11,FALSE)*88)/88*20</f>
        <v>0</v>
      </c>
      <c r="L308" s="87">
        <f>(VLOOKUP($A:$A,USD!$A:$AL,12,FALSE)*88)/88*20</f>
        <v>0</v>
      </c>
      <c r="M308" s="87">
        <f>(VLOOKUP($A:$A,USD!$A:$AL,13,FALSE)*88)/88*20</f>
        <v>20</v>
      </c>
      <c r="N308" s="87">
        <f>(VLOOKUP($A:$A,USD!$A:$AL,14,FALSE)*88)/88*20</f>
        <v>60</v>
      </c>
      <c r="O308" s="68">
        <f>(VLOOKUP($A:$A,USD!$A:$AL,15,FALSE)*88)/88*20</f>
        <v>37.916666666666671</v>
      </c>
      <c r="P308" s="87">
        <f>(VLOOKUP($A:$A,USD!$A:$AL,16,FALSE)*88)/88*20</f>
        <v>0</v>
      </c>
      <c r="Q308" s="68">
        <f t="shared" si="36"/>
        <v>322.91666666666669</v>
      </c>
      <c r="R308" s="68">
        <f t="shared" si="37"/>
        <v>97.916666666666671</v>
      </c>
      <c r="S308" s="68">
        <f>(VLOOKUP($A:$A,USD!$A:$AL,19,FALSE)*88)/88*20</f>
        <v>0</v>
      </c>
      <c r="T308" s="68">
        <f>(VLOOKUP($A:$A,USD!$A:$AL,20,FALSE)*88)/88*20</f>
        <v>0</v>
      </c>
      <c r="U308" s="68">
        <f>(VLOOKUP($A:$A,USD!$A:$AL,21,FALSE)*88)/88*20</f>
        <v>320.9517045454545</v>
      </c>
      <c r="V308" s="68"/>
      <c r="W308" s="68">
        <f t="shared" si="38"/>
        <v>320.9517045454545</v>
      </c>
      <c r="X308" s="1">
        <f>(VLOOKUP($A:$A,USD!$A:$AL,24,FALSE)*88)/88*20</f>
        <v>52</v>
      </c>
      <c r="Y308" s="68">
        <f>(VLOOKUP($A:$A,USD!$A:$AL,25,FALSE)*88)/88*20</f>
        <v>50.4</v>
      </c>
      <c r="Z308" s="68">
        <f>(VLOOKUP($A:$A,USD!$A:$AL,26,FALSE)*88)/88*20</f>
        <v>26.25</v>
      </c>
      <c r="AB308" s="68">
        <f t="shared" si="39"/>
        <v>128.65</v>
      </c>
      <c r="AC308" s="68">
        <f>(VLOOKUP($A:$A,USD!$A:$AL,29,FALSE)*88)/88*20</f>
        <v>110.22727272727273</v>
      </c>
      <c r="AD308" s="68">
        <f>(VLOOKUP($A:$A,USD!$A:$AL,30,FALSE)*88)/88*20</f>
        <v>107.04545454545455</v>
      </c>
      <c r="AF308" s="68">
        <f t="shared" si="40"/>
        <v>217.27272727272728</v>
      </c>
      <c r="AG308" s="87">
        <f>(VLOOKUP($A:$A,USD!$A:$AL,33,FALSE)*88)/88*20</f>
        <v>28.814300000000003</v>
      </c>
      <c r="AH308" s="68">
        <f>(VLOOKUP($A:$A,USD!$A:$AL,34,FALSE)*88)/88*20</f>
        <v>6.973140495867769</v>
      </c>
      <c r="AI308" s="87">
        <f>(VLOOKUP($A:$A,USD!$A:$AL,35,FALSE)*88)/88*20</f>
        <v>12.587317427197677</v>
      </c>
      <c r="AJ308" s="87">
        <f>(VLOOKUP($A:$A,USD!$A:$AL,36,FALSE)*88)/88*20</f>
        <v>6.7351999999999999</v>
      </c>
      <c r="AL308" s="68">
        <f t="shared" si="41"/>
        <v>55.109957923065444</v>
      </c>
      <c r="AM308" s="87">
        <f>(VLOOKUP($A:$A,USD!$A:$AR,39,FALSE)*88)/88*20</f>
        <v>79.999999999999986</v>
      </c>
      <c r="AN308" s="68">
        <f>(VLOOKUP($A:$A,USD!$A:$AR,40,FALSE)*88)/88*20</f>
        <v>26.17808219178082</v>
      </c>
      <c r="AO308" s="1">
        <f>(VLOOKUP($A:$A,USD!$A:$AR,41,FALSE)*88)/88*20</f>
        <v>0</v>
      </c>
      <c r="AR308" s="1">
        <f t="shared" si="42"/>
        <v>106.1780821917808</v>
      </c>
      <c r="AS308" s="38">
        <f t="shared" si="43"/>
        <v>926.07913859969472</v>
      </c>
      <c r="AT308" s="38">
        <f t="shared" si="44"/>
        <v>1151.0791385996947</v>
      </c>
      <c r="AW308" s="1" t="e">
        <f>(VLOOKUP(A:A,USD!A:AT,46,FALSE)*88)/88*20</f>
        <v>#N/A</v>
      </c>
      <c r="AX308" s="1">
        <f>(VLOOKUP(A:A,USD!A:AU,47,FALSE)*88)/88*20</f>
        <v>333.52272727272725</v>
      </c>
    </row>
    <row r="309" spans="1:50" hidden="1">
      <c r="A309" s="1">
        <v>937535</v>
      </c>
      <c r="B309" s="1" t="s">
        <v>695</v>
      </c>
      <c r="C309" s="1" t="s">
        <v>696</v>
      </c>
      <c r="D309" s="1" t="s">
        <v>71</v>
      </c>
      <c r="E309" s="1" t="str">
        <f>VLOOKUP(A:A,USD!A:E,5,FALSE)</f>
        <v>WTX</v>
      </c>
      <c r="F309" s="1" t="str">
        <f>VLOOKUP(A:A,USD!A:F,6,FALSE)</f>
        <v>WTX</v>
      </c>
      <c r="G309" s="1" t="str">
        <f>VLOOKUP(A:A,'Regions and Ports'!A:G,7,FALSE)</f>
        <v>Dallas</v>
      </c>
      <c r="H309" s="1">
        <f>VLOOKUP(A:A,USD!A:R,8,FALSE)</f>
        <v>2</v>
      </c>
      <c r="I309" s="87">
        <f>(VLOOKUP($A:$A,USD!$A:$AL,9,FALSE)*88)/88*20</f>
        <v>95</v>
      </c>
      <c r="J309" s="87">
        <f>(VLOOKUP($A:$A,USD!$A:$AL,10,FALSE)*88)/88*20</f>
        <v>115</v>
      </c>
      <c r="K309" s="87">
        <f>(VLOOKUP($A:$A,USD!$A:$AL,11,FALSE)*88)/88*20</f>
        <v>195</v>
      </c>
      <c r="L309" s="87">
        <f>(VLOOKUP($A:$A,USD!$A:$AL,12,FALSE)*88)/88*20</f>
        <v>0</v>
      </c>
      <c r="M309" s="87">
        <f>(VLOOKUP($A:$A,USD!$A:$AL,13,FALSE)*88)/88*20</f>
        <v>0</v>
      </c>
      <c r="N309" s="87">
        <f>(VLOOKUP($A:$A,USD!$A:$AL,14,FALSE)*88)/88*20</f>
        <v>51.000000000000007</v>
      </c>
      <c r="O309" s="68">
        <f>(VLOOKUP($A:$A,USD!$A:$AL,15,FALSE)*88)/88*20</f>
        <v>37.916666666666671</v>
      </c>
      <c r="P309" s="87">
        <f>(VLOOKUP($A:$A,USD!$A:$AL,16,FALSE)*88)/88*20</f>
        <v>0</v>
      </c>
      <c r="Q309" s="68">
        <f t="shared" si="36"/>
        <v>493.91666666666669</v>
      </c>
      <c r="R309" s="68">
        <f t="shared" si="37"/>
        <v>283.91666666666669</v>
      </c>
      <c r="S309" s="68">
        <f>(VLOOKUP($A:$A,USD!$A:$AL,19,FALSE)*88)/88*20</f>
        <v>0</v>
      </c>
      <c r="T309" s="68">
        <f>(VLOOKUP($A:$A,USD!$A:$AL,20,FALSE)*88)/88*20</f>
        <v>0</v>
      </c>
      <c r="U309" s="68">
        <f>(VLOOKUP($A:$A,USD!$A:$AL,21,FALSE)*88)/88*20</f>
        <v>185.22727272727275</v>
      </c>
      <c r="V309" s="68"/>
      <c r="W309" s="68">
        <f t="shared" si="38"/>
        <v>185.22727272727275</v>
      </c>
      <c r="X309" s="1">
        <f>(VLOOKUP($A:$A,USD!$A:$AL,24,FALSE)*88)/88*20</f>
        <v>54</v>
      </c>
      <c r="Y309" s="68">
        <f>(VLOOKUP($A:$A,USD!$A:$AL,25,FALSE)*88)/88*20</f>
        <v>50.4</v>
      </c>
      <c r="Z309" s="68">
        <f>(VLOOKUP($A:$A,USD!$A:$AL,26,FALSE)*88)/88*20</f>
        <v>26.25</v>
      </c>
      <c r="AB309" s="68">
        <f t="shared" si="39"/>
        <v>130.65</v>
      </c>
      <c r="AC309" s="68">
        <f>(VLOOKUP($A:$A,USD!$A:$AL,29,FALSE)*88)/88*20</f>
        <v>162.5</v>
      </c>
      <c r="AD309" s="68">
        <f>(VLOOKUP($A:$A,USD!$A:$AL,30,FALSE)*88)/88*20</f>
        <v>268.18181818181819</v>
      </c>
      <c r="AF309" s="68">
        <f t="shared" si="40"/>
        <v>430.68181818181819</v>
      </c>
      <c r="AG309" s="87">
        <f>(VLOOKUP($A:$A,USD!$A:$AL,33,FALSE)*88)/88*20</f>
        <v>28.814300000000003</v>
      </c>
      <c r="AH309" s="68">
        <f>(VLOOKUP($A:$A,USD!$A:$AL,34,FALSE)*88)/88*20</f>
        <v>6.973140495867769</v>
      </c>
      <c r="AI309" s="87">
        <f>(VLOOKUP($A:$A,USD!$A:$AL,35,FALSE)*88)/88*20</f>
        <v>12.587317427197677</v>
      </c>
      <c r="AJ309" s="87">
        <f>(VLOOKUP($A:$A,USD!$A:$AL,36,FALSE)*88)/88*20</f>
        <v>6.7351999999999999</v>
      </c>
      <c r="AL309" s="68">
        <f t="shared" si="41"/>
        <v>55.109957923065444</v>
      </c>
      <c r="AM309" s="87">
        <f>(VLOOKUP($A:$A,USD!$A:$AR,39,FALSE)*88)/88*20</f>
        <v>79.999999999999986</v>
      </c>
      <c r="AN309" s="68">
        <f>(VLOOKUP($A:$A,USD!$A:$AR,40,FALSE)*88)/88*20</f>
        <v>26.17808219178082</v>
      </c>
      <c r="AO309" s="1">
        <f>(VLOOKUP($A:$A,USD!$A:$AR,41,FALSE)*88)/88*20</f>
        <v>0</v>
      </c>
      <c r="AR309" s="1">
        <f t="shared" si="42"/>
        <v>106.1780821917808</v>
      </c>
      <c r="AS309" s="38">
        <f t="shared" si="43"/>
        <v>1191.7637976906037</v>
      </c>
      <c r="AT309" s="38">
        <f t="shared" si="44"/>
        <v>1401.7637976906037</v>
      </c>
      <c r="AW309" s="1">
        <f>(VLOOKUP(A:A,USD!A:AT,46,FALSE)*88)/88*20</f>
        <v>356.17272727272729</v>
      </c>
      <c r="AX309" s="1" t="e">
        <f>(VLOOKUP(A:A,USD!A:AU,47,FALSE)*88)/88*20</f>
        <v>#N/A</v>
      </c>
    </row>
    <row r="310" spans="1:50" hidden="1">
      <c r="A310" s="125">
        <v>937535</v>
      </c>
      <c r="B310" s="1" t="s">
        <v>695</v>
      </c>
      <c r="C310" s="1" t="s">
        <v>696</v>
      </c>
      <c r="D310" s="1" t="s">
        <v>71</v>
      </c>
      <c r="E310" s="1" t="s">
        <v>2067</v>
      </c>
      <c r="F310" s="1" t="str">
        <f>VLOOKUP(A:A,USD!A:F,6,FALSE)</f>
        <v>WTX</v>
      </c>
      <c r="G310" s="1" t="s">
        <v>439</v>
      </c>
      <c r="H310" s="1">
        <f>VLOOKUP(A:A,USD!A:R,8,FALSE)</f>
        <v>2</v>
      </c>
      <c r="I310" s="87">
        <f>(VLOOKUP($A:$A,USD!$A:$AL,9,FALSE)*88)/88*20</f>
        <v>95</v>
      </c>
      <c r="J310" s="87">
        <f>(VLOOKUP($A:$A,USD!$A:$AL,10,FALSE)*88)/88*20</f>
        <v>115</v>
      </c>
      <c r="K310" s="87">
        <f>(VLOOKUP($A:$A,USD!$A:$AL,11,FALSE)*88)/88*20</f>
        <v>195</v>
      </c>
      <c r="L310" s="87">
        <f>(VLOOKUP($A:$A,USD!$A:$AL,12,FALSE)*88)/88*20</f>
        <v>0</v>
      </c>
      <c r="M310" s="87">
        <f>(VLOOKUP($A:$A,USD!$A:$AL,13,FALSE)*88)/88*20</f>
        <v>0</v>
      </c>
      <c r="N310" s="87">
        <f>(VLOOKUP($A:$A,USD!$A:$AL,14,FALSE)*88)/88*20</f>
        <v>51.000000000000007</v>
      </c>
      <c r="O310" s="68">
        <f>(VLOOKUP($A:$A,USD!$A:$AL,15,FALSE)*88)/88*20</f>
        <v>37.916666666666671</v>
      </c>
      <c r="P310" s="87">
        <f>(VLOOKUP($A:$A,USD!$A:$AL,16,FALSE)*88)/88*20</f>
        <v>0</v>
      </c>
      <c r="Q310" s="68">
        <f t="shared" si="36"/>
        <v>493.91666666666669</v>
      </c>
      <c r="R310" s="68">
        <f t="shared" si="37"/>
        <v>283.91666666666669</v>
      </c>
      <c r="S310" s="68">
        <f>(VLOOKUP($A:$A,USD!$A:$AL,19,FALSE)*88)/88*20</f>
        <v>0</v>
      </c>
      <c r="T310" s="68">
        <f>(VLOOKUP($A:$A,USD!$A:$AL,20,FALSE)*88)/88*20</f>
        <v>0</v>
      </c>
      <c r="U310" s="68" cm="1">
        <f t="array" ref="U310">(_xlfn.XLOOKUP(1, (USD!$A:$A=$A310)*(USD!$E:$E=$E310), USD!$U:$U, "", 0)*88)/88*20</f>
        <v>284.09090909090912</v>
      </c>
      <c r="V310" s="68"/>
      <c r="W310" s="68">
        <f t="shared" si="38"/>
        <v>284.09090909090912</v>
      </c>
      <c r="X310" s="1">
        <f>(VLOOKUP($A:$A,USD!$A:$AL,24,FALSE)*88)/88*20</f>
        <v>54</v>
      </c>
      <c r="Y310" s="68">
        <f>(VLOOKUP($A:$A,USD!$A:$AL,25,FALSE)*88)/88*20</f>
        <v>50.4</v>
      </c>
      <c r="Z310" s="68">
        <f>(VLOOKUP($A:$A,USD!$A:$AL,26,FALSE)*88)/88*20</f>
        <v>26.25</v>
      </c>
      <c r="AB310" s="68">
        <f t="shared" si="39"/>
        <v>130.65</v>
      </c>
      <c r="AC310" s="68" cm="1">
        <f t="array" ref="AC310">_xlfn.XLOOKUP(A310&amp;E310, USD!$A:$A&amp;USD!$E:$E, USD!$AC:$AC, "")*20</f>
        <v>132.95454545454544</v>
      </c>
      <c r="AD310" s="68" cm="1">
        <f t="array" ref="AD310">_xlfn.XLOOKUP(A310&amp;E310, USD!$A:$A&amp;USD!$E:$E, USD!$AD:$AD, "")*20</f>
        <v>197.95454545454547</v>
      </c>
      <c r="AF310" s="68">
        <f t="shared" si="40"/>
        <v>330.90909090909088</v>
      </c>
      <c r="AG310" s="87">
        <f>(VLOOKUP($A:$A,USD!$A:$AL,33,FALSE)*88)/88*20</f>
        <v>28.814300000000003</v>
      </c>
      <c r="AH310" s="68">
        <f>(VLOOKUP($A:$A,USD!$A:$AL,34,FALSE)*88)/88*20</f>
        <v>6.973140495867769</v>
      </c>
      <c r="AI310" s="87">
        <f>(VLOOKUP($A:$A,USD!$A:$AL,35,FALSE)*88)/88*20</f>
        <v>12.587317427197677</v>
      </c>
      <c r="AJ310" s="87">
        <f>(VLOOKUP($A:$A,USD!$A:$AL,36,FALSE)*88)/88*20</f>
        <v>6.7351999999999999</v>
      </c>
      <c r="AL310" s="68">
        <f t="shared" si="41"/>
        <v>55.109957923065444</v>
      </c>
      <c r="AM310" s="87">
        <f>(VLOOKUP($A:$A,USD!$A:$AR,39,FALSE)*88)/88*20</f>
        <v>79.999999999999986</v>
      </c>
      <c r="AN310" s="68">
        <f>(VLOOKUP($A:$A,USD!$A:$AR,40,FALSE)*88)/88*20</f>
        <v>26.17808219178082</v>
      </c>
      <c r="AO310" s="1">
        <f>(VLOOKUP($A:$A,USD!$A:$AR,41,FALSE)*88)/88*20</f>
        <v>0</v>
      </c>
      <c r="AR310" s="1">
        <f t="shared" si="42"/>
        <v>106.1780821917808</v>
      </c>
      <c r="AS310" s="38">
        <f t="shared" si="43"/>
        <v>1190.8547067815127</v>
      </c>
      <c r="AT310" s="38">
        <f t="shared" si="44"/>
        <v>1400.8547067815127</v>
      </c>
      <c r="AW310" s="1">
        <f>(VLOOKUP(A:A,USD!A:AT,46,FALSE)*88)/88*20</f>
        <v>356.17272727272729</v>
      </c>
      <c r="AX310" s="1" t="e">
        <f>(VLOOKUP(A:A,USD!A:AU,47,FALSE)*88)/88*20</f>
        <v>#N/A</v>
      </c>
    </row>
    <row r="311" spans="1:50" hidden="1">
      <c r="A311" s="1">
        <v>602005</v>
      </c>
      <c r="B311" s="1" t="s">
        <v>697</v>
      </c>
      <c r="C311" s="1" t="s">
        <v>698</v>
      </c>
      <c r="D311" s="1" t="s">
        <v>136</v>
      </c>
      <c r="E311" s="1" t="str">
        <f>VLOOKUP(A:A,USD!A:E,5,FALSE)</f>
        <v>Eastern Rule 5</v>
      </c>
      <c r="F311" s="1" t="str">
        <f>VLOOKUP(A:A,USD!A:F,6,FALSE)</f>
        <v>ER5</v>
      </c>
      <c r="G311" s="1" t="str">
        <f>VLOOKUP(A:A,'Regions and Ports'!A:G,7,FALSE)</f>
        <v>Savannah</v>
      </c>
      <c r="H311" s="1">
        <f>VLOOKUP(A:A,USD!A:R,8,FALSE)</f>
        <v>1</v>
      </c>
      <c r="I311" s="87">
        <f>(VLOOKUP($A:$A,USD!$A:$AL,9,FALSE)*88)/88*20</f>
        <v>47</v>
      </c>
      <c r="J311" s="87">
        <f>(VLOOKUP($A:$A,USD!$A:$AL,10,FALSE)*88)/88*20</f>
        <v>60</v>
      </c>
      <c r="K311" s="87">
        <f>(VLOOKUP($A:$A,USD!$A:$AL,11,FALSE)*88)/88*20</f>
        <v>0</v>
      </c>
      <c r="L311" s="87">
        <f>(VLOOKUP($A:$A,USD!$A:$AL,12,FALSE)*88)/88*20</f>
        <v>0</v>
      </c>
      <c r="M311" s="87">
        <f>(VLOOKUP($A:$A,USD!$A:$AL,13,FALSE)*88)/88*20</f>
        <v>10</v>
      </c>
      <c r="N311" s="87">
        <f>(VLOOKUP($A:$A,USD!$A:$AL,14,FALSE)*88)/88*20</f>
        <v>40</v>
      </c>
      <c r="O311" s="68">
        <f>(VLOOKUP($A:$A,USD!$A:$AL,15,FALSE)*88)/88*20</f>
        <v>37.916666666666671</v>
      </c>
      <c r="P311" s="87">
        <f>(VLOOKUP($A:$A,USD!$A:$AL,16,FALSE)*88)/88*20</f>
        <v>0</v>
      </c>
      <c r="Q311" s="68">
        <f t="shared" si="36"/>
        <v>194.91666666666669</v>
      </c>
      <c r="R311" s="68">
        <f t="shared" si="37"/>
        <v>77.916666666666671</v>
      </c>
      <c r="S311" s="68">
        <f>(VLOOKUP($A:$A,USD!$A:$AL,19,FALSE)*88)/88*20</f>
        <v>0</v>
      </c>
      <c r="T311" s="68">
        <f>(VLOOKUP($A:$A,USD!$A:$AL,20,FALSE)*88)/88*20</f>
        <v>0</v>
      </c>
      <c r="U311" s="68">
        <f>(VLOOKUP($A:$A,USD!$A:$AL,21,FALSE)*88)/88*20</f>
        <v>221.28863636363636</v>
      </c>
      <c r="V311" s="68"/>
      <c r="W311" s="68">
        <f t="shared" si="38"/>
        <v>221.28863636363636</v>
      </c>
      <c r="X311" s="1">
        <f>(VLOOKUP($A:$A,USD!$A:$AL,24,FALSE)*88)/88*20</f>
        <v>52</v>
      </c>
      <c r="Y311" s="68">
        <f>(VLOOKUP($A:$A,USD!$A:$AL,25,FALSE)*88)/88*20</f>
        <v>50.4</v>
      </c>
      <c r="Z311" s="68">
        <f>(VLOOKUP($A:$A,USD!$A:$AL,26,FALSE)*88)/88*20</f>
        <v>26.25</v>
      </c>
      <c r="AB311" s="68">
        <f t="shared" si="39"/>
        <v>128.65</v>
      </c>
      <c r="AC311" s="68">
        <f>(VLOOKUP($A:$A,USD!$A:$AL,29,FALSE)*88)/88*20</f>
        <v>110.22727272727273</v>
      </c>
      <c r="AD311" s="68">
        <f>(VLOOKUP($A:$A,USD!$A:$AL,30,FALSE)*88)/88*20</f>
        <v>107.04545454545455</v>
      </c>
      <c r="AF311" s="68">
        <f t="shared" si="40"/>
        <v>217.27272727272728</v>
      </c>
      <c r="AG311" s="87">
        <f>(VLOOKUP($A:$A,USD!$A:$AL,33,FALSE)*88)/88*20</f>
        <v>28.814300000000003</v>
      </c>
      <c r="AH311" s="68">
        <f>(VLOOKUP($A:$A,USD!$A:$AL,34,FALSE)*88)/88*20</f>
        <v>6.973140495867769</v>
      </c>
      <c r="AI311" s="87">
        <f>(VLOOKUP($A:$A,USD!$A:$AL,35,FALSE)*88)/88*20</f>
        <v>12.587317427197677</v>
      </c>
      <c r="AJ311" s="87">
        <f>(VLOOKUP($A:$A,USD!$A:$AL,36,FALSE)*88)/88*20</f>
        <v>6.7351999999999999</v>
      </c>
      <c r="AL311" s="68">
        <f t="shared" si="41"/>
        <v>55.109957923065444</v>
      </c>
      <c r="AM311" s="87">
        <f>(VLOOKUP($A:$A,USD!$A:$AR,39,FALSE)*88)/88*20</f>
        <v>79.999999999999986</v>
      </c>
      <c r="AN311" s="68">
        <f>(VLOOKUP($A:$A,USD!$A:$AR,40,FALSE)*88)/88*20</f>
        <v>26.17808219178082</v>
      </c>
      <c r="AO311" s="1">
        <f>(VLOOKUP($A:$A,USD!$A:$AR,41,FALSE)*88)/88*20</f>
        <v>0</v>
      </c>
      <c r="AR311" s="1">
        <f t="shared" si="42"/>
        <v>106.1780821917808</v>
      </c>
      <c r="AS311" s="38">
        <f t="shared" si="43"/>
        <v>806.41607041787654</v>
      </c>
      <c r="AT311" s="38">
        <f t="shared" si="44"/>
        <v>923.41607041787654</v>
      </c>
      <c r="AW311" s="1" t="e">
        <f>(VLOOKUP(A:A,USD!A:AT,46,FALSE)*88)/88*20</f>
        <v>#N/A</v>
      </c>
      <c r="AX311" s="1">
        <f>(VLOOKUP(A:A,USD!A:AU,47,FALSE)*88)/88*20</f>
        <v>105.11363636363637</v>
      </c>
    </row>
    <row r="312" spans="1:50" hidden="1">
      <c r="A312" s="1">
        <v>331015</v>
      </c>
      <c r="B312" s="1" t="s">
        <v>700</v>
      </c>
      <c r="C312" s="1" t="s">
        <v>701</v>
      </c>
      <c r="D312" s="1" t="s">
        <v>76</v>
      </c>
      <c r="E312" s="1" t="str">
        <f>VLOOKUP(A:A,USD!A:E,5,FALSE)</f>
        <v>GA 30 Day</v>
      </c>
      <c r="F312" s="1" t="str">
        <f>VLOOKUP(A:A,USD!A:F,6,FALSE)</f>
        <v>ER5</v>
      </c>
      <c r="G312" s="1" t="str">
        <f>VLOOKUP(A:A,'Regions and Ports'!A:G,7,FALSE)</f>
        <v>Savannah</v>
      </c>
      <c r="H312" s="1">
        <f>VLOOKUP(A:A,USD!A:R,8,FALSE)</f>
        <v>4</v>
      </c>
      <c r="I312" s="87">
        <f>(VLOOKUP($A:$A,USD!$A:$AL,9,FALSE)*88)/88*20</f>
        <v>100</v>
      </c>
      <c r="J312" s="87">
        <f>(VLOOKUP($A:$A,USD!$A:$AL,10,FALSE)*88)/88*20</f>
        <v>100</v>
      </c>
      <c r="K312" s="87">
        <f>(VLOOKUP($A:$A,USD!$A:$AL,11,FALSE)*88)/88*20</f>
        <v>0</v>
      </c>
      <c r="L312" s="87">
        <f>(VLOOKUP($A:$A,USD!$A:$AL,12,FALSE)*88)/88*20</f>
        <v>0</v>
      </c>
      <c r="M312" s="87">
        <f>(VLOOKUP($A:$A,USD!$A:$AL,13,FALSE)*88)/88*20</f>
        <v>0</v>
      </c>
      <c r="N312" s="87">
        <f>(VLOOKUP($A:$A,USD!$A:$AL,14,FALSE)*88)/88*20</f>
        <v>50</v>
      </c>
      <c r="O312" s="68">
        <f>(VLOOKUP($A:$A,USD!$A:$AL,15,FALSE)*88)/88*20</f>
        <v>37.916666666666671</v>
      </c>
      <c r="P312" s="87">
        <f>(VLOOKUP($A:$A,USD!$A:$AL,16,FALSE)*88)/88*20</f>
        <v>0</v>
      </c>
      <c r="Q312" s="68">
        <f t="shared" si="36"/>
        <v>287.91666666666669</v>
      </c>
      <c r="R312" s="68">
        <f t="shared" si="37"/>
        <v>37.916666666666671</v>
      </c>
      <c r="S312" s="68">
        <f>(VLOOKUP($A:$A,USD!$A:$AL,19,FALSE)*88)/88*20</f>
        <v>0</v>
      </c>
      <c r="T312" s="68">
        <f>(VLOOKUP($A:$A,USD!$A:$AL,20,FALSE)*88)/88*20</f>
        <v>0</v>
      </c>
      <c r="U312" s="68">
        <f>(VLOOKUP($A:$A,USD!$A:$AL,21,FALSE)*88)/88*20</f>
        <v>198.50397727272724</v>
      </c>
      <c r="V312" s="68"/>
      <c r="W312" s="68">
        <f t="shared" si="38"/>
        <v>198.50397727272724</v>
      </c>
      <c r="X312" s="1">
        <f>(VLOOKUP($A:$A,USD!$A:$AL,24,FALSE)*88)/88*20</f>
        <v>52</v>
      </c>
      <c r="Y312" s="68">
        <f>(VLOOKUP($A:$A,USD!$A:$AL,25,FALSE)*88)/88*20</f>
        <v>50.4</v>
      </c>
      <c r="Z312" s="68">
        <f>(VLOOKUP($A:$A,USD!$A:$AL,26,FALSE)*88)/88*20</f>
        <v>26.25</v>
      </c>
      <c r="AB312" s="68">
        <f t="shared" si="39"/>
        <v>128.65</v>
      </c>
      <c r="AC312" s="68">
        <f>(VLOOKUP($A:$A,USD!$A:$AL,29,FALSE)*88)/88*20</f>
        <v>110.22727272727273</v>
      </c>
      <c r="AD312" s="68">
        <f>(VLOOKUP($A:$A,USD!$A:$AL,30,FALSE)*88)/88*20</f>
        <v>107.04545454545455</v>
      </c>
      <c r="AF312" s="68">
        <f t="shared" si="40"/>
        <v>217.27272727272728</v>
      </c>
      <c r="AG312" s="87">
        <f>(VLOOKUP($A:$A,USD!$A:$AL,33,FALSE)*88)/88*20</f>
        <v>28.814300000000003</v>
      </c>
      <c r="AH312" s="68">
        <f>(VLOOKUP($A:$A,USD!$A:$AL,34,FALSE)*88)/88*20</f>
        <v>6.973140495867769</v>
      </c>
      <c r="AI312" s="87">
        <f>(VLOOKUP($A:$A,USD!$A:$AL,35,FALSE)*88)/88*20</f>
        <v>12.587317427197677</v>
      </c>
      <c r="AJ312" s="87">
        <f>(VLOOKUP($A:$A,USD!$A:$AL,36,FALSE)*88)/88*20</f>
        <v>6.7351999999999999</v>
      </c>
      <c r="AL312" s="68">
        <f t="shared" si="41"/>
        <v>55.109957923065444</v>
      </c>
      <c r="AM312" s="87">
        <f>(VLOOKUP($A:$A,USD!$A:$AR,39,FALSE)*88)/88*20</f>
        <v>79.999999999999986</v>
      </c>
      <c r="AN312" s="68">
        <f>(VLOOKUP($A:$A,USD!$A:$AR,40,FALSE)*88)/88*20</f>
        <v>26.17808219178082</v>
      </c>
      <c r="AO312" s="1">
        <f>(VLOOKUP($A:$A,USD!$A:$AR,41,FALSE)*88)/88*20</f>
        <v>0</v>
      </c>
      <c r="AR312" s="1">
        <f t="shared" si="42"/>
        <v>106.1780821917808</v>
      </c>
      <c r="AS312" s="38">
        <f t="shared" si="43"/>
        <v>743.6314113269674</v>
      </c>
      <c r="AT312" s="38">
        <f t="shared" si="44"/>
        <v>993.6314113269674</v>
      </c>
      <c r="AW312" s="1" t="e">
        <f>(VLOOKUP(A:A,USD!A:AT,46,FALSE)*88)/88*20</f>
        <v>#N/A</v>
      </c>
      <c r="AX312" s="1">
        <f>(VLOOKUP(A:A,USD!A:AU,47,FALSE)*88)/88*20</f>
        <v>316.47727272727275</v>
      </c>
    </row>
    <row r="313" spans="1:50" hidden="1">
      <c r="A313" s="1">
        <v>937534</v>
      </c>
      <c r="B313" s="1" t="s">
        <v>702</v>
      </c>
      <c r="C313" s="1" t="s">
        <v>703</v>
      </c>
      <c r="D313" s="1" t="s">
        <v>71</v>
      </c>
      <c r="E313" s="1" t="str">
        <f>VLOOKUP(A:A,USD!A:E,5,FALSE)</f>
        <v>WTX</v>
      </c>
      <c r="F313" s="1" t="str">
        <f>VLOOKUP(A:A,USD!A:F,6,FALSE)</f>
        <v>WTX</v>
      </c>
      <c r="G313" s="1" t="str">
        <f>VLOOKUP(A:A,'Regions and Ports'!A:G,7,FALSE)</f>
        <v>Dallas</v>
      </c>
      <c r="H313" s="1">
        <f>VLOOKUP(A:A,USD!A:R,8,FALSE)</f>
        <v>2</v>
      </c>
      <c r="I313" s="87">
        <f>(VLOOKUP($A:$A,USD!$A:$AL,9,FALSE)*88)/88*20</f>
        <v>102</v>
      </c>
      <c r="J313" s="87">
        <f>(VLOOKUP($A:$A,USD!$A:$AL,10,FALSE)*88)/88*20</f>
        <v>125</v>
      </c>
      <c r="K313" s="87">
        <f>(VLOOKUP($A:$A,USD!$A:$AL,11,FALSE)*88)/88*20</f>
        <v>240</v>
      </c>
      <c r="L313" s="87">
        <f>(VLOOKUP($A:$A,USD!$A:$AL,12,FALSE)*88)/88*20</f>
        <v>0</v>
      </c>
      <c r="M313" s="87">
        <f>(VLOOKUP($A:$A,USD!$A:$AL,13,FALSE)*88)/88*20</f>
        <v>0</v>
      </c>
      <c r="N313" s="87">
        <f>(VLOOKUP($A:$A,USD!$A:$AL,14,FALSE)*88)/88*20</f>
        <v>57</v>
      </c>
      <c r="O313" s="68">
        <f>(VLOOKUP($A:$A,USD!$A:$AL,15,FALSE)*88)/88*20</f>
        <v>37.916666666666671</v>
      </c>
      <c r="P313" s="87">
        <f>(VLOOKUP($A:$A,USD!$A:$AL,16,FALSE)*88)/88*20</f>
        <v>0</v>
      </c>
      <c r="Q313" s="68">
        <f t="shared" si="36"/>
        <v>561.91666666666663</v>
      </c>
      <c r="R313" s="68">
        <f t="shared" si="37"/>
        <v>334.91666666666669</v>
      </c>
      <c r="S313" s="68">
        <f>(VLOOKUP($A:$A,USD!$A:$AL,19,FALSE)*88)/88*20</f>
        <v>0</v>
      </c>
      <c r="T313" s="68">
        <f>(VLOOKUP($A:$A,USD!$A:$AL,20,FALSE)*88)/88*20</f>
        <v>0</v>
      </c>
      <c r="U313" s="68">
        <f>(VLOOKUP($A:$A,USD!$A:$AL,21,FALSE)*88)/88*20</f>
        <v>176.70454545454547</v>
      </c>
      <c r="V313" s="68"/>
      <c r="W313" s="68">
        <f t="shared" si="38"/>
        <v>176.70454545454547</v>
      </c>
      <c r="X313" s="1">
        <f>(VLOOKUP($A:$A,USD!$A:$AL,24,FALSE)*88)/88*20</f>
        <v>54</v>
      </c>
      <c r="Y313" s="68">
        <f>(VLOOKUP($A:$A,USD!$A:$AL,25,FALSE)*88)/88*20</f>
        <v>50.4</v>
      </c>
      <c r="Z313" s="68">
        <f>(VLOOKUP($A:$A,USD!$A:$AL,26,FALSE)*88)/88*20</f>
        <v>26.25</v>
      </c>
      <c r="AB313" s="68">
        <f t="shared" si="39"/>
        <v>130.65</v>
      </c>
      <c r="AC313" s="68">
        <f>(VLOOKUP($A:$A,USD!$A:$AL,29,FALSE)*88)/88*20</f>
        <v>162.5</v>
      </c>
      <c r="AD313" s="68">
        <f>(VLOOKUP($A:$A,USD!$A:$AL,30,FALSE)*88)/88*20</f>
        <v>268.18181818181819</v>
      </c>
      <c r="AF313" s="68">
        <f t="shared" si="40"/>
        <v>430.68181818181819</v>
      </c>
      <c r="AG313" s="87">
        <f>(VLOOKUP($A:$A,USD!$A:$AL,33,FALSE)*88)/88*20</f>
        <v>28.814300000000003</v>
      </c>
      <c r="AH313" s="68">
        <f>(VLOOKUP($A:$A,USD!$A:$AL,34,FALSE)*88)/88*20</f>
        <v>6.973140495867769</v>
      </c>
      <c r="AI313" s="87">
        <f>(VLOOKUP($A:$A,USD!$A:$AL,35,FALSE)*88)/88*20</f>
        <v>12.587317427197677</v>
      </c>
      <c r="AJ313" s="87">
        <f>(VLOOKUP($A:$A,USD!$A:$AL,36,FALSE)*88)/88*20</f>
        <v>6.7351999999999999</v>
      </c>
      <c r="AL313" s="68">
        <f t="shared" si="41"/>
        <v>55.109957923065444</v>
      </c>
      <c r="AM313" s="87">
        <f>(VLOOKUP($A:$A,USD!$A:$AR,39,FALSE)*88)/88*20</f>
        <v>79.999999999999986</v>
      </c>
      <c r="AN313" s="68">
        <f>(VLOOKUP($A:$A,USD!$A:$AR,40,FALSE)*88)/88*20</f>
        <v>26.17808219178082</v>
      </c>
      <c r="AO313" s="1">
        <f>(VLOOKUP($A:$A,USD!$A:$AR,41,FALSE)*88)/88*20</f>
        <v>0</v>
      </c>
      <c r="AR313" s="1">
        <f t="shared" si="42"/>
        <v>106.1780821917808</v>
      </c>
      <c r="AS313" s="38">
        <f t="shared" si="43"/>
        <v>1234.2410704178765</v>
      </c>
      <c r="AT313" s="38">
        <f t="shared" si="44"/>
        <v>1461.2410704178765</v>
      </c>
      <c r="AW313" s="1">
        <f>(VLOOKUP(A:A,USD!A:AT,46,FALSE)*88)/88*20</f>
        <v>336.94545454545454</v>
      </c>
      <c r="AX313" s="1" t="e">
        <f>(VLOOKUP(A:A,USD!A:AU,47,FALSE)*88)/88*20</f>
        <v>#N/A</v>
      </c>
    </row>
    <row r="314" spans="1:50" hidden="1">
      <c r="A314" s="125">
        <v>937534</v>
      </c>
      <c r="B314" s="1" t="s">
        <v>702</v>
      </c>
      <c r="C314" s="1" t="s">
        <v>703</v>
      </c>
      <c r="D314" s="1" t="s">
        <v>71</v>
      </c>
      <c r="E314" s="1" t="s">
        <v>2067</v>
      </c>
      <c r="F314" s="1" t="str">
        <f>VLOOKUP(A:A,USD!A:F,6,FALSE)</f>
        <v>WTX</v>
      </c>
      <c r="G314" s="1" t="s">
        <v>439</v>
      </c>
      <c r="H314" s="1">
        <f>VLOOKUP(A:A,USD!A:R,8,FALSE)</f>
        <v>2</v>
      </c>
      <c r="I314" s="87">
        <f>(VLOOKUP($A:$A,USD!$A:$AL,9,FALSE)*88)/88*20</f>
        <v>102</v>
      </c>
      <c r="J314" s="87">
        <f>(VLOOKUP($A:$A,USD!$A:$AL,10,FALSE)*88)/88*20</f>
        <v>125</v>
      </c>
      <c r="K314" s="87">
        <f>(VLOOKUP($A:$A,USD!$A:$AL,11,FALSE)*88)/88*20</f>
        <v>240</v>
      </c>
      <c r="L314" s="87">
        <f>(VLOOKUP($A:$A,USD!$A:$AL,12,FALSE)*88)/88*20</f>
        <v>0</v>
      </c>
      <c r="M314" s="87">
        <f>(VLOOKUP($A:$A,USD!$A:$AL,13,FALSE)*88)/88*20</f>
        <v>0</v>
      </c>
      <c r="N314" s="87">
        <f>(VLOOKUP($A:$A,USD!$A:$AL,14,FALSE)*88)/88*20</f>
        <v>57</v>
      </c>
      <c r="O314" s="68">
        <f>(VLOOKUP($A:$A,USD!$A:$AL,15,FALSE)*88)/88*20</f>
        <v>37.916666666666671</v>
      </c>
      <c r="P314" s="87">
        <f>(VLOOKUP($A:$A,USD!$A:$AL,16,FALSE)*88)/88*20</f>
        <v>0</v>
      </c>
      <c r="Q314" s="68">
        <f t="shared" si="36"/>
        <v>561.91666666666663</v>
      </c>
      <c r="R314" s="68">
        <f t="shared" si="37"/>
        <v>334.91666666666669</v>
      </c>
      <c r="S314" s="68">
        <f>(VLOOKUP($A:$A,USD!$A:$AL,19,FALSE)*88)/88*20</f>
        <v>0</v>
      </c>
      <c r="T314" s="68">
        <f>(VLOOKUP($A:$A,USD!$A:$AL,20,FALSE)*88)/88*20</f>
        <v>0</v>
      </c>
      <c r="U314" s="68" cm="1">
        <f t="array" ref="U314">(_xlfn.XLOOKUP(1, (USD!$A:$A=$A314)*(USD!$E:$E=$E314), USD!$U:$U, "", 0)*88)/88*20</f>
        <v>310.34090909090912</v>
      </c>
      <c r="V314" s="68"/>
      <c r="W314" s="68">
        <f t="shared" si="38"/>
        <v>310.34090909090912</v>
      </c>
      <c r="X314" s="1">
        <f>(VLOOKUP($A:$A,USD!$A:$AL,24,FALSE)*88)/88*20</f>
        <v>54</v>
      </c>
      <c r="Y314" s="68">
        <f>(VLOOKUP($A:$A,USD!$A:$AL,25,FALSE)*88)/88*20</f>
        <v>50.4</v>
      </c>
      <c r="Z314" s="68">
        <f>(VLOOKUP($A:$A,USD!$A:$AL,26,FALSE)*88)/88*20</f>
        <v>26.25</v>
      </c>
      <c r="AB314" s="68">
        <f t="shared" si="39"/>
        <v>130.65</v>
      </c>
      <c r="AC314" s="68" cm="1">
        <f t="array" ref="AC314">_xlfn.XLOOKUP(A314&amp;E314, USD!$A:$A&amp;USD!$E:$E, USD!$AC:$AC, "")*20</f>
        <v>132.95454545454544</v>
      </c>
      <c r="AD314" s="68" cm="1">
        <f t="array" ref="AD314">_xlfn.XLOOKUP(A314&amp;E314, USD!$A:$A&amp;USD!$E:$E, USD!$AD:$AD, "")*20</f>
        <v>197.95454545454547</v>
      </c>
      <c r="AF314" s="68">
        <f t="shared" si="40"/>
        <v>330.90909090909088</v>
      </c>
      <c r="AG314" s="87">
        <f>(VLOOKUP($A:$A,USD!$A:$AL,33,FALSE)*88)/88*20</f>
        <v>28.814300000000003</v>
      </c>
      <c r="AH314" s="68">
        <f>(VLOOKUP($A:$A,USD!$A:$AL,34,FALSE)*88)/88*20</f>
        <v>6.973140495867769</v>
      </c>
      <c r="AI314" s="87">
        <f>(VLOOKUP($A:$A,USD!$A:$AL,35,FALSE)*88)/88*20</f>
        <v>12.587317427197677</v>
      </c>
      <c r="AJ314" s="87">
        <f>(VLOOKUP($A:$A,USD!$A:$AL,36,FALSE)*88)/88*20</f>
        <v>6.7351999999999999</v>
      </c>
      <c r="AL314" s="68">
        <f t="shared" si="41"/>
        <v>55.109957923065444</v>
      </c>
      <c r="AM314" s="87">
        <f>(VLOOKUP($A:$A,USD!$A:$AR,39,FALSE)*88)/88*20</f>
        <v>79.999999999999986</v>
      </c>
      <c r="AN314" s="68">
        <f>(VLOOKUP($A:$A,USD!$A:$AR,40,FALSE)*88)/88*20</f>
        <v>26.17808219178082</v>
      </c>
      <c r="AO314" s="1">
        <f>(VLOOKUP($A:$A,USD!$A:$AR,41,FALSE)*88)/88*20</f>
        <v>0</v>
      </c>
      <c r="AR314" s="1">
        <f t="shared" si="42"/>
        <v>106.1780821917808</v>
      </c>
      <c r="AS314" s="38">
        <f t="shared" si="43"/>
        <v>1268.1047067815127</v>
      </c>
      <c r="AT314" s="38">
        <f t="shared" si="44"/>
        <v>1495.1047067815127</v>
      </c>
      <c r="AW314" s="1">
        <f>(VLOOKUP(A:A,USD!A:AT,46,FALSE)*88)/88*20</f>
        <v>336.94545454545454</v>
      </c>
      <c r="AX314" s="1" t="e">
        <f>(VLOOKUP(A:A,USD!A:AU,47,FALSE)*88)/88*20</f>
        <v>#N/A</v>
      </c>
    </row>
    <row r="315" spans="1:50" hidden="1">
      <c r="A315" s="1">
        <v>797660</v>
      </c>
      <c r="B315" s="1" t="s">
        <v>705</v>
      </c>
      <c r="C315" s="1" t="s">
        <v>706</v>
      </c>
      <c r="D315" s="1" t="s">
        <v>168</v>
      </c>
      <c r="E315" s="1" t="str">
        <f>VLOOKUP(A:A,USD!A:E,5,FALSE)</f>
        <v>Memphis Rule 5</v>
      </c>
      <c r="F315" s="1" t="str">
        <f>VLOOKUP(A:A,USD!A:F,6,FALSE)</f>
        <v>MR5</v>
      </c>
      <c r="G315" s="1" t="str">
        <f>VLOOKUP(A:A,'Regions and Ports'!A:G,7,FALSE)</f>
        <v>Memphis</v>
      </c>
      <c r="H315" s="1">
        <f>VLOOKUP(A:A,USD!A:R,8,FALSE)</f>
        <v>1</v>
      </c>
      <c r="I315" s="87">
        <f>(VLOOKUP($A:$A,USD!$A:$AL,9,FALSE)*88)/88*20</f>
        <v>28</v>
      </c>
      <c r="J315" s="87">
        <f>(VLOOKUP($A:$A,USD!$A:$AL,10,FALSE)*88)/88*20</f>
        <v>242</v>
      </c>
      <c r="K315" s="87">
        <f>(VLOOKUP($A:$A,USD!$A:$AL,11,FALSE)*88)/88*20</f>
        <v>0</v>
      </c>
      <c r="L315" s="87">
        <f>(VLOOKUP($A:$A,USD!$A:$AL,12,FALSE)*88)/88*20</f>
        <v>61</v>
      </c>
      <c r="M315" s="87">
        <f>(VLOOKUP($A:$A,USD!$A:$AL,13,FALSE)*88)/88*20</f>
        <v>10</v>
      </c>
      <c r="N315" s="87">
        <f>(VLOOKUP($A:$A,USD!$A:$AL,14,FALSE)*88)/88*20</f>
        <v>72</v>
      </c>
      <c r="O315" s="68">
        <f>(VLOOKUP($A:$A,USD!$A:$AL,15,FALSE)*88)/88*20</f>
        <v>37.916666666666671</v>
      </c>
      <c r="P315" s="87">
        <f>(VLOOKUP($A:$A,USD!$A:$AL,16,FALSE)*88)/88*20</f>
        <v>0</v>
      </c>
      <c r="Q315" s="68">
        <f t="shared" si="36"/>
        <v>450.91666666666669</v>
      </c>
      <c r="R315" s="68">
        <f t="shared" si="37"/>
        <v>109.91666666666667</v>
      </c>
      <c r="S315" s="68">
        <f>(VLOOKUP($A:$A,USD!$A:$AL,19,FALSE)*88)/88*20</f>
        <v>0</v>
      </c>
      <c r="T315" s="68">
        <f>(VLOOKUP($A:$A,USD!$A:$AL,20,FALSE)*88)/88*20</f>
        <v>0</v>
      </c>
      <c r="U315" s="68">
        <f>(VLOOKUP($A:$A,USD!$A:$AL,21,FALSE)*88)/88*20</f>
        <v>190.34090909090909</v>
      </c>
      <c r="V315" s="68"/>
      <c r="W315" s="68">
        <f t="shared" si="38"/>
        <v>190.34090909090909</v>
      </c>
      <c r="X315" s="1">
        <f>(VLOOKUP($A:$A,USD!$A:$AL,24,FALSE)*88)/88*20</f>
        <v>50</v>
      </c>
      <c r="Y315" s="68">
        <f>(VLOOKUP($A:$A,USD!$A:$AL,25,FALSE)*88)/88*20</f>
        <v>33.6</v>
      </c>
      <c r="Z315" s="68">
        <f>(VLOOKUP($A:$A,USD!$A:$AL,26,FALSE)*88)/88*20</f>
        <v>26.25</v>
      </c>
      <c r="AB315" s="68">
        <f t="shared" si="39"/>
        <v>109.85</v>
      </c>
      <c r="AC315" s="68">
        <f>(VLOOKUP($A:$A,USD!$A:$AL,29,FALSE)*88)/88*20</f>
        <v>146.02272727272725</v>
      </c>
      <c r="AD315" s="68">
        <f>(VLOOKUP($A:$A,USD!$A:$AL,30,FALSE)*88)/88*20</f>
        <v>182.72727272727275</v>
      </c>
      <c r="AF315" s="68">
        <f t="shared" si="40"/>
        <v>328.75</v>
      </c>
      <c r="AG315" s="87">
        <f>(VLOOKUP($A:$A,USD!$A:$AL,33,FALSE)*88)/88*20</f>
        <v>28.814300000000003</v>
      </c>
      <c r="AH315" s="68">
        <f>(VLOOKUP($A:$A,USD!$A:$AL,34,FALSE)*88)/88*20</f>
        <v>6.973140495867769</v>
      </c>
      <c r="AI315" s="87">
        <f>(VLOOKUP($A:$A,USD!$A:$AL,35,FALSE)*88)/88*20</f>
        <v>12.587317427197677</v>
      </c>
      <c r="AJ315" s="87">
        <f>(VLOOKUP($A:$A,USD!$A:$AL,36,FALSE)*88)/88*20</f>
        <v>6.7351999999999999</v>
      </c>
      <c r="AL315" s="68">
        <f t="shared" si="41"/>
        <v>55.109957923065444</v>
      </c>
      <c r="AM315" s="87">
        <f>(VLOOKUP($A:$A,USD!$A:$AR,39,FALSE)*88)/88*20</f>
        <v>79.999999999999986</v>
      </c>
      <c r="AN315" s="68">
        <f>(VLOOKUP($A:$A,USD!$A:$AR,40,FALSE)*88)/88*20</f>
        <v>26.17808219178082</v>
      </c>
      <c r="AO315" s="1">
        <f>(VLOOKUP($A:$A,USD!$A:$AR,41,FALSE)*88)/88*20</f>
        <v>0</v>
      </c>
      <c r="AR315" s="1">
        <f t="shared" si="42"/>
        <v>106.1780821917808</v>
      </c>
      <c r="AS315" s="38">
        <f t="shared" si="43"/>
        <v>900.14561587242201</v>
      </c>
      <c r="AT315" s="38">
        <f t="shared" si="44"/>
        <v>1241.145615872422</v>
      </c>
      <c r="AW315" s="1">
        <f>(VLOOKUP(A:A,USD!A:AT,46,FALSE)*88)/88*20</f>
        <v>538.19090909090914</v>
      </c>
      <c r="AX315" s="1">
        <f>(VLOOKUP(A:A,USD!A:AU,47,FALSE)*88)/88*20</f>
        <v>417.0454545454545</v>
      </c>
    </row>
    <row r="316" spans="1:50" hidden="1">
      <c r="A316" s="1">
        <v>417205</v>
      </c>
      <c r="B316" s="1" t="s">
        <v>707</v>
      </c>
      <c r="C316" s="1" t="s">
        <v>708</v>
      </c>
      <c r="D316" s="1" t="s">
        <v>80</v>
      </c>
      <c r="E316" s="1" t="str">
        <f>VLOOKUP(A:A,USD!A:E,5,FALSE)</f>
        <v>Memphis Rule 5</v>
      </c>
      <c r="F316" s="1" t="str">
        <f>VLOOKUP(A:A,USD!A:F,6,FALSE)</f>
        <v>MR5</v>
      </c>
      <c r="G316" s="1" t="str">
        <f>VLOOKUP(A:A,'Regions and Ports'!A:G,7,FALSE)</f>
        <v>Houston</v>
      </c>
      <c r="H316" s="1">
        <f>VLOOKUP(A:A,USD!A:R,8,FALSE)</f>
        <v>1</v>
      </c>
      <c r="I316" s="87">
        <f>(VLOOKUP($A:$A,USD!$A:$AL,9,FALSE)*88)/88*20</f>
        <v>70</v>
      </c>
      <c r="J316" s="87">
        <f>(VLOOKUP($A:$A,USD!$A:$AL,10,FALSE)*88)/88*20</f>
        <v>160</v>
      </c>
      <c r="K316" s="87">
        <f>(VLOOKUP($A:$A,USD!$A:$AL,11,FALSE)*88)/88*20</f>
        <v>0</v>
      </c>
      <c r="L316" s="87">
        <f>(VLOOKUP($A:$A,USD!$A:$AL,12,FALSE)*88)/88*20</f>
        <v>0</v>
      </c>
      <c r="M316" s="87">
        <f>(VLOOKUP($A:$A,USD!$A:$AL,13,FALSE)*88)/88*20</f>
        <v>0</v>
      </c>
      <c r="N316" s="87">
        <f>(VLOOKUP($A:$A,USD!$A:$AL,14,FALSE)*88)/88*20</f>
        <v>60</v>
      </c>
      <c r="O316" s="68">
        <f>(VLOOKUP($A:$A,USD!$A:$AL,15,FALSE)*88)/88*20</f>
        <v>37.916666666666671</v>
      </c>
      <c r="P316" s="87">
        <f>(VLOOKUP($A:$A,USD!$A:$AL,16,FALSE)*88)/88*20</f>
        <v>0</v>
      </c>
      <c r="Q316" s="68">
        <f t="shared" si="36"/>
        <v>327.91666666666669</v>
      </c>
      <c r="R316" s="68">
        <f t="shared" si="37"/>
        <v>97.916666666666671</v>
      </c>
      <c r="S316" s="68">
        <f>(VLOOKUP($A:$A,USD!$A:$AL,19,FALSE)*88)/88*20</f>
        <v>0</v>
      </c>
      <c r="T316" s="68">
        <f>(VLOOKUP($A:$A,USD!$A:$AL,20,FALSE)*88)/88*20</f>
        <v>0</v>
      </c>
      <c r="U316" s="68">
        <f>(VLOOKUP($A:$A,USD!$A:$AL,21,FALSE)*88)/88*20</f>
        <v>318.18181818181819</v>
      </c>
      <c r="V316" s="68"/>
      <c r="W316" s="68">
        <f t="shared" si="38"/>
        <v>318.18181818181819</v>
      </c>
      <c r="X316" s="1">
        <f>(VLOOKUP($A:$A,USD!$A:$AL,24,FALSE)*88)/88*20</f>
        <v>54</v>
      </c>
      <c r="Y316" s="68">
        <f>(VLOOKUP($A:$A,USD!$A:$AL,25,FALSE)*88)/88*20</f>
        <v>50.4</v>
      </c>
      <c r="Z316" s="68">
        <f>(VLOOKUP($A:$A,USD!$A:$AL,26,FALSE)*88)/88*20</f>
        <v>26.25</v>
      </c>
      <c r="AB316" s="68">
        <f t="shared" si="39"/>
        <v>130.65</v>
      </c>
      <c r="AC316" s="68">
        <f>(VLOOKUP($A:$A,USD!$A:$AL,29,FALSE)*88)/88*20</f>
        <v>132.95454545454544</v>
      </c>
      <c r="AD316" s="68">
        <f>(VLOOKUP($A:$A,USD!$A:$AL,30,FALSE)*88)/88*20</f>
        <v>197.95454545454547</v>
      </c>
      <c r="AF316" s="68">
        <f t="shared" si="40"/>
        <v>330.90909090909088</v>
      </c>
      <c r="AG316" s="87">
        <f>(VLOOKUP($A:$A,USD!$A:$AL,33,FALSE)*88)/88*20</f>
        <v>28.814300000000003</v>
      </c>
      <c r="AH316" s="68">
        <f>(VLOOKUP($A:$A,USD!$A:$AL,34,FALSE)*88)/88*20</f>
        <v>6.973140495867769</v>
      </c>
      <c r="AI316" s="87">
        <f>(VLOOKUP($A:$A,USD!$A:$AL,35,FALSE)*88)/88*20</f>
        <v>12.587317427197677</v>
      </c>
      <c r="AJ316" s="87">
        <f>(VLOOKUP($A:$A,USD!$A:$AL,36,FALSE)*88)/88*20</f>
        <v>6.7351999999999999</v>
      </c>
      <c r="AL316" s="68">
        <f t="shared" si="41"/>
        <v>55.109957923065444</v>
      </c>
      <c r="AM316" s="87">
        <f>(VLOOKUP($A:$A,USD!$A:$AR,39,FALSE)*88)/88*20</f>
        <v>79.999999999999986</v>
      </c>
      <c r="AN316" s="68">
        <f>(VLOOKUP($A:$A,USD!$A:$AR,40,FALSE)*88)/88*20</f>
        <v>26.17808219178082</v>
      </c>
      <c r="AO316" s="1">
        <f>(VLOOKUP($A:$A,USD!$A:$AR,41,FALSE)*88)/88*20</f>
        <v>0</v>
      </c>
      <c r="AR316" s="1">
        <f t="shared" si="42"/>
        <v>106.1780821917808</v>
      </c>
      <c r="AS316" s="38">
        <f t="shared" si="43"/>
        <v>1038.945615872422</v>
      </c>
      <c r="AT316" s="38">
        <f t="shared" si="44"/>
        <v>1268.9456158724217</v>
      </c>
      <c r="AW316" s="1" t="e">
        <f>(VLOOKUP(A:A,USD!A:AT,46,FALSE)*88)/88*20</f>
        <v>#N/A</v>
      </c>
      <c r="AX316" s="1" t="e">
        <f>(VLOOKUP(A:A,USD!A:AU,47,FALSE)*88)/88*20</f>
        <v>#N/A</v>
      </c>
    </row>
    <row r="317" spans="1:50" hidden="1">
      <c r="A317" s="1">
        <v>754585</v>
      </c>
      <c r="B317" s="1" t="s">
        <v>710</v>
      </c>
      <c r="C317" s="1" t="s">
        <v>711</v>
      </c>
      <c r="D317" s="1" t="s">
        <v>132</v>
      </c>
      <c r="E317" s="1" t="str">
        <f>VLOOKUP(A:A,USD!A:E,5,FALSE)</f>
        <v>Eastern Rule 5</v>
      </c>
      <c r="F317" s="1" t="str">
        <f>VLOOKUP(A:A,USD!A:F,6,FALSE)</f>
        <v>ER5</v>
      </c>
      <c r="G317" s="1" t="str">
        <f>VLOOKUP(A:A,'Regions and Ports'!A:G,7,FALSE)</f>
        <v>Savannah</v>
      </c>
      <c r="H317" s="1">
        <f>VLOOKUP(A:A,USD!A:R,8,FALSE)</f>
        <v>1</v>
      </c>
      <c r="I317" s="87">
        <f>(VLOOKUP($A:$A,USD!$A:$AL,9,FALSE)*88)/88*20</f>
        <v>70</v>
      </c>
      <c r="J317" s="87">
        <f>(VLOOKUP($A:$A,USD!$A:$AL,10,FALSE)*88)/88*20</f>
        <v>90</v>
      </c>
      <c r="K317" s="87">
        <f>(VLOOKUP($A:$A,USD!$A:$AL,11,FALSE)*88)/88*20</f>
        <v>0</v>
      </c>
      <c r="L317" s="87">
        <f>(VLOOKUP($A:$A,USD!$A:$AL,12,FALSE)*88)/88*20</f>
        <v>0</v>
      </c>
      <c r="M317" s="87">
        <f>(VLOOKUP($A:$A,USD!$A:$AL,13,FALSE)*88)/88*20</f>
        <v>10</v>
      </c>
      <c r="N317" s="87">
        <f>(VLOOKUP($A:$A,USD!$A:$AL,14,FALSE)*88)/88*20</f>
        <v>49.2</v>
      </c>
      <c r="O317" s="68">
        <f>(VLOOKUP($A:$A,USD!$A:$AL,15,FALSE)*88)/88*20</f>
        <v>37.916666666666671</v>
      </c>
      <c r="P317" s="87">
        <f>(VLOOKUP($A:$A,USD!$A:$AL,16,FALSE)*88)/88*20</f>
        <v>0</v>
      </c>
      <c r="Q317" s="68">
        <f t="shared" si="36"/>
        <v>257.11666666666667</v>
      </c>
      <c r="R317" s="68">
        <f t="shared" si="37"/>
        <v>87.116666666666674</v>
      </c>
      <c r="S317" s="68">
        <f>(VLOOKUP($A:$A,USD!$A:$AL,19,FALSE)*88)/88*20</f>
        <v>0</v>
      </c>
      <c r="T317" s="68">
        <f>(VLOOKUP($A:$A,USD!$A:$AL,20,FALSE)*88)/88*20</f>
        <v>0</v>
      </c>
      <c r="U317" s="68">
        <f>(VLOOKUP($A:$A,USD!$A:$AL,21,FALSE)*88)/88*20</f>
        <v>166.39204545454547</v>
      </c>
      <c r="V317" s="68"/>
      <c r="W317" s="68">
        <f t="shared" si="38"/>
        <v>166.39204545454547</v>
      </c>
      <c r="X317" s="1">
        <f>(VLOOKUP($A:$A,USD!$A:$AL,24,FALSE)*88)/88*20</f>
        <v>52</v>
      </c>
      <c r="Y317" s="68">
        <f>(VLOOKUP($A:$A,USD!$A:$AL,25,FALSE)*88)/88*20</f>
        <v>50.4</v>
      </c>
      <c r="Z317" s="68">
        <f>(VLOOKUP($A:$A,USD!$A:$AL,26,FALSE)*88)/88*20</f>
        <v>26.25</v>
      </c>
      <c r="AB317" s="68">
        <f t="shared" si="39"/>
        <v>128.65</v>
      </c>
      <c r="AC317" s="68">
        <f>(VLOOKUP($A:$A,USD!$A:$AL,29,FALSE)*88)/88*20</f>
        <v>110.22727272727273</v>
      </c>
      <c r="AD317" s="68">
        <f>(VLOOKUP($A:$A,USD!$A:$AL,30,FALSE)*88)/88*20</f>
        <v>107.04545454545455</v>
      </c>
      <c r="AF317" s="68">
        <f t="shared" si="40"/>
        <v>217.27272727272728</v>
      </c>
      <c r="AG317" s="87">
        <f>(VLOOKUP($A:$A,USD!$A:$AL,33,FALSE)*88)/88*20</f>
        <v>28.814300000000003</v>
      </c>
      <c r="AH317" s="68">
        <f>(VLOOKUP($A:$A,USD!$A:$AL,34,FALSE)*88)/88*20</f>
        <v>6.973140495867769</v>
      </c>
      <c r="AI317" s="87">
        <f>(VLOOKUP($A:$A,USD!$A:$AL,35,FALSE)*88)/88*20</f>
        <v>12.587317427197677</v>
      </c>
      <c r="AJ317" s="87">
        <f>(VLOOKUP($A:$A,USD!$A:$AL,36,FALSE)*88)/88*20</f>
        <v>6.7351999999999999</v>
      </c>
      <c r="AL317" s="68">
        <f t="shared" si="41"/>
        <v>55.109957923065444</v>
      </c>
      <c r="AM317" s="87">
        <f>(VLOOKUP($A:$A,USD!$A:$AR,39,FALSE)*88)/88*20</f>
        <v>79.999999999999986</v>
      </c>
      <c r="AN317" s="68">
        <f>(VLOOKUP($A:$A,USD!$A:$AR,40,FALSE)*88)/88*20</f>
        <v>26.17808219178082</v>
      </c>
      <c r="AO317" s="1">
        <f>(VLOOKUP($A:$A,USD!$A:$AR,41,FALSE)*88)/88*20</f>
        <v>0</v>
      </c>
      <c r="AR317" s="1">
        <f t="shared" si="42"/>
        <v>106.1780821917808</v>
      </c>
      <c r="AS317" s="38">
        <f t="shared" si="43"/>
        <v>760.71947950878564</v>
      </c>
      <c r="AT317" s="38">
        <f t="shared" si="44"/>
        <v>930.71947950878564</v>
      </c>
      <c r="AW317" s="1" t="e">
        <f>(VLOOKUP(A:A,USD!A:AT,46,FALSE)*88)/88*20</f>
        <v>#N/A</v>
      </c>
      <c r="AX317" s="1" t="e">
        <f>(VLOOKUP(A:A,USD!A:AU,47,FALSE)*88)/88*20</f>
        <v>#N/A</v>
      </c>
    </row>
    <row r="318" spans="1:50" hidden="1">
      <c r="A318" s="1">
        <v>867017</v>
      </c>
      <c r="B318" s="1" t="s">
        <v>712</v>
      </c>
      <c r="C318" s="1" t="s">
        <v>713</v>
      </c>
      <c r="D318" s="1" t="s">
        <v>71</v>
      </c>
      <c r="E318" s="1" t="str">
        <f>VLOOKUP(A:A,USD!A:E,5,FALSE)</f>
        <v>WTX</v>
      </c>
      <c r="F318" s="1" t="str">
        <f>VLOOKUP(A:A,USD!A:F,6,FALSE)</f>
        <v>WTX</v>
      </c>
      <c r="G318" s="1" t="str">
        <f>VLOOKUP(A:A,'Regions and Ports'!A:G,7,FALSE)</f>
        <v>Dallas</v>
      </c>
      <c r="H318" s="1">
        <f>VLOOKUP(A:A,USD!A:R,8,FALSE)</f>
        <v>2</v>
      </c>
      <c r="I318" s="87">
        <f>(VLOOKUP($A:$A,USD!$A:$AL,9,FALSE)*88)/88*20</f>
        <v>100</v>
      </c>
      <c r="J318" s="87">
        <f>(VLOOKUP($A:$A,USD!$A:$AL,10,FALSE)*88)/88*20</f>
        <v>125</v>
      </c>
      <c r="K318" s="87">
        <f>(VLOOKUP($A:$A,USD!$A:$AL,11,FALSE)*88)/88*20</f>
        <v>205</v>
      </c>
      <c r="L318" s="87">
        <f>(VLOOKUP($A:$A,USD!$A:$AL,12,FALSE)*88)/88*20</f>
        <v>0</v>
      </c>
      <c r="M318" s="87">
        <f>(VLOOKUP($A:$A,USD!$A:$AL,13,FALSE)*88)/88*20</f>
        <v>0</v>
      </c>
      <c r="N318" s="87">
        <f>(VLOOKUP($A:$A,USD!$A:$AL,14,FALSE)*88)/88*20</f>
        <v>50</v>
      </c>
      <c r="O318" s="68">
        <f>(VLOOKUP($A:$A,USD!$A:$AL,15,FALSE)*88)/88*20</f>
        <v>37.916666666666671</v>
      </c>
      <c r="P318" s="87">
        <f>(VLOOKUP($A:$A,USD!$A:$AL,16,FALSE)*88)/88*20</f>
        <v>0</v>
      </c>
      <c r="Q318" s="68">
        <f t="shared" si="36"/>
        <v>517.91666666666663</v>
      </c>
      <c r="R318" s="68">
        <f t="shared" si="37"/>
        <v>292.91666666666669</v>
      </c>
      <c r="S318" s="68">
        <f>(VLOOKUP($A:$A,USD!$A:$AL,19,FALSE)*88)/88*20</f>
        <v>0</v>
      </c>
      <c r="T318" s="68">
        <f>(VLOOKUP($A:$A,USD!$A:$AL,20,FALSE)*88)/88*20</f>
        <v>0</v>
      </c>
      <c r="U318" s="68">
        <f>(VLOOKUP($A:$A,USD!$A:$AL,21,FALSE)*88)/88*20</f>
        <v>147.72727272727275</v>
      </c>
      <c r="V318" s="68"/>
      <c r="W318" s="68">
        <f t="shared" si="38"/>
        <v>147.72727272727275</v>
      </c>
      <c r="X318" s="1">
        <f>(VLOOKUP($A:$A,USD!$A:$AL,24,FALSE)*88)/88*20</f>
        <v>54</v>
      </c>
      <c r="Y318" s="68">
        <f>(VLOOKUP($A:$A,USD!$A:$AL,25,FALSE)*88)/88*20</f>
        <v>50.4</v>
      </c>
      <c r="Z318" s="68">
        <f>(VLOOKUP($A:$A,USD!$A:$AL,26,FALSE)*88)/88*20</f>
        <v>26.25</v>
      </c>
      <c r="AB318" s="68">
        <f t="shared" si="39"/>
        <v>130.65</v>
      </c>
      <c r="AC318" s="68">
        <f>(VLOOKUP($A:$A,USD!$A:$AL,29,FALSE)*88)/88*20</f>
        <v>162.5</v>
      </c>
      <c r="AD318" s="68">
        <f>(VLOOKUP($A:$A,USD!$A:$AL,30,FALSE)*88)/88*20</f>
        <v>268.18181818181819</v>
      </c>
      <c r="AF318" s="68">
        <f t="shared" si="40"/>
        <v>430.68181818181819</v>
      </c>
      <c r="AG318" s="87">
        <f>(VLOOKUP($A:$A,USD!$A:$AL,33,FALSE)*88)/88*20</f>
        <v>28.814300000000003</v>
      </c>
      <c r="AH318" s="68">
        <f>(VLOOKUP($A:$A,USD!$A:$AL,34,FALSE)*88)/88*20</f>
        <v>6.973140495867769</v>
      </c>
      <c r="AI318" s="87">
        <f>(VLOOKUP($A:$A,USD!$A:$AL,35,FALSE)*88)/88*20</f>
        <v>12.587317427197677</v>
      </c>
      <c r="AJ318" s="87">
        <f>(VLOOKUP($A:$A,USD!$A:$AL,36,FALSE)*88)/88*20</f>
        <v>6.7351999999999999</v>
      </c>
      <c r="AL318" s="68">
        <f t="shared" si="41"/>
        <v>55.109957923065444</v>
      </c>
      <c r="AM318" s="87">
        <f>(VLOOKUP($A:$A,USD!$A:$AR,39,FALSE)*88)/88*20</f>
        <v>79.999999999999986</v>
      </c>
      <c r="AN318" s="68">
        <f>(VLOOKUP($A:$A,USD!$A:$AR,40,FALSE)*88)/88*20</f>
        <v>26.17808219178082</v>
      </c>
      <c r="AO318" s="1">
        <f>(VLOOKUP($A:$A,USD!$A:$AR,41,FALSE)*88)/88*20</f>
        <v>0</v>
      </c>
      <c r="AR318" s="1">
        <f t="shared" si="42"/>
        <v>106.1780821917808</v>
      </c>
      <c r="AS318" s="38">
        <f t="shared" si="43"/>
        <v>1163.2637976906037</v>
      </c>
      <c r="AT318" s="38">
        <f t="shared" si="44"/>
        <v>1388.2637976906037</v>
      </c>
      <c r="AW318" s="1" t="e">
        <f>(VLOOKUP(A:A,USD!A:AT,46,FALSE)*88)/88*20</f>
        <v>#N/A</v>
      </c>
      <c r="AX318" s="1" t="e">
        <f>(VLOOKUP(A:A,USD!A:AU,47,FALSE)*88)/88*20</f>
        <v>#N/A</v>
      </c>
    </row>
    <row r="319" spans="1:50" hidden="1">
      <c r="A319" s="125">
        <v>867017</v>
      </c>
      <c r="B319" s="1" t="s">
        <v>712</v>
      </c>
      <c r="C319" s="1" t="s">
        <v>713</v>
      </c>
      <c r="D319" s="1" t="s">
        <v>71</v>
      </c>
      <c r="E319" s="1" t="s">
        <v>2067</v>
      </c>
      <c r="F319" s="1" t="str">
        <f>VLOOKUP(A:A,USD!A:F,6,FALSE)</f>
        <v>WTX</v>
      </c>
      <c r="G319" s="1" t="s">
        <v>439</v>
      </c>
      <c r="H319" s="1">
        <f>VLOOKUP(A:A,USD!A:R,8,FALSE)</f>
        <v>2</v>
      </c>
      <c r="I319" s="87">
        <f>(VLOOKUP($A:$A,USD!$A:$AL,9,FALSE)*88)/88*20</f>
        <v>100</v>
      </c>
      <c r="J319" s="87">
        <f>(VLOOKUP($A:$A,USD!$A:$AL,10,FALSE)*88)/88*20</f>
        <v>125</v>
      </c>
      <c r="K319" s="87">
        <f>(VLOOKUP($A:$A,USD!$A:$AL,11,FALSE)*88)/88*20</f>
        <v>205</v>
      </c>
      <c r="L319" s="87">
        <f>(VLOOKUP($A:$A,USD!$A:$AL,12,FALSE)*88)/88*20</f>
        <v>0</v>
      </c>
      <c r="M319" s="87">
        <f>(VLOOKUP($A:$A,USD!$A:$AL,13,FALSE)*88)/88*20</f>
        <v>0</v>
      </c>
      <c r="N319" s="87">
        <f>(VLOOKUP($A:$A,USD!$A:$AL,14,FALSE)*88)/88*20</f>
        <v>50</v>
      </c>
      <c r="O319" s="68">
        <f>(VLOOKUP($A:$A,USD!$A:$AL,15,FALSE)*88)/88*20</f>
        <v>37.916666666666671</v>
      </c>
      <c r="P319" s="87">
        <f>(VLOOKUP($A:$A,USD!$A:$AL,16,FALSE)*88)/88*20</f>
        <v>0</v>
      </c>
      <c r="Q319" s="68">
        <f t="shared" si="36"/>
        <v>517.91666666666663</v>
      </c>
      <c r="R319" s="68">
        <f t="shared" si="37"/>
        <v>292.91666666666669</v>
      </c>
      <c r="S319" s="68">
        <f>(VLOOKUP($A:$A,USD!$A:$AL,19,FALSE)*88)/88*20</f>
        <v>0</v>
      </c>
      <c r="T319" s="68">
        <f>(VLOOKUP($A:$A,USD!$A:$AL,20,FALSE)*88)/88*20</f>
        <v>0</v>
      </c>
      <c r="U319" s="68" cm="1">
        <f t="array" ref="U319">(_xlfn.XLOOKUP(1, (USD!$A:$A=$A319)*(USD!$E:$E=$E319), USD!$U:$U, "", 0)*88)/88*20</f>
        <v>293.63636363636363</v>
      </c>
      <c r="V319" s="68"/>
      <c r="W319" s="68">
        <f t="shared" si="38"/>
        <v>293.63636363636363</v>
      </c>
      <c r="X319" s="1">
        <f>(VLOOKUP($A:$A,USD!$A:$AL,24,FALSE)*88)/88*20</f>
        <v>54</v>
      </c>
      <c r="Y319" s="68">
        <f>(VLOOKUP($A:$A,USD!$A:$AL,25,FALSE)*88)/88*20</f>
        <v>50.4</v>
      </c>
      <c r="Z319" s="68">
        <f>(VLOOKUP($A:$A,USD!$A:$AL,26,FALSE)*88)/88*20</f>
        <v>26.25</v>
      </c>
      <c r="AB319" s="68">
        <f t="shared" si="39"/>
        <v>130.65</v>
      </c>
      <c r="AC319" s="68" cm="1">
        <f t="array" ref="AC319">_xlfn.XLOOKUP(A319&amp;E319, USD!$A:$A&amp;USD!$E:$E, USD!$AC:$AC, "")*20</f>
        <v>132.95454545454544</v>
      </c>
      <c r="AD319" s="68" cm="1">
        <f t="array" ref="AD319">_xlfn.XLOOKUP(A319&amp;E319, USD!$A:$A&amp;USD!$E:$E, USD!$AD:$AD, "")*20</f>
        <v>197.95454545454547</v>
      </c>
      <c r="AF319" s="68">
        <f t="shared" si="40"/>
        <v>330.90909090909088</v>
      </c>
      <c r="AG319" s="87">
        <f>(VLOOKUP($A:$A,USD!$A:$AL,33,FALSE)*88)/88*20</f>
        <v>28.814300000000003</v>
      </c>
      <c r="AH319" s="68">
        <f>(VLOOKUP($A:$A,USD!$A:$AL,34,FALSE)*88)/88*20</f>
        <v>6.973140495867769</v>
      </c>
      <c r="AI319" s="87">
        <f>(VLOOKUP($A:$A,USD!$A:$AL,35,FALSE)*88)/88*20</f>
        <v>12.587317427197677</v>
      </c>
      <c r="AJ319" s="87">
        <f>(VLOOKUP($A:$A,USD!$A:$AL,36,FALSE)*88)/88*20</f>
        <v>6.7351999999999999</v>
      </c>
      <c r="AL319" s="68">
        <f t="shared" si="41"/>
        <v>55.109957923065444</v>
      </c>
      <c r="AM319" s="87">
        <f>(VLOOKUP($A:$A,USD!$A:$AR,39,FALSE)*88)/88*20</f>
        <v>79.999999999999986</v>
      </c>
      <c r="AN319" s="68">
        <f>(VLOOKUP($A:$A,USD!$A:$AR,40,FALSE)*88)/88*20</f>
        <v>26.17808219178082</v>
      </c>
      <c r="AO319" s="1">
        <f>(VLOOKUP($A:$A,USD!$A:$AR,41,FALSE)*88)/88*20</f>
        <v>0</v>
      </c>
      <c r="AR319" s="1">
        <f t="shared" si="42"/>
        <v>106.1780821917808</v>
      </c>
      <c r="AS319" s="38">
        <f t="shared" si="43"/>
        <v>1209.4001613269672</v>
      </c>
      <c r="AT319" s="38">
        <f t="shared" si="44"/>
        <v>1434.4001613269672</v>
      </c>
      <c r="AW319" s="1" t="e">
        <f>(VLOOKUP(A:A,USD!A:AT,46,FALSE)*88)/88*20</f>
        <v>#N/A</v>
      </c>
      <c r="AX319" s="1" t="e">
        <f>(VLOOKUP(A:A,USD!A:AU,47,FALSE)*88)/88*20</f>
        <v>#N/A</v>
      </c>
    </row>
    <row r="320" spans="1:50" hidden="1">
      <c r="A320" s="1">
        <v>935002</v>
      </c>
      <c r="B320" s="1" t="s">
        <v>714</v>
      </c>
      <c r="C320" s="1" t="s">
        <v>715</v>
      </c>
      <c r="D320" s="1" t="s">
        <v>71</v>
      </c>
      <c r="E320" s="1" t="str">
        <f>VLOOKUP(A:A,USD!A:E,5,FALSE)</f>
        <v>WTX</v>
      </c>
      <c r="F320" s="1" t="str">
        <f>VLOOKUP(A:A,USD!A:F,6,FALSE)</f>
        <v>WTX</v>
      </c>
      <c r="G320" s="1" t="str">
        <f>VLOOKUP(A:A,'Regions and Ports'!A:G,7,FALSE)</f>
        <v>Dallas</v>
      </c>
      <c r="H320" s="1">
        <f>VLOOKUP(A:A,USD!A:R,8,FALSE)</f>
        <v>2</v>
      </c>
      <c r="I320" s="87">
        <f>(VLOOKUP($A:$A,USD!$A:$AL,9,FALSE)*88)/88*20</f>
        <v>87</v>
      </c>
      <c r="J320" s="87">
        <f>(VLOOKUP($A:$A,USD!$A:$AL,10,FALSE)*88)/88*20</f>
        <v>115</v>
      </c>
      <c r="K320" s="87">
        <f>(VLOOKUP($A:$A,USD!$A:$AL,11,FALSE)*88)/88*20</f>
        <v>225</v>
      </c>
      <c r="L320" s="87">
        <f>(VLOOKUP($A:$A,USD!$A:$AL,12,FALSE)*88)/88*20</f>
        <v>0</v>
      </c>
      <c r="M320" s="87">
        <f>(VLOOKUP($A:$A,USD!$A:$AL,13,FALSE)*88)/88*20</f>
        <v>0</v>
      </c>
      <c r="N320" s="87">
        <f>(VLOOKUP($A:$A,USD!$A:$AL,14,FALSE)*88)/88*20</f>
        <v>45</v>
      </c>
      <c r="O320" s="68">
        <f>(VLOOKUP($A:$A,USD!$A:$AL,15,FALSE)*88)/88*20</f>
        <v>37.916666666666671</v>
      </c>
      <c r="P320" s="87">
        <f>(VLOOKUP($A:$A,USD!$A:$AL,16,FALSE)*88)/88*20</f>
        <v>0</v>
      </c>
      <c r="Q320" s="68">
        <f t="shared" si="36"/>
        <v>509.91666666666669</v>
      </c>
      <c r="R320" s="68">
        <f t="shared" si="37"/>
        <v>307.91666666666669</v>
      </c>
      <c r="S320" s="68">
        <f>(VLOOKUP($A:$A,USD!$A:$AL,19,FALSE)*88)/88*20</f>
        <v>0</v>
      </c>
      <c r="T320" s="68">
        <f>(VLOOKUP($A:$A,USD!$A:$AL,20,FALSE)*88)/88*20</f>
        <v>0</v>
      </c>
      <c r="U320" s="68">
        <f>(VLOOKUP($A:$A,USD!$A:$AL,21,FALSE)*88)/88*20</f>
        <v>178.40909090909091</v>
      </c>
      <c r="V320" s="68"/>
      <c r="W320" s="68">
        <f t="shared" si="38"/>
        <v>178.40909090909091</v>
      </c>
      <c r="X320" s="1">
        <f>(VLOOKUP($A:$A,USD!$A:$AL,24,FALSE)*88)/88*20</f>
        <v>54</v>
      </c>
      <c r="Y320" s="68">
        <f>(VLOOKUP($A:$A,USD!$A:$AL,25,FALSE)*88)/88*20</f>
        <v>50.4</v>
      </c>
      <c r="Z320" s="68">
        <f>(VLOOKUP($A:$A,USD!$A:$AL,26,FALSE)*88)/88*20</f>
        <v>26.25</v>
      </c>
      <c r="AB320" s="68">
        <f t="shared" si="39"/>
        <v>130.65</v>
      </c>
      <c r="AC320" s="68">
        <f>(VLOOKUP($A:$A,USD!$A:$AL,29,FALSE)*88)/88*20</f>
        <v>162.5</v>
      </c>
      <c r="AD320" s="68">
        <f>(VLOOKUP($A:$A,USD!$A:$AL,30,FALSE)*88)/88*20</f>
        <v>268.18181818181819</v>
      </c>
      <c r="AF320" s="68">
        <f t="shared" si="40"/>
        <v>430.68181818181819</v>
      </c>
      <c r="AG320" s="87">
        <f>(VLOOKUP($A:$A,USD!$A:$AL,33,FALSE)*88)/88*20</f>
        <v>28.814300000000003</v>
      </c>
      <c r="AH320" s="68">
        <f>(VLOOKUP($A:$A,USD!$A:$AL,34,FALSE)*88)/88*20</f>
        <v>6.973140495867769</v>
      </c>
      <c r="AI320" s="87">
        <f>(VLOOKUP($A:$A,USD!$A:$AL,35,FALSE)*88)/88*20</f>
        <v>12.587317427197677</v>
      </c>
      <c r="AJ320" s="87">
        <f>(VLOOKUP($A:$A,USD!$A:$AL,36,FALSE)*88)/88*20</f>
        <v>6.7351999999999999</v>
      </c>
      <c r="AL320" s="68">
        <f t="shared" si="41"/>
        <v>55.109957923065444</v>
      </c>
      <c r="AM320" s="87">
        <f>(VLOOKUP($A:$A,USD!$A:$AR,39,FALSE)*88)/88*20</f>
        <v>79.999999999999986</v>
      </c>
      <c r="AN320" s="68">
        <f>(VLOOKUP($A:$A,USD!$A:$AR,40,FALSE)*88)/88*20</f>
        <v>26.17808219178082</v>
      </c>
      <c r="AO320" s="1">
        <f>(VLOOKUP($A:$A,USD!$A:$AR,41,FALSE)*88)/88*20</f>
        <v>0</v>
      </c>
      <c r="AR320" s="1">
        <f t="shared" si="42"/>
        <v>106.1780821917808</v>
      </c>
      <c r="AS320" s="38">
        <f t="shared" si="43"/>
        <v>1208.945615872422</v>
      </c>
      <c r="AT320" s="38">
        <f t="shared" si="44"/>
        <v>1410.945615872422</v>
      </c>
      <c r="AW320" s="1">
        <f>(VLOOKUP(A:A,USD!A:AT,46,FALSE)*88)/88*20</f>
        <v>325.40909090909088</v>
      </c>
      <c r="AX320" s="1" t="e">
        <f>(VLOOKUP(A:A,USD!A:AU,47,FALSE)*88)/88*20</f>
        <v>#N/A</v>
      </c>
    </row>
    <row r="321" spans="1:50" hidden="1">
      <c r="A321" s="125">
        <v>935002</v>
      </c>
      <c r="B321" s="1" t="s">
        <v>714</v>
      </c>
      <c r="C321" s="1" t="s">
        <v>715</v>
      </c>
      <c r="D321" s="1" t="s">
        <v>71</v>
      </c>
      <c r="E321" s="1" t="s">
        <v>2067</v>
      </c>
      <c r="F321" s="1" t="str">
        <f>VLOOKUP(A:A,USD!A:F,6,FALSE)</f>
        <v>WTX</v>
      </c>
      <c r="G321" s="1" t="s">
        <v>439</v>
      </c>
      <c r="H321" s="1">
        <f>VLOOKUP(A:A,USD!A:R,8,FALSE)</f>
        <v>2</v>
      </c>
      <c r="I321" s="87">
        <f>(VLOOKUP($A:$A,USD!$A:$AL,9,FALSE)*88)/88*20</f>
        <v>87</v>
      </c>
      <c r="J321" s="87">
        <f>(VLOOKUP($A:$A,USD!$A:$AL,10,FALSE)*88)/88*20</f>
        <v>115</v>
      </c>
      <c r="K321" s="87">
        <f>(VLOOKUP($A:$A,USD!$A:$AL,11,FALSE)*88)/88*20</f>
        <v>225</v>
      </c>
      <c r="L321" s="87">
        <f>(VLOOKUP($A:$A,USD!$A:$AL,12,FALSE)*88)/88*20</f>
        <v>0</v>
      </c>
      <c r="M321" s="87">
        <f>(VLOOKUP($A:$A,USD!$A:$AL,13,FALSE)*88)/88*20</f>
        <v>0</v>
      </c>
      <c r="N321" s="87">
        <f>(VLOOKUP($A:$A,USD!$A:$AL,14,FALSE)*88)/88*20</f>
        <v>45</v>
      </c>
      <c r="O321" s="68">
        <f>(VLOOKUP($A:$A,USD!$A:$AL,15,FALSE)*88)/88*20</f>
        <v>37.916666666666671</v>
      </c>
      <c r="P321" s="87">
        <f>(VLOOKUP($A:$A,USD!$A:$AL,16,FALSE)*88)/88*20</f>
        <v>0</v>
      </c>
      <c r="Q321" s="68">
        <f t="shared" si="36"/>
        <v>509.91666666666669</v>
      </c>
      <c r="R321" s="68">
        <f t="shared" si="37"/>
        <v>307.91666666666669</v>
      </c>
      <c r="S321" s="68">
        <f>(VLOOKUP($A:$A,USD!$A:$AL,19,FALSE)*88)/88*20</f>
        <v>0</v>
      </c>
      <c r="T321" s="68">
        <f>(VLOOKUP($A:$A,USD!$A:$AL,20,FALSE)*88)/88*20</f>
        <v>0</v>
      </c>
      <c r="U321" s="68" cm="1">
        <f t="array" ref="U321">(_xlfn.XLOOKUP(1, (USD!$A:$A=$A321)*(USD!$E:$E=$E321), USD!$U:$U, "", 0)*88)/88*20</f>
        <v>258.52272727272725</v>
      </c>
      <c r="V321" s="68"/>
      <c r="W321" s="68">
        <f t="shared" si="38"/>
        <v>258.52272727272725</v>
      </c>
      <c r="X321" s="1">
        <f>(VLOOKUP($A:$A,USD!$A:$AL,24,FALSE)*88)/88*20</f>
        <v>54</v>
      </c>
      <c r="Y321" s="68">
        <f>(VLOOKUP($A:$A,USD!$A:$AL,25,FALSE)*88)/88*20</f>
        <v>50.4</v>
      </c>
      <c r="Z321" s="68">
        <f>(VLOOKUP($A:$A,USD!$A:$AL,26,FALSE)*88)/88*20</f>
        <v>26.25</v>
      </c>
      <c r="AB321" s="68">
        <f t="shared" si="39"/>
        <v>130.65</v>
      </c>
      <c r="AC321" s="68" cm="1">
        <f t="array" ref="AC321">_xlfn.XLOOKUP(A321&amp;E321, USD!$A:$A&amp;USD!$E:$E, USD!$AC:$AC, "")*20</f>
        <v>132.95454545454544</v>
      </c>
      <c r="AD321" s="68" cm="1">
        <f t="array" ref="AD321">_xlfn.XLOOKUP(A321&amp;E321, USD!$A:$A&amp;USD!$E:$E, USD!$AD:$AD, "")*20</f>
        <v>197.95454545454547</v>
      </c>
      <c r="AF321" s="68">
        <f t="shared" si="40"/>
        <v>330.90909090909088</v>
      </c>
      <c r="AG321" s="87">
        <f>(VLOOKUP($A:$A,USD!$A:$AL,33,FALSE)*88)/88*20</f>
        <v>28.814300000000003</v>
      </c>
      <c r="AH321" s="68">
        <f>(VLOOKUP($A:$A,USD!$A:$AL,34,FALSE)*88)/88*20</f>
        <v>6.973140495867769</v>
      </c>
      <c r="AI321" s="87">
        <f>(VLOOKUP($A:$A,USD!$A:$AL,35,FALSE)*88)/88*20</f>
        <v>12.587317427197677</v>
      </c>
      <c r="AJ321" s="87">
        <f>(VLOOKUP($A:$A,USD!$A:$AL,36,FALSE)*88)/88*20</f>
        <v>6.7351999999999999</v>
      </c>
      <c r="AL321" s="68">
        <f t="shared" si="41"/>
        <v>55.109957923065444</v>
      </c>
      <c r="AM321" s="87">
        <f>(VLOOKUP($A:$A,USD!$A:$AR,39,FALSE)*88)/88*20</f>
        <v>79.999999999999986</v>
      </c>
      <c r="AN321" s="68">
        <f>(VLOOKUP($A:$A,USD!$A:$AR,40,FALSE)*88)/88*20</f>
        <v>26.17808219178082</v>
      </c>
      <c r="AO321" s="1">
        <f>(VLOOKUP($A:$A,USD!$A:$AR,41,FALSE)*88)/88*20</f>
        <v>0</v>
      </c>
      <c r="AR321" s="1">
        <f t="shared" si="42"/>
        <v>106.1780821917808</v>
      </c>
      <c r="AS321" s="38">
        <f t="shared" si="43"/>
        <v>1189.286524963331</v>
      </c>
      <c r="AT321" s="38">
        <f t="shared" si="44"/>
        <v>1391.286524963331</v>
      </c>
      <c r="AW321" s="1">
        <f>(VLOOKUP(A:A,USD!A:AT,46,FALSE)*88)/88*20</f>
        <v>325.40909090909088</v>
      </c>
      <c r="AX321" s="1" t="e">
        <f>(VLOOKUP(A:A,USD!A:AU,47,FALSE)*88)/88*20</f>
        <v>#N/A</v>
      </c>
    </row>
    <row r="322" spans="1:50" hidden="1">
      <c r="A322" s="1">
        <v>326202</v>
      </c>
      <c r="B322" s="1" t="s">
        <v>716</v>
      </c>
      <c r="C322" s="1" t="s">
        <v>717</v>
      </c>
      <c r="D322" s="1" t="s">
        <v>76</v>
      </c>
      <c r="E322" s="1" t="str">
        <f>VLOOKUP(A:A,USD!A:E,5,FALSE)</f>
        <v>GA 30 Day</v>
      </c>
      <c r="F322" s="1" t="str">
        <f>VLOOKUP(A:A,USD!A:F,6,FALSE)</f>
        <v>ER5</v>
      </c>
      <c r="G322" s="1" t="str">
        <f>VLOOKUP(A:A,'Regions and Ports'!A:G,7,FALSE)</f>
        <v>Savannah</v>
      </c>
      <c r="H322" s="1">
        <f>VLOOKUP(A:A,USD!A:R,8,FALSE)</f>
        <v>4</v>
      </c>
      <c r="I322" s="87">
        <f>(VLOOKUP($A:$A,USD!$A:$AL,9,FALSE)*88)/88*20</f>
        <v>60</v>
      </c>
      <c r="J322" s="87">
        <f>(VLOOKUP($A:$A,USD!$A:$AL,10,FALSE)*88)/88*20</f>
        <v>100</v>
      </c>
      <c r="K322" s="87">
        <f>(VLOOKUP($A:$A,USD!$A:$AL,11,FALSE)*88)/88*20</f>
        <v>150</v>
      </c>
      <c r="L322" s="87">
        <f>(VLOOKUP($A:$A,USD!$A:$AL,12,FALSE)*88)/88*20</f>
        <v>0</v>
      </c>
      <c r="M322" s="87">
        <f>(VLOOKUP($A:$A,USD!$A:$AL,13,FALSE)*88)/88*20</f>
        <v>20</v>
      </c>
      <c r="N322" s="87">
        <f>(VLOOKUP($A:$A,USD!$A:$AL,14,FALSE)*88)/88*20</f>
        <v>60</v>
      </c>
      <c r="O322" s="68">
        <f>(VLOOKUP($A:$A,USD!$A:$AL,15,FALSE)*88)/88*20</f>
        <v>37.916666666666671</v>
      </c>
      <c r="P322" s="87">
        <f>(VLOOKUP($A:$A,USD!$A:$AL,16,FALSE)*88)/88*20</f>
        <v>0</v>
      </c>
      <c r="Q322" s="68">
        <f t="shared" si="36"/>
        <v>427.91666666666669</v>
      </c>
      <c r="R322" s="68">
        <f t="shared" si="37"/>
        <v>37.916666666666671</v>
      </c>
      <c r="S322" s="68">
        <f>(VLOOKUP($A:$A,USD!$A:$AL,19,FALSE)*88)/88*20</f>
        <v>0</v>
      </c>
      <c r="T322" s="68">
        <f>(VLOOKUP($A:$A,USD!$A:$AL,20,FALSE)*88)/88*20</f>
        <v>0</v>
      </c>
      <c r="U322" s="68">
        <f>(VLOOKUP($A:$A,USD!$A:$AL,21,FALSE)*88)/88*20</f>
        <v>149.36136363636365</v>
      </c>
      <c r="V322" s="68"/>
      <c r="W322" s="68">
        <f t="shared" si="38"/>
        <v>149.36136363636365</v>
      </c>
      <c r="X322" s="1">
        <f>(VLOOKUP($A:$A,USD!$A:$AL,24,FALSE)*88)/88*20</f>
        <v>52</v>
      </c>
      <c r="Y322" s="68">
        <f>(VLOOKUP($A:$A,USD!$A:$AL,25,FALSE)*88)/88*20</f>
        <v>50.4</v>
      </c>
      <c r="Z322" s="68">
        <f>(VLOOKUP($A:$A,USD!$A:$AL,26,FALSE)*88)/88*20</f>
        <v>26.25</v>
      </c>
      <c r="AB322" s="68">
        <f t="shared" si="39"/>
        <v>128.65</v>
      </c>
      <c r="AC322" s="68">
        <f>(VLOOKUP($A:$A,USD!$A:$AL,29,FALSE)*88)/88*20</f>
        <v>110.22727272727273</v>
      </c>
      <c r="AD322" s="68">
        <f>(VLOOKUP($A:$A,USD!$A:$AL,30,FALSE)*88)/88*20</f>
        <v>107.04545454545455</v>
      </c>
      <c r="AF322" s="68">
        <f t="shared" si="40"/>
        <v>217.27272727272728</v>
      </c>
      <c r="AG322" s="87">
        <f>(VLOOKUP($A:$A,USD!$A:$AL,33,FALSE)*88)/88*20</f>
        <v>28.814300000000003</v>
      </c>
      <c r="AH322" s="68">
        <f>(VLOOKUP($A:$A,USD!$A:$AL,34,FALSE)*88)/88*20</f>
        <v>6.973140495867769</v>
      </c>
      <c r="AI322" s="87">
        <f>(VLOOKUP($A:$A,USD!$A:$AL,35,FALSE)*88)/88*20</f>
        <v>12.587317427197677</v>
      </c>
      <c r="AJ322" s="87">
        <f>(VLOOKUP($A:$A,USD!$A:$AL,36,FALSE)*88)/88*20</f>
        <v>6.7351999999999999</v>
      </c>
      <c r="AL322" s="68">
        <f t="shared" si="41"/>
        <v>55.109957923065444</v>
      </c>
      <c r="AM322" s="87">
        <f>(VLOOKUP($A:$A,USD!$A:$AR,39,FALSE)*88)/88*20</f>
        <v>79.999999999999986</v>
      </c>
      <c r="AN322" s="68">
        <f>(VLOOKUP($A:$A,USD!$A:$AR,40,FALSE)*88)/88*20</f>
        <v>26.17808219178082</v>
      </c>
      <c r="AO322" s="1">
        <f>(VLOOKUP($A:$A,USD!$A:$AR,41,FALSE)*88)/88*20</f>
        <v>0</v>
      </c>
      <c r="AR322" s="1">
        <f t="shared" si="42"/>
        <v>106.1780821917808</v>
      </c>
      <c r="AS322" s="38">
        <f t="shared" si="43"/>
        <v>694.48879769060386</v>
      </c>
      <c r="AT322" s="38">
        <f t="shared" si="44"/>
        <v>1084.4887976906039</v>
      </c>
      <c r="AW322" s="1">
        <f>(VLOOKUP(A:A,USD!A:AT,46,FALSE)*88)/88*20</f>
        <v>544.9204545454545</v>
      </c>
      <c r="AX322" s="1">
        <f>(VLOOKUP(A:A,USD!A:AU,47,FALSE)*88)/88*20</f>
        <v>250</v>
      </c>
    </row>
    <row r="323" spans="1:50" hidden="1">
      <c r="A323" s="1">
        <v>333503</v>
      </c>
      <c r="B323" s="1" t="s">
        <v>718</v>
      </c>
      <c r="C323" s="1" t="s">
        <v>717</v>
      </c>
      <c r="D323" s="1" t="s">
        <v>76</v>
      </c>
      <c r="E323" s="1" t="str">
        <f>VLOOKUP(A:A,USD!A:E,5,FALSE)</f>
        <v>GA 30 Day</v>
      </c>
      <c r="F323" s="1" t="str">
        <f>VLOOKUP(A:A,USD!A:F,6,FALSE)</f>
        <v>ER5</v>
      </c>
      <c r="G323" s="1" t="str">
        <f>VLOOKUP(A:A,'Regions and Ports'!A:G,7,FALSE)</f>
        <v>Savannah</v>
      </c>
      <c r="H323" s="1">
        <f>VLOOKUP(A:A,USD!A:R,8,FALSE)</f>
        <v>4</v>
      </c>
      <c r="I323" s="87">
        <f>(VLOOKUP($A:$A,USD!$A:$AL,9,FALSE)*88)/88*20</f>
        <v>70</v>
      </c>
      <c r="J323" s="87">
        <f>(VLOOKUP($A:$A,USD!$A:$AL,10,FALSE)*88)/88*20</f>
        <v>90</v>
      </c>
      <c r="K323" s="87">
        <f>(VLOOKUP($A:$A,USD!$A:$AL,11,FALSE)*88)/88*20</f>
        <v>0</v>
      </c>
      <c r="L323" s="87">
        <f>(VLOOKUP($A:$A,USD!$A:$AL,12,FALSE)*88)/88*20</f>
        <v>0</v>
      </c>
      <c r="M323" s="87">
        <f>(VLOOKUP($A:$A,USD!$A:$AL,13,FALSE)*88)/88*20</f>
        <v>10</v>
      </c>
      <c r="N323" s="87">
        <f>(VLOOKUP($A:$A,USD!$A:$AL,14,FALSE)*88)/88*20</f>
        <v>50</v>
      </c>
      <c r="O323" s="68">
        <f>(VLOOKUP($A:$A,USD!$A:$AL,15,FALSE)*88)/88*20</f>
        <v>37.916666666666671</v>
      </c>
      <c r="P323" s="87">
        <f>(VLOOKUP($A:$A,USD!$A:$AL,16,FALSE)*88)/88*20</f>
        <v>0</v>
      </c>
      <c r="Q323" s="68">
        <f t="shared" ref="Q323:Q375" si="45">I323+J323+K323+L323+M323+N323+O323+P323</f>
        <v>257.91666666666669</v>
      </c>
      <c r="R323" s="68">
        <f t="shared" ref="R323:R375" si="46">IF(H323=1,SUM(N323),IF(H323=2,SUM(K323,N323),IF(H323=3,SUM(J323,K323,L323,N323),IF(H323=4,SUM(L323),"ERROR"))))+O323</f>
        <v>37.916666666666671</v>
      </c>
      <c r="S323" s="68">
        <f>(VLOOKUP($A:$A,USD!$A:$AL,19,FALSE)*88)/88*20</f>
        <v>0</v>
      </c>
      <c r="T323" s="68">
        <f>(VLOOKUP($A:$A,USD!$A:$AL,20,FALSE)*88)/88*20</f>
        <v>0</v>
      </c>
      <c r="U323" s="68">
        <f>(VLOOKUP($A:$A,USD!$A:$AL,21,FALSE)*88)/88*20</f>
        <v>149.36136363636365</v>
      </c>
      <c r="V323" s="68"/>
      <c r="W323" s="68">
        <f t="shared" ref="W323:W375" si="47">S323+T323+U323+V323</f>
        <v>149.36136363636365</v>
      </c>
      <c r="X323" s="1">
        <f>(VLOOKUP($A:$A,USD!$A:$AL,24,FALSE)*88)/88*20</f>
        <v>52</v>
      </c>
      <c r="Y323" s="68">
        <f>(VLOOKUP($A:$A,USD!$A:$AL,25,FALSE)*88)/88*20</f>
        <v>50.4</v>
      </c>
      <c r="Z323" s="68">
        <f>(VLOOKUP($A:$A,USD!$A:$AL,26,FALSE)*88)/88*20</f>
        <v>26.25</v>
      </c>
      <c r="AB323" s="68">
        <f t="shared" ref="AB323:AB375" si="48">X323+Y323+Z323+AA323</f>
        <v>128.65</v>
      </c>
      <c r="AC323" s="68">
        <f>(VLOOKUP($A:$A,USD!$A:$AL,29,FALSE)*88)/88*20</f>
        <v>110.22727272727273</v>
      </c>
      <c r="AD323" s="68">
        <f>(VLOOKUP($A:$A,USD!$A:$AL,30,FALSE)*88)/88*20</f>
        <v>107.04545454545455</v>
      </c>
      <c r="AF323" s="68">
        <f t="shared" ref="AF323:AF375" si="49">AC323+AD323+AE323</f>
        <v>217.27272727272728</v>
      </c>
      <c r="AG323" s="87">
        <f>(VLOOKUP($A:$A,USD!$A:$AL,33,FALSE)*88)/88*20</f>
        <v>28.814300000000003</v>
      </c>
      <c r="AH323" s="68">
        <f>(VLOOKUP($A:$A,USD!$A:$AL,34,FALSE)*88)/88*20</f>
        <v>6.973140495867769</v>
      </c>
      <c r="AI323" s="87">
        <f>(VLOOKUP($A:$A,USD!$A:$AL,35,FALSE)*88)/88*20</f>
        <v>12.587317427197677</v>
      </c>
      <c r="AJ323" s="87">
        <f>(VLOOKUP($A:$A,USD!$A:$AL,36,FALSE)*88)/88*20</f>
        <v>6.7351999999999999</v>
      </c>
      <c r="AL323" s="68">
        <f t="shared" ref="AL323:AL375" si="50">AG323+AH323+AI323+AJ323</f>
        <v>55.109957923065444</v>
      </c>
      <c r="AM323" s="87">
        <f>(VLOOKUP($A:$A,USD!$A:$AR,39,FALSE)*88)/88*20</f>
        <v>79.999999999999986</v>
      </c>
      <c r="AN323" s="68">
        <f>(VLOOKUP($A:$A,USD!$A:$AR,40,FALSE)*88)/88*20</f>
        <v>26.17808219178082</v>
      </c>
      <c r="AO323" s="1">
        <f>(VLOOKUP($A:$A,USD!$A:$AR,41,FALSE)*88)/88*20</f>
        <v>0</v>
      </c>
      <c r="AR323" s="1">
        <f t="shared" ref="AR323:AR375" si="51">AM323+AN323+AO323+AP323+AQ323</f>
        <v>106.1780821917808</v>
      </c>
      <c r="AS323" s="38">
        <f t="shared" ref="AS323:AS375" si="52">R323+W323+AB323+AF323+AL323+AR323</f>
        <v>694.48879769060386</v>
      </c>
      <c r="AT323" s="38">
        <f t="shared" ref="AT323:AT375" si="53">Q323+W323+AB323+AF323+AR323+AL323</f>
        <v>914.48879769060386</v>
      </c>
      <c r="AW323" s="1">
        <f>(VLOOKUP(A:A,USD!A:AT,46,FALSE)*88)/88*20</f>
        <v>544.9204545454545</v>
      </c>
      <c r="AX323" s="1">
        <f>(VLOOKUP(A:A,USD!A:AU,47,FALSE)*88)/88*20</f>
        <v>250</v>
      </c>
    </row>
    <row r="324" spans="1:50" hidden="1">
      <c r="A324" s="1">
        <v>936006</v>
      </c>
      <c r="B324" s="1" t="s">
        <v>719</v>
      </c>
      <c r="C324" s="1" t="s">
        <v>720</v>
      </c>
      <c r="D324" s="1" t="s">
        <v>71</v>
      </c>
      <c r="E324" s="1" t="str">
        <f>VLOOKUP(A:A,USD!A:E,5,FALSE)</f>
        <v>WTX</v>
      </c>
      <c r="F324" s="1" t="str">
        <f>VLOOKUP(A:A,USD!A:F,6,FALSE)</f>
        <v>WTX</v>
      </c>
      <c r="G324" s="1" t="str">
        <f>VLOOKUP(A:A,'Regions and Ports'!A:G,7,FALSE)</f>
        <v>Dallas</v>
      </c>
      <c r="H324" s="1">
        <f>VLOOKUP(A:A,USD!A:R,8,FALSE)</f>
        <v>2</v>
      </c>
      <c r="I324" s="87">
        <f>(VLOOKUP($A:$A,USD!$A:$AL,9,FALSE)*88)/88*20</f>
        <v>87</v>
      </c>
      <c r="J324" s="87">
        <f>(VLOOKUP($A:$A,USD!$A:$AL,10,FALSE)*88)/88*20</f>
        <v>115</v>
      </c>
      <c r="K324" s="87">
        <f>(VLOOKUP($A:$A,USD!$A:$AL,11,FALSE)*88)/88*20</f>
        <v>225</v>
      </c>
      <c r="L324" s="87">
        <f>(VLOOKUP($A:$A,USD!$A:$AL,12,FALSE)*88)/88*20</f>
        <v>0</v>
      </c>
      <c r="M324" s="87">
        <f>(VLOOKUP($A:$A,USD!$A:$AL,13,FALSE)*88)/88*20</f>
        <v>0</v>
      </c>
      <c r="N324" s="87">
        <f>(VLOOKUP($A:$A,USD!$A:$AL,14,FALSE)*88)/88*20</f>
        <v>45</v>
      </c>
      <c r="O324" s="68">
        <f>(VLOOKUP($A:$A,USD!$A:$AL,15,FALSE)*88)/88*20</f>
        <v>37.916666666666671</v>
      </c>
      <c r="P324" s="87">
        <f>(VLOOKUP($A:$A,USD!$A:$AL,16,FALSE)*88)/88*20</f>
        <v>0</v>
      </c>
      <c r="Q324" s="68">
        <f t="shared" si="45"/>
        <v>509.91666666666669</v>
      </c>
      <c r="R324" s="68">
        <f t="shared" si="46"/>
        <v>307.91666666666669</v>
      </c>
      <c r="S324" s="68">
        <f>(VLOOKUP($A:$A,USD!$A:$AL,19,FALSE)*88)/88*20</f>
        <v>0</v>
      </c>
      <c r="T324" s="68">
        <f>(VLOOKUP($A:$A,USD!$A:$AL,20,FALSE)*88)/88*20</f>
        <v>0</v>
      </c>
      <c r="U324" s="68">
        <f>(VLOOKUP($A:$A,USD!$A:$AL,21,FALSE)*88)/88*20</f>
        <v>202.27272727272725</v>
      </c>
      <c r="V324" s="68"/>
      <c r="W324" s="68">
        <f t="shared" si="47"/>
        <v>202.27272727272725</v>
      </c>
      <c r="X324" s="1">
        <f>(VLOOKUP($A:$A,USD!$A:$AL,24,FALSE)*88)/88*20</f>
        <v>54</v>
      </c>
      <c r="Y324" s="68">
        <f>(VLOOKUP($A:$A,USD!$A:$AL,25,FALSE)*88)/88*20</f>
        <v>50.4</v>
      </c>
      <c r="Z324" s="68">
        <f>(VLOOKUP($A:$A,USD!$A:$AL,26,FALSE)*88)/88*20</f>
        <v>26.25</v>
      </c>
      <c r="AB324" s="68">
        <f t="shared" si="48"/>
        <v>130.65</v>
      </c>
      <c r="AC324" s="68">
        <f>(VLOOKUP($A:$A,USD!$A:$AL,29,FALSE)*88)/88*20</f>
        <v>162.5</v>
      </c>
      <c r="AD324" s="68">
        <f>(VLOOKUP($A:$A,USD!$A:$AL,30,FALSE)*88)/88*20</f>
        <v>268.18181818181819</v>
      </c>
      <c r="AF324" s="68">
        <f t="shared" si="49"/>
        <v>430.68181818181819</v>
      </c>
      <c r="AG324" s="87">
        <f>(VLOOKUP($A:$A,USD!$A:$AL,33,FALSE)*88)/88*20</f>
        <v>28.814300000000003</v>
      </c>
      <c r="AH324" s="68">
        <f>(VLOOKUP($A:$A,USD!$A:$AL,34,FALSE)*88)/88*20</f>
        <v>6.973140495867769</v>
      </c>
      <c r="AI324" s="87">
        <f>(VLOOKUP($A:$A,USD!$A:$AL,35,FALSE)*88)/88*20</f>
        <v>12.587317427197677</v>
      </c>
      <c r="AJ324" s="87">
        <f>(VLOOKUP($A:$A,USD!$A:$AL,36,FALSE)*88)/88*20</f>
        <v>6.7351999999999999</v>
      </c>
      <c r="AL324" s="68">
        <f t="shared" si="50"/>
        <v>55.109957923065444</v>
      </c>
      <c r="AM324" s="87">
        <f>(VLOOKUP($A:$A,USD!$A:$AR,39,FALSE)*88)/88*20</f>
        <v>79.999999999999986</v>
      </c>
      <c r="AN324" s="68">
        <f>(VLOOKUP($A:$A,USD!$A:$AR,40,FALSE)*88)/88*20</f>
        <v>26.17808219178082</v>
      </c>
      <c r="AO324" s="1">
        <f>(VLOOKUP($A:$A,USD!$A:$AR,41,FALSE)*88)/88*20</f>
        <v>0</v>
      </c>
      <c r="AR324" s="1">
        <f t="shared" si="51"/>
        <v>106.1780821917808</v>
      </c>
      <c r="AS324" s="38">
        <f t="shared" si="52"/>
        <v>1232.8092522360582</v>
      </c>
      <c r="AT324" s="38">
        <f t="shared" si="53"/>
        <v>1434.8092522360582</v>
      </c>
      <c r="AW324" s="1">
        <f>(VLOOKUP(A:A,USD!A:AT,46,FALSE)*88)/88*20</f>
        <v>369.95227272727271</v>
      </c>
      <c r="AX324" s="1" t="e">
        <f>(VLOOKUP(A:A,USD!A:AU,47,FALSE)*88)/88*20</f>
        <v>#N/A</v>
      </c>
    </row>
    <row r="325" spans="1:50" hidden="1">
      <c r="A325" s="125">
        <v>936006</v>
      </c>
      <c r="B325" s="1" t="s">
        <v>719</v>
      </c>
      <c r="C325" s="1" t="s">
        <v>720</v>
      </c>
      <c r="D325" s="1" t="s">
        <v>71</v>
      </c>
      <c r="E325" s="1" t="s">
        <v>2067</v>
      </c>
      <c r="F325" s="1" t="str">
        <f>VLOOKUP(A:A,USD!A:F,6,FALSE)</f>
        <v>WTX</v>
      </c>
      <c r="G325" s="1" t="s">
        <v>439</v>
      </c>
      <c r="H325" s="1">
        <f>VLOOKUP(A:A,USD!A:R,8,FALSE)</f>
        <v>2</v>
      </c>
      <c r="I325" s="87">
        <f>(VLOOKUP($A:$A,USD!$A:$AL,9,FALSE)*88)/88*20</f>
        <v>87</v>
      </c>
      <c r="J325" s="87">
        <f>(VLOOKUP($A:$A,USD!$A:$AL,10,FALSE)*88)/88*20</f>
        <v>115</v>
      </c>
      <c r="K325" s="87">
        <f>(VLOOKUP($A:$A,USD!$A:$AL,11,FALSE)*88)/88*20</f>
        <v>225</v>
      </c>
      <c r="L325" s="87">
        <f>(VLOOKUP($A:$A,USD!$A:$AL,12,FALSE)*88)/88*20</f>
        <v>0</v>
      </c>
      <c r="M325" s="87">
        <f>(VLOOKUP($A:$A,USD!$A:$AL,13,FALSE)*88)/88*20</f>
        <v>0</v>
      </c>
      <c r="N325" s="87">
        <f>(VLOOKUP($A:$A,USD!$A:$AL,14,FALSE)*88)/88*20</f>
        <v>45</v>
      </c>
      <c r="O325" s="68">
        <f>(VLOOKUP($A:$A,USD!$A:$AL,15,FALSE)*88)/88*20</f>
        <v>37.916666666666671</v>
      </c>
      <c r="P325" s="87">
        <f>(VLOOKUP($A:$A,USD!$A:$AL,16,FALSE)*88)/88*20</f>
        <v>0</v>
      </c>
      <c r="Q325" s="68">
        <f t="shared" si="45"/>
        <v>509.91666666666669</v>
      </c>
      <c r="R325" s="68">
        <f t="shared" si="46"/>
        <v>307.91666666666669</v>
      </c>
      <c r="S325" s="68">
        <f>(VLOOKUP($A:$A,USD!$A:$AL,19,FALSE)*88)/88*20</f>
        <v>0</v>
      </c>
      <c r="T325" s="68">
        <f>(VLOOKUP($A:$A,USD!$A:$AL,20,FALSE)*88)/88*20</f>
        <v>0</v>
      </c>
      <c r="U325" s="68" cm="1">
        <f t="array" ref="U325">(_xlfn.XLOOKUP(1, (USD!$A:$A=$A325)*(USD!$E:$E=$E325), USD!$U:$U, "", 0)*88)/88*20</f>
        <v>284.09090909090912</v>
      </c>
      <c r="V325" s="68"/>
      <c r="W325" s="68">
        <f t="shared" si="47"/>
        <v>284.09090909090912</v>
      </c>
      <c r="X325" s="1">
        <f>(VLOOKUP($A:$A,USD!$A:$AL,24,FALSE)*88)/88*20</f>
        <v>54</v>
      </c>
      <c r="Y325" s="68">
        <f>(VLOOKUP($A:$A,USD!$A:$AL,25,FALSE)*88)/88*20</f>
        <v>50.4</v>
      </c>
      <c r="Z325" s="68">
        <f>(VLOOKUP($A:$A,USD!$A:$AL,26,FALSE)*88)/88*20</f>
        <v>26.25</v>
      </c>
      <c r="AB325" s="68">
        <f t="shared" si="48"/>
        <v>130.65</v>
      </c>
      <c r="AC325" s="68" cm="1">
        <f t="array" ref="AC325">_xlfn.XLOOKUP(A325&amp;E325, USD!$A:$A&amp;USD!$E:$E, USD!$AC:$AC, "")*20</f>
        <v>132.95454545454544</v>
      </c>
      <c r="AD325" s="68" cm="1">
        <f t="array" ref="AD325">_xlfn.XLOOKUP(A325&amp;E325, USD!$A:$A&amp;USD!$E:$E, USD!$AD:$AD, "")*20</f>
        <v>197.95454545454547</v>
      </c>
      <c r="AF325" s="68">
        <f t="shared" si="49"/>
        <v>330.90909090909088</v>
      </c>
      <c r="AG325" s="87">
        <f>(VLOOKUP($A:$A,USD!$A:$AL,33,FALSE)*88)/88*20</f>
        <v>28.814300000000003</v>
      </c>
      <c r="AH325" s="68">
        <f>(VLOOKUP($A:$A,USD!$A:$AL,34,FALSE)*88)/88*20</f>
        <v>6.973140495867769</v>
      </c>
      <c r="AI325" s="87">
        <f>(VLOOKUP($A:$A,USD!$A:$AL,35,FALSE)*88)/88*20</f>
        <v>12.587317427197677</v>
      </c>
      <c r="AJ325" s="87">
        <f>(VLOOKUP($A:$A,USD!$A:$AL,36,FALSE)*88)/88*20</f>
        <v>6.7351999999999999</v>
      </c>
      <c r="AL325" s="68">
        <f t="shared" si="50"/>
        <v>55.109957923065444</v>
      </c>
      <c r="AM325" s="87">
        <f>(VLOOKUP($A:$A,USD!$A:$AR,39,FALSE)*88)/88*20</f>
        <v>79.999999999999986</v>
      </c>
      <c r="AN325" s="68">
        <f>(VLOOKUP($A:$A,USD!$A:$AR,40,FALSE)*88)/88*20</f>
        <v>26.17808219178082</v>
      </c>
      <c r="AO325" s="1">
        <f>(VLOOKUP($A:$A,USD!$A:$AR,41,FALSE)*88)/88*20</f>
        <v>0</v>
      </c>
      <c r="AR325" s="1">
        <f t="shared" si="51"/>
        <v>106.1780821917808</v>
      </c>
      <c r="AS325" s="38">
        <f t="shared" si="52"/>
        <v>1214.8547067815127</v>
      </c>
      <c r="AT325" s="38">
        <f t="shared" si="53"/>
        <v>1416.8547067815127</v>
      </c>
      <c r="AW325" s="1">
        <f>(VLOOKUP(A:A,USD!A:AT,46,FALSE)*88)/88*20</f>
        <v>369.95227272727271</v>
      </c>
      <c r="AX325" s="1" t="e">
        <f>(VLOOKUP(A:A,USD!A:AU,47,FALSE)*88)/88*20</f>
        <v>#N/A</v>
      </c>
    </row>
    <row r="326" spans="1:50" hidden="1">
      <c r="A326" s="1">
        <v>985505</v>
      </c>
      <c r="B326" s="1" t="s">
        <v>722</v>
      </c>
      <c r="C326" s="1" t="s">
        <v>723</v>
      </c>
      <c r="D326" s="1" t="s">
        <v>324</v>
      </c>
      <c r="E326" s="1" t="str">
        <f>VLOOKUP(A:A,USD!A:E,5,FALSE)</f>
        <v>Eastern Rule 5</v>
      </c>
      <c r="F326" s="1" t="str">
        <f>VLOOKUP(A:A,USD!A:F,6,FALSE)</f>
        <v>ER5</v>
      </c>
      <c r="G326" s="1" t="str">
        <f>VLOOKUP(A:A,'Regions and Ports'!A:G,7,FALSE)</f>
        <v>Savannah</v>
      </c>
      <c r="H326" s="1">
        <f>VLOOKUP(A:A,USD!A:R,8,FALSE)</f>
        <v>1</v>
      </c>
      <c r="I326" s="87">
        <f>(VLOOKUP($A:$A,USD!$A:$AL,9,FALSE)*88)/88*20</f>
        <v>80</v>
      </c>
      <c r="J326" s="87">
        <f>(VLOOKUP($A:$A,USD!$A:$AL,10,FALSE)*88)/88*20</f>
        <v>80</v>
      </c>
      <c r="K326" s="87">
        <f>(VLOOKUP($A:$A,USD!$A:$AL,11,FALSE)*88)/88*20</f>
        <v>0</v>
      </c>
      <c r="L326" s="87">
        <f>(VLOOKUP($A:$A,USD!$A:$AL,12,FALSE)*88)/88*20</f>
        <v>0</v>
      </c>
      <c r="M326" s="87">
        <f>(VLOOKUP($A:$A,USD!$A:$AL,13,FALSE)*88)/88*20</f>
        <v>20</v>
      </c>
      <c r="N326" s="87">
        <f>(VLOOKUP($A:$A,USD!$A:$AL,14,FALSE)*88)/88*20</f>
        <v>45</v>
      </c>
      <c r="O326" s="68">
        <f>(VLOOKUP($A:$A,USD!$A:$AL,15,FALSE)*88)/88*20</f>
        <v>37.916666666666671</v>
      </c>
      <c r="P326" s="87">
        <f>(VLOOKUP($A:$A,USD!$A:$AL,16,FALSE)*88)/88*20</f>
        <v>0</v>
      </c>
      <c r="Q326" s="68">
        <f t="shared" si="45"/>
        <v>262.91666666666669</v>
      </c>
      <c r="R326" s="68">
        <f t="shared" si="46"/>
        <v>82.916666666666671</v>
      </c>
      <c r="S326" s="68">
        <f>(VLOOKUP($A:$A,USD!$A:$AL,19,FALSE)*88)/88*20</f>
        <v>0</v>
      </c>
      <c r="T326" s="68">
        <f>(VLOOKUP($A:$A,USD!$A:$AL,20,FALSE)*88)/88*20</f>
        <v>0</v>
      </c>
      <c r="U326" s="68">
        <f>(VLOOKUP($A:$A,USD!$A:$AL,21,FALSE)*88)/88*20</f>
        <v>314.2409090909091</v>
      </c>
      <c r="V326" s="68"/>
      <c r="W326" s="68">
        <f t="shared" si="47"/>
        <v>314.2409090909091</v>
      </c>
      <c r="X326" s="1">
        <f>(VLOOKUP($A:$A,USD!$A:$AL,24,FALSE)*88)/88*20</f>
        <v>52</v>
      </c>
      <c r="Y326" s="68">
        <f>(VLOOKUP($A:$A,USD!$A:$AL,25,FALSE)*88)/88*20</f>
        <v>50.4</v>
      </c>
      <c r="Z326" s="68">
        <f>(VLOOKUP($A:$A,USD!$A:$AL,26,FALSE)*88)/88*20</f>
        <v>26.25</v>
      </c>
      <c r="AB326" s="68">
        <f t="shared" si="48"/>
        <v>128.65</v>
      </c>
      <c r="AC326" s="68">
        <f>(VLOOKUP($A:$A,USD!$A:$AL,29,FALSE)*88)/88*20</f>
        <v>110.22727272727273</v>
      </c>
      <c r="AD326" s="68">
        <f>(VLOOKUP($A:$A,USD!$A:$AL,30,FALSE)*88)/88*20</f>
        <v>107.04545454545455</v>
      </c>
      <c r="AF326" s="68">
        <f t="shared" si="49"/>
        <v>217.27272727272728</v>
      </c>
      <c r="AG326" s="87">
        <f>(VLOOKUP($A:$A,USD!$A:$AL,33,FALSE)*88)/88*20</f>
        <v>28.814300000000003</v>
      </c>
      <c r="AH326" s="68">
        <f>(VLOOKUP($A:$A,USD!$A:$AL,34,FALSE)*88)/88*20</f>
        <v>6.973140495867769</v>
      </c>
      <c r="AI326" s="87">
        <f>(VLOOKUP($A:$A,USD!$A:$AL,35,FALSE)*88)/88*20</f>
        <v>12.587317427197677</v>
      </c>
      <c r="AJ326" s="87">
        <f>(VLOOKUP($A:$A,USD!$A:$AL,36,FALSE)*88)/88*20</f>
        <v>6.7351999999999999</v>
      </c>
      <c r="AL326" s="68">
        <f t="shared" si="50"/>
        <v>55.109957923065444</v>
      </c>
      <c r="AM326" s="87">
        <f>(VLOOKUP($A:$A,USD!$A:$AR,39,FALSE)*88)/88*20</f>
        <v>79.999999999999986</v>
      </c>
      <c r="AN326" s="68">
        <f>(VLOOKUP($A:$A,USD!$A:$AR,40,FALSE)*88)/88*20</f>
        <v>26.17808219178082</v>
      </c>
      <c r="AO326" s="1">
        <f>(VLOOKUP($A:$A,USD!$A:$AR,41,FALSE)*88)/88*20</f>
        <v>0</v>
      </c>
      <c r="AR326" s="1">
        <f t="shared" si="51"/>
        <v>106.1780821917808</v>
      </c>
      <c r="AS326" s="38">
        <f t="shared" si="52"/>
        <v>904.36834314514931</v>
      </c>
      <c r="AT326" s="38">
        <f t="shared" si="53"/>
        <v>1084.3683431451493</v>
      </c>
      <c r="AW326" s="1" t="e">
        <f>(VLOOKUP(A:A,USD!A:AT,46,FALSE)*88)/88*20</f>
        <v>#N/A</v>
      </c>
      <c r="AX326" s="1">
        <f>(VLOOKUP(A:A,USD!A:AU,47,FALSE)*88)/88*20</f>
        <v>282.38636363636363</v>
      </c>
    </row>
    <row r="327" spans="1:50" hidden="1">
      <c r="A327" s="1">
        <v>337525</v>
      </c>
      <c r="B327" s="1" t="s">
        <v>724</v>
      </c>
      <c r="C327" s="1" t="s">
        <v>725</v>
      </c>
      <c r="D327" s="1" t="s">
        <v>76</v>
      </c>
      <c r="E327" s="1" t="str">
        <f>VLOOKUP(A:A,USD!A:E,5,FALSE)</f>
        <v>GA 30 Day</v>
      </c>
      <c r="F327" s="1" t="str">
        <f>VLOOKUP(A:A,USD!A:F,6,FALSE)</f>
        <v>ER5</v>
      </c>
      <c r="G327" s="1" t="str">
        <f>VLOOKUP(A:A,'Regions and Ports'!A:G,7,FALSE)</f>
        <v>Savannah</v>
      </c>
      <c r="H327" s="1">
        <f>VLOOKUP(A:A,USD!A:R,8,FALSE)</f>
        <v>4</v>
      </c>
      <c r="I327" s="87">
        <f>(VLOOKUP($A:$A,USD!$A:$AL,9,FALSE)*88)/88*20</f>
        <v>60</v>
      </c>
      <c r="J327" s="87">
        <f>(VLOOKUP($A:$A,USD!$A:$AL,10,FALSE)*88)/88*20</f>
        <v>100</v>
      </c>
      <c r="K327" s="87">
        <f>(VLOOKUP($A:$A,USD!$A:$AL,11,FALSE)*88)/88*20</f>
        <v>150</v>
      </c>
      <c r="L327" s="87">
        <f>(VLOOKUP($A:$A,USD!$A:$AL,12,FALSE)*88)/88*20</f>
        <v>0</v>
      </c>
      <c r="M327" s="87">
        <f>(VLOOKUP($A:$A,USD!$A:$AL,13,FALSE)*88)/88*20</f>
        <v>20</v>
      </c>
      <c r="N327" s="87">
        <f>(VLOOKUP($A:$A,USD!$A:$AL,14,FALSE)*88)/88*20</f>
        <v>60</v>
      </c>
      <c r="O327" s="68">
        <f>(VLOOKUP($A:$A,USD!$A:$AL,15,FALSE)*88)/88*20</f>
        <v>37.916666666666671</v>
      </c>
      <c r="P327" s="87">
        <f>(VLOOKUP($A:$A,USD!$A:$AL,16,FALSE)*88)/88*20</f>
        <v>0</v>
      </c>
      <c r="Q327" s="68">
        <f t="shared" si="45"/>
        <v>427.91666666666669</v>
      </c>
      <c r="R327" s="68">
        <f t="shared" si="46"/>
        <v>37.916666666666671</v>
      </c>
      <c r="S327" s="68">
        <f>(VLOOKUP($A:$A,USD!$A:$AL,19,FALSE)*88)/88*20</f>
        <v>0</v>
      </c>
      <c r="T327" s="68">
        <f>(VLOOKUP($A:$A,USD!$A:$AL,20,FALSE)*88)/88*20</f>
        <v>0</v>
      </c>
      <c r="U327" s="68">
        <f>(VLOOKUP($A:$A,USD!$A:$AL,21,FALSE)*88)/88*20</f>
        <v>162.42954545454549</v>
      </c>
      <c r="V327" s="68"/>
      <c r="W327" s="68">
        <f t="shared" si="47"/>
        <v>162.42954545454549</v>
      </c>
      <c r="X327" s="1">
        <f>(VLOOKUP($A:$A,USD!$A:$AL,24,FALSE)*88)/88*20</f>
        <v>52</v>
      </c>
      <c r="Y327" s="68">
        <f>(VLOOKUP($A:$A,USD!$A:$AL,25,FALSE)*88)/88*20</f>
        <v>50.4</v>
      </c>
      <c r="Z327" s="68">
        <f>(VLOOKUP($A:$A,USD!$A:$AL,26,FALSE)*88)/88*20</f>
        <v>26.25</v>
      </c>
      <c r="AB327" s="68">
        <f t="shared" si="48"/>
        <v>128.65</v>
      </c>
      <c r="AC327" s="68">
        <f>(VLOOKUP($A:$A,USD!$A:$AL,29,FALSE)*88)/88*20</f>
        <v>110.22727272727273</v>
      </c>
      <c r="AD327" s="68">
        <f>(VLOOKUP($A:$A,USD!$A:$AL,30,FALSE)*88)/88*20</f>
        <v>107.04545454545455</v>
      </c>
      <c r="AF327" s="68">
        <f t="shared" si="49"/>
        <v>217.27272727272728</v>
      </c>
      <c r="AG327" s="87">
        <f>(VLOOKUP($A:$A,USD!$A:$AL,33,FALSE)*88)/88*20</f>
        <v>28.814300000000003</v>
      </c>
      <c r="AH327" s="68">
        <f>(VLOOKUP($A:$A,USD!$A:$AL,34,FALSE)*88)/88*20</f>
        <v>6.973140495867769</v>
      </c>
      <c r="AI327" s="87">
        <f>(VLOOKUP($A:$A,USD!$A:$AL,35,FALSE)*88)/88*20</f>
        <v>12.587317427197677</v>
      </c>
      <c r="AJ327" s="87">
        <f>(VLOOKUP($A:$A,USD!$A:$AL,36,FALSE)*88)/88*20</f>
        <v>6.7351999999999999</v>
      </c>
      <c r="AL327" s="68">
        <f t="shared" si="50"/>
        <v>55.109957923065444</v>
      </c>
      <c r="AM327" s="87">
        <f>(VLOOKUP($A:$A,USD!$A:$AR,39,FALSE)*88)/88*20</f>
        <v>79.999999999999986</v>
      </c>
      <c r="AN327" s="68">
        <f>(VLOOKUP($A:$A,USD!$A:$AR,40,FALSE)*88)/88*20</f>
        <v>26.17808219178082</v>
      </c>
      <c r="AO327" s="1">
        <f>(VLOOKUP($A:$A,USD!$A:$AR,41,FALSE)*88)/88*20</f>
        <v>0</v>
      </c>
      <c r="AR327" s="1">
        <f t="shared" si="51"/>
        <v>106.1780821917808</v>
      </c>
      <c r="AS327" s="38">
        <f t="shared" si="52"/>
        <v>707.55697950878562</v>
      </c>
      <c r="AT327" s="38">
        <f t="shared" si="53"/>
        <v>1097.5569795087856</v>
      </c>
      <c r="AW327" s="1">
        <f>(VLOOKUP(A:A,USD!A:AT,46,FALSE)*88)/88*20</f>
        <v>531.78181818181815</v>
      </c>
      <c r="AX327" s="1">
        <f>(VLOOKUP(A:A,USD!A:AU,47,FALSE)*88)/88*20</f>
        <v>280.68181818181819</v>
      </c>
    </row>
    <row r="328" spans="1:50">
      <c r="A328" s="1">
        <v>96505</v>
      </c>
      <c r="B328" s="1" t="s">
        <v>726</v>
      </c>
      <c r="C328" s="1" t="s">
        <v>727</v>
      </c>
      <c r="D328" s="1" t="s">
        <v>65</v>
      </c>
      <c r="E328" s="1" t="str">
        <f>VLOOKUP(A:A,USD!A:E,5,FALSE)</f>
        <v>Eastern Rule 5</v>
      </c>
      <c r="F328" s="1" t="str">
        <f>VLOOKUP(A:A,USD!A:F,6,FALSE)</f>
        <v>ER5</v>
      </c>
      <c r="G328" s="1" t="str">
        <f>VLOOKUP(A:A,'Regions and Ports'!A:G,7,FALSE)</f>
        <v>Savannah</v>
      </c>
      <c r="H328" s="1">
        <f>VLOOKUP(A:A,USD!A:R,8,FALSE)</f>
        <v>1</v>
      </c>
      <c r="I328" s="87">
        <f>(VLOOKUP($A:$A,USD!$A:$AL,9,FALSE)*88)/88*20</f>
        <v>80</v>
      </c>
      <c r="J328" s="87">
        <f>(VLOOKUP($A:$A,USD!$A:$AL,10,FALSE)*88)/88*20</f>
        <v>120</v>
      </c>
      <c r="K328" s="87">
        <f>(VLOOKUP($A:$A,USD!$A:$AL,11,FALSE)*88)/88*20</f>
        <v>140</v>
      </c>
      <c r="L328" s="87">
        <f>(VLOOKUP($A:$A,USD!$A:$AL,12,FALSE)*88)/88*20</f>
        <v>0</v>
      </c>
      <c r="M328" s="87">
        <f>(VLOOKUP($A:$A,USD!$A:$AL,13,FALSE)*88)/88*20</f>
        <v>20</v>
      </c>
      <c r="N328" s="87">
        <f>(VLOOKUP($A:$A,USD!$A:$AL,14,FALSE)*88)/88*20</f>
        <v>55</v>
      </c>
      <c r="O328" s="68">
        <f>(VLOOKUP($A:$A,USD!$A:$AL,15,FALSE)*88)/88*20</f>
        <v>37.916666666666671</v>
      </c>
      <c r="P328" s="87">
        <f>(VLOOKUP($A:$A,USD!$A:$AL,16,FALSE)*88)/88*20</f>
        <v>0</v>
      </c>
      <c r="Q328" s="68">
        <f t="shared" si="45"/>
        <v>452.91666666666669</v>
      </c>
      <c r="R328" s="68">
        <f t="shared" si="46"/>
        <v>92.916666666666671</v>
      </c>
      <c r="S328" s="68">
        <f>(VLOOKUP($A:$A,USD!$A:$AL,19,FALSE)*88)/88*20</f>
        <v>0</v>
      </c>
      <c r="T328" s="68">
        <f>(VLOOKUP($A:$A,USD!$A:$AL,20,FALSE)*88)/88*20</f>
        <v>0</v>
      </c>
      <c r="U328" s="68">
        <f>(VLOOKUP($A:$A,USD!$A:$AL,21,FALSE)*88)/88*20</f>
        <v>320.9517045454545</v>
      </c>
      <c r="V328" s="68"/>
      <c r="W328" s="68">
        <f t="shared" si="47"/>
        <v>320.9517045454545</v>
      </c>
      <c r="X328" s="1">
        <f>(VLOOKUP($A:$A,USD!$A:$AL,24,FALSE)*88)/88*20</f>
        <v>52</v>
      </c>
      <c r="Y328" s="68">
        <f>(VLOOKUP($A:$A,USD!$A:$AL,25,FALSE)*88)/88*20</f>
        <v>50.4</v>
      </c>
      <c r="Z328" s="68">
        <f>(VLOOKUP($A:$A,USD!$A:$AL,26,FALSE)*88)/88*20</f>
        <v>26.25</v>
      </c>
      <c r="AB328" s="68">
        <f t="shared" si="48"/>
        <v>128.65</v>
      </c>
      <c r="AC328" s="68">
        <f>(VLOOKUP($A:$A,USD!$A:$AL,29,FALSE)*88)/88*20</f>
        <v>110.22727272727273</v>
      </c>
      <c r="AD328" s="68">
        <f>(VLOOKUP($A:$A,USD!$A:$AL,30,FALSE)*88)/88*20</f>
        <v>107.04545454545455</v>
      </c>
      <c r="AF328" s="68">
        <f t="shared" si="49"/>
        <v>217.27272727272728</v>
      </c>
      <c r="AG328" s="87">
        <f>(VLOOKUP($A:$A,USD!$A:$AL,33,FALSE)*88)/88*20</f>
        <v>28.814300000000003</v>
      </c>
      <c r="AH328" s="68">
        <f>(VLOOKUP($A:$A,USD!$A:$AL,34,FALSE)*88)/88*20</f>
        <v>6.973140495867769</v>
      </c>
      <c r="AI328" s="87">
        <f>(VLOOKUP($A:$A,USD!$A:$AL,35,FALSE)*88)/88*20</f>
        <v>12.587317427197677</v>
      </c>
      <c r="AJ328" s="87">
        <f>(VLOOKUP($A:$A,USD!$A:$AL,36,FALSE)*88)/88*20</f>
        <v>6.7351999999999999</v>
      </c>
      <c r="AL328" s="68">
        <f t="shared" si="50"/>
        <v>55.109957923065444</v>
      </c>
      <c r="AM328" s="87">
        <f>(VLOOKUP($A:$A,USD!$A:$AR,39,FALSE)*88)/88*20</f>
        <v>79.999999999999986</v>
      </c>
      <c r="AN328" s="68">
        <f>(VLOOKUP($A:$A,USD!$A:$AR,40,FALSE)*88)/88*20</f>
        <v>26.17808219178082</v>
      </c>
      <c r="AO328" s="1">
        <f>(VLOOKUP($A:$A,USD!$A:$AR,41,FALSE)*88)/88*20</f>
        <v>0</v>
      </c>
      <c r="AR328" s="1">
        <f t="shared" si="51"/>
        <v>106.1780821917808</v>
      </c>
      <c r="AS328" s="38">
        <f t="shared" si="52"/>
        <v>921.07913859969472</v>
      </c>
      <c r="AT328" s="38">
        <f t="shared" si="53"/>
        <v>1281.0791385996947</v>
      </c>
      <c r="AW328" s="1" t="e">
        <f>(VLOOKUP(A:A,USD!A:AT,46,FALSE)*88)/88*20</f>
        <v>#N/A</v>
      </c>
      <c r="AX328" s="1">
        <f>(VLOOKUP(A:A,USD!A:AU,47,FALSE)*88)/88*20</f>
        <v>386.36363636363632</v>
      </c>
    </row>
    <row r="329" spans="1:50" hidden="1">
      <c r="A329" s="1">
        <v>840509</v>
      </c>
      <c r="B329" s="1" t="s">
        <v>729</v>
      </c>
      <c r="C329" s="1" t="s">
        <v>730</v>
      </c>
      <c r="D329" s="1" t="s">
        <v>71</v>
      </c>
      <c r="E329" s="1" t="str">
        <f>VLOOKUP(A:A,USD!A:E,5,FALSE)</f>
        <v>WTX</v>
      </c>
      <c r="F329" s="1" t="str">
        <f>VLOOKUP(A:A,USD!A:F,6,FALSE)</f>
        <v>WTX</v>
      </c>
      <c r="G329" s="1" t="str">
        <f>VLOOKUP(A:A,'Regions and Ports'!A:G,7,FALSE)</f>
        <v>Dallas</v>
      </c>
      <c r="H329" s="1">
        <f>VLOOKUP(A:A,USD!A:R,8,FALSE)</f>
        <v>3</v>
      </c>
      <c r="I329" s="87">
        <f>(VLOOKUP($A:$A,USD!$A:$AL,9,FALSE)*88)/88*20</f>
        <v>110</v>
      </c>
      <c r="J329" s="87">
        <f>(VLOOKUP($A:$A,USD!$A:$AL,10,FALSE)*88)/88*20</f>
        <v>350</v>
      </c>
      <c r="K329" s="87">
        <f>(VLOOKUP($A:$A,USD!$A:$AL,11,FALSE)*88)/88*20</f>
        <v>0</v>
      </c>
      <c r="L329" s="87">
        <f>(VLOOKUP($A:$A,USD!$A:$AL,12,FALSE)*88)/88*20</f>
        <v>0</v>
      </c>
      <c r="M329" s="87">
        <f>(VLOOKUP($A:$A,USD!$A:$AL,13,FALSE)*88)/88*20</f>
        <v>0</v>
      </c>
      <c r="N329" s="87">
        <f>(VLOOKUP($A:$A,USD!$A:$AL,14,FALSE)*88)/88*20</f>
        <v>80</v>
      </c>
      <c r="O329" s="68">
        <f>(VLOOKUP($A:$A,USD!$A:$AL,15,FALSE)*88)/88*20</f>
        <v>37.916666666666671</v>
      </c>
      <c r="P329" s="87">
        <f>(VLOOKUP($A:$A,USD!$A:$AL,16,FALSE)*88)/88*20</f>
        <v>0</v>
      </c>
      <c r="Q329" s="68">
        <f t="shared" si="45"/>
        <v>577.91666666666663</v>
      </c>
      <c r="R329" s="68">
        <f t="shared" si="46"/>
        <v>467.91666666666669</v>
      </c>
      <c r="S329" s="68">
        <f>(VLOOKUP($A:$A,USD!$A:$AL,19,FALSE)*88)/88*20</f>
        <v>20</v>
      </c>
      <c r="T329" s="68">
        <f>(VLOOKUP($A:$A,USD!$A:$AL,20,FALSE)*88)/88*20</f>
        <v>0</v>
      </c>
      <c r="U329" s="68">
        <f>(VLOOKUP($A:$A,USD!$A:$AL,21,FALSE)*88)/88*20</f>
        <v>147.72727272727275</v>
      </c>
      <c r="V329" s="68"/>
      <c r="W329" s="68">
        <f t="shared" si="47"/>
        <v>167.72727272727275</v>
      </c>
      <c r="X329" s="1">
        <f>(VLOOKUP($A:$A,USD!$A:$AL,24,FALSE)*88)/88*20</f>
        <v>54</v>
      </c>
      <c r="Y329" s="68">
        <f>(VLOOKUP($A:$A,USD!$A:$AL,25,FALSE)*88)/88*20</f>
        <v>50.4</v>
      </c>
      <c r="Z329" s="68">
        <f>(VLOOKUP($A:$A,USD!$A:$AL,26,FALSE)*88)/88*20</f>
        <v>26.25</v>
      </c>
      <c r="AB329" s="68">
        <f t="shared" si="48"/>
        <v>130.65</v>
      </c>
      <c r="AC329" s="68">
        <f>(VLOOKUP($A:$A,USD!$A:$AL,29,FALSE)*88)/88*20</f>
        <v>162.5</v>
      </c>
      <c r="AD329" s="68">
        <f>(VLOOKUP($A:$A,USD!$A:$AL,30,FALSE)*88)/88*20</f>
        <v>268.18181818181819</v>
      </c>
      <c r="AF329" s="68">
        <f t="shared" si="49"/>
        <v>430.68181818181819</v>
      </c>
      <c r="AG329" s="87">
        <f>(VLOOKUP($A:$A,USD!$A:$AL,33,FALSE)*88)/88*20</f>
        <v>28.814300000000003</v>
      </c>
      <c r="AH329" s="68">
        <f>(VLOOKUP($A:$A,USD!$A:$AL,34,FALSE)*88)/88*20</f>
        <v>6.973140495867769</v>
      </c>
      <c r="AI329" s="87">
        <f>(VLOOKUP($A:$A,USD!$A:$AL,35,FALSE)*88)/88*20</f>
        <v>12.587317427197677</v>
      </c>
      <c r="AJ329" s="87">
        <f>(VLOOKUP($A:$A,USD!$A:$AL,36,FALSE)*88)/88*20</f>
        <v>6.7351999999999999</v>
      </c>
      <c r="AL329" s="68">
        <f t="shared" si="50"/>
        <v>55.109957923065444</v>
      </c>
      <c r="AM329" s="87">
        <f>(VLOOKUP($A:$A,USD!$A:$AR,39,FALSE)*88)/88*20</f>
        <v>79.999999999999986</v>
      </c>
      <c r="AN329" s="68">
        <f>(VLOOKUP($A:$A,USD!$A:$AR,40,FALSE)*88)/88*20</f>
        <v>26.17808219178082</v>
      </c>
      <c r="AO329" s="1">
        <f>(VLOOKUP($A:$A,USD!$A:$AR,41,FALSE)*88)/88*20</f>
        <v>0</v>
      </c>
      <c r="AR329" s="1">
        <f t="shared" si="51"/>
        <v>106.1780821917808</v>
      </c>
      <c r="AS329" s="38">
        <f t="shared" si="52"/>
        <v>1358.2637976906037</v>
      </c>
      <c r="AT329" s="38">
        <f t="shared" si="53"/>
        <v>1468.2637976906037</v>
      </c>
      <c r="AW329" s="1">
        <f>(VLOOKUP(A:A,USD!A:AT,46,FALSE)*88)/88*20</f>
        <v>331.49772727272727</v>
      </c>
      <c r="AX329" s="1" t="e">
        <f>(VLOOKUP(A:A,USD!A:AU,47,FALSE)*88)/88*20</f>
        <v>#N/A</v>
      </c>
    </row>
    <row r="330" spans="1:50" hidden="1">
      <c r="A330" s="1">
        <v>937530</v>
      </c>
      <c r="B330" s="1" t="s">
        <v>83</v>
      </c>
      <c r="C330" s="1" t="s">
        <v>732</v>
      </c>
      <c r="D330" s="1" t="s">
        <v>71</v>
      </c>
      <c r="E330" s="1" t="str">
        <f>VLOOKUP(A:A,USD!A:E,5,FALSE)</f>
        <v>WTX</v>
      </c>
      <c r="F330" s="1" t="str">
        <f>VLOOKUP(A:A,USD!A:F,6,FALSE)</f>
        <v>WTX</v>
      </c>
      <c r="G330" s="1" t="str">
        <f>VLOOKUP(A:A,'Regions and Ports'!A:G,7,FALSE)</f>
        <v>Dallas</v>
      </c>
      <c r="H330" s="1">
        <f>VLOOKUP(A:A,USD!A:R,8,FALSE)</f>
        <v>2</v>
      </c>
      <c r="I330" s="87">
        <f>(VLOOKUP($A:$A,USD!$A:$AL,9,FALSE)*88)/88*20</f>
        <v>103</v>
      </c>
      <c r="J330" s="87">
        <f>(VLOOKUP($A:$A,USD!$A:$AL,10,FALSE)*88)/88*20</f>
        <v>125</v>
      </c>
      <c r="K330" s="87">
        <f>(VLOOKUP($A:$A,USD!$A:$AL,11,FALSE)*88)/88*20</f>
        <v>240</v>
      </c>
      <c r="L330" s="87">
        <f>(VLOOKUP($A:$A,USD!$A:$AL,12,FALSE)*88)/88*20</f>
        <v>0</v>
      </c>
      <c r="M330" s="87">
        <f>(VLOOKUP($A:$A,USD!$A:$AL,13,FALSE)*88)/88*20</f>
        <v>0</v>
      </c>
      <c r="N330" s="87">
        <f>(VLOOKUP($A:$A,USD!$A:$AL,14,FALSE)*88)/88*20</f>
        <v>39</v>
      </c>
      <c r="O330" s="68">
        <f>(VLOOKUP($A:$A,USD!$A:$AL,15,FALSE)*88)/88*20</f>
        <v>37.916666666666671</v>
      </c>
      <c r="P330" s="87">
        <f>(VLOOKUP($A:$A,USD!$A:$AL,16,FALSE)*88)/88*20</f>
        <v>0</v>
      </c>
      <c r="Q330" s="68">
        <f t="shared" si="45"/>
        <v>544.91666666666663</v>
      </c>
      <c r="R330" s="68">
        <f t="shared" si="46"/>
        <v>316.91666666666669</v>
      </c>
      <c r="S330" s="68">
        <f>(VLOOKUP($A:$A,USD!$A:$AL,19,FALSE)*88)/88*20</f>
        <v>20</v>
      </c>
      <c r="T330" s="68">
        <f>(VLOOKUP($A:$A,USD!$A:$AL,20,FALSE)*88)/88*20</f>
        <v>5</v>
      </c>
      <c r="U330" s="68">
        <f>(VLOOKUP($A:$A,USD!$A:$AL,21,FALSE)*88)/88*20</f>
        <v>147.72727272727275</v>
      </c>
      <c r="V330" s="68"/>
      <c r="W330" s="68">
        <f t="shared" si="47"/>
        <v>172.72727272727275</v>
      </c>
      <c r="X330" s="1">
        <f>(VLOOKUP($A:$A,USD!$A:$AL,24,FALSE)*88)/88*20</f>
        <v>54</v>
      </c>
      <c r="Y330" s="68">
        <f>(VLOOKUP($A:$A,USD!$A:$AL,25,FALSE)*88)/88*20</f>
        <v>50.4</v>
      </c>
      <c r="Z330" s="68">
        <f>(VLOOKUP($A:$A,USD!$A:$AL,26,FALSE)*88)/88*20</f>
        <v>26.25</v>
      </c>
      <c r="AB330" s="68">
        <f t="shared" si="48"/>
        <v>130.65</v>
      </c>
      <c r="AC330" s="68">
        <f>(VLOOKUP($A:$A,USD!$A:$AL,29,FALSE)*88)/88*20</f>
        <v>162.5</v>
      </c>
      <c r="AD330" s="68">
        <f>(VLOOKUP($A:$A,USD!$A:$AL,30,FALSE)*88)/88*20</f>
        <v>268.18181818181819</v>
      </c>
      <c r="AF330" s="68">
        <f t="shared" si="49"/>
        <v>430.68181818181819</v>
      </c>
      <c r="AG330" s="87">
        <f>(VLOOKUP($A:$A,USD!$A:$AL,33,FALSE)*88)/88*20</f>
        <v>28.814300000000003</v>
      </c>
      <c r="AH330" s="68">
        <f>(VLOOKUP($A:$A,USD!$A:$AL,34,FALSE)*88)/88*20</f>
        <v>6.973140495867769</v>
      </c>
      <c r="AI330" s="87">
        <f>(VLOOKUP($A:$A,USD!$A:$AL,35,FALSE)*88)/88*20</f>
        <v>12.587317427197677</v>
      </c>
      <c r="AJ330" s="87">
        <f>(VLOOKUP($A:$A,USD!$A:$AL,36,FALSE)*88)/88*20</f>
        <v>6.7351999999999999</v>
      </c>
      <c r="AL330" s="68">
        <f t="shared" si="50"/>
        <v>55.109957923065444</v>
      </c>
      <c r="AM330" s="87">
        <f>(VLOOKUP($A:$A,USD!$A:$AR,39,FALSE)*88)/88*20</f>
        <v>79.999999999999986</v>
      </c>
      <c r="AN330" s="68">
        <f>(VLOOKUP($A:$A,USD!$A:$AR,40,FALSE)*88)/88*20</f>
        <v>26.17808219178082</v>
      </c>
      <c r="AO330" s="1">
        <f>(VLOOKUP($A:$A,USD!$A:$AR,41,FALSE)*88)/88*20</f>
        <v>0</v>
      </c>
      <c r="AR330" s="1">
        <f t="shared" si="51"/>
        <v>106.1780821917808</v>
      </c>
      <c r="AS330" s="38">
        <f t="shared" si="52"/>
        <v>1212.2637976906037</v>
      </c>
      <c r="AT330" s="38">
        <f t="shared" si="53"/>
        <v>1440.2637976906037</v>
      </c>
      <c r="AW330" s="1">
        <f>(VLOOKUP(A:A,USD!A:AT,46,FALSE)*88)/88*20</f>
        <v>331.49772727272727</v>
      </c>
      <c r="AX330" s="1" t="e">
        <f>(VLOOKUP(A:A,USD!A:AU,47,FALSE)*88)/88*20</f>
        <v>#N/A</v>
      </c>
    </row>
    <row r="331" spans="1:50" hidden="1">
      <c r="A331" s="125">
        <v>937530</v>
      </c>
      <c r="B331" s="1" t="s">
        <v>83</v>
      </c>
      <c r="C331" s="1" t="s">
        <v>732</v>
      </c>
      <c r="D331" s="1" t="s">
        <v>71</v>
      </c>
      <c r="E331" s="1" t="s">
        <v>2067</v>
      </c>
      <c r="F331" s="1" t="str">
        <f>VLOOKUP(A:A,USD!A:F,6,FALSE)</f>
        <v>WTX</v>
      </c>
      <c r="G331" s="1" t="s">
        <v>439</v>
      </c>
      <c r="H331" s="1">
        <f>VLOOKUP(A:A,USD!A:R,8,FALSE)</f>
        <v>2</v>
      </c>
      <c r="I331" s="87">
        <f>(VLOOKUP($A:$A,USD!$A:$AL,9,FALSE)*88)/88*20</f>
        <v>103</v>
      </c>
      <c r="J331" s="87">
        <f>(VLOOKUP($A:$A,USD!$A:$AL,10,FALSE)*88)/88*20</f>
        <v>125</v>
      </c>
      <c r="K331" s="87">
        <f>(VLOOKUP($A:$A,USD!$A:$AL,11,FALSE)*88)/88*20</f>
        <v>240</v>
      </c>
      <c r="L331" s="87">
        <f>(VLOOKUP($A:$A,USD!$A:$AL,12,FALSE)*88)/88*20</f>
        <v>0</v>
      </c>
      <c r="M331" s="87">
        <f>(VLOOKUP($A:$A,USD!$A:$AL,13,FALSE)*88)/88*20</f>
        <v>0</v>
      </c>
      <c r="N331" s="87">
        <f>(VLOOKUP($A:$A,USD!$A:$AL,14,FALSE)*88)/88*20</f>
        <v>39</v>
      </c>
      <c r="O331" s="68">
        <f>(VLOOKUP($A:$A,USD!$A:$AL,15,FALSE)*88)/88*20</f>
        <v>37.916666666666671</v>
      </c>
      <c r="P331" s="87">
        <f>(VLOOKUP($A:$A,USD!$A:$AL,16,FALSE)*88)/88*20</f>
        <v>0</v>
      </c>
      <c r="Q331" s="68">
        <f t="shared" si="45"/>
        <v>544.91666666666663</v>
      </c>
      <c r="R331" s="68">
        <f t="shared" si="46"/>
        <v>316.91666666666669</v>
      </c>
      <c r="S331" s="68">
        <f>(VLOOKUP($A:$A,USD!$A:$AL,19,FALSE)*88)/88*20</f>
        <v>20</v>
      </c>
      <c r="T331" s="68">
        <f>(VLOOKUP($A:$A,USD!$A:$AL,20,FALSE)*88)/88*20</f>
        <v>5</v>
      </c>
      <c r="U331" s="68" cm="1">
        <f t="array" ref="U331">(_xlfn.XLOOKUP(1, (USD!$A:$A=$A331)*(USD!$E:$E=$E331), USD!$U:$U, "", 0)*88)/88*20</f>
        <v>258.52272727272725</v>
      </c>
      <c r="V331" s="68"/>
      <c r="W331" s="68">
        <f t="shared" si="47"/>
        <v>283.52272727272725</v>
      </c>
      <c r="X331" s="1">
        <f>(VLOOKUP($A:$A,USD!$A:$AL,24,FALSE)*88)/88*20</f>
        <v>54</v>
      </c>
      <c r="Y331" s="68">
        <f>(VLOOKUP($A:$A,USD!$A:$AL,25,FALSE)*88)/88*20</f>
        <v>50.4</v>
      </c>
      <c r="Z331" s="68">
        <f>(VLOOKUP($A:$A,USD!$A:$AL,26,FALSE)*88)/88*20</f>
        <v>26.25</v>
      </c>
      <c r="AB331" s="68">
        <f t="shared" si="48"/>
        <v>130.65</v>
      </c>
      <c r="AC331" s="68" cm="1">
        <f t="array" ref="AC331">_xlfn.XLOOKUP(A331&amp;E331, USD!$A:$A&amp;USD!$E:$E, USD!$AC:$AC, "")*20</f>
        <v>132.95454545454544</v>
      </c>
      <c r="AD331" s="68" cm="1">
        <f t="array" ref="AD331">_xlfn.XLOOKUP(A331&amp;E331, USD!$A:$A&amp;USD!$E:$E, USD!$AD:$AD, "")*20</f>
        <v>197.95454545454547</v>
      </c>
      <c r="AF331" s="68">
        <f t="shared" si="49"/>
        <v>330.90909090909088</v>
      </c>
      <c r="AG331" s="87">
        <f>(VLOOKUP($A:$A,USD!$A:$AL,33,FALSE)*88)/88*20</f>
        <v>28.814300000000003</v>
      </c>
      <c r="AH331" s="68">
        <f>(VLOOKUP($A:$A,USD!$A:$AL,34,FALSE)*88)/88*20</f>
        <v>6.973140495867769</v>
      </c>
      <c r="AI331" s="87">
        <f>(VLOOKUP($A:$A,USD!$A:$AL,35,FALSE)*88)/88*20</f>
        <v>12.587317427197677</v>
      </c>
      <c r="AJ331" s="87">
        <f>(VLOOKUP($A:$A,USD!$A:$AL,36,FALSE)*88)/88*20</f>
        <v>6.7351999999999999</v>
      </c>
      <c r="AL331" s="68">
        <f t="shared" si="50"/>
        <v>55.109957923065444</v>
      </c>
      <c r="AM331" s="87">
        <f>(VLOOKUP($A:$A,USD!$A:$AR,39,FALSE)*88)/88*20</f>
        <v>79.999999999999986</v>
      </c>
      <c r="AN331" s="68">
        <f>(VLOOKUP($A:$A,USD!$A:$AR,40,FALSE)*88)/88*20</f>
        <v>26.17808219178082</v>
      </c>
      <c r="AO331" s="1">
        <f>(VLOOKUP($A:$A,USD!$A:$AR,41,FALSE)*88)/88*20</f>
        <v>0</v>
      </c>
      <c r="AR331" s="1">
        <f t="shared" si="51"/>
        <v>106.1780821917808</v>
      </c>
      <c r="AS331" s="38">
        <f t="shared" si="52"/>
        <v>1223.286524963331</v>
      </c>
      <c r="AT331" s="38">
        <f t="shared" si="53"/>
        <v>1451.2865249633307</v>
      </c>
      <c r="AW331" s="1">
        <f>(VLOOKUP(A:A,USD!A:AT,46,FALSE)*88)/88*20</f>
        <v>331.49772727272727</v>
      </c>
      <c r="AX331" s="1" t="e">
        <f>(VLOOKUP(A:A,USD!A:AU,47,FALSE)*88)/88*20</f>
        <v>#N/A</v>
      </c>
    </row>
    <row r="332" spans="1:50" hidden="1">
      <c r="A332" s="1">
        <v>339007</v>
      </c>
      <c r="B332" s="1" t="s">
        <v>733</v>
      </c>
      <c r="C332" s="1" t="s">
        <v>734</v>
      </c>
      <c r="D332" s="1" t="s">
        <v>76</v>
      </c>
      <c r="E332" s="1" t="str">
        <f>VLOOKUP(A:A,USD!A:E,5,FALSE)</f>
        <v>GA 30 Day</v>
      </c>
      <c r="F332" s="1" t="str">
        <f>VLOOKUP(A:A,USD!A:F,6,FALSE)</f>
        <v>ER5</v>
      </c>
      <c r="G332" s="1" t="str">
        <f>VLOOKUP(A:A,'Regions and Ports'!A:G,7,FALSE)</f>
        <v>Savannah</v>
      </c>
      <c r="H332" s="1">
        <f>VLOOKUP(A:A,USD!A:R,8,FALSE)</f>
        <v>4</v>
      </c>
      <c r="I332" s="87">
        <f>(VLOOKUP($A:$A,USD!$A:$AL,9,FALSE)*88)/88*20</f>
        <v>75</v>
      </c>
      <c r="J332" s="87">
        <f>(VLOOKUP($A:$A,USD!$A:$AL,10,FALSE)*88)/88*20</f>
        <v>120</v>
      </c>
      <c r="K332" s="87">
        <f>(VLOOKUP($A:$A,USD!$A:$AL,11,FALSE)*88)/88*20</f>
        <v>0</v>
      </c>
      <c r="L332" s="87">
        <f>(VLOOKUP($A:$A,USD!$A:$AL,12,FALSE)*88)/88*20</f>
        <v>0</v>
      </c>
      <c r="M332" s="87">
        <f>(VLOOKUP($A:$A,USD!$A:$AL,13,FALSE)*88)/88*20</f>
        <v>20</v>
      </c>
      <c r="N332" s="87">
        <f>(VLOOKUP($A:$A,USD!$A:$AL,14,FALSE)*88)/88*20</f>
        <v>75</v>
      </c>
      <c r="O332" s="68">
        <f>(VLOOKUP($A:$A,USD!$A:$AL,15,FALSE)*88)/88*20</f>
        <v>37.916666666666671</v>
      </c>
      <c r="P332" s="87">
        <f>(VLOOKUP($A:$A,USD!$A:$AL,16,FALSE)*88)/88*20</f>
        <v>0</v>
      </c>
      <c r="Q332" s="68">
        <f t="shared" si="45"/>
        <v>327.91666666666669</v>
      </c>
      <c r="R332" s="68">
        <f t="shared" si="46"/>
        <v>37.916666666666671</v>
      </c>
      <c r="S332" s="68">
        <f>(VLOOKUP($A:$A,USD!$A:$AL,19,FALSE)*88)/88*20</f>
        <v>0</v>
      </c>
      <c r="T332" s="68">
        <f>(VLOOKUP($A:$A,USD!$A:$AL,20,FALSE)*88)/88*20</f>
        <v>0</v>
      </c>
      <c r="U332" s="68">
        <f>(VLOOKUP($A:$A,USD!$A:$AL,21,FALSE)*88)/88*20</f>
        <v>216.29999999999998</v>
      </c>
      <c r="V332" s="68"/>
      <c r="W332" s="68">
        <f t="shared" si="47"/>
        <v>216.29999999999998</v>
      </c>
      <c r="X332" s="1">
        <f>(VLOOKUP($A:$A,USD!$A:$AL,24,FALSE)*88)/88*20</f>
        <v>52</v>
      </c>
      <c r="Y332" s="68">
        <f>(VLOOKUP($A:$A,USD!$A:$AL,25,FALSE)*88)/88*20</f>
        <v>50.4</v>
      </c>
      <c r="Z332" s="68">
        <f>(VLOOKUP($A:$A,USD!$A:$AL,26,FALSE)*88)/88*20</f>
        <v>26.25</v>
      </c>
      <c r="AB332" s="68">
        <f t="shared" si="48"/>
        <v>128.65</v>
      </c>
      <c r="AC332" s="68">
        <f>(VLOOKUP($A:$A,USD!$A:$AL,29,FALSE)*88)/88*20</f>
        <v>110.22727272727273</v>
      </c>
      <c r="AD332" s="68">
        <f>(VLOOKUP($A:$A,USD!$A:$AL,30,FALSE)*88)/88*20</f>
        <v>107.04545454545455</v>
      </c>
      <c r="AF332" s="68">
        <f t="shared" si="49"/>
        <v>217.27272727272728</v>
      </c>
      <c r="AG332" s="87">
        <f>(VLOOKUP($A:$A,USD!$A:$AL,33,FALSE)*88)/88*20</f>
        <v>28.814300000000003</v>
      </c>
      <c r="AH332" s="68">
        <f>(VLOOKUP($A:$A,USD!$A:$AL,34,FALSE)*88)/88*20</f>
        <v>6.973140495867769</v>
      </c>
      <c r="AI332" s="87">
        <f>(VLOOKUP($A:$A,USD!$A:$AL,35,FALSE)*88)/88*20</f>
        <v>12.587317427197677</v>
      </c>
      <c r="AJ332" s="87">
        <f>(VLOOKUP($A:$A,USD!$A:$AL,36,FALSE)*88)/88*20</f>
        <v>6.7351999999999999</v>
      </c>
      <c r="AL332" s="68">
        <f t="shared" si="50"/>
        <v>55.109957923065444</v>
      </c>
      <c r="AM332" s="87">
        <f>(VLOOKUP($A:$A,USD!$A:$AR,39,FALSE)*88)/88*20</f>
        <v>79.999999999999986</v>
      </c>
      <c r="AN332" s="68">
        <f>(VLOOKUP($A:$A,USD!$A:$AR,40,FALSE)*88)/88*20</f>
        <v>26.17808219178082</v>
      </c>
      <c r="AO332" s="1">
        <f>(VLOOKUP($A:$A,USD!$A:$AR,41,FALSE)*88)/88*20</f>
        <v>0</v>
      </c>
      <c r="AR332" s="1">
        <f t="shared" si="51"/>
        <v>106.1780821917808</v>
      </c>
      <c r="AS332" s="38">
        <f t="shared" si="52"/>
        <v>761.42743405424017</v>
      </c>
      <c r="AT332" s="38">
        <f t="shared" si="53"/>
        <v>1051.4274340542402</v>
      </c>
      <c r="AW332" s="1">
        <f>(VLOOKUP(A:A,USD!A:AT,46,FALSE)*88)/88*20</f>
        <v>515.7590909090909</v>
      </c>
      <c r="AX332" s="1">
        <f>(VLOOKUP(A:A,USD!A:AU,47,FALSE)*88)/88*20</f>
        <v>304.2045454545455</v>
      </c>
    </row>
    <row r="333" spans="1:50" hidden="1">
      <c r="A333" s="1">
        <v>339733</v>
      </c>
      <c r="B333" s="1" t="s">
        <v>736</v>
      </c>
      <c r="C333" s="1" t="s">
        <v>737</v>
      </c>
      <c r="D333" s="1" t="s">
        <v>76</v>
      </c>
      <c r="E333" s="1" t="str">
        <f>VLOOKUP(A:A,USD!A:E,5,FALSE)</f>
        <v>GA 30 Day</v>
      </c>
      <c r="F333" s="1" t="str">
        <f>VLOOKUP(A:A,USD!A:F,6,FALSE)</f>
        <v>ER5</v>
      </c>
      <c r="G333" s="1" t="str">
        <f>VLOOKUP(A:A,'Regions and Ports'!A:G,7,FALSE)</f>
        <v>Savannah</v>
      </c>
      <c r="H333" s="1">
        <f>VLOOKUP(A:A,USD!A:R,8,FALSE)</f>
        <v>4</v>
      </c>
      <c r="I333" s="87">
        <f>(VLOOKUP($A:$A,USD!$A:$AL,9,FALSE)*88)/88*20</f>
        <v>50</v>
      </c>
      <c r="J333" s="87">
        <f>(VLOOKUP($A:$A,USD!$A:$AL,10,FALSE)*88)/88*20</f>
        <v>90</v>
      </c>
      <c r="K333" s="87">
        <f>(VLOOKUP($A:$A,USD!$A:$AL,11,FALSE)*88)/88*20</f>
        <v>0</v>
      </c>
      <c r="L333" s="87">
        <f>(VLOOKUP($A:$A,USD!$A:$AL,12,FALSE)*88)/88*20</f>
        <v>0</v>
      </c>
      <c r="M333" s="87">
        <f>(VLOOKUP($A:$A,USD!$A:$AL,13,FALSE)*88)/88*20</f>
        <v>20</v>
      </c>
      <c r="N333" s="87">
        <f>(VLOOKUP($A:$A,USD!$A:$AL,14,FALSE)*88)/88*20</f>
        <v>50</v>
      </c>
      <c r="O333" s="68">
        <f>(VLOOKUP($A:$A,USD!$A:$AL,15,FALSE)*88)/88*20</f>
        <v>37.916666666666671</v>
      </c>
      <c r="P333" s="87">
        <f>(VLOOKUP($A:$A,USD!$A:$AL,16,FALSE)*88)/88*20</f>
        <v>0</v>
      </c>
      <c r="Q333" s="68">
        <f t="shared" si="45"/>
        <v>247.91666666666669</v>
      </c>
      <c r="R333" s="68">
        <f t="shared" si="46"/>
        <v>37.916666666666671</v>
      </c>
      <c r="S333" s="68">
        <f>(VLOOKUP($A:$A,USD!$A:$AL,19,FALSE)*88)/88*20</f>
        <v>0</v>
      </c>
      <c r="T333" s="68">
        <f>(VLOOKUP($A:$A,USD!$A:$AL,20,FALSE)*88)/88*20</f>
        <v>0</v>
      </c>
      <c r="U333" s="68">
        <f>(VLOOKUP($A:$A,USD!$A:$AL,21,FALSE)*88)/88*20</f>
        <v>154.47500000000002</v>
      </c>
      <c r="V333" s="68"/>
      <c r="W333" s="68">
        <f t="shared" si="47"/>
        <v>154.47500000000002</v>
      </c>
      <c r="X333" s="1">
        <f>(VLOOKUP($A:$A,USD!$A:$AL,24,FALSE)*88)/88*20</f>
        <v>52</v>
      </c>
      <c r="Y333" s="68">
        <f>(VLOOKUP($A:$A,USD!$A:$AL,25,FALSE)*88)/88*20</f>
        <v>50.4</v>
      </c>
      <c r="Z333" s="68">
        <f>(VLOOKUP($A:$A,USD!$A:$AL,26,FALSE)*88)/88*20</f>
        <v>26.25</v>
      </c>
      <c r="AB333" s="68">
        <f t="shared" si="48"/>
        <v>128.65</v>
      </c>
      <c r="AC333" s="68">
        <f>(VLOOKUP($A:$A,USD!$A:$AL,29,FALSE)*88)/88*20</f>
        <v>110.22727272727273</v>
      </c>
      <c r="AD333" s="68">
        <f>(VLOOKUP($A:$A,USD!$A:$AL,30,FALSE)*88)/88*20</f>
        <v>107.04545454545455</v>
      </c>
      <c r="AF333" s="68">
        <f t="shared" si="49"/>
        <v>217.27272727272728</v>
      </c>
      <c r="AG333" s="87">
        <f>(VLOOKUP($A:$A,USD!$A:$AL,33,FALSE)*88)/88*20</f>
        <v>28.814300000000003</v>
      </c>
      <c r="AH333" s="68">
        <f>(VLOOKUP($A:$A,USD!$A:$AL,34,FALSE)*88)/88*20</f>
        <v>6.973140495867769</v>
      </c>
      <c r="AI333" s="87">
        <f>(VLOOKUP($A:$A,USD!$A:$AL,35,FALSE)*88)/88*20</f>
        <v>12.587317427197677</v>
      </c>
      <c r="AJ333" s="87">
        <f>(VLOOKUP($A:$A,USD!$A:$AL,36,FALSE)*88)/88*20</f>
        <v>6.7351999999999999</v>
      </c>
      <c r="AL333" s="68">
        <f t="shared" si="50"/>
        <v>55.109957923065444</v>
      </c>
      <c r="AM333" s="87">
        <f>(VLOOKUP($A:$A,USD!$A:$AR,39,FALSE)*88)/88*20</f>
        <v>79.999999999999986</v>
      </c>
      <c r="AN333" s="68">
        <f>(VLOOKUP($A:$A,USD!$A:$AR,40,FALSE)*88)/88*20</f>
        <v>26.17808219178082</v>
      </c>
      <c r="AO333" s="1">
        <f>(VLOOKUP($A:$A,USD!$A:$AR,41,FALSE)*88)/88*20</f>
        <v>0</v>
      </c>
      <c r="AR333" s="1">
        <f t="shared" si="51"/>
        <v>106.1780821917808</v>
      </c>
      <c r="AS333" s="38">
        <f t="shared" si="52"/>
        <v>699.60243405424023</v>
      </c>
      <c r="AT333" s="38">
        <f t="shared" si="53"/>
        <v>909.60243405424023</v>
      </c>
      <c r="AW333" s="1">
        <f>(VLOOKUP(A:A,USD!A:AT,46,FALSE)*88)/88*20</f>
        <v>557.73863636363626</v>
      </c>
      <c r="AX333" s="1">
        <f>(VLOOKUP(A:A,USD!A:AU,47,FALSE)*88)/88*20</f>
        <v>251.70454545454547</v>
      </c>
    </row>
    <row r="334" spans="1:50" hidden="1">
      <c r="A334" s="1">
        <v>340015</v>
      </c>
      <c r="B334" s="1" t="s">
        <v>739</v>
      </c>
      <c r="C334" s="1" t="s">
        <v>740</v>
      </c>
      <c r="D334" s="1" t="s">
        <v>76</v>
      </c>
      <c r="E334" s="1" t="str">
        <f>VLOOKUP(A:A,USD!A:E,5,FALSE)</f>
        <v>GA 30 Day</v>
      </c>
      <c r="F334" s="1" t="str">
        <f>VLOOKUP(A:A,USD!A:F,6,FALSE)</f>
        <v>ER5</v>
      </c>
      <c r="G334" s="1" t="str">
        <f>VLOOKUP(A:A,'Regions and Ports'!A:G,7,FALSE)</f>
        <v>Savannah</v>
      </c>
      <c r="H334" s="1">
        <f>VLOOKUP(A:A,USD!A:R,8,FALSE)</f>
        <v>4</v>
      </c>
      <c r="I334" s="87">
        <f>(VLOOKUP($A:$A,USD!$A:$AL,9,FALSE)*88)/88*20</f>
        <v>80</v>
      </c>
      <c r="J334" s="87">
        <f>(VLOOKUP($A:$A,USD!$A:$AL,10,FALSE)*88)/88*20</f>
        <v>120</v>
      </c>
      <c r="K334" s="87">
        <f>(VLOOKUP($A:$A,USD!$A:$AL,11,FALSE)*88)/88*20</f>
        <v>0</v>
      </c>
      <c r="L334" s="87">
        <f>(VLOOKUP($A:$A,USD!$A:$AL,12,FALSE)*88)/88*20</f>
        <v>0</v>
      </c>
      <c r="M334" s="87">
        <f>(VLOOKUP($A:$A,USD!$A:$AL,13,FALSE)*88)/88*20</f>
        <v>30</v>
      </c>
      <c r="N334" s="87">
        <f>(VLOOKUP($A:$A,USD!$A:$AL,14,FALSE)*88)/88*20</f>
        <v>60</v>
      </c>
      <c r="O334" s="68">
        <f>(VLOOKUP($A:$A,USD!$A:$AL,15,FALSE)*88)/88*20</f>
        <v>37.916666666666671</v>
      </c>
      <c r="P334" s="87">
        <f>(VLOOKUP($A:$A,USD!$A:$AL,16,FALSE)*88)/88*20</f>
        <v>0</v>
      </c>
      <c r="Q334" s="68">
        <f t="shared" si="45"/>
        <v>327.91666666666669</v>
      </c>
      <c r="R334" s="68">
        <f t="shared" si="46"/>
        <v>37.916666666666671</v>
      </c>
      <c r="S334" s="68">
        <f>(VLOOKUP($A:$A,USD!$A:$AL,19,FALSE)*88)/88*20</f>
        <v>0</v>
      </c>
      <c r="T334" s="68">
        <f>(VLOOKUP($A:$A,USD!$A:$AL,20,FALSE)*88)/88*20</f>
        <v>0</v>
      </c>
      <c r="U334" s="68">
        <f>(VLOOKUP($A:$A,USD!$A:$AL,21,FALSE)*88)/88*20</f>
        <v>217.43636363636367</v>
      </c>
      <c r="V334" s="68"/>
      <c r="W334" s="68">
        <f t="shared" si="47"/>
        <v>217.43636363636367</v>
      </c>
      <c r="X334" s="1">
        <f>(VLOOKUP($A:$A,USD!$A:$AL,24,FALSE)*88)/88*20</f>
        <v>52</v>
      </c>
      <c r="Y334" s="68">
        <f>(VLOOKUP($A:$A,USD!$A:$AL,25,FALSE)*88)/88*20</f>
        <v>50.4</v>
      </c>
      <c r="Z334" s="68">
        <f>(VLOOKUP($A:$A,USD!$A:$AL,26,FALSE)*88)/88*20</f>
        <v>26.25</v>
      </c>
      <c r="AB334" s="68">
        <f t="shared" si="48"/>
        <v>128.65</v>
      </c>
      <c r="AC334" s="68">
        <f>(VLOOKUP($A:$A,USD!$A:$AL,29,FALSE)*88)/88*20</f>
        <v>110.22727272727273</v>
      </c>
      <c r="AD334" s="68">
        <f>(VLOOKUP($A:$A,USD!$A:$AL,30,FALSE)*88)/88*20</f>
        <v>107.04545454545455</v>
      </c>
      <c r="AF334" s="68">
        <f t="shared" si="49"/>
        <v>217.27272727272728</v>
      </c>
      <c r="AG334" s="87">
        <f>(VLOOKUP($A:$A,USD!$A:$AL,33,FALSE)*88)/88*20</f>
        <v>28.814300000000003</v>
      </c>
      <c r="AH334" s="68">
        <f>(VLOOKUP($A:$A,USD!$A:$AL,34,FALSE)*88)/88*20</f>
        <v>6.973140495867769</v>
      </c>
      <c r="AI334" s="87">
        <f>(VLOOKUP($A:$A,USD!$A:$AL,35,FALSE)*88)/88*20</f>
        <v>12.587317427197677</v>
      </c>
      <c r="AJ334" s="87">
        <f>(VLOOKUP($A:$A,USD!$A:$AL,36,FALSE)*88)/88*20</f>
        <v>6.7351999999999999</v>
      </c>
      <c r="AL334" s="68">
        <f t="shared" si="50"/>
        <v>55.109957923065444</v>
      </c>
      <c r="AM334" s="87">
        <f>(VLOOKUP($A:$A,USD!$A:$AR,39,FALSE)*88)/88*20</f>
        <v>79.999999999999986</v>
      </c>
      <c r="AN334" s="68">
        <f>(VLOOKUP($A:$A,USD!$A:$AR,40,FALSE)*88)/88*20</f>
        <v>26.17808219178082</v>
      </c>
      <c r="AO334" s="1">
        <f>(VLOOKUP($A:$A,USD!$A:$AR,41,FALSE)*88)/88*20</f>
        <v>0</v>
      </c>
      <c r="AR334" s="1">
        <f t="shared" si="51"/>
        <v>106.1780821917808</v>
      </c>
      <c r="AS334" s="38">
        <f t="shared" si="52"/>
        <v>762.56379769060379</v>
      </c>
      <c r="AT334" s="38">
        <f t="shared" si="53"/>
        <v>1052.5637976906039</v>
      </c>
      <c r="AW334" s="1">
        <f>(VLOOKUP(A:A,USD!A:AT,46,FALSE)*88)/88*20</f>
        <v>480.82954545454533</v>
      </c>
      <c r="AX334" s="1">
        <f>(VLOOKUP(A:A,USD!A:AU,47,FALSE)*88)/88*20</f>
        <v>314.77272727272725</v>
      </c>
    </row>
    <row r="335" spans="1:50" hidden="1">
      <c r="A335" s="1">
        <v>939033</v>
      </c>
      <c r="B335" s="1" t="s">
        <v>742</v>
      </c>
      <c r="C335" s="1" t="s">
        <v>743</v>
      </c>
      <c r="D335" s="1" t="s">
        <v>71</v>
      </c>
      <c r="E335" s="1" t="str">
        <f>VLOOKUP(A:A,USD!A:E,5,FALSE)</f>
        <v>WTX</v>
      </c>
      <c r="F335" s="1" t="str">
        <f>VLOOKUP(A:A,USD!A:F,6,FALSE)</f>
        <v>WTX</v>
      </c>
      <c r="G335" s="1" t="str">
        <f>VLOOKUP(A:A,'Regions and Ports'!A:G,7,FALSE)</f>
        <v>Dallas</v>
      </c>
      <c r="H335" s="1">
        <f>VLOOKUP(A:A,USD!A:R,8,FALSE)</f>
        <v>2</v>
      </c>
      <c r="I335" s="87">
        <f>(VLOOKUP($A:$A,USD!$A:$AL,9,FALSE)*88)/88*20</f>
        <v>95</v>
      </c>
      <c r="J335" s="87">
        <f>(VLOOKUP($A:$A,USD!$A:$AL,10,FALSE)*88)/88*20</f>
        <v>109</v>
      </c>
      <c r="K335" s="87">
        <f>(VLOOKUP($A:$A,USD!$A:$AL,11,FALSE)*88)/88*20</f>
        <v>195</v>
      </c>
      <c r="L335" s="87">
        <f>(VLOOKUP($A:$A,USD!$A:$AL,12,FALSE)*88)/88*20</f>
        <v>0</v>
      </c>
      <c r="M335" s="87">
        <f>(VLOOKUP($A:$A,USD!$A:$AL,13,FALSE)*88)/88*20</f>
        <v>20</v>
      </c>
      <c r="N335" s="87">
        <f>(VLOOKUP($A:$A,USD!$A:$AL,14,FALSE)*88)/88*20</f>
        <v>48</v>
      </c>
      <c r="O335" s="68">
        <f>(VLOOKUP($A:$A,USD!$A:$AL,15,FALSE)*88)/88*20</f>
        <v>37.916666666666671</v>
      </c>
      <c r="P335" s="87">
        <f>(VLOOKUP($A:$A,USD!$A:$AL,16,FALSE)*88)/88*20</f>
        <v>0</v>
      </c>
      <c r="Q335" s="68">
        <f t="shared" si="45"/>
        <v>504.91666666666669</v>
      </c>
      <c r="R335" s="68">
        <f t="shared" si="46"/>
        <v>280.91666666666669</v>
      </c>
      <c r="S335" s="68">
        <f>(VLOOKUP($A:$A,USD!$A:$AL,19,FALSE)*88)/88*20</f>
        <v>0</v>
      </c>
      <c r="T335" s="68">
        <f>(VLOOKUP($A:$A,USD!$A:$AL,20,FALSE)*88)/88*20</f>
        <v>0</v>
      </c>
      <c r="U335" s="68">
        <f>(VLOOKUP($A:$A,USD!$A:$AL,21,FALSE)*88)/88*20</f>
        <v>180.11363636363637</v>
      </c>
      <c r="V335" s="68"/>
      <c r="W335" s="68">
        <f t="shared" si="47"/>
        <v>180.11363636363637</v>
      </c>
      <c r="X335" s="1">
        <f>(VLOOKUP($A:$A,USD!$A:$AL,24,FALSE)*88)/88*20</f>
        <v>54</v>
      </c>
      <c r="Y335" s="68">
        <f>(VLOOKUP($A:$A,USD!$A:$AL,25,FALSE)*88)/88*20</f>
        <v>50.4</v>
      </c>
      <c r="Z335" s="68">
        <f>(VLOOKUP($A:$A,USD!$A:$AL,26,FALSE)*88)/88*20</f>
        <v>26.25</v>
      </c>
      <c r="AB335" s="68">
        <f t="shared" si="48"/>
        <v>130.65</v>
      </c>
      <c r="AC335" s="68">
        <f>(VLOOKUP($A:$A,USD!$A:$AL,29,FALSE)*88)/88*20</f>
        <v>162.5</v>
      </c>
      <c r="AD335" s="68">
        <f>(VLOOKUP($A:$A,USD!$A:$AL,30,FALSE)*88)/88*20</f>
        <v>268.18181818181819</v>
      </c>
      <c r="AF335" s="68">
        <f t="shared" si="49"/>
        <v>430.68181818181819</v>
      </c>
      <c r="AG335" s="87">
        <f>(VLOOKUP($A:$A,USD!$A:$AL,33,FALSE)*88)/88*20</f>
        <v>28.814300000000003</v>
      </c>
      <c r="AH335" s="68">
        <f>(VLOOKUP($A:$A,USD!$A:$AL,34,FALSE)*88)/88*20</f>
        <v>6.973140495867769</v>
      </c>
      <c r="AI335" s="87">
        <f>(VLOOKUP($A:$A,USD!$A:$AL,35,FALSE)*88)/88*20</f>
        <v>12.587317427197677</v>
      </c>
      <c r="AJ335" s="87">
        <f>(VLOOKUP($A:$A,USD!$A:$AL,36,FALSE)*88)/88*20</f>
        <v>6.7351999999999999</v>
      </c>
      <c r="AL335" s="68">
        <f t="shared" si="50"/>
        <v>55.109957923065444</v>
      </c>
      <c r="AM335" s="87">
        <f>(VLOOKUP($A:$A,USD!$A:$AR,39,FALSE)*88)/88*20</f>
        <v>79.999999999999986</v>
      </c>
      <c r="AN335" s="68">
        <f>(VLOOKUP($A:$A,USD!$A:$AR,40,FALSE)*88)/88*20</f>
        <v>26.17808219178082</v>
      </c>
      <c r="AO335" s="1">
        <f>(VLOOKUP($A:$A,USD!$A:$AR,41,FALSE)*88)/88*20</f>
        <v>0</v>
      </c>
      <c r="AR335" s="1">
        <f t="shared" si="51"/>
        <v>106.1780821917808</v>
      </c>
      <c r="AS335" s="38">
        <f t="shared" si="52"/>
        <v>1183.6501613269675</v>
      </c>
      <c r="AT335" s="38">
        <f t="shared" si="53"/>
        <v>1407.6501613269672</v>
      </c>
      <c r="AW335" s="1">
        <f>(VLOOKUP(A:A,USD!A:AT,46,FALSE)*88)/88*20</f>
        <v>337.90681818181815</v>
      </c>
      <c r="AX335" s="1" t="e">
        <f>(VLOOKUP(A:A,USD!A:AU,47,FALSE)*88)/88*20</f>
        <v>#N/A</v>
      </c>
    </row>
    <row r="336" spans="1:50" hidden="1">
      <c r="A336" s="125">
        <v>939033</v>
      </c>
      <c r="B336" s="1" t="s">
        <v>742</v>
      </c>
      <c r="C336" s="1" t="s">
        <v>743</v>
      </c>
      <c r="D336" s="1" t="s">
        <v>71</v>
      </c>
      <c r="E336" s="1" t="s">
        <v>2067</v>
      </c>
      <c r="F336" s="1" t="str">
        <f>VLOOKUP(A:A,USD!A:F,6,FALSE)</f>
        <v>WTX</v>
      </c>
      <c r="G336" s="1" t="s">
        <v>439</v>
      </c>
      <c r="H336" s="1">
        <f>VLOOKUP(A:A,USD!A:R,8,FALSE)</f>
        <v>2</v>
      </c>
      <c r="I336" s="87">
        <f>(VLOOKUP($A:$A,USD!$A:$AL,9,FALSE)*88)/88*20</f>
        <v>95</v>
      </c>
      <c r="J336" s="87">
        <f>(VLOOKUP($A:$A,USD!$A:$AL,10,FALSE)*88)/88*20</f>
        <v>109</v>
      </c>
      <c r="K336" s="87">
        <f>(VLOOKUP($A:$A,USD!$A:$AL,11,FALSE)*88)/88*20</f>
        <v>195</v>
      </c>
      <c r="L336" s="87">
        <f>(VLOOKUP($A:$A,USD!$A:$AL,12,FALSE)*88)/88*20</f>
        <v>0</v>
      </c>
      <c r="M336" s="87">
        <f>(VLOOKUP($A:$A,USD!$A:$AL,13,FALSE)*88)/88*20</f>
        <v>20</v>
      </c>
      <c r="N336" s="87">
        <f>(VLOOKUP($A:$A,USD!$A:$AL,14,FALSE)*88)/88*20</f>
        <v>48</v>
      </c>
      <c r="O336" s="68">
        <f>(VLOOKUP($A:$A,USD!$A:$AL,15,FALSE)*88)/88*20</f>
        <v>37.916666666666671</v>
      </c>
      <c r="P336" s="87">
        <f>(VLOOKUP($A:$A,USD!$A:$AL,16,FALSE)*88)/88*20</f>
        <v>0</v>
      </c>
      <c r="Q336" s="68">
        <f t="shared" si="45"/>
        <v>504.91666666666669</v>
      </c>
      <c r="R336" s="68">
        <f t="shared" si="46"/>
        <v>280.91666666666669</v>
      </c>
      <c r="S336" s="68">
        <f>(VLOOKUP($A:$A,USD!$A:$AL,19,FALSE)*88)/88*20</f>
        <v>0</v>
      </c>
      <c r="T336" s="68">
        <f>(VLOOKUP($A:$A,USD!$A:$AL,20,FALSE)*88)/88*20</f>
        <v>0</v>
      </c>
      <c r="U336" s="68" cm="1">
        <f t="array" ref="U336">(_xlfn.XLOOKUP(1, (USD!$A:$A=$A336)*(USD!$E:$E=$E336), USD!$U:$U, "", 0)*88)/88*20</f>
        <v>355.34090909090907</v>
      </c>
      <c r="V336" s="68"/>
      <c r="W336" s="68">
        <f t="shared" si="47"/>
        <v>355.34090909090907</v>
      </c>
      <c r="X336" s="1">
        <f>(VLOOKUP($A:$A,USD!$A:$AL,24,FALSE)*88)/88*20</f>
        <v>54</v>
      </c>
      <c r="Y336" s="68">
        <f>(VLOOKUP($A:$A,USD!$A:$AL,25,FALSE)*88)/88*20</f>
        <v>50.4</v>
      </c>
      <c r="Z336" s="68">
        <f>(VLOOKUP($A:$A,USD!$A:$AL,26,FALSE)*88)/88*20</f>
        <v>26.25</v>
      </c>
      <c r="AB336" s="68">
        <f t="shared" si="48"/>
        <v>130.65</v>
      </c>
      <c r="AC336" s="68" cm="1">
        <f t="array" ref="AC336">_xlfn.XLOOKUP(A336&amp;E336, USD!$A:$A&amp;USD!$E:$E, USD!$AC:$AC, "")*20</f>
        <v>132.95454545454544</v>
      </c>
      <c r="AD336" s="68" cm="1">
        <f t="array" ref="AD336">_xlfn.XLOOKUP(A336&amp;E336, USD!$A:$A&amp;USD!$E:$E, USD!$AD:$AD, "")*20</f>
        <v>197.95454545454547</v>
      </c>
      <c r="AF336" s="68">
        <f t="shared" si="49"/>
        <v>330.90909090909088</v>
      </c>
      <c r="AG336" s="87">
        <f>(VLOOKUP($A:$A,USD!$A:$AL,33,FALSE)*88)/88*20</f>
        <v>28.814300000000003</v>
      </c>
      <c r="AH336" s="68">
        <f>(VLOOKUP($A:$A,USD!$A:$AL,34,FALSE)*88)/88*20</f>
        <v>6.973140495867769</v>
      </c>
      <c r="AI336" s="87">
        <f>(VLOOKUP($A:$A,USD!$A:$AL,35,FALSE)*88)/88*20</f>
        <v>12.587317427197677</v>
      </c>
      <c r="AJ336" s="87">
        <f>(VLOOKUP($A:$A,USD!$A:$AL,36,FALSE)*88)/88*20</f>
        <v>6.7351999999999999</v>
      </c>
      <c r="AL336" s="68">
        <f t="shared" si="50"/>
        <v>55.109957923065444</v>
      </c>
      <c r="AM336" s="87">
        <f>(VLOOKUP($A:$A,USD!$A:$AR,39,FALSE)*88)/88*20</f>
        <v>79.999999999999986</v>
      </c>
      <c r="AN336" s="68">
        <f>(VLOOKUP($A:$A,USD!$A:$AR,40,FALSE)*88)/88*20</f>
        <v>26.17808219178082</v>
      </c>
      <c r="AO336" s="1">
        <f>(VLOOKUP($A:$A,USD!$A:$AR,41,FALSE)*88)/88*20</f>
        <v>0</v>
      </c>
      <c r="AR336" s="1">
        <f t="shared" si="51"/>
        <v>106.1780821917808</v>
      </c>
      <c r="AS336" s="38">
        <f t="shared" si="52"/>
        <v>1259.1047067815127</v>
      </c>
      <c r="AT336" s="38">
        <f t="shared" si="53"/>
        <v>1483.1047067815127</v>
      </c>
      <c r="AW336" s="1">
        <f>(VLOOKUP(A:A,USD!A:AT,46,FALSE)*88)/88*20</f>
        <v>337.90681818181815</v>
      </c>
      <c r="AX336" s="1" t="e">
        <f>(VLOOKUP(A:A,USD!A:AU,47,FALSE)*88)/88*20</f>
        <v>#N/A</v>
      </c>
    </row>
    <row r="337" spans="1:50">
      <c r="A337" s="1">
        <v>99010</v>
      </c>
      <c r="B337" s="1" t="s">
        <v>744</v>
      </c>
      <c r="C337" s="1" t="s">
        <v>745</v>
      </c>
      <c r="D337" s="1" t="s">
        <v>65</v>
      </c>
      <c r="E337" s="1" t="str">
        <f>VLOOKUP(A:A,USD!A:E,5,FALSE)</f>
        <v>Eastern Rule 5</v>
      </c>
      <c r="F337" s="1" t="str">
        <f>VLOOKUP(A:A,USD!A:F,6,FALSE)</f>
        <v>ER5</v>
      </c>
      <c r="G337" s="1" t="str">
        <f>VLOOKUP(A:A,'Regions and Ports'!A:G,7,FALSE)</f>
        <v>Savannah</v>
      </c>
      <c r="H337" s="1">
        <f>VLOOKUP(A:A,USD!A:R,8,FALSE)</f>
        <v>1</v>
      </c>
      <c r="I337" s="87">
        <f>(VLOOKUP($A:$A,USD!$A:$AL,9,FALSE)*88)/88*20</f>
        <v>64</v>
      </c>
      <c r="J337" s="87">
        <f>(VLOOKUP($A:$A,USD!$A:$AL,10,FALSE)*88)/88*20</f>
        <v>160</v>
      </c>
      <c r="K337" s="87">
        <f>(VLOOKUP($A:$A,USD!$A:$AL,11,FALSE)*88)/88*20</f>
        <v>0</v>
      </c>
      <c r="L337" s="87">
        <f>(VLOOKUP($A:$A,USD!$A:$AL,12,FALSE)*88)/88*20</f>
        <v>0</v>
      </c>
      <c r="M337" s="87">
        <f>(VLOOKUP($A:$A,USD!$A:$AL,13,FALSE)*88)/88*20</f>
        <v>10</v>
      </c>
      <c r="N337" s="87">
        <f>(VLOOKUP($A:$A,USD!$A:$AL,14,FALSE)*88)/88*20</f>
        <v>35</v>
      </c>
      <c r="O337" s="68">
        <f>(VLOOKUP($A:$A,USD!$A:$AL,15,FALSE)*88)/88*20</f>
        <v>37.916666666666671</v>
      </c>
      <c r="P337" s="87">
        <f>(VLOOKUP($A:$A,USD!$A:$AL,16,FALSE)*88)/88*20</f>
        <v>0</v>
      </c>
      <c r="Q337" s="68">
        <f t="shared" si="45"/>
        <v>306.91666666666669</v>
      </c>
      <c r="R337" s="68">
        <f t="shared" si="46"/>
        <v>72.916666666666671</v>
      </c>
      <c r="S337" s="68">
        <f>(VLOOKUP($A:$A,USD!$A:$AL,19,FALSE)*88)/88*20</f>
        <v>0</v>
      </c>
      <c r="T337" s="68">
        <f>(VLOOKUP($A:$A,USD!$A:$AL,20,FALSE)*88)/88*20</f>
        <v>0</v>
      </c>
      <c r="U337" s="68">
        <f>(VLOOKUP($A:$A,USD!$A:$AL,21,FALSE)*88)/88*20</f>
        <v>299.00568181818181</v>
      </c>
      <c r="V337" s="68"/>
      <c r="W337" s="68">
        <f t="shared" si="47"/>
        <v>299.00568181818181</v>
      </c>
      <c r="X337" s="1">
        <f>(VLOOKUP($A:$A,USD!$A:$AL,24,FALSE)*88)/88*20</f>
        <v>52</v>
      </c>
      <c r="Y337" s="68">
        <f>(VLOOKUP($A:$A,USD!$A:$AL,25,FALSE)*88)/88*20</f>
        <v>50.4</v>
      </c>
      <c r="Z337" s="68">
        <f>(VLOOKUP($A:$A,USD!$A:$AL,26,FALSE)*88)/88*20</f>
        <v>26.25</v>
      </c>
      <c r="AB337" s="68">
        <f t="shared" si="48"/>
        <v>128.65</v>
      </c>
      <c r="AC337" s="68">
        <f>(VLOOKUP($A:$A,USD!$A:$AL,29,FALSE)*88)/88*20</f>
        <v>110.22727272727273</v>
      </c>
      <c r="AD337" s="68">
        <f>(VLOOKUP($A:$A,USD!$A:$AL,30,FALSE)*88)/88*20</f>
        <v>107.04545454545455</v>
      </c>
      <c r="AF337" s="68">
        <f t="shared" si="49"/>
        <v>217.27272727272728</v>
      </c>
      <c r="AG337" s="87">
        <f>(VLOOKUP($A:$A,USD!$A:$AL,33,FALSE)*88)/88*20</f>
        <v>28.814300000000003</v>
      </c>
      <c r="AH337" s="68">
        <f>(VLOOKUP($A:$A,USD!$A:$AL,34,FALSE)*88)/88*20</f>
        <v>6.973140495867769</v>
      </c>
      <c r="AI337" s="87">
        <f>(VLOOKUP($A:$A,USD!$A:$AL,35,FALSE)*88)/88*20</f>
        <v>12.587317427197677</v>
      </c>
      <c r="AJ337" s="87">
        <f>(VLOOKUP($A:$A,USD!$A:$AL,36,FALSE)*88)/88*20</f>
        <v>6.7351999999999999</v>
      </c>
      <c r="AL337" s="68">
        <f t="shared" si="50"/>
        <v>55.109957923065444</v>
      </c>
      <c r="AM337" s="87">
        <f>(VLOOKUP($A:$A,USD!$A:$AR,39,FALSE)*88)/88*20</f>
        <v>79.999999999999986</v>
      </c>
      <c r="AN337" s="68">
        <f>(VLOOKUP($A:$A,USD!$A:$AR,40,FALSE)*88)/88*20</f>
        <v>26.17808219178082</v>
      </c>
      <c r="AO337" s="1">
        <f>(VLOOKUP($A:$A,USD!$A:$AR,41,FALSE)*88)/88*20</f>
        <v>0</v>
      </c>
      <c r="AR337" s="1">
        <f t="shared" si="51"/>
        <v>106.1780821917808</v>
      </c>
      <c r="AS337" s="38">
        <f t="shared" si="52"/>
        <v>879.13311587242197</v>
      </c>
      <c r="AT337" s="38">
        <f t="shared" si="53"/>
        <v>1113.133115872422</v>
      </c>
      <c r="AW337" s="1" t="e">
        <f>(VLOOKUP(A:A,USD!A:AT,46,FALSE)*88)/88*20</f>
        <v>#N/A</v>
      </c>
      <c r="AX337" s="1">
        <f>(VLOOKUP(A:A,USD!A:AU,47,FALSE)*88)/88*20</f>
        <v>306.25</v>
      </c>
    </row>
    <row r="338" spans="1:50" hidden="1">
      <c r="A338" s="1">
        <v>418515</v>
      </c>
      <c r="B338" s="1" t="s">
        <v>746</v>
      </c>
      <c r="C338" s="1" t="s">
        <v>747</v>
      </c>
      <c r="D338" s="1" t="s">
        <v>80</v>
      </c>
      <c r="E338" s="1" t="str">
        <f>VLOOKUP(A:A,USD!A:E,5,FALSE)</f>
        <v>Memphis Rule 5</v>
      </c>
      <c r="F338" s="1" t="str">
        <f>VLOOKUP(A:A,USD!A:F,6,FALSE)</f>
        <v>MR5</v>
      </c>
      <c r="G338" s="1" t="str">
        <f>VLOOKUP(A:A,'Regions and Ports'!A:G,7,FALSE)</f>
        <v>Houston</v>
      </c>
      <c r="H338" s="1">
        <f>VLOOKUP(A:A,USD!A:R,8,FALSE)</f>
        <v>1</v>
      </c>
      <c r="I338" s="87">
        <f>(VLOOKUP($A:$A,USD!$A:$AL,9,FALSE)*88)/88*20</f>
        <v>48</v>
      </c>
      <c r="J338" s="87">
        <f>(VLOOKUP($A:$A,USD!$A:$AL,10,FALSE)*88)/88*20</f>
        <v>80</v>
      </c>
      <c r="K338" s="87">
        <f>(VLOOKUP($A:$A,USD!$A:$AL,11,FALSE)*88)/88*20</f>
        <v>140</v>
      </c>
      <c r="L338" s="87">
        <f>(VLOOKUP($A:$A,USD!$A:$AL,12,FALSE)*88)/88*20</f>
        <v>61</v>
      </c>
      <c r="M338" s="87">
        <f>(VLOOKUP($A:$A,USD!$A:$AL,13,FALSE)*88)/88*20</f>
        <v>0</v>
      </c>
      <c r="N338" s="87">
        <f>(VLOOKUP($A:$A,USD!$A:$AL,14,FALSE)*88)/88*20</f>
        <v>60</v>
      </c>
      <c r="O338" s="68">
        <f>(VLOOKUP($A:$A,USD!$A:$AL,15,FALSE)*88)/88*20</f>
        <v>37.916666666666671</v>
      </c>
      <c r="P338" s="87">
        <f>(VLOOKUP($A:$A,USD!$A:$AL,16,FALSE)*88)/88*20</f>
        <v>0</v>
      </c>
      <c r="Q338" s="68">
        <f t="shared" si="45"/>
        <v>426.91666666666669</v>
      </c>
      <c r="R338" s="68">
        <f t="shared" si="46"/>
        <v>97.916666666666671</v>
      </c>
      <c r="S338" s="68">
        <f>(VLOOKUP($A:$A,USD!$A:$AL,19,FALSE)*88)/88*20</f>
        <v>0</v>
      </c>
      <c r="T338" s="68">
        <f>(VLOOKUP($A:$A,USD!$A:$AL,20,FALSE)*88)/88*20</f>
        <v>0</v>
      </c>
      <c r="U338" s="68">
        <f>(VLOOKUP($A:$A,USD!$A:$AL,21,FALSE)*88)/88*20</f>
        <v>398.97727272727275</v>
      </c>
      <c r="V338" s="68"/>
      <c r="W338" s="68">
        <f t="shared" si="47"/>
        <v>398.97727272727275</v>
      </c>
      <c r="X338" s="1">
        <f>(VLOOKUP($A:$A,USD!$A:$AL,24,FALSE)*88)/88*20</f>
        <v>54</v>
      </c>
      <c r="Y338" s="68">
        <f>(VLOOKUP($A:$A,USD!$A:$AL,25,FALSE)*88)/88*20</f>
        <v>50.4</v>
      </c>
      <c r="Z338" s="68">
        <f>(VLOOKUP($A:$A,USD!$A:$AL,26,FALSE)*88)/88*20</f>
        <v>26.25</v>
      </c>
      <c r="AB338" s="68">
        <f t="shared" si="48"/>
        <v>130.65</v>
      </c>
      <c r="AC338" s="68">
        <f>(VLOOKUP($A:$A,USD!$A:$AL,29,FALSE)*88)/88*20</f>
        <v>132.95454545454544</v>
      </c>
      <c r="AD338" s="68">
        <f>(VLOOKUP($A:$A,USD!$A:$AL,30,FALSE)*88)/88*20</f>
        <v>197.95454545454547</v>
      </c>
      <c r="AF338" s="68">
        <f t="shared" si="49"/>
        <v>330.90909090909088</v>
      </c>
      <c r="AG338" s="87">
        <f>(VLOOKUP($A:$A,USD!$A:$AL,33,FALSE)*88)/88*20</f>
        <v>28.814300000000003</v>
      </c>
      <c r="AH338" s="68">
        <f>(VLOOKUP($A:$A,USD!$A:$AL,34,FALSE)*88)/88*20</f>
        <v>6.973140495867769</v>
      </c>
      <c r="AI338" s="87">
        <f>(VLOOKUP($A:$A,USD!$A:$AL,35,FALSE)*88)/88*20</f>
        <v>12.587317427197677</v>
      </c>
      <c r="AJ338" s="87">
        <f>(VLOOKUP($A:$A,USD!$A:$AL,36,FALSE)*88)/88*20</f>
        <v>6.7351999999999999</v>
      </c>
      <c r="AL338" s="68">
        <f t="shared" si="50"/>
        <v>55.109957923065444</v>
      </c>
      <c r="AM338" s="87">
        <f>(VLOOKUP($A:$A,USD!$A:$AR,39,FALSE)*88)/88*20</f>
        <v>79.999999999999986</v>
      </c>
      <c r="AN338" s="68">
        <f>(VLOOKUP($A:$A,USD!$A:$AR,40,FALSE)*88)/88*20</f>
        <v>26.17808219178082</v>
      </c>
      <c r="AO338" s="1">
        <f>(VLOOKUP($A:$A,USD!$A:$AR,41,FALSE)*88)/88*20</f>
        <v>0</v>
      </c>
      <c r="AR338" s="1">
        <f t="shared" si="51"/>
        <v>106.1780821917808</v>
      </c>
      <c r="AS338" s="38">
        <f t="shared" si="52"/>
        <v>1119.7410704178765</v>
      </c>
      <c r="AT338" s="38">
        <f t="shared" si="53"/>
        <v>1448.7410704178765</v>
      </c>
      <c r="AW338" s="1">
        <f>(VLOOKUP(A:A,USD!A:AT,46,FALSE)*88)/88*20</f>
        <v>368.34999999999991</v>
      </c>
      <c r="AX338" s="1">
        <f>(VLOOKUP(A:A,USD!A:AU,47,FALSE)*88)/88*20</f>
        <v>498.18181818181819</v>
      </c>
    </row>
    <row r="339" spans="1:50" hidden="1">
      <c r="A339" s="1">
        <v>605515</v>
      </c>
      <c r="B339" s="1" t="s">
        <v>748</v>
      </c>
      <c r="C339" s="1" t="s">
        <v>749</v>
      </c>
      <c r="D339" s="1" t="s">
        <v>136</v>
      </c>
      <c r="E339" s="1" t="str">
        <f>VLOOKUP(A:A,USD!A:E,5,FALSE)</f>
        <v>Eastern Rule 5</v>
      </c>
      <c r="F339" s="1" t="str">
        <f>VLOOKUP(A:A,USD!A:F,6,FALSE)</f>
        <v>ER5</v>
      </c>
      <c r="G339" s="1" t="str">
        <f>VLOOKUP(A:A,'Regions and Ports'!A:G,7,FALSE)</f>
        <v>Savannah</v>
      </c>
      <c r="H339" s="1">
        <f>VLOOKUP(A:A,USD!A:R,8,FALSE)</f>
        <v>1</v>
      </c>
      <c r="I339" s="87">
        <f>(VLOOKUP($A:$A,USD!$A:$AL,9,FALSE)*88)/88*20</f>
        <v>81</v>
      </c>
      <c r="J339" s="87">
        <f>(VLOOKUP($A:$A,USD!$A:$AL,10,FALSE)*88)/88*20</f>
        <v>81</v>
      </c>
      <c r="K339" s="87">
        <f>(VLOOKUP($A:$A,USD!$A:$AL,11,FALSE)*88)/88*20</f>
        <v>0</v>
      </c>
      <c r="L339" s="87">
        <f>(VLOOKUP($A:$A,USD!$A:$AL,12,FALSE)*88)/88*20</f>
        <v>0</v>
      </c>
      <c r="M339" s="87">
        <f>(VLOOKUP($A:$A,USD!$A:$AL,13,FALSE)*88)/88*20</f>
        <v>20</v>
      </c>
      <c r="N339" s="87">
        <f>(VLOOKUP($A:$A,USD!$A:$AL,14,FALSE)*88)/88*20</f>
        <v>45</v>
      </c>
      <c r="O339" s="68">
        <f>(VLOOKUP($A:$A,USD!$A:$AL,15,FALSE)*88)/88*20</f>
        <v>37.916666666666671</v>
      </c>
      <c r="P339" s="87">
        <f>(VLOOKUP($A:$A,USD!$A:$AL,16,FALSE)*88)/88*20</f>
        <v>0</v>
      </c>
      <c r="Q339" s="68">
        <f t="shared" si="45"/>
        <v>264.91666666666669</v>
      </c>
      <c r="R339" s="68">
        <f t="shared" si="46"/>
        <v>82.916666666666671</v>
      </c>
      <c r="S339" s="68">
        <f>(VLOOKUP($A:$A,USD!$A:$AL,19,FALSE)*88)/88*20</f>
        <v>0</v>
      </c>
      <c r="T339" s="68">
        <f>(VLOOKUP($A:$A,USD!$A:$AL,20,FALSE)*88)/88*20</f>
        <v>0</v>
      </c>
      <c r="U339" s="68">
        <f>(VLOOKUP($A:$A,USD!$A:$AL,21,FALSE)*88)/88*20</f>
        <v>265.58465909090904</v>
      </c>
      <c r="V339" s="68"/>
      <c r="W339" s="68">
        <f t="shared" si="47"/>
        <v>265.58465909090904</v>
      </c>
      <c r="X339" s="1">
        <f>(VLOOKUP($A:$A,USD!$A:$AL,24,FALSE)*88)/88*20</f>
        <v>52</v>
      </c>
      <c r="Y339" s="68">
        <f>(VLOOKUP($A:$A,USD!$A:$AL,25,FALSE)*88)/88*20</f>
        <v>50.4</v>
      </c>
      <c r="Z339" s="68">
        <f>(VLOOKUP($A:$A,USD!$A:$AL,26,FALSE)*88)/88*20</f>
        <v>26.25</v>
      </c>
      <c r="AB339" s="68">
        <f t="shared" si="48"/>
        <v>128.65</v>
      </c>
      <c r="AC339" s="68">
        <f>(VLOOKUP($A:$A,USD!$A:$AL,29,FALSE)*88)/88*20</f>
        <v>110.22727272727273</v>
      </c>
      <c r="AD339" s="68">
        <f>(VLOOKUP($A:$A,USD!$A:$AL,30,FALSE)*88)/88*20</f>
        <v>107.04545454545455</v>
      </c>
      <c r="AF339" s="68">
        <f t="shared" si="49"/>
        <v>217.27272727272728</v>
      </c>
      <c r="AG339" s="87">
        <f>(VLOOKUP($A:$A,USD!$A:$AL,33,FALSE)*88)/88*20</f>
        <v>28.814300000000003</v>
      </c>
      <c r="AH339" s="68">
        <f>(VLOOKUP($A:$A,USD!$A:$AL,34,FALSE)*88)/88*20</f>
        <v>6.973140495867769</v>
      </c>
      <c r="AI339" s="87">
        <f>(VLOOKUP($A:$A,USD!$A:$AL,35,FALSE)*88)/88*20</f>
        <v>12.587317427197677</v>
      </c>
      <c r="AJ339" s="87">
        <f>(VLOOKUP($A:$A,USD!$A:$AL,36,FALSE)*88)/88*20</f>
        <v>6.7351999999999999</v>
      </c>
      <c r="AL339" s="68">
        <f t="shared" si="50"/>
        <v>55.109957923065444</v>
      </c>
      <c r="AM339" s="87">
        <f>(VLOOKUP($A:$A,USD!$A:$AR,39,FALSE)*88)/88*20</f>
        <v>79.999999999999986</v>
      </c>
      <c r="AN339" s="68">
        <f>(VLOOKUP($A:$A,USD!$A:$AR,40,FALSE)*88)/88*20</f>
        <v>26.17808219178082</v>
      </c>
      <c r="AO339" s="1">
        <f>(VLOOKUP($A:$A,USD!$A:$AR,41,FALSE)*88)/88*20</f>
        <v>0</v>
      </c>
      <c r="AR339" s="1">
        <f t="shared" si="51"/>
        <v>106.1780821917808</v>
      </c>
      <c r="AS339" s="38">
        <f t="shared" si="52"/>
        <v>855.7120931451492</v>
      </c>
      <c r="AT339" s="38">
        <f t="shared" si="53"/>
        <v>1037.7120931451493</v>
      </c>
      <c r="AW339" s="1" t="e">
        <f>(VLOOKUP(A:A,USD!A:AT,46,FALSE)*88)/88*20</f>
        <v>#N/A</v>
      </c>
      <c r="AX339" s="1">
        <f>(VLOOKUP(A:A,USD!A:AU,47,FALSE)*88)/88*20</f>
        <v>251.36363636363637</v>
      </c>
    </row>
    <row r="340" spans="1:50" hidden="1">
      <c r="A340" s="1">
        <v>840516</v>
      </c>
      <c r="B340" s="1" t="s">
        <v>751</v>
      </c>
      <c r="C340" s="1" t="s">
        <v>752</v>
      </c>
      <c r="D340" s="1" t="s">
        <v>71</v>
      </c>
      <c r="E340" s="1" t="str">
        <f>VLOOKUP(A:A,USD!A:E,5,FALSE)</f>
        <v>STEX</v>
      </c>
      <c r="F340" s="1" t="str">
        <f>VLOOKUP(A:A,USD!A:F,6,FALSE)</f>
        <v>STX</v>
      </c>
      <c r="G340" s="1" t="str">
        <f>VLOOKUP(A:A,'Regions and Ports'!A:G,7,FALSE)</f>
        <v>Houston</v>
      </c>
      <c r="H340" s="1">
        <f>VLOOKUP(A:A,USD!A:R,8,FALSE)</f>
        <v>3</v>
      </c>
      <c r="I340" s="87">
        <f>(VLOOKUP($A:$A,USD!$A:$AL,9,FALSE)*88)/88*20</f>
        <v>110</v>
      </c>
      <c r="J340" s="87">
        <f>(VLOOKUP($A:$A,USD!$A:$AL,10,FALSE)*88)/88*20</f>
        <v>350</v>
      </c>
      <c r="K340" s="87">
        <f>(VLOOKUP($A:$A,USD!$A:$AL,11,FALSE)*88)/88*20</f>
        <v>0</v>
      </c>
      <c r="L340" s="87">
        <f>(VLOOKUP($A:$A,USD!$A:$AL,12,FALSE)*88)/88*20</f>
        <v>0</v>
      </c>
      <c r="M340" s="87">
        <f>(VLOOKUP($A:$A,USD!$A:$AL,13,FALSE)*88)/88*20</f>
        <v>0</v>
      </c>
      <c r="N340" s="87">
        <f>(VLOOKUP($A:$A,USD!$A:$AL,14,FALSE)*88)/88*20</f>
        <v>80</v>
      </c>
      <c r="O340" s="68">
        <f>(VLOOKUP($A:$A,USD!$A:$AL,15,FALSE)*88)/88*20</f>
        <v>37.916666666666671</v>
      </c>
      <c r="P340" s="87">
        <f>(VLOOKUP($A:$A,USD!$A:$AL,16,FALSE)*88)/88*20</f>
        <v>0</v>
      </c>
      <c r="Q340" s="68">
        <f t="shared" si="45"/>
        <v>577.91666666666663</v>
      </c>
      <c r="R340" s="68">
        <f t="shared" si="46"/>
        <v>467.91666666666669</v>
      </c>
      <c r="S340" s="68">
        <f>(VLOOKUP($A:$A,USD!$A:$AL,19,FALSE)*88)/88*20</f>
        <v>20</v>
      </c>
      <c r="T340" s="68">
        <f>(VLOOKUP($A:$A,USD!$A:$AL,20,FALSE)*88)/88*20</f>
        <v>0</v>
      </c>
      <c r="U340" s="68">
        <f>(VLOOKUP($A:$A,USD!$A:$AL,21,FALSE)*88)/88*20</f>
        <v>190.34090909090909</v>
      </c>
      <c r="V340" s="68"/>
      <c r="W340" s="68">
        <f t="shared" si="47"/>
        <v>210.34090909090909</v>
      </c>
      <c r="X340" s="1">
        <f>(VLOOKUP($A:$A,USD!$A:$AL,24,FALSE)*88)/88*20</f>
        <v>54</v>
      </c>
      <c r="Y340" s="68">
        <f>(VLOOKUP($A:$A,USD!$A:$AL,25,FALSE)*88)/88*20</f>
        <v>50.4</v>
      </c>
      <c r="Z340" s="68">
        <f>(VLOOKUP($A:$A,USD!$A:$AL,26,FALSE)*88)/88*20</f>
        <v>26.25</v>
      </c>
      <c r="AB340" s="68">
        <f t="shared" si="48"/>
        <v>130.65</v>
      </c>
      <c r="AC340" s="68">
        <f>(VLOOKUP($A:$A,USD!$A:$AL,29,FALSE)*88)/88*20</f>
        <v>132.95454545454544</v>
      </c>
      <c r="AD340" s="68">
        <f>(VLOOKUP($A:$A,USD!$A:$AL,30,FALSE)*88)/88*20</f>
        <v>197.95454545454547</v>
      </c>
      <c r="AF340" s="68">
        <f t="shared" si="49"/>
        <v>330.90909090909088</v>
      </c>
      <c r="AG340" s="87">
        <f>(VLOOKUP($A:$A,USD!$A:$AL,33,FALSE)*88)/88*20</f>
        <v>28.814300000000003</v>
      </c>
      <c r="AH340" s="68">
        <f>(VLOOKUP($A:$A,USD!$A:$AL,34,FALSE)*88)/88*20</f>
        <v>6.973140495867769</v>
      </c>
      <c r="AI340" s="87">
        <f>(VLOOKUP($A:$A,USD!$A:$AL,35,FALSE)*88)/88*20</f>
        <v>12.587317427197677</v>
      </c>
      <c r="AJ340" s="87">
        <f>(VLOOKUP($A:$A,USD!$A:$AL,36,FALSE)*88)/88*20</f>
        <v>6.7351999999999999</v>
      </c>
      <c r="AL340" s="68">
        <f t="shared" si="50"/>
        <v>55.109957923065444</v>
      </c>
      <c r="AM340" s="87">
        <f>(VLOOKUP($A:$A,USD!$A:$AR,39,FALSE)*88)/88*20</f>
        <v>79.999999999999986</v>
      </c>
      <c r="AN340" s="68">
        <f>(VLOOKUP($A:$A,USD!$A:$AR,40,FALSE)*88)/88*20</f>
        <v>26.17808219178082</v>
      </c>
      <c r="AO340" s="1">
        <f>(VLOOKUP($A:$A,USD!$A:$AR,41,FALSE)*88)/88*20</f>
        <v>0</v>
      </c>
      <c r="AR340" s="1">
        <f t="shared" si="51"/>
        <v>106.1780821917808</v>
      </c>
      <c r="AS340" s="38">
        <f t="shared" si="52"/>
        <v>1301.1047067815127</v>
      </c>
      <c r="AT340" s="38">
        <f t="shared" si="53"/>
        <v>1411.1047067815127</v>
      </c>
      <c r="AW340" s="1">
        <f>(VLOOKUP(A:A,USD!A:AT,46,FALSE)*88)/88*20</f>
        <v>238.88636363636363</v>
      </c>
      <c r="AX340" s="1" t="e">
        <f>(VLOOKUP(A:A,USD!A:AU,47,FALSE)*88)/88*20</f>
        <v>#N/A</v>
      </c>
    </row>
    <row r="341" spans="1:50" hidden="1">
      <c r="A341" s="1">
        <v>940015</v>
      </c>
      <c r="B341" s="1" t="s">
        <v>754</v>
      </c>
      <c r="C341" s="1" t="s">
        <v>752</v>
      </c>
      <c r="D341" s="1" t="s">
        <v>71</v>
      </c>
      <c r="E341" s="1" t="str">
        <f>VLOOKUP(A:A,USD!A:E,5,FALSE)</f>
        <v>STEX</v>
      </c>
      <c r="F341" s="1" t="str">
        <f>VLOOKUP(A:A,USD!A:F,6,FALSE)</f>
        <v>STX</v>
      </c>
      <c r="G341" s="1" t="str">
        <f>VLOOKUP(A:A,'Regions and Ports'!A:G,7,FALSE)</f>
        <v>Houston</v>
      </c>
      <c r="H341" s="1">
        <f>VLOOKUP(A:A,USD!A:R,8,FALSE)</f>
        <v>3</v>
      </c>
      <c r="I341" s="87">
        <f>(VLOOKUP($A:$A,USD!$A:$AL,9,FALSE)*88)/88*20</f>
        <v>90</v>
      </c>
      <c r="J341" s="87">
        <f>(VLOOKUP($A:$A,USD!$A:$AL,10,FALSE)*88)/88*20</f>
        <v>135</v>
      </c>
      <c r="K341" s="87">
        <f>(VLOOKUP($A:$A,USD!$A:$AL,11,FALSE)*88)/88*20</f>
        <v>240</v>
      </c>
      <c r="L341" s="87">
        <f>(VLOOKUP($A:$A,USD!$A:$AL,12,FALSE)*88)/88*20</f>
        <v>0</v>
      </c>
      <c r="M341" s="87">
        <f>(VLOOKUP($A:$A,USD!$A:$AL,13,FALSE)*88)/88*20</f>
        <v>0</v>
      </c>
      <c r="N341" s="87">
        <f>(VLOOKUP($A:$A,USD!$A:$AL,14,FALSE)*88)/88*20</f>
        <v>70</v>
      </c>
      <c r="O341" s="68">
        <f>(VLOOKUP($A:$A,USD!$A:$AL,15,FALSE)*88)/88*20</f>
        <v>37.916666666666671</v>
      </c>
      <c r="P341" s="87">
        <f>(VLOOKUP($A:$A,USD!$A:$AL,16,FALSE)*88)/88*20</f>
        <v>0</v>
      </c>
      <c r="Q341" s="68">
        <f t="shared" si="45"/>
        <v>572.91666666666663</v>
      </c>
      <c r="R341" s="68">
        <f t="shared" si="46"/>
        <v>482.91666666666669</v>
      </c>
      <c r="S341" s="68">
        <f>(VLOOKUP($A:$A,USD!$A:$AL,19,FALSE)*88)/88*20</f>
        <v>0</v>
      </c>
      <c r="T341" s="68">
        <f>(VLOOKUP($A:$A,USD!$A:$AL,20,FALSE)*88)/88*20</f>
        <v>0</v>
      </c>
      <c r="U341" s="68">
        <f>(VLOOKUP($A:$A,USD!$A:$AL,21,FALSE)*88)/88*20</f>
        <v>190.34090909090909</v>
      </c>
      <c r="V341" s="68"/>
      <c r="W341" s="68">
        <f t="shared" si="47"/>
        <v>190.34090909090909</v>
      </c>
      <c r="X341" s="1">
        <f>(VLOOKUP($A:$A,USD!$A:$AL,24,FALSE)*88)/88*20</f>
        <v>54</v>
      </c>
      <c r="Y341" s="68">
        <f>(VLOOKUP($A:$A,USD!$A:$AL,25,FALSE)*88)/88*20</f>
        <v>50.4</v>
      </c>
      <c r="Z341" s="68">
        <f>(VLOOKUP($A:$A,USD!$A:$AL,26,FALSE)*88)/88*20</f>
        <v>26.25</v>
      </c>
      <c r="AB341" s="68">
        <f t="shared" si="48"/>
        <v>130.65</v>
      </c>
      <c r="AC341" s="68">
        <f>(VLOOKUP($A:$A,USD!$A:$AL,29,FALSE)*88)/88*20</f>
        <v>132.95454545454544</v>
      </c>
      <c r="AD341" s="68">
        <f>(VLOOKUP($A:$A,USD!$A:$AL,30,FALSE)*88)/88*20</f>
        <v>197.95454545454547</v>
      </c>
      <c r="AF341" s="68">
        <f t="shared" si="49"/>
        <v>330.90909090909088</v>
      </c>
      <c r="AG341" s="87">
        <f>(VLOOKUP($A:$A,USD!$A:$AL,33,FALSE)*88)/88*20</f>
        <v>28.814300000000003</v>
      </c>
      <c r="AH341" s="68">
        <f>(VLOOKUP($A:$A,USD!$A:$AL,34,FALSE)*88)/88*20</f>
        <v>6.973140495867769</v>
      </c>
      <c r="AI341" s="87">
        <f>(VLOOKUP($A:$A,USD!$A:$AL,35,FALSE)*88)/88*20</f>
        <v>12.587317427197677</v>
      </c>
      <c r="AJ341" s="87">
        <f>(VLOOKUP($A:$A,USD!$A:$AL,36,FALSE)*88)/88*20</f>
        <v>6.7351999999999999</v>
      </c>
      <c r="AL341" s="68">
        <f t="shared" si="50"/>
        <v>55.109957923065444</v>
      </c>
      <c r="AM341" s="87">
        <f>(VLOOKUP($A:$A,USD!$A:$AR,39,FALSE)*88)/88*20</f>
        <v>79.999999999999986</v>
      </c>
      <c r="AN341" s="68">
        <f>(VLOOKUP($A:$A,USD!$A:$AR,40,FALSE)*88)/88*20</f>
        <v>26.17808219178082</v>
      </c>
      <c r="AO341" s="1">
        <f>(VLOOKUP($A:$A,USD!$A:$AR,41,FALSE)*88)/88*20</f>
        <v>0</v>
      </c>
      <c r="AR341" s="1">
        <f t="shared" si="51"/>
        <v>106.1780821917808</v>
      </c>
      <c r="AS341" s="38">
        <f t="shared" si="52"/>
        <v>1296.1047067815127</v>
      </c>
      <c r="AT341" s="38">
        <f t="shared" si="53"/>
        <v>1386.1047067815127</v>
      </c>
      <c r="AW341" s="1">
        <f>(VLOOKUP(A:A,USD!A:AT,46,FALSE)*88)/88*20</f>
        <v>238.88636363636363</v>
      </c>
      <c r="AX341" s="1" t="e">
        <f>(VLOOKUP(A:A,USD!A:AU,47,FALSE)*88)/88*20</f>
        <v>#N/A</v>
      </c>
    </row>
    <row r="342" spans="1:50" hidden="1">
      <c r="A342" s="1">
        <v>940025</v>
      </c>
      <c r="B342" s="1" t="s">
        <v>755</v>
      </c>
      <c r="C342" s="1" t="s">
        <v>752</v>
      </c>
      <c r="D342" s="1" t="s">
        <v>71</v>
      </c>
      <c r="E342" s="1" t="str">
        <f>VLOOKUP(A:A,USD!A:E,5,FALSE)</f>
        <v>STEX</v>
      </c>
      <c r="F342" s="1" t="str">
        <f>VLOOKUP(A:A,USD!A:F,6,FALSE)</f>
        <v>STX</v>
      </c>
      <c r="G342" s="1" t="str">
        <f>VLOOKUP(A:A,'Regions and Ports'!A:G,7,FALSE)</f>
        <v>Houston</v>
      </c>
      <c r="H342" s="1">
        <f>VLOOKUP(A:A,USD!A:R,8,FALSE)</f>
        <v>3</v>
      </c>
      <c r="I342" s="87">
        <f>(VLOOKUP($A:$A,USD!$A:$AL,9,FALSE)*88)/88*20</f>
        <v>90</v>
      </c>
      <c r="J342" s="87">
        <f>(VLOOKUP($A:$A,USD!$A:$AL,10,FALSE)*88)/88*20</f>
        <v>135</v>
      </c>
      <c r="K342" s="87">
        <f>(VLOOKUP($A:$A,USD!$A:$AL,11,FALSE)*88)/88*20</f>
        <v>240</v>
      </c>
      <c r="L342" s="87">
        <f>(VLOOKUP($A:$A,USD!$A:$AL,12,FALSE)*88)/88*20</f>
        <v>0</v>
      </c>
      <c r="M342" s="87">
        <f>(VLOOKUP($A:$A,USD!$A:$AL,13,FALSE)*88)/88*20</f>
        <v>0</v>
      </c>
      <c r="N342" s="87">
        <f>(VLOOKUP($A:$A,USD!$A:$AL,14,FALSE)*88)/88*20</f>
        <v>70</v>
      </c>
      <c r="O342" s="68">
        <f>(VLOOKUP($A:$A,USD!$A:$AL,15,FALSE)*88)/88*20</f>
        <v>37.916666666666671</v>
      </c>
      <c r="P342" s="87">
        <f>(VLOOKUP($A:$A,USD!$A:$AL,16,FALSE)*88)/88*20</f>
        <v>0</v>
      </c>
      <c r="Q342" s="68">
        <f t="shared" si="45"/>
        <v>572.91666666666663</v>
      </c>
      <c r="R342" s="68">
        <f t="shared" si="46"/>
        <v>482.91666666666669</v>
      </c>
      <c r="S342" s="68">
        <f>(VLOOKUP($A:$A,USD!$A:$AL,19,FALSE)*88)/88*20</f>
        <v>0</v>
      </c>
      <c r="T342" s="68">
        <f>(VLOOKUP($A:$A,USD!$A:$AL,20,FALSE)*88)/88*20</f>
        <v>0</v>
      </c>
      <c r="U342" s="68">
        <f>(VLOOKUP($A:$A,USD!$A:$AL,21,FALSE)*88)/88*20</f>
        <v>190.34090909090909</v>
      </c>
      <c r="V342" s="68"/>
      <c r="W342" s="68">
        <f t="shared" si="47"/>
        <v>190.34090909090909</v>
      </c>
      <c r="X342" s="1">
        <f>(VLOOKUP($A:$A,USD!$A:$AL,24,FALSE)*88)/88*20</f>
        <v>54</v>
      </c>
      <c r="Y342" s="68">
        <f>(VLOOKUP($A:$A,USD!$A:$AL,25,FALSE)*88)/88*20</f>
        <v>50.4</v>
      </c>
      <c r="Z342" s="68">
        <f>(VLOOKUP($A:$A,USD!$A:$AL,26,FALSE)*88)/88*20</f>
        <v>26.25</v>
      </c>
      <c r="AB342" s="68">
        <f t="shared" si="48"/>
        <v>130.65</v>
      </c>
      <c r="AC342" s="68">
        <f>(VLOOKUP($A:$A,USD!$A:$AL,29,FALSE)*88)/88*20</f>
        <v>132.95454545454544</v>
      </c>
      <c r="AD342" s="68">
        <f>(VLOOKUP($A:$A,USD!$A:$AL,30,FALSE)*88)/88*20</f>
        <v>197.95454545454547</v>
      </c>
      <c r="AF342" s="68">
        <f t="shared" si="49"/>
        <v>330.90909090909088</v>
      </c>
      <c r="AG342" s="87">
        <f>(VLOOKUP($A:$A,USD!$A:$AL,33,FALSE)*88)/88*20</f>
        <v>28.814300000000003</v>
      </c>
      <c r="AH342" s="68">
        <f>(VLOOKUP($A:$A,USD!$A:$AL,34,FALSE)*88)/88*20</f>
        <v>6.973140495867769</v>
      </c>
      <c r="AI342" s="87">
        <f>(VLOOKUP($A:$A,USD!$A:$AL,35,FALSE)*88)/88*20</f>
        <v>12.587317427197677</v>
      </c>
      <c r="AJ342" s="87">
        <f>(VLOOKUP($A:$A,USD!$A:$AL,36,FALSE)*88)/88*20</f>
        <v>6.7351999999999999</v>
      </c>
      <c r="AL342" s="68">
        <f t="shared" si="50"/>
        <v>55.109957923065444</v>
      </c>
      <c r="AM342" s="87">
        <f>(VLOOKUP($A:$A,USD!$A:$AR,39,FALSE)*88)/88*20</f>
        <v>79.999999999999986</v>
      </c>
      <c r="AN342" s="68">
        <f>(VLOOKUP($A:$A,USD!$A:$AR,40,FALSE)*88)/88*20</f>
        <v>26.17808219178082</v>
      </c>
      <c r="AO342" s="1">
        <f>(VLOOKUP($A:$A,USD!$A:$AR,41,FALSE)*88)/88*20</f>
        <v>0</v>
      </c>
      <c r="AR342" s="1">
        <f t="shared" si="51"/>
        <v>106.1780821917808</v>
      </c>
      <c r="AS342" s="38">
        <f t="shared" si="52"/>
        <v>1296.1047067815127</v>
      </c>
      <c r="AT342" s="38">
        <f t="shared" si="53"/>
        <v>1386.1047067815127</v>
      </c>
      <c r="AW342" s="1">
        <f>(VLOOKUP(A:A,USD!A:AT,46,FALSE)*88)/88*20</f>
        <v>238.88636363636363</v>
      </c>
      <c r="AX342" s="1" t="e">
        <f>(VLOOKUP(A:A,USD!A:AU,47,FALSE)*88)/88*20</f>
        <v>#N/A</v>
      </c>
    </row>
    <row r="343" spans="1:50" hidden="1">
      <c r="A343" s="1">
        <v>335533</v>
      </c>
      <c r="B343" s="1" t="s">
        <v>756</v>
      </c>
      <c r="C343" s="1" t="s">
        <v>757</v>
      </c>
      <c r="D343" s="1" t="s">
        <v>76</v>
      </c>
      <c r="E343" s="1" t="str">
        <f>VLOOKUP(A:A,USD!A:E,5,FALSE)</f>
        <v>GA 30 Day</v>
      </c>
      <c r="F343" s="1" t="str">
        <f>VLOOKUP(A:A,USD!A:F,6,FALSE)</f>
        <v>ER5</v>
      </c>
      <c r="G343" s="1" t="str">
        <f>VLOOKUP(A:A,'Regions and Ports'!A:G,7,FALSE)</f>
        <v>Savannah</v>
      </c>
      <c r="H343" s="1">
        <f>VLOOKUP(A:A,USD!A:R,8,FALSE)</f>
        <v>4</v>
      </c>
      <c r="I343" s="87">
        <f>(VLOOKUP($A:$A,USD!$A:$AL,9,FALSE)*88)/88*20</f>
        <v>65</v>
      </c>
      <c r="J343" s="87">
        <f>(VLOOKUP($A:$A,USD!$A:$AL,10,FALSE)*88)/88*20</f>
        <v>100</v>
      </c>
      <c r="K343" s="87">
        <f>(VLOOKUP($A:$A,USD!$A:$AL,11,FALSE)*88)/88*20</f>
        <v>0</v>
      </c>
      <c r="L343" s="87">
        <f>(VLOOKUP($A:$A,USD!$A:$AL,12,FALSE)*88)/88*20</f>
        <v>0</v>
      </c>
      <c r="M343" s="87">
        <f>(VLOOKUP($A:$A,USD!$A:$AL,13,FALSE)*88)/88*20</f>
        <v>20</v>
      </c>
      <c r="N343" s="87">
        <f>(VLOOKUP($A:$A,USD!$A:$AL,14,FALSE)*88)/88*20</f>
        <v>54</v>
      </c>
      <c r="O343" s="68">
        <f>(VLOOKUP($A:$A,USD!$A:$AL,15,FALSE)*88)/88*20</f>
        <v>37.916666666666671</v>
      </c>
      <c r="P343" s="87">
        <f>(VLOOKUP($A:$A,USD!$A:$AL,16,FALSE)*88)/88*20</f>
        <v>0</v>
      </c>
      <c r="Q343" s="68">
        <f t="shared" si="45"/>
        <v>276.91666666666669</v>
      </c>
      <c r="R343" s="68">
        <f t="shared" si="46"/>
        <v>37.916666666666671</v>
      </c>
      <c r="S343" s="68">
        <f>(VLOOKUP($A:$A,USD!$A:$AL,19,FALSE)*88)/88*20</f>
        <v>0</v>
      </c>
      <c r="T343" s="68">
        <f>(VLOOKUP($A:$A,USD!$A:$AL,20,FALSE)*88)/88*20</f>
        <v>0</v>
      </c>
      <c r="U343" s="68">
        <f>(VLOOKUP($A:$A,USD!$A:$AL,21,FALSE)*88)/88*20</f>
        <v>297.19431818181818</v>
      </c>
      <c r="V343" s="68"/>
      <c r="W343" s="68">
        <f t="shared" si="47"/>
        <v>297.19431818181818</v>
      </c>
      <c r="X343" s="1">
        <f>(VLOOKUP($A:$A,USD!$A:$AL,24,FALSE)*88)/88*20</f>
        <v>52</v>
      </c>
      <c r="Y343" s="68">
        <f>(VLOOKUP($A:$A,USD!$A:$AL,25,FALSE)*88)/88*20</f>
        <v>50.4</v>
      </c>
      <c r="Z343" s="68">
        <f>(VLOOKUP($A:$A,USD!$A:$AL,26,FALSE)*88)/88*20</f>
        <v>26.25</v>
      </c>
      <c r="AB343" s="68">
        <f t="shared" si="48"/>
        <v>128.65</v>
      </c>
      <c r="AC343" s="68">
        <f>(VLOOKUP($A:$A,USD!$A:$AL,29,FALSE)*88)/88*20</f>
        <v>110.22727272727273</v>
      </c>
      <c r="AD343" s="68">
        <f>(VLOOKUP($A:$A,USD!$A:$AL,30,FALSE)*88)/88*20</f>
        <v>107.04545454545455</v>
      </c>
      <c r="AF343" s="68">
        <f t="shared" si="49"/>
        <v>217.27272727272728</v>
      </c>
      <c r="AG343" s="87">
        <f>(VLOOKUP($A:$A,USD!$A:$AL,33,FALSE)*88)/88*20</f>
        <v>28.814300000000003</v>
      </c>
      <c r="AH343" s="68">
        <f>(VLOOKUP($A:$A,USD!$A:$AL,34,FALSE)*88)/88*20</f>
        <v>6.973140495867769</v>
      </c>
      <c r="AI343" s="87">
        <f>(VLOOKUP($A:$A,USD!$A:$AL,35,FALSE)*88)/88*20</f>
        <v>12.587317427197677</v>
      </c>
      <c r="AJ343" s="87">
        <f>(VLOOKUP($A:$A,USD!$A:$AL,36,FALSE)*88)/88*20</f>
        <v>6.7351999999999999</v>
      </c>
      <c r="AL343" s="68">
        <f t="shared" si="50"/>
        <v>55.109957923065444</v>
      </c>
      <c r="AM343" s="87">
        <f>(VLOOKUP($A:$A,USD!$A:$AR,39,FALSE)*88)/88*20</f>
        <v>79.999999999999986</v>
      </c>
      <c r="AN343" s="68">
        <f>(VLOOKUP($A:$A,USD!$A:$AR,40,FALSE)*88)/88*20</f>
        <v>26.17808219178082</v>
      </c>
      <c r="AO343" s="1">
        <f>(VLOOKUP($A:$A,USD!$A:$AR,41,FALSE)*88)/88*20</f>
        <v>0</v>
      </c>
      <c r="AR343" s="1">
        <f t="shared" si="51"/>
        <v>106.1780821917808</v>
      </c>
      <c r="AS343" s="38">
        <f t="shared" si="52"/>
        <v>842.32175223605839</v>
      </c>
      <c r="AT343" s="38">
        <f t="shared" si="53"/>
        <v>1081.3217522360583</v>
      </c>
      <c r="AW343" s="1" t="e">
        <f>(VLOOKUP(A:A,USD!A:AT,46,FALSE)*88)/88*20</f>
        <v>#N/A</v>
      </c>
      <c r="AX343" s="1">
        <f>(VLOOKUP(A:A,USD!A:AU,47,FALSE)*88)/88*20</f>
        <v>255.11363636363637</v>
      </c>
    </row>
    <row r="344" spans="1:50" hidden="1">
      <c r="A344" s="1">
        <v>340100</v>
      </c>
      <c r="B344" s="1" t="s">
        <v>759</v>
      </c>
      <c r="C344" s="1" t="s">
        <v>760</v>
      </c>
      <c r="D344" s="1" t="s">
        <v>76</v>
      </c>
      <c r="E344" s="1" t="str">
        <f>VLOOKUP(A:A,USD!A:E,5,FALSE)</f>
        <v>GA 30 Day</v>
      </c>
      <c r="F344" s="1" t="str">
        <f>VLOOKUP(A:A,USD!A:F,6,FALSE)</f>
        <v>ER5</v>
      </c>
      <c r="G344" s="1" t="str">
        <f>VLOOKUP(A:A,'Regions and Ports'!A:G,7,FALSE)</f>
        <v>Savannah</v>
      </c>
      <c r="H344" s="1">
        <f>VLOOKUP(A:A,USD!A:R,8,FALSE)</f>
        <v>4</v>
      </c>
      <c r="I344" s="87">
        <f>(VLOOKUP($A:$A,USD!$A:$AL,9,FALSE)*88)/88*20</f>
        <v>70</v>
      </c>
      <c r="J344" s="87">
        <f>(VLOOKUP($A:$A,USD!$A:$AL,10,FALSE)*88)/88*20</f>
        <v>110</v>
      </c>
      <c r="K344" s="87">
        <f>(VLOOKUP($A:$A,USD!$A:$AL,11,FALSE)*88)/88*20</f>
        <v>0</v>
      </c>
      <c r="L344" s="87">
        <f>(VLOOKUP($A:$A,USD!$A:$AL,12,FALSE)*88)/88*20</f>
        <v>0</v>
      </c>
      <c r="M344" s="87">
        <f>(VLOOKUP($A:$A,USD!$A:$AL,13,FALSE)*88)/88*20</f>
        <v>20</v>
      </c>
      <c r="N344" s="87">
        <f>(VLOOKUP($A:$A,USD!$A:$AL,14,FALSE)*88)/88*20</f>
        <v>70</v>
      </c>
      <c r="O344" s="68">
        <f>(VLOOKUP($A:$A,USD!$A:$AL,15,FALSE)*88)/88*20</f>
        <v>37.916666666666671</v>
      </c>
      <c r="P344" s="87">
        <f>(VLOOKUP($A:$A,USD!$A:$AL,16,FALSE)*88)/88*20</f>
        <v>0</v>
      </c>
      <c r="Q344" s="68">
        <f t="shared" si="45"/>
        <v>307.91666666666669</v>
      </c>
      <c r="R344" s="68">
        <f t="shared" si="46"/>
        <v>37.916666666666671</v>
      </c>
      <c r="S344" s="68">
        <f>(VLOOKUP($A:$A,USD!$A:$AL,19,FALSE)*88)/88*20</f>
        <v>0</v>
      </c>
      <c r="T344" s="68">
        <f>(VLOOKUP($A:$A,USD!$A:$AL,20,FALSE)*88)/88*20</f>
        <v>0</v>
      </c>
      <c r="U344" s="68">
        <f>(VLOOKUP($A:$A,USD!$A:$AL,21,FALSE)*88)/88*20</f>
        <v>207.20909090909092</v>
      </c>
      <c r="V344" s="68"/>
      <c r="W344" s="68">
        <f t="shared" si="47"/>
        <v>207.20909090909092</v>
      </c>
      <c r="X344" s="1">
        <f>(VLOOKUP($A:$A,USD!$A:$AL,24,FALSE)*88)/88*20</f>
        <v>52</v>
      </c>
      <c r="Y344" s="68">
        <f>(VLOOKUP($A:$A,USD!$A:$AL,25,FALSE)*88)/88*20</f>
        <v>50.4</v>
      </c>
      <c r="Z344" s="68">
        <f>(VLOOKUP($A:$A,USD!$A:$AL,26,FALSE)*88)/88*20</f>
        <v>26.25</v>
      </c>
      <c r="AB344" s="68">
        <f t="shared" si="48"/>
        <v>128.65</v>
      </c>
      <c r="AC344" s="68">
        <f>(VLOOKUP($A:$A,USD!$A:$AL,29,FALSE)*88)/88*20</f>
        <v>110.22727272727273</v>
      </c>
      <c r="AD344" s="68">
        <f>(VLOOKUP($A:$A,USD!$A:$AL,30,FALSE)*88)/88*20</f>
        <v>107.04545454545455</v>
      </c>
      <c r="AF344" s="68">
        <f t="shared" si="49"/>
        <v>217.27272727272728</v>
      </c>
      <c r="AG344" s="87">
        <f>(VLOOKUP($A:$A,USD!$A:$AL,33,FALSE)*88)/88*20</f>
        <v>28.814300000000003</v>
      </c>
      <c r="AH344" s="68">
        <f>(VLOOKUP($A:$A,USD!$A:$AL,34,FALSE)*88)/88*20</f>
        <v>6.973140495867769</v>
      </c>
      <c r="AI344" s="87">
        <f>(VLOOKUP($A:$A,USD!$A:$AL,35,FALSE)*88)/88*20</f>
        <v>12.587317427197677</v>
      </c>
      <c r="AJ344" s="87">
        <f>(VLOOKUP($A:$A,USD!$A:$AL,36,FALSE)*88)/88*20</f>
        <v>6.7351999999999999</v>
      </c>
      <c r="AL344" s="68">
        <f t="shared" si="50"/>
        <v>55.109957923065444</v>
      </c>
      <c r="AM344" s="87">
        <f>(VLOOKUP($A:$A,USD!$A:$AR,39,FALSE)*88)/88*20</f>
        <v>79.999999999999986</v>
      </c>
      <c r="AN344" s="68">
        <f>(VLOOKUP($A:$A,USD!$A:$AR,40,FALSE)*88)/88*20</f>
        <v>26.17808219178082</v>
      </c>
      <c r="AO344" s="1">
        <f>(VLOOKUP($A:$A,USD!$A:$AR,41,FALSE)*88)/88*20</f>
        <v>0</v>
      </c>
      <c r="AR344" s="1">
        <f t="shared" si="51"/>
        <v>106.1780821917808</v>
      </c>
      <c r="AS344" s="38">
        <f t="shared" si="52"/>
        <v>752.33652496333104</v>
      </c>
      <c r="AT344" s="38">
        <f t="shared" si="53"/>
        <v>1022.336524963331</v>
      </c>
      <c r="AW344" s="1">
        <f>(VLOOKUP(A:A,USD!A:AT,46,FALSE)*88)/88*20</f>
        <v>487.23863636363632</v>
      </c>
      <c r="AX344" s="1">
        <f>(VLOOKUP(A:A,USD!A:AU,47,FALSE)*88)/88*20</f>
        <v>309.65909090909088</v>
      </c>
    </row>
    <row r="345" spans="1:50" hidden="1">
      <c r="A345" s="1">
        <v>944344</v>
      </c>
      <c r="B345" s="1" t="s">
        <v>761</v>
      </c>
      <c r="C345" s="1" t="s">
        <v>762</v>
      </c>
      <c r="D345" s="1" t="s">
        <v>71</v>
      </c>
      <c r="E345" s="1" t="str">
        <f>VLOOKUP(A:A,USD!A:E,5,FALSE)</f>
        <v>WTX</v>
      </c>
      <c r="F345" s="1" t="str">
        <f>VLOOKUP(A:A,USD!A:F,6,FALSE)</f>
        <v>WTX</v>
      </c>
      <c r="G345" s="1" t="str">
        <f>VLOOKUP(A:A,'Regions and Ports'!A:G,7,FALSE)</f>
        <v>Dallas</v>
      </c>
      <c r="H345" s="1">
        <f>VLOOKUP(A:A,USD!A:R,8,FALSE)</f>
        <v>3</v>
      </c>
      <c r="I345" s="87">
        <f>(VLOOKUP($A:$A,USD!$A:$AL,9,FALSE)*88)/88*20</f>
        <v>65</v>
      </c>
      <c r="J345" s="87">
        <f>(VLOOKUP($A:$A,USD!$A:$AL,10,FALSE)*88)/88*20</f>
        <v>125</v>
      </c>
      <c r="K345" s="87">
        <f>(VLOOKUP($A:$A,USD!$A:$AL,11,FALSE)*88)/88*20</f>
        <v>145</v>
      </c>
      <c r="L345" s="87">
        <f>(VLOOKUP($A:$A,USD!$A:$AL,12,FALSE)*88)/88*20</f>
        <v>0</v>
      </c>
      <c r="M345" s="87">
        <f>(VLOOKUP($A:$A,USD!$A:$AL,13,FALSE)*88)/88*20</f>
        <v>0</v>
      </c>
      <c r="N345" s="87">
        <f>(VLOOKUP($A:$A,USD!$A:$AL,14,FALSE)*88)/88*20</f>
        <v>72</v>
      </c>
      <c r="O345" s="68">
        <f>(VLOOKUP($A:$A,USD!$A:$AL,15,FALSE)*88)/88*20</f>
        <v>37.916666666666671</v>
      </c>
      <c r="P345" s="87">
        <f>(VLOOKUP($A:$A,USD!$A:$AL,16,FALSE)*88)/88*20</f>
        <v>0</v>
      </c>
      <c r="Q345" s="68">
        <f t="shared" si="45"/>
        <v>444.91666666666669</v>
      </c>
      <c r="R345" s="68">
        <f t="shared" si="46"/>
        <v>379.91666666666669</v>
      </c>
      <c r="S345" s="68">
        <f>(VLOOKUP($A:$A,USD!$A:$AL,19,FALSE)*88)/88*20</f>
        <v>0</v>
      </c>
      <c r="T345" s="68">
        <f>(VLOOKUP($A:$A,USD!$A:$AL,20,FALSE)*88)/88*20</f>
        <v>0</v>
      </c>
      <c r="U345" s="68">
        <f>(VLOOKUP($A:$A,USD!$A:$AL,21,FALSE)*88)/88*20</f>
        <v>325</v>
      </c>
      <c r="V345" s="68"/>
      <c r="W345" s="68">
        <f t="shared" si="47"/>
        <v>325</v>
      </c>
      <c r="X345" s="1">
        <f>(VLOOKUP($A:$A,USD!$A:$AL,24,FALSE)*88)/88*20</f>
        <v>54</v>
      </c>
      <c r="Y345" s="68">
        <f>(VLOOKUP($A:$A,USD!$A:$AL,25,FALSE)*88)/88*20</f>
        <v>50.4</v>
      </c>
      <c r="Z345" s="68">
        <f>(VLOOKUP($A:$A,USD!$A:$AL,26,FALSE)*88)/88*20</f>
        <v>26.25</v>
      </c>
      <c r="AB345" s="68">
        <f t="shared" si="48"/>
        <v>130.65</v>
      </c>
      <c r="AC345" s="68">
        <f>(VLOOKUP($A:$A,USD!$A:$AL,29,FALSE)*88)/88*20</f>
        <v>162.5</v>
      </c>
      <c r="AD345" s="68">
        <f>(VLOOKUP($A:$A,USD!$A:$AL,30,FALSE)*88)/88*20</f>
        <v>268.18181818181819</v>
      </c>
      <c r="AF345" s="68">
        <f t="shared" si="49"/>
        <v>430.68181818181819</v>
      </c>
      <c r="AG345" s="87">
        <f>(VLOOKUP($A:$A,USD!$A:$AL,33,FALSE)*88)/88*20</f>
        <v>28.814300000000003</v>
      </c>
      <c r="AH345" s="68">
        <f>(VLOOKUP($A:$A,USD!$A:$AL,34,FALSE)*88)/88*20</f>
        <v>6.973140495867769</v>
      </c>
      <c r="AI345" s="87">
        <f>(VLOOKUP($A:$A,USD!$A:$AL,35,FALSE)*88)/88*20</f>
        <v>12.587317427197677</v>
      </c>
      <c r="AJ345" s="87">
        <f>(VLOOKUP($A:$A,USD!$A:$AL,36,FALSE)*88)/88*20</f>
        <v>6.7351999999999999</v>
      </c>
      <c r="AL345" s="68">
        <f t="shared" si="50"/>
        <v>55.109957923065444</v>
      </c>
      <c r="AM345" s="87">
        <f>(VLOOKUP($A:$A,USD!$A:$AR,39,FALSE)*88)/88*20</f>
        <v>79.999999999999986</v>
      </c>
      <c r="AN345" s="68">
        <f>(VLOOKUP($A:$A,USD!$A:$AR,40,FALSE)*88)/88*20</f>
        <v>26.17808219178082</v>
      </c>
      <c r="AO345" s="1">
        <f>(VLOOKUP($A:$A,USD!$A:$AR,41,FALSE)*88)/88*20</f>
        <v>0</v>
      </c>
      <c r="AR345" s="1">
        <f t="shared" si="51"/>
        <v>106.1780821917808</v>
      </c>
      <c r="AS345" s="38">
        <f t="shared" si="52"/>
        <v>1427.536524963331</v>
      </c>
      <c r="AT345" s="38">
        <f t="shared" si="53"/>
        <v>1492.536524963331</v>
      </c>
      <c r="AW345" s="1" t="e">
        <f>(VLOOKUP(A:A,USD!A:AT,46,FALSE)*88)/88*20</f>
        <v>#N/A</v>
      </c>
      <c r="AX345" s="1" t="e">
        <f>(VLOOKUP(A:A,USD!A:AU,47,FALSE)*88)/88*20</f>
        <v>#N/A</v>
      </c>
    </row>
    <row r="346" spans="1:50" hidden="1">
      <c r="A346" s="125">
        <v>944344</v>
      </c>
      <c r="B346" s="1" t="s">
        <v>761</v>
      </c>
      <c r="C346" s="1" t="s">
        <v>762</v>
      </c>
      <c r="D346" s="1" t="s">
        <v>71</v>
      </c>
      <c r="E346" s="1" t="s">
        <v>2067</v>
      </c>
      <c r="F346" s="1" t="str">
        <f>VLOOKUP(A:A,USD!A:F,6,FALSE)</f>
        <v>WTX</v>
      </c>
      <c r="G346" s="1" t="s">
        <v>439</v>
      </c>
      <c r="H346" s="1">
        <f>VLOOKUP(A:A,USD!A:R,8,FALSE)</f>
        <v>3</v>
      </c>
      <c r="I346" s="87">
        <f>(VLOOKUP($A:$A,USD!$A:$AL,9,FALSE)*88)/88*20</f>
        <v>65</v>
      </c>
      <c r="J346" s="87">
        <f>(VLOOKUP($A:$A,USD!$A:$AL,10,FALSE)*88)/88*20</f>
        <v>125</v>
      </c>
      <c r="K346" s="87">
        <f>(VLOOKUP($A:$A,USD!$A:$AL,11,FALSE)*88)/88*20</f>
        <v>145</v>
      </c>
      <c r="L346" s="87">
        <f>(VLOOKUP($A:$A,USD!$A:$AL,12,FALSE)*88)/88*20</f>
        <v>0</v>
      </c>
      <c r="M346" s="87">
        <f>(VLOOKUP($A:$A,USD!$A:$AL,13,FALSE)*88)/88*20</f>
        <v>0</v>
      </c>
      <c r="N346" s="87">
        <f>(VLOOKUP($A:$A,USD!$A:$AL,14,FALSE)*88)/88*20</f>
        <v>72</v>
      </c>
      <c r="O346" s="68">
        <f>(VLOOKUP($A:$A,USD!$A:$AL,15,FALSE)*88)/88*20</f>
        <v>37.916666666666671</v>
      </c>
      <c r="P346" s="87">
        <f>(VLOOKUP($A:$A,USD!$A:$AL,16,FALSE)*88)/88*20</f>
        <v>0</v>
      </c>
      <c r="Q346" s="68">
        <f t="shared" si="45"/>
        <v>444.91666666666669</v>
      </c>
      <c r="R346" s="68">
        <f t="shared" si="46"/>
        <v>379.91666666666669</v>
      </c>
      <c r="S346" s="68">
        <f>(VLOOKUP($A:$A,USD!$A:$AL,19,FALSE)*88)/88*20</f>
        <v>0</v>
      </c>
      <c r="T346" s="68">
        <f>(VLOOKUP($A:$A,USD!$A:$AL,20,FALSE)*88)/88*20</f>
        <v>0</v>
      </c>
      <c r="U346" s="68" cm="1">
        <f t="array" ref="U346">(_xlfn.XLOOKUP(1, (USD!$A:$A=$A346)*(USD!$E:$E=$E346), USD!$U:$U, "", 0)*88)/88*20</f>
        <v>355.34090909090907</v>
      </c>
      <c r="V346" s="68"/>
      <c r="W346" s="68">
        <f t="shared" si="47"/>
        <v>355.34090909090907</v>
      </c>
      <c r="X346" s="1">
        <f>(VLOOKUP($A:$A,USD!$A:$AL,24,FALSE)*88)/88*20</f>
        <v>54</v>
      </c>
      <c r="Y346" s="68">
        <f>(VLOOKUP($A:$A,USD!$A:$AL,25,FALSE)*88)/88*20</f>
        <v>50.4</v>
      </c>
      <c r="Z346" s="68">
        <f>(VLOOKUP($A:$A,USD!$A:$AL,26,FALSE)*88)/88*20</f>
        <v>26.25</v>
      </c>
      <c r="AB346" s="68">
        <f t="shared" si="48"/>
        <v>130.65</v>
      </c>
      <c r="AC346" s="68" cm="1">
        <f t="array" ref="AC346">_xlfn.XLOOKUP(A346&amp;E346, USD!$A:$A&amp;USD!$E:$E, USD!$AC:$AC, "")*20</f>
        <v>132.95454545454544</v>
      </c>
      <c r="AD346" s="68" cm="1">
        <f t="array" ref="AD346">_xlfn.XLOOKUP(A346&amp;E346, USD!$A:$A&amp;USD!$E:$E, USD!$AD:$AD, "")*20</f>
        <v>197.95454545454547</v>
      </c>
      <c r="AF346" s="68">
        <f t="shared" si="49"/>
        <v>330.90909090909088</v>
      </c>
      <c r="AG346" s="87">
        <f>(VLOOKUP($A:$A,USD!$A:$AL,33,FALSE)*88)/88*20</f>
        <v>28.814300000000003</v>
      </c>
      <c r="AH346" s="68">
        <f>(VLOOKUP($A:$A,USD!$A:$AL,34,FALSE)*88)/88*20</f>
        <v>6.973140495867769</v>
      </c>
      <c r="AI346" s="87">
        <f>(VLOOKUP($A:$A,USD!$A:$AL,35,FALSE)*88)/88*20</f>
        <v>12.587317427197677</v>
      </c>
      <c r="AJ346" s="87">
        <f>(VLOOKUP($A:$A,USD!$A:$AL,36,FALSE)*88)/88*20</f>
        <v>6.7351999999999999</v>
      </c>
      <c r="AL346" s="68">
        <f t="shared" si="50"/>
        <v>55.109957923065444</v>
      </c>
      <c r="AM346" s="87">
        <f>(VLOOKUP($A:$A,USD!$A:$AR,39,FALSE)*88)/88*20</f>
        <v>79.999999999999986</v>
      </c>
      <c r="AN346" s="68">
        <f>(VLOOKUP($A:$A,USD!$A:$AR,40,FALSE)*88)/88*20</f>
        <v>26.17808219178082</v>
      </c>
      <c r="AO346" s="1">
        <f>(VLOOKUP($A:$A,USD!$A:$AR,41,FALSE)*88)/88*20</f>
        <v>0</v>
      </c>
      <c r="AR346" s="1">
        <f t="shared" si="51"/>
        <v>106.1780821917808</v>
      </c>
      <c r="AS346" s="38">
        <f t="shared" si="52"/>
        <v>1358.1047067815127</v>
      </c>
      <c r="AT346" s="38">
        <f t="shared" si="53"/>
        <v>1423.1047067815127</v>
      </c>
      <c r="AW346" s="1" t="e">
        <f>(VLOOKUP(A:A,USD!A:AT,46,FALSE)*88)/88*20</f>
        <v>#N/A</v>
      </c>
      <c r="AX346" s="1" t="e">
        <f>(VLOOKUP(A:A,USD!A:AU,47,FALSE)*88)/88*20</f>
        <v>#N/A</v>
      </c>
    </row>
    <row r="347" spans="1:50" hidden="1">
      <c r="A347" s="1">
        <v>577277</v>
      </c>
      <c r="B347" s="1" t="s">
        <v>763</v>
      </c>
      <c r="C347" s="1" t="s">
        <v>764</v>
      </c>
      <c r="D347" s="1" t="s">
        <v>136</v>
      </c>
      <c r="E347" s="1" t="str">
        <f>VLOOKUP(A:A,USD!A:E,5,FALSE)</f>
        <v>Eastern Rule 5</v>
      </c>
      <c r="F347" s="1" t="str">
        <f>VLOOKUP(A:A,USD!A:F,6,FALSE)</f>
        <v>ER5</v>
      </c>
      <c r="G347" s="1" t="str">
        <f>VLOOKUP(A:A,'Regions and Ports'!A:G,7,FALSE)</f>
        <v>Savannah</v>
      </c>
      <c r="H347" s="1">
        <f>VLOOKUP(A:A,USD!A:R,8,FALSE)</f>
        <v>1</v>
      </c>
      <c r="I347" s="87">
        <f>(VLOOKUP($A:$A,USD!$A:$AL,9,FALSE)*88)/88*20</f>
        <v>80</v>
      </c>
      <c r="J347" s="87">
        <f>(VLOOKUP($A:$A,USD!$A:$AL,10,FALSE)*88)/88*20</f>
        <v>80</v>
      </c>
      <c r="K347" s="87">
        <f>(VLOOKUP($A:$A,USD!$A:$AL,11,FALSE)*88)/88*20</f>
        <v>0</v>
      </c>
      <c r="L347" s="87">
        <f>(VLOOKUP($A:$A,USD!$A:$AL,12,FALSE)*88)/88*20</f>
        <v>0</v>
      </c>
      <c r="M347" s="87">
        <f>(VLOOKUP($A:$A,USD!$A:$AL,13,FALSE)*88)/88*20</f>
        <v>0</v>
      </c>
      <c r="N347" s="87">
        <f>(VLOOKUP($A:$A,USD!$A:$AL,14,FALSE)*88)/88*20</f>
        <v>40</v>
      </c>
      <c r="O347" s="68">
        <f>(VLOOKUP($A:$A,USD!$A:$AL,15,FALSE)*88)/88*20</f>
        <v>37.916666666666671</v>
      </c>
      <c r="P347" s="87">
        <f>(VLOOKUP($A:$A,USD!$A:$AL,16,FALSE)*88)/88*20</f>
        <v>0</v>
      </c>
      <c r="Q347" s="68">
        <f t="shared" si="45"/>
        <v>237.91666666666669</v>
      </c>
      <c r="R347" s="68">
        <f t="shared" si="46"/>
        <v>77.916666666666671</v>
      </c>
      <c r="S347" s="68">
        <f>(VLOOKUP($A:$A,USD!$A:$AL,19,FALSE)*88)/88*20</f>
        <v>0</v>
      </c>
      <c r="T347" s="68">
        <f>(VLOOKUP($A:$A,USD!$A:$AL,20,FALSE)*88)/88*20</f>
        <v>0</v>
      </c>
      <c r="U347" s="68">
        <f>(VLOOKUP($A:$A,USD!$A:$AL,21,FALSE)*88)/88*20</f>
        <v>254.20852272727271</v>
      </c>
      <c r="V347" s="68"/>
      <c r="W347" s="68">
        <f t="shared" si="47"/>
        <v>254.20852272727271</v>
      </c>
      <c r="X347" s="1">
        <f>(VLOOKUP($A:$A,USD!$A:$AL,24,FALSE)*88)/88*20</f>
        <v>52</v>
      </c>
      <c r="Y347" s="68">
        <f>(VLOOKUP($A:$A,USD!$A:$AL,25,FALSE)*88)/88*20</f>
        <v>50.4</v>
      </c>
      <c r="Z347" s="68">
        <f>(VLOOKUP($A:$A,USD!$A:$AL,26,FALSE)*88)/88*20</f>
        <v>26.25</v>
      </c>
      <c r="AB347" s="68">
        <f t="shared" si="48"/>
        <v>128.65</v>
      </c>
      <c r="AC347" s="68">
        <f>(VLOOKUP($A:$A,USD!$A:$AL,29,FALSE)*88)/88*20</f>
        <v>110.22727272727273</v>
      </c>
      <c r="AD347" s="68">
        <f>(VLOOKUP($A:$A,USD!$A:$AL,30,FALSE)*88)/88*20</f>
        <v>107.04545454545455</v>
      </c>
      <c r="AF347" s="68">
        <f t="shared" si="49"/>
        <v>217.27272727272728</v>
      </c>
      <c r="AG347" s="87">
        <f>(VLOOKUP($A:$A,USD!$A:$AL,33,FALSE)*88)/88*20</f>
        <v>28.814300000000003</v>
      </c>
      <c r="AH347" s="68">
        <f>(VLOOKUP($A:$A,USD!$A:$AL,34,FALSE)*88)/88*20</f>
        <v>6.973140495867769</v>
      </c>
      <c r="AI347" s="87">
        <f>(VLOOKUP($A:$A,USD!$A:$AL,35,FALSE)*88)/88*20</f>
        <v>12.587317427197677</v>
      </c>
      <c r="AJ347" s="87">
        <f>(VLOOKUP($A:$A,USD!$A:$AL,36,FALSE)*88)/88*20</f>
        <v>6.7351999999999999</v>
      </c>
      <c r="AL347" s="68">
        <f t="shared" si="50"/>
        <v>55.109957923065444</v>
      </c>
      <c r="AM347" s="87">
        <f>(VLOOKUP($A:$A,USD!$A:$AR,39,FALSE)*88)/88*20</f>
        <v>79.999999999999986</v>
      </c>
      <c r="AN347" s="68">
        <f>(VLOOKUP($A:$A,USD!$A:$AR,40,FALSE)*88)/88*20</f>
        <v>26.17808219178082</v>
      </c>
      <c r="AO347" s="1">
        <f>(VLOOKUP($A:$A,USD!$A:$AR,41,FALSE)*88)/88*20</f>
        <v>0</v>
      </c>
      <c r="AR347" s="1">
        <f t="shared" si="51"/>
        <v>106.1780821917808</v>
      </c>
      <c r="AS347" s="38">
        <f t="shared" si="52"/>
        <v>839.33595678151289</v>
      </c>
      <c r="AT347" s="38">
        <f t="shared" si="53"/>
        <v>999.33595678151289</v>
      </c>
      <c r="AW347" s="1" t="e">
        <f>(VLOOKUP(A:A,USD!A:AT,46,FALSE)*88)/88*20</f>
        <v>#N/A</v>
      </c>
      <c r="AX347" s="1">
        <f>(VLOOKUP(A:A,USD!A:AU,47,FALSE)*88)/88*20</f>
        <v>283.75</v>
      </c>
    </row>
    <row r="348" spans="1:50" hidden="1">
      <c r="A348" s="1">
        <v>913055</v>
      </c>
      <c r="B348" s="1" t="s">
        <v>765</v>
      </c>
      <c r="C348" s="1" t="s">
        <v>766</v>
      </c>
      <c r="D348" s="1" t="s">
        <v>71</v>
      </c>
      <c r="E348" s="1" t="str">
        <f>VLOOKUP(A:A,USD!A:E,5,FALSE)</f>
        <v>WTX</v>
      </c>
      <c r="F348" s="1" t="str">
        <f>VLOOKUP(A:A,USD!A:F,6,FALSE)</f>
        <v>WTX</v>
      </c>
      <c r="G348" s="1" t="str">
        <f>VLOOKUP(A:A,'Regions and Ports'!A:G,7,FALSE)</f>
        <v>Dallas</v>
      </c>
      <c r="H348" s="1">
        <f>VLOOKUP(A:A,USD!A:R,8,FALSE)</f>
        <v>2</v>
      </c>
      <c r="I348" s="87">
        <f>(VLOOKUP($A:$A,USD!$A:$AL,9,FALSE)*88)/88*20</f>
        <v>100</v>
      </c>
      <c r="J348" s="87">
        <f>(VLOOKUP($A:$A,USD!$A:$AL,10,FALSE)*88)/88*20</f>
        <v>125</v>
      </c>
      <c r="K348" s="87">
        <f>(VLOOKUP($A:$A,USD!$A:$AL,11,FALSE)*88)/88*20</f>
        <v>205</v>
      </c>
      <c r="L348" s="87">
        <f>(VLOOKUP($A:$A,USD!$A:$AL,12,FALSE)*88)/88*20</f>
        <v>0</v>
      </c>
      <c r="M348" s="87">
        <f>(VLOOKUP($A:$A,USD!$A:$AL,13,FALSE)*88)/88*20</f>
        <v>0</v>
      </c>
      <c r="N348" s="87">
        <f>(VLOOKUP($A:$A,USD!$A:$AL,14,FALSE)*88)/88*20</f>
        <v>48</v>
      </c>
      <c r="O348" s="68">
        <f>(VLOOKUP($A:$A,USD!$A:$AL,15,FALSE)*88)/88*20</f>
        <v>37.916666666666671</v>
      </c>
      <c r="P348" s="87">
        <f>(VLOOKUP($A:$A,USD!$A:$AL,16,FALSE)*88)/88*20</f>
        <v>0</v>
      </c>
      <c r="Q348" s="68">
        <f t="shared" si="45"/>
        <v>515.91666666666663</v>
      </c>
      <c r="R348" s="68">
        <f t="shared" si="46"/>
        <v>290.91666666666669</v>
      </c>
      <c r="S348" s="68">
        <f>(VLOOKUP($A:$A,USD!$A:$AL,19,FALSE)*88)/88*20</f>
        <v>0</v>
      </c>
      <c r="T348" s="68">
        <f>(VLOOKUP($A:$A,USD!$A:$AL,20,FALSE)*88)/88*20</f>
        <v>0</v>
      </c>
      <c r="U348" s="68">
        <f>(VLOOKUP($A:$A,USD!$A:$AL,21,FALSE)*88)/88*20</f>
        <v>203.97727272727275</v>
      </c>
      <c r="V348" s="68"/>
      <c r="W348" s="68">
        <f t="shared" si="47"/>
        <v>203.97727272727275</v>
      </c>
      <c r="X348" s="1">
        <f>(VLOOKUP($A:$A,USD!$A:$AL,24,FALSE)*88)/88*20</f>
        <v>54</v>
      </c>
      <c r="Y348" s="68">
        <f>(VLOOKUP($A:$A,USD!$A:$AL,25,FALSE)*88)/88*20</f>
        <v>50.4</v>
      </c>
      <c r="Z348" s="68">
        <f>(VLOOKUP($A:$A,USD!$A:$AL,26,FALSE)*88)/88*20</f>
        <v>26.25</v>
      </c>
      <c r="AB348" s="68">
        <f t="shared" si="48"/>
        <v>130.65</v>
      </c>
      <c r="AC348" s="68">
        <f>(VLOOKUP($A:$A,USD!$A:$AL,29,FALSE)*88)/88*20</f>
        <v>162.5</v>
      </c>
      <c r="AD348" s="68">
        <f>(VLOOKUP($A:$A,USD!$A:$AL,30,FALSE)*88)/88*20</f>
        <v>268.18181818181819</v>
      </c>
      <c r="AF348" s="68">
        <f t="shared" si="49"/>
        <v>430.68181818181819</v>
      </c>
      <c r="AG348" s="87">
        <f>(VLOOKUP($A:$A,USD!$A:$AL,33,FALSE)*88)/88*20</f>
        <v>28.814300000000003</v>
      </c>
      <c r="AH348" s="68">
        <f>(VLOOKUP($A:$A,USD!$A:$AL,34,FALSE)*88)/88*20</f>
        <v>6.973140495867769</v>
      </c>
      <c r="AI348" s="87">
        <f>(VLOOKUP($A:$A,USD!$A:$AL,35,FALSE)*88)/88*20</f>
        <v>12.587317427197677</v>
      </c>
      <c r="AJ348" s="87">
        <f>(VLOOKUP($A:$A,USD!$A:$AL,36,FALSE)*88)/88*20</f>
        <v>6.7351999999999999</v>
      </c>
      <c r="AL348" s="68">
        <f t="shared" si="50"/>
        <v>55.109957923065444</v>
      </c>
      <c r="AM348" s="87">
        <f>(VLOOKUP($A:$A,USD!$A:$AR,39,FALSE)*88)/88*20</f>
        <v>79.999999999999986</v>
      </c>
      <c r="AN348" s="68">
        <f>(VLOOKUP($A:$A,USD!$A:$AR,40,FALSE)*88)/88*20</f>
        <v>26.17808219178082</v>
      </c>
      <c r="AO348" s="1">
        <f>(VLOOKUP($A:$A,USD!$A:$AR,41,FALSE)*88)/88*20</f>
        <v>0</v>
      </c>
      <c r="AR348" s="1">
        <f t="shared" si="51"/>
        <v>106.1780821917808</v>
      </c>
      <c r="AS348" s="38">
        <f t="shared" si="52"/>
        <v>1217.5137976906037</v>
      </c>
      <c r="AT348" s="38">
        <f t="shared" si="53"/>
        <v>1442.5137976906037</v>
      </c>
      <c r="AW348" s="1">
        <f>(VLOOKUP(A:A,USD!A:AT,46,FALSE)*88)/88*20</f>
        <v>385.97499999999997</v>
      </c>
      <c r="AX348" s="1" t="e">
        <f>(VLOOKUP(A:A,USD!A:AU,47,FALSE)*88)/88*20</f>
        <v>#N/A</v>
      </c>
    </row>
    <row r="349" spans="1:50" hidden="1">
      <c r="A349" s="125">
        <v>913055</v>
      </c>
      <c r="B349" s="1" t="s">
        <v>765</v>
      </c>
      <c r="C349" s="1" t="s">
        <v>766</v>
      </c>
      <c r="D349" s="1" t="s">
        <v>71</v>
      </c>
      <c r="E349" s="1" t="s">
        <v>2067</v>
      </c>
      <c r="F349" s="1" t="str">
        <f>VLOOKUP(A:A,USD!A:F,6,FALSE)</f>
        <v>WTX</v>
      </c>
      <c r="G349" s="1" t="s">
        <v>439</v>
      </c>
      <c r="H349" s="1">
        <f>VLOOKUP(A:A,USD!A:R,8,FALSE)</f>
        <v>2</v>
      </c>
      <c r="I349" s="87">
        <f>(VLOOKUP($A:$A,USD!$A:$AL,9,FALSE)*88)/88*20</f>
        <v>100</v>
      </c>
      <c r="J349" s="87">
        <f>(VLOOKUP($A:$A,USD!$A:$AL,10,FALSE)*88)/88*20</f>
        <v>125</v>
      </c>
      <c r="K349" s="87">
        <f>(VLOOKUP($A:$A,USD!$A:$AL,11,FALSE)*88)/88*20</f>
        <v>205</v>
      </c>
      <c r="L349" s="87">
        <f>(VLOOKUP($A:$A,USD!$A:$AL,12,FALSE)*88)/88*20</f>
        <v>0</v>
      </c>
      <c r="M349" s="87">
        <f>(VLOOKUP($A:$A,USD!$A:$AL,13,FALSE)*88)/88*20</f>
        <v>0</v>
      </c>
      <c r="N349" s="87">
        <f>(VLOOKUP($A:$A,USD!$A:$AL,14,FALSE)*88)/88*20</f>
        <v>48</v>
      </c>
      <c r="O349" s="68">
        <f>(VLOOKUP($A:$A,USD!$A:$AL,15,FALSE)*88)/88*20</f>
        <v>37.916666666666671</v>
      </c>
      <c r="P349" s="87">
        <f>(VLOOKUP($A:$A,USD!$A:$AL,16,FALSE)*88)/88*20</f>
        <v>0</v>
      </c>
      <c r="Q349" s="68">
        <f t="shared" si="45"/>
        <v>515.91666666666663</v>
      </c>
      <c r="R349" s="68">
        <f t="shared" si="46"/>
        <v>290.91666666666669</v>
      </c>
      <c r="S349" s="68">
        <f>(VLOOKUP($A:$A,USD!$A:$AL,19,FALSE)*88)/88*20</f>
        <v>0</v>
      </c>
      <c r="T349" s="68">
        <f>(VLOOKUP($A:$A,USD!$A:$AL,20,FALSE)*88)/88*20</f>
        <v>0</v>
      </c>
      <c r="U349" s="68" cm="1">
        <f t="array" ref="U349">(_xlfn.XLOOKUP(1, (USD!$A:$A=$A349)*(USD!$E:$E=$E349), USD!$U:$U, "", 0)*88)/88*20</f>
        <v>318.18181818181819</v>
      </c>
      <c r="V349" s="68"/>
      <c r="W349" s="68">
        <f t="shared" si="47"/>
        <v>318.18181818181819</v>
      </c>
      <c r="X349" s="1">
        <f>(VLOOKUP($A:$A,USD!$A:$AL,24,FALSE)*88)/88*20</f>
        <v>54</v>
      </c>
      <c r="Y349" s="68">
        <f>(VLOOKUP($A:$A,USD!$A:$AL,25,FALSE)*88)/88*20</f>
        <v>50.4</v>
      </c>
      <c r="Z349" s="68">
        <f>(VLOOKUP($A:$A,USD!$A:$AL,26,FALSE)*88)/88*20</f>
        <v>26.25</v>
      </c>
      <c r="AB349" s="68">
        <f t="shared" si="48"/>
        <v>130.65</v>
      </c>
      <c r="AC349" s="68" cm="1">
        <f t="array" ref="AC349">_xlfn.XLOOKUP(A349&amp;E349, USD!$A:$A&amp;USD!$E:$E, USD!$AC:$AC, "")*20</f>
        <v>132.95454545454544</v>
      </c>
      <c r="AD349" s="68" cm="1">
        <f t="array" ref="AD349">_xlfn.XLOOKUP(A349&amp;E349, USD!$A:$A&amp;USD!$E:$E, USD!$AD:$AD, "")*20</f>
        <v>197.95454545454547</v>
      </c>
      <c r="AF349" s="68">
        <f t="shared" si="49"/>
        <v>330.90909090909088</v>
      </c>
      <c r="AG349" s="87">
        <f>(VLOOKUP($A:$A,USD!$A:$AL,33,FALSE)*88)/88*20</f>
        <v>28.814300000000003</v>
      </c>
      <c r="AH349" s="68">
        <f>(VLOOKUP($A:$A,USD!$A:$AL,34,FALSE)*88)/88*20</f>
        <v>6.973140495867769</v>
      </c>
      <c r="AI349" s="87">
        <f>(VLOOKUP($A:$A,USD!$A:$AL,35,FALSE)*88)/88*20</f>
        <v>12.587317427197677</v>
      </c>
      <c r="AJ349" s="87">
        <f>(VLOOKUP($A:$A,USD!$A:$AL,36,FALSE)*88)/88*20</f>
        <v>6.7351999999999999</v>
      </c>
      <c r="AL349" s="68">
        <f t="shared" si="50"/>
        <v>55.109957923065444</v>
      </c>
      <c r="AM349" s="87">
        <f>(VLOOKUP($A:$A,USD!$A:$AR,39,FALSE)*88)/88*20</f>
        <v>79.999999999999986</v>
      </c>
      <c r="AN349" s="68">
        <f>(VLOOKUP($A:$A,USD!$A:$AR,40,FALSE)*88)/88*20</f>
        <v>26.17808219178082</v>
      </c>
      <c r="AO349" s="1">
        <f>(VLOOKUP($A:$A,USD!$A:$AR,41,FALSE)*88)/88*20</f>
        <v>0</v>
      </c>
      <c r="AR349" s="1">
        <f t="shared" si="51"/>
        <v>106.1780821917808</v>
      </c>
      <c r="AS349" s="38">
        <f t="shared" si="52"/>
        <v>1231.9456158724217</v>
      </c>
      <c r="AT349" s="38">
        <f t="shared" si="53"/>
        <v>1456.9456158724217</v>
      </c>
      <c r="AW349" s="1">
        <f>(VLOOKUP(A:A,USD!A:AT,46,FALSE)*88)/88*20</f>
        <v>385.97499999999997</v>
      </c>
      <c r="AX349" s="1" t="e">
        <f>(VLOOKUP(A:A,USD!A:AU,47,FALSE)*88)/88*20</f>
        <v>#N/A</v>
      </c>
    </row>
    <row r="350" spans="1:50" hidden="1">
      <c r="A350" s="1">
        <v>944708</v>
      </c>
      <c r="B350" s="1" t="s">
        <v>767</v>
      </c>
      <c r="C350" s="1" t="s">
        <v>766</v>
      </c>
      <c r="D350" s="1" t="s">
        <v>71</v>
      </c>
      <c r="E350" s="1" t="str">
        <f>VLOOKUP(A:A,USD!A:E,5,FALSE)</f>
        <v>WTX</v>
      </c>
      <c r="F350" s="1" t="str">
        <f>VLOOKUP(A:A,USD!A:F,6,FALSE)</f>
        <v>WTX</v>
      </c>
      <c r="G350" s="1" t="str">
        <f>VLOOKUP(A:A,'Regions and Ports'!A:G,7,FALSE)</f>
        <v>Dallas</v>
      </c>
      <c r="H350" s="1">
        <f>VLOOKUP(A:A,USD!A:R,8,FALSE)</f>
        <v>2</v>
      </c>
      <c r="I350" s="87">
        <f>(VLOOKUP($A:$A,USD!$A:$AL,9,FALSE)*88)/88*20</f>
        <v>100</v>
      </c>
      <c r="J350" s="87">
        <f>(VLOOKUP($A:$A,USD!$A:$AL,10,FALSE)*88)/88*20</f>
        <v>125</v>
      </c>
      <c r="K350" s="87">
        <f>(VLOOKUP($A:$A,USD!$A:$AL,11,FALSE)*88)/88*20</f>
        <v>205</v>
      </c>
      <c r="L350" s="87">
        <f>(VLOOKUP($A:$A,USD!$A:$AL,12,FALSE)*88)/88*20</f>
        <v>0</v>
      </c>
      <c r="M350" s="87">
        <f>(VLOOKUP($A:$A,USD!$A:$AL,13,FALSE)*88)/88*20</f>
        <v>0</v>
      </c>
      <c r="N350" s="87">
        <f>(VLOOKUP($A:$A,USD!$A:$AL,14,FALSE)*88)/88*20</f>
        <v>48</v>
      </c>
      <c r="O350" s="68">
        <f>(VLOOKUP($A:$A,USD!$A:$AL,15,FALSE)*88)/88*20</f>
        <v>37.916666666666671</v>
      </c>
      <c r="P350" s="87">
        <f>(VLOOKUP($A:$A,USD!$A:$AL,16,FALSE)*88)/88*20</f>
        <v>0</v>
      </c>
      <c r="Q350" s="68">
        <f t="shared" si="45"/>
        <v>515.91666666666663</v>
      </c>
      <c r="R350" s="68">
        <f t="shared" si="46"/>
        <v>290.91666666666669</v>
      </c>
      <c r="S350" s="68">
        <f>(VLOOKUP($A:$A,USD!$A:$AL,19,FALSE)*88)/88*20</f>
        <v>0</v>
      </c>
      <c r="T350" s="68">
        <f>(VLOOKUP($A:$A,USD!$A:$AL,20,FALSE)*88)/88*20</f>
        <v>0</v>
      </c>
      <c r="U350" s="68">
        <f>(VLOOKUP($A:$A,USD!$A:$AL,21,FALSE)*88)/88*20</f>
        <v>203.97727272727275</v>
      </c>
      <c r="V350" s="68"/>
      <c r="W350" s="68">
        <f t="shared" si="47"/>
        <v>203.97727272727275</v>
      </c>
      <c r="X350" s="1">
        <f>(VLOOKUP($A:$A,USD!$A:$AL,24,FALSE)*88)/88*20</f>
        <v>54</v>
      </c>
      <c r="Y350" s="68">
        <f>(VLOOKUP($A:$A,USD!$A:$AL,25,FALSE)*88)/88*20</f>
        <v>50.4</v>
      </c>
      <c r="Z350" s="68">
        <f>(VLOOKUP($A:$A,USD!$A:$AL,26,FALSE)*88)/88*20</f>
        <v>26.25</v>
      </c>
      <c r="AB350" s="68">
        <f t="shared" si="48"/>
        <v>130.65</v>
      </c>
      <c r="AC350" s="68">
        <f>(VLOOKUP($A:$A,USD!$A:$AL,29,FALSE)*88)/88*20</f>
        <v>162.5</v>
      </c>
      <c r="AD350" s="68">
        <f>(VLOOKUP($A:$A,USD!$A:$AL,30,FALSE)*88)/88*20</f>
        <v>268.18181818181819</v>
      </c>
      <c r="AF350" s="68">
        <f t="shared" si="49"/>
        <v>430.68181818181819</v>
      </c>
      <c r="AG350" s="87">
        <f>(VLOOKUP($A:$A,USD!$A:$AL,33,FALSE)*88)/88*20</f>
        <v>28.814300000000003</v>
      </c>
      <c r="AH350" s="68">
        <f>(VLOOKUP($A:$A,USD!$A:$AL,34,FALSE)*88)/88*20</f>
        <v>6.973140495867769</v>
      </c>
      <c r="AI350" s="87">
        <f>(VLOOKUP($A:$A,USD!$A:$AL,35,FALSE)*88)/88*20</f>
        <v>12.587317427197677</v>
      </c>
      <c r="AJ350" s="87">
        <f>(VLOOKUP($A:$A,USD!$A:$AL,36,FALSE)*88)/88*20</f>
        <v>6.7351999999999999</v>
      </c>
      <c r="AL350" s="68">
        <f t="shared" si="50"/>
        <v>55.109957923065444</v>
      </c>
      <c r="AM350" s="87">
        <f>(VLOOKUP($A:$A,USD!$A:$AR,39,FALSE)*88)/88*20</f>
        <v>79.999999999999986</v>
      </c>
      <c r="AN350" s="68">
        <f>(VLOOKUP($A:$A,USD!$A:$AR,40,FALSE)*88)/88*20</f>
        <v>26.17808219178082</v>
      </c>
      <c r="AO350" s="1">
        <f>(VLOOKUP($A:$A,USD!$A:$AR,41,FALSE)*88)/88*20</f>
        <v>0</v>
      </c>
      <c r="AR350" s="1">
        <f t="shared" si="51"/>
        <v>106.1780821917808</v>
      </c>
      <c r="AS350" s="38">
        <f t="shared" si="52"/>
        <v>1217.5137976906037</v>
      </c>
      <c r="AT350" s="38">
        <f t="shared" si="53"/>
        <v>1442.5137976906037</v>
      </c>
      <c r="AW350" s="1">
        <f>(VLOOKUP(A:A,USD!A:AT,46,FALSE)*88)/88*20</f>
        <v>385.97499999999997</v>
      </c>
      <c r="AX350" s="1" t="e">
        <f>(VLOOKUP(A:A,USD!A:AU,47,FALSE)*88)/88*20</f>
        <v>#N/A</v>
      </c>
    </row>
    <row r="351" spans="1:50" hidden="1">
      <c r="A351" s="125">
        <v>944708</v>
      </c>
      <c r="B351" s="1" t="s">
        <v>767</v>
      </c>
      <c r="C351" s="1" t="s">
        <v>766</v>
      </c>
      <c r="D351" s="1" t="s">
        <v>71</v>
      </c>
      <c r="E351" s="1" t="s">
        <v>2067</v>
      </c>
      <c r="F351" s="1" t="str">
        <f>VLOOKUP(A:A,USD!A:F,6,FALSE)</f>
        <v>WTX</v>
      </c>
      <c r="G351" s="1" t="s">
        <v>439</v>
      </c>
      <c r="H351" s="1">
        <f>VLOOKUP(A:A,USD!A:R,8,FALSE)</f>
        <v>2</v>
      </c>
      <c r="I351" s="87">
        <f>(VLOOKUP($A:$A,USD!$A:$AL,9,FALSE)*88)/88*20</f>
        <v>100</v>
      </c>
      <c r="J351" s="87">
        <f>(VLOOKUP($A:$A,USD!$A:$AL,10,FALSE)*88)/88*20</f>
        <v>125</v>
      </c>
      <c r="K351" s="87">
        <f>(VLOOKUP($A:$A,USD!$A:$AL,11,FALSE)*88)/88*20</f>
        <v>205</v>
      </c>
      <c r="L351" s="87">
        <f>(VLOOKUP($A:$A,USD!$A:$AL,12,FALSE)*88)/88*20</f>
        <v>0</v>
      </c>
      <c r="M351" s="87">
        <f>(VLOOKUP($A:$A,USD!$A:$AL,13,FALSE)*88)/88*20</f>
        <v>0</v>
      </c>
      <c r="N351" s="87">
        <f>(VLOOKUP($A:$A,USD!$A:$AL,14,FALSE)*88)/88*20</f>
        <v>48</v>
      </c>
      <c r="O351" s="68">
        <f>(VLOOKUP($A:$A,USD!$A:$AL,15,FALSE)*88)/88*20</f>
        <v>37.916666666666671</v>
      </c>
      <c r="P351" s="87">
        <f>(VLOOKUP($A:$A,USD!$A:$AL,16,FALSE)*88)/88*20</f>
        <v>0</v>
      </c>
      <c r="Q351" s="68">
        <f t="shared" si="45"/>
        <v>515.91666666666663</v>
      </c>
      <c r="R351" s="68">
        <f t="shared" si="46"/>
        <v>290.91666666666669</v>
      </c>
      <c r="S351" s="68">
        <f>(VLOOKUP($A:$A,USD!$A:$AL,19,FALSE)*88)/88*20</f>
        <v>0</v>
      </c>
      <c r="T351" s="68">
        <f>(VLOOKUP($A:$A,USD!$A:$AL,20,FALSE)*88)/88*20</f>
        <v>0</v>
      </c>
      <c r="U351" s="68" cm="1">
        <f t="array" ref="U351">(_xlfn.XLOOKUP(1, (USD!$A:$A=$A351)*(USD!$E:$E=$E351), USD!$U:$U, "", 0)*88)/88*20</f>
        <v>318.18181818181819</v>
      </c>
      <c r="V351" s="68"/>
      <c r="W351" s="68">
        <f t="shared" si="47"/>
        <v>318.18181818181819</v>
      </c>
      <c r="X351" s="1">
        <f>(VLOOKUP($A:$A,USD!$A:$AL,24,FALSE)*88)/88*20</f>
        <v>54</v>
      </c>
      <c r="Y351" s="68">
        <f>(VLOOKUP($A:$A,USD!$A:$AL,25,FALSE)*88)/88*20</f>
        <v>50.4</v>
      </c>
      <c r="Z351" s="68">
        <f>(VLOOKUP($A:$A,USD!$A:$AL,26,FALSE)*88)/88*20</f>
        <v>26.25</v>
      </c>
      <c r="AB351" s="68">
        <f t="shared" si="48"/>
        <v>130.65</v>
      </c>
      <c r="AC351" s="68" cm="1">
        <f t="array" ref="AC351">_xlfn.XLOOKUP(A351&amp;E351, USD!$A:$A&amp;USD!$E:$E, USD!$AC:$AC, "")*20</f>
        <v>132.95454545454544</v>
      </c>
      <c r="AD351" s="68" cm="1">
        <f t="array" ref="AD351">_xlfn.XLOOKUP(A351&amp;E351, USD!$A:$A&amp;USD!$E:$E, USD!$AD:$AD, "")*20</f>
        <v>197.95454545454547</v>
      </c>
      <c r="AF351" s="68">
        <f t="shared" si="49"/>
        <v>330.90909090909088</v>
      </c>
      <c r="AG351" s="87">
        <f>(VLOOKUP($A:$A,USD!$A:$AL,33,FALSE)*88)/88*20</f>
        <v>28.814300000000003</v>
      </c>
      <c r="AH351" s="68">
        <f>(VLOOKUP($A:$A,USD!$A:$AL,34,FALSE)*88)/88*20</f>
        <v>6.973140495867769</v>
      </c>
      <c r="AI351" s="87">
        <f>(VLOOKUP($A:$A,USD!$A:$AL,35,FALSE)*88)/88*20</f>
        <v>12.587317427197677</v>
      </c>
      <c r="AJ351" s="87">
        <f>(VLOOKUP($A:$A,USD!$A:$AL,36,FALSE)*88)/88*20</f>
        <v>6.7351999999999999</v>
      </c>
      <c r="AL351" s="68">
        <f t="shared" si="50"/>
        <v>55.109957923065444</v>
      </c>
      <c r="AM351" s="87">
        <f>(VLOOKUP($A:$A,USD!$A:$AR,39,FALSE)*88)/88*20</f>
        <v>79.999999999999986</v>
      </c>
      <c r="AN351" s="68">
        <f>(VLOOKUP($A:$A,USD!$A:$AR,40,FALSE)*88)/88*20</f>
        <v>26.17808219178082</v>
      </c>
      <c r="AO351" s="1">
        <f>(VLOOKUP($A:$A,USD!$A:$AR,41,FALSE)*88)/88*20</f>
        <v>0</v>
      </c>
      <c r="AR351" s="1">
        <f t="shared" si="51"/>
        <v>106.1780821917808</v>
      </c>
      <c r="AS351" s="38">
        <f t="shared" si="52"/>
        <v>1231.9456158724217</v>
      </c>
      <c r="AT351" s="38">
        <f t="shared" si="53"/>
        <v>1456.9456158724217</v>
      </c>
      <c r="AW351" s="1">
        <f>(VLOOKUP(A:A,USD!A:AT,46,FALSE)*88)/88*20</f>
        <v>385.97499999999997</v>
      </c>
      <c r="AX351" s="1" t="e">
        <f>(VLOOKUP(A:A,USD!A:AU,47,FALSE)*88)/88*20</f>
        <v>#N/A</v>
      </c>
    </row>
    <row r="352" spans="1:50" hidden="1">
      <c r="A352" s="1">
        <v>499502</v>
      </c>
      <c r="B352" s="1" t="s">
        <v>769</v>
      </c>
      <c r="C352" s="1" t="s">
        <v>770</v>
      </c>
      <c r="D352" s="1" t="s">
        <v>128</v>
      </c>
      <c r="E352" s="1" t="str">
        <f>VLOOKUP(A:A,USD!A:E,5,FALSE)</f>
        <v>Memphis Rule 5</v>
      </c>
      <c r="F352" s="1" t="str">
        <f>VLOOKUP(A:A,USD!A:F,6,FALSE)</f>
        <v>MR5</v>
      </c>
      <c r="G352" s="1" t="str">
        <f>VLOOKUP(A:A,'Regions and Ports'!A:G,7,FALSE)</f>
        <v>Memphis</v>
      </c>
      <c r="H352" s="1">
        <f>VLOOKUP(A:A,USD!A:R,8,FALSE)</f>
        <v>1</v>
      </c>
      <c r="I352" s="87">
        <f>(VLOOKUP($A:$A,USD!$A:$AL,9,FALSE)*88)/88*20</f>
        <v>37</v>
      </c>
      <c r="J352" s="87">
        <f>(VLOOKUP($A:$A,USD!$A:$AL,10,FALSE)*88)/88*20</f>
        <v>80</v>
      </c>
      <c r="K352" s="87">
        <f>(VLOOKUP($A:$A,USD!$A:$AL,11,FALSE)*88)/88*20</f>
        <v>140</v>
      </c>
      <c r="L352" s="87">
        <f>(VLOOKUP($A:$A,USD!$A:$AL,12,FALSE)*88)/88*20</f>
        <v>61</v>
      </c>
      <c r="M352" s="87">
        <f>(VLOOKUP($A:$A,USD!$A:$AL,13,FALSE)*88)/88*20</f>
        <v>0</v>
      </c>
      <c r="N352" s="87">
        <f>(VLOOKUP($A:$A,USD!$A:$AL,14,FALSE)*88)/88*20</f>
        <v>60</v>
      </c>
      <c r="O352" s="68">
        <f>(VLOOKUP($A:$A,USD!$A:$AL,15,FALSE)*88)/88*20</f>
        <v>37.916666666666671</v>
      </c>
      <c r="P352" s="87">
        <f>(VLOOKUP($A:$A,USD!$A:$AL,16,FALSE)*88)/88*20</f>
        <v>0</v>
      </c>
      <c r="Q352" s="68">
        <f t="shared" si="45"/>
        <v>415.91666666666669</v>
      </c>
      <c r="R352" s="68">
        <f t="shared" si="46"/>
        <v>97.916666666666671</v>
      </c>
      <c r="S352" s="68">
        <f>(VLOOKUP($A:$A,USD!$A:$AL,19,FALSE)*88)/88*20</f>
        <v>0</v>
      </c>
      <c r="T352" s="68">
        <f>(VLOOKUP($A:$A,USD!$A:$AL,20,FALSE)*88)/88*20</f>
        <v>0</v>
      </c>
      <c r="U352" s="68">
        <f>(VLOOKUP($A:$A,USD!$A:$AL,21,FALSE)*88)/88*20</f>
        <v>147.72727272727275</v>
      </c>
      <c r="V352" s="68"/>
      <c r="W352" s="68">
        <f t="shared" si="47"/>
        <v>147.72727272727275</v>
      </c>
      <c r="X352" s="1">
        <f>(VLOOKUP($A:$A,USD!$A:$AL,24,FALSE)*88)/88*20</f>
        <v>50</v>
      </c>
      <c r="Y352" s="68">
        <f>(VLOOKUP($A:$A,USD!$A:$AL,25,FALSE)*88)/88*20</f>
        <v>33.6</v>
      </c>
      <c r="Z352" s="68">
        <f>(VLOOKUP($A:$A,USD!$A:$AL,26,FALSE)*88)/88*20</f>
        <v>26.25</v>
      </c>
      <c r="AB352" s="68">
        <f t="shared" si="48"/>
        <v>109.85</v>
      </c>
      <c r="AC352" s="68">
        <f>(VLOOKUP($A:$A,USD!$A:$AL,29,FALSE)*88)/88*20</f>
        <v>146.02272727272725</v>
      </c>
      <c r="AD352" s="68">
        <f>(VLOOKUP($A:$A,USD!$A:$AL,30,FALSE)*88)/88*20</f>
        <v>182.72727272727275</v>
      </c>
      <c r="AF352" s="68">
        <f t="shared" si="49"/>
        <v>328.75</v>
      </c>
      <c r="AG352" s="87">
        <f>(VLOOKUP($A:$A,USD!$A:$AL,33,FALSE)*88)/88*20</f>
        <v>28.814300000000003</v>
      </c>
      <c r="AH352" s="68">
        <f>(VLOOKUP($A:$A,USD!$A:$AL,34,FALSE)*88)/88*20</f>
        <v>6.973140495867769</v>
      </c>
      <c r="AI352" s="87">
        <f>(VLOOKUP($A:$A,USD!$A:$AL,35,FALSE)*88)/88*20</f>
        <v>12.587317427197677</v>
      </c>
      <c r="AJ352" s="87">
        <f>(VLOOKUP($A:$A,USD!$A:$AL,36,FALSE)*88)/88*20</f>
        <v>6.7351999999999999</v>
      </c>
      <c r="AL352" s="68">
        <f t="shared" si="50"/>
        <v>55.109957923065444</v>
      </c>
      <c r="AM352" s="87">
        <f>(VLOOKUP($A:$A,USD!$A:$AR,39,FALSE)*88)/88*20</f>
        <v>79.999999999999986</v>
      </c>
      <c r="AN352" s="68">
        <f>(VLOOKUP($A:$A,USD!$A:$AR,40,FALSE)*88)/88*20</f>
        <v>26.17808219178082</v>
      </c>
      <c r="AO352" s="1">
        <f>(VLOOKUP($A:$A,USD!$A:$AR,41,FALSE)*88)/88*20</f>
        <v>0</v>
      </c>
      <c r="AR352" s="1">
        <f t="shared" si="51"/>
        <v>106.1780821917808</v>
      </c>
      <c r="AS352" s="38">
        <f t="shared" si="52"/>
        <v>845.53197950878564</v>
      </c>
      <c r="AT352" s="38">
        <f t="shared" si="53"/>
        <v>1163.5319795087858</v>
      </c>
      <c r="AW352" s="1">
        <f>(VLOOKUP(A:A,USD!A:AT,46,FALSE)*88)/88*20</f>
        <v>525.05227272727279</v>
      </c>
      <c r="AX352" s="1">
        <f>(VLOOKUP(A:A,USD!A:AU,47,FALSE)*88)/88*20</f>
        <v>501.59090909090907</v>
      </c>
    </row>
    <row r="353" spans="1:50" hidden="1">
      <c r="A353" s="1">
        <v>566505</v>
      </c>
      <c r="B353" s="1" t="s">
        <v>772</v>
      </c>
      <c r="C353" s="1" t="s">
        <v>773</v>
      </c>
      <c r="D353" s="1" t="s">
        <v>136</v>
      </c>
      <c r="E353" s="1" t="str">
        <f>VLOOKUP(A:A,USD!A:E,5,FALSE)</f>
        <v>Eastern Rule 5</v>
      </c>
      <c r="F353" s="1" t="str">
        <f>VLOOKUP(A:A,USD!A:F,6,FALSE)</f>
        <v>ER5</v>
      </c>
      <c r="G353" s="1" t="str">
        <f>VLOOKUP(A:A,'Regions and Ports'!A:G,7,FALSE)</f>
        <v>Savannah</v>
      </c>
      <c r="H353" s="1">
        <f>VLOOKUP(A:A,USD!A:R,8,FALSE)</f>
        <v>1</v>
      </c>
      <c r="I353" s="87">
        <f>(VLOOKUP($A:$A,USD!$A:$AL,9,FALSE)*88)/88*20</f>
        <v>40</v>
      </c>
      <c r="J353" s="87">
        <f>(VLOOKUP($A:$A,USD!$A:$AL,10,FALSE)*88)/88*20</f>
        <v>80</v>
      </c>
      <c r="K353" s="87">
        <f>(VLOOKUP($A:$A,USD!$A:$AL,11,FALSE)*88)/88*20</f>
        <v>0</v>
      </c>
      <c r="L353" s="87">
        <f>(VLOOKUP($A:$A,USD!$A:$AL,12,FALSE)*88)/88*20</f>
        <v>0</v>
      </c>
      <c r="M353" s="87">
        <f>(VLOOKUP($A:$A,USD!$A:$AL,13,FALSE)*88)/88*20</f>
        <v>0</v>
      </c>
      <c r="N353" s="87">
        <f>(VLOOKUP($A:$A,USD!$A:$AL,14,FALSE)*88)/88*20</f>
        <v>34</v>
      </c>
      <c r="O353" s="68">
        <f>(VLOOKUP($A:$A,USD!$A:$AL,15,FALSE)*88)/88*20</f>
        <v>37.916666666666671</v>
      </c>
      <c r="P353" s="87">
        <f>(VLOOKUP($A:$A,USD!$A:$AL,16,FALSE)*88)/88*20</f>
        <v>0</v>
      </c>
      <c r="Q353" s="68">
        <f t="shared" si="45"/>
        <v>191.91666666666669</v>
      </c>
      <c r="R353" s="68">
        <f t="shared" si="46"/>
        <v>71.916666666666671</v>
      </c>
      <c r="S353" s="68">
        <f>(VLOOKUP($A:$A,USD!$A:$AL,19,FALSE)*88)/88*20</f>
        <v>0</v>
      </c>
      <c r="T353" s="68">
        <f>(VLOOKUP($A:$A,USD!$A:$AL,20,FALSE)*88)/88*20</f>
        <v>0</v>
      </c>
      <c r="U353" s="68">
        <f>(VLOOKUP($A:$A,USD!$A:$AL,21,FALSE)*88)/88*20</f>
        <v>301.45681818181822</v>
      </c>
      <c r="V353" s="68"/>
      <c r="W353" s="68">
        <f t="shared" si="47"/>
        <v>301.45681818181822</v>
      </c>
      <c r="X353" s="1">
        <f>(VLOOKUP($A:$A,USD!$A:$AL,24,FALSE)*88)/88*20</f>
        <v>52</v>
      </c>
      <c r="Y353" s="68">
        <f>(VLOOKUP($A:$A,USD!$A:$AL,25,FALSE)*88)/88*20</f>
        <v>50.4</v>
      </c>
      <c r="Z353" s="68">
        <f>(VLOOKUP($A:$A,USD!$A:$AL,26,FALSE)*88)/88*20</f>
        <v>26.25</v>
      </c>
      <c r="AB353" s="68">
        <f t="shared" si="48"/>
        <v>128.65</v>
      </c>
      <c r="AC353" s="68">
        <f>(VLOOKUP($A:$A,USD!$A:$AL,29,FALSE)*88)/88*20</f>
        <v>110.22727272727273</v>
      </c>
      <c r="AD353" s="68">
        <f>(VLOOKUP($A:$A,USD!$A:$AL,30,FALSE)*88)/88*20</f>
        <v>107.04545454545455</v>
      </c>
      <c r="AF353" s="68">
        <f t="shared" si="49"/>
        <v>217.27272727272728</v>
      </c>
      <c r="AG353" s="87">
        <f>(VLOOKUP($A:$A,USD!$A:$AL,33,FALSE)*88)/88*20</f>
        <v>28.814300000000003</v>
      </c>
      <c r="AH353" s="68">
        <f>(VLOOKUP($A:$A,USD!$A:$AL,34,FALSE)*88)/88*20</f>
        <v>6.973140495867769</v>
      </c>
      <c r="AI353" s="87">
        <f>(VLOOKUP($A:$A,USD!$A:$AL,35,FALSE)*88)/88*20</f>
        <v>12.587317427197677</v>
      </c>
      <c r="AJ353" s="87">
        <f>(VLOOKUP($A:$A,USD!$A:$AL,36,FALSE)*88)/88*20</f>
        <v>6.7351999999999999</v>
      </c>
      <c r="AL353" s="68">
        <f t="shared" si="50"/>
        <v>55.109957923065444</v>
      </c>
      <c r="AM353" s="87">
        <f>(VLOOKUP($A:$A,USD!$A:$AR,39,FALSE)*88)/88*20</f>
        <v>79.999999999999986</v>
      </c>
      <c r="AN353" s="68">
        <f>(VLOOKUP($A:$A,USD!$A:$AR,40,FALSE)*88)/88*20</f>
        <v>26.17808219178082</v>
      </c>
      <c r="AO353" s="1">
        <f>(VLOOKUP($A:$A,USD!$A:$AR,41,FALSE)*88)/88*20</f>
        <v>0</v>
      </c>
      <c r="AR353" s="1">
        <f t="shared" si="51"/>
        <v>106.1780821917808</v>
      </c>
      <c r="AS353" s="38">
        <f t="shared" si="52"/>
        <v>880.58425223605843</v>
      </c>
      <c r="AT353" s="38">
        <f t="shared" si="53"/>
        <v>1000.5842522360584</v>
      </c>
      <c r="AW353" s="1" t="e">
        <f>(VLOOKUP(A:A,USD!A:AT,46,FALSE)*88)/88*20</f>
        <v>#N/A</v>
      </c>
      <c r="AX353" s="1">
        <f>(VLOOKUP(A:A,USD!A:AU,47,FALSE)*88)/88*20</f>
        <v>290.56818181818181</v>
      </c>
    </row>
    <row r="354" spans="1:50" hidden="1">
      <c r="A354" s="1">
        <v>301535</v>
      </c>
      <c r="B354" s="1" t="s">
        <v>774</v>
      </c>
      <c r="C354" s="1" t="s">
        <v>775</v>
      </c>
      <c r="D354" s="1" t="s">
        <v>76</v>
      </c>
      <c r="E354" s="1" t="str">
        <f>VLOOKUP(A:A,USD!A:E,5,FALSE)</f>
        <v>GA 30 Day</v>
      </c>
      <c r="F354" s="1" t="str">
        <f>VLOOKUP(A:A,USD!A:F,6,FALSE)</f>
        <v>ER5</v>
      </c>
      <c r="G354" s="1" t="str">
        <f>VLOOKUP(A:A,'Regions and Ports'!A:G,7,FALSE)</f>
        <v>Savannah</v>
      </c>
      <c r="H354" s="1">
        <f>VLOOKUP(A:A,USD!A:R,8,FALSE)</f>
        <v>4</v>
      </c>
      <c r="I354" s="87">
        <f>(VLOOKUP($A:$A,USD!$A:$AL,9,FALSE)*88)/88*20</f>
        <v>80</v>
      </c>
      <c r="J354" s="87">
        <f>(VLOOKUP($A:$A,USD!$A:$AL,10,FALSE)*88)/88*20</f>
        <v>120</v>
      </c>
      <c r="K354" s="87">
        <f>(VLOOKUP($A:$A,USD!$A:$AL,11,FALSE)*88)/88*20</f>
        <v>0</v>
      </c>
      <c r="L354" s="87">
        <f>(VLOOKUP($A:$A,USD!$A:$AL,12,FALSE)*88)/88*20</f>
        <v>0</v>
      </c>
      <c r="M354" s="87">
        <f>(VLOOKUP($A:$A,USD!$A:$AL,13,FALSE)*88)/88*20</f>
        <v>0</v>
      </c>
      <c r="N354" s="87">
        <f>(VLOOKUP($A:$A,USD!$A:$AL,14,FALSE)*88)/88*20</f>
        <v>60</v>
      </c>
      <c r="O354" s="68">
        <f>(VLOOKUP($A:$A,USD!$A:$AL,15,FALSE)*88)/88*20</f>
        <v>37.916666666666671</v>
      </c>
      <c r="P354" s="87">
        <f>(VLOOKUP($A:$A,USD!$A:$AL,16,FALSE)*88)/88*20</f>
        <v>0</v>
      </c>
      <c r="Q354" s="68">
        <f t="shared" si="45"/>
        <v>297.91666666666669</v>
      </c>
      <c r="R354" s="68">
        <f t="shared" si="46"/>
        <v>37.916666666666671</v>
      </c>
      <c r="S354" s="68">
        <f>(VLOOKUP($A:$A,USD!$A:$AL,19,FALSE)*88)/88*20</f>
        <v>0</v>
      </c>
      <c r="T354" s="68">
        <f>(VLOOKUP($A:$A,USD!$A:$AL,20,FALSE)*88)/88*20</f>
        <v>0</v>
      </c>
      <c r="U354" s="68">
        <f>(VLOOKUP($A:$A,USD!$A:$AL,21,FALSE)*88)/88*20</f>
        <v>224.04090909090908</v>
      </c>
      <c r="V354" s="68"/>
      <c r="W354" s="68">
        <f t="shared" si="47"/>
        <v>224.04090909090908</v>
      </c>
      <c r="X354" s="1">
        <f>(VLOOKUP($A:$A,USD!$A:$AL,24,FALSE)*88)/88*20</f>
        <v>52</v>
      </c>
      <c r="Y354" s="68">
        <f>(VLOOKUP($A:$A,USD!$A:$AL,25,FALSE)*88)/88*20</f>
        <v>50.4</v>
      </c>
      <c r="Z354" s="68">
        <f>(VLOOKUP($A:$A,USD!$A:$AL,26,FALSE)*88)/88*20</f>
        <v>26.25</v>
      </c>
      <c r="AB354" s="68">
        <f t="shared" si="48"/>
        <v>128.65</v>
      </c>
      <c r="AC354" s="68">
        <f>(VLOOKUP($A:$A,USD!$A:$AL,29,FALSE)*88)/88*20</f>
        <v>110.22727272727273</v>
      </c>
      <c r="AD354" s="68">
        <f>(VLOOKUP($A:$A,USD!$A:$AL,30,FALSE)*88)/88*20</f>
        <v>107.04545454545455</v>
      </c>
      <c r="AF354" s="68">
        <f t="shared" si="49"/>
        <v>217.27272727272728</v>
      </c>
      <c r="AG354" s="87">
        <f>(VLOOKUP($A:$A,USD!$A:$AL,33,FALSE)*88)/88*20</f>
        <v>28.814300000000003</v>
      </c>
      <c r="AH354" s="68">
        <f>(VLOOKUP($A:$A,USD!$A:$AL,34,FALSE)*88)/88*20</f>
        <v>6.973140495867769</v>
      </c>
      <c r="AI354" s="87">
        <f>(VLOOKUP($A:$A,USD!$A:$AL,35,FALSE)*88)/88*20</f>
        <v>12.587317427197677</v>
      </c>
      <c r="AJ354" s="87">
        <f>(VLOOKUP($A:$A,USD!$A:$AL,36,FALSE)*88)/88*20</f>
        <v>6.7351999999999999</v>
      </c>
      <c r="AL354" s="68">
        <f t="shared" si="50"/>
        <v>55.109957923065444</v>
      </c>
      <c r="AM354" s="87">
        <f>(VLOOKUP($A:$A,USD!$A:$AR,39,FALSE)*88)/88*20</f>
        <v>79.999999999999986</v>
      </c>
      <c r="AN354" s="68">
        <f>(VLOOKUP($A:$A,USD!$A:$AR,40,FALSE)*88)/88*20</f>
        <v>26.17808219178082</v>
      </c>
      <c r="AO354" s="1">
        <f>(VLOOKUP($A:$A,USD!$A:$AR,41,FALSE)*88)/88*20</f>
        <v>0</v>
      </c>
      <c r="AR354" s="1">
        <f t="shared" si="51"/>
        <v>106.1780821917808</v>
      </c>
      <c r="AS354" s="38">
        <f t="shared" si="52"/>
        <v>769.16834314514927</v>
      </c>
      <c r="AT354" s="38">
        <f t="shared" si="53"/>
        <v>1029.1683431451493</v>
      </c>
      <c r="AW354" s="1">
        <f>(VLOOKUP(A:A,USD!A:AT,46,FALSE)*88)/88*20</f>
        <v>545.2409090909091</v>
      </c>
      <c r="AX354" s="1">
        <f>(VLOOKUP(A:A,USD!A:AU,47,FALSE)*88)/88*20</f>
        <v>302.84090909090912</v>
      </c>
    </row>
    <row r="355" spans="1:50">
      <c r="A355" s="1">
        <v>104510</v>
      </c>
      <c r="B355" s="1" t="s">
        <v>777</v>
      </c>
      <c r="C355" s="1" t="s">
        <v>778</v>
      </c>
      <c r="D355" s="1" t="s">
        <v>65</v>
      </c>
      <c r="E355" s="1" t="str">
        <f>VLOOKUP(A:A,USD!A:E,5,FALSE)</f>
        <v>Eastern Rule 5</v>
      </c>
      <c r="F355" s="1" t="str">
        <f>VLOOKUP(A:A,USD!A:F,6,FALSE)</f>
        <v>ER5</v>
      </c>
      <c r="G355" s="1" t="str">
        <f>VLOOKUP(A:A,'Regions and Ports'!A:G,7,FALSE)</f>
        <v>Savannah</v>
      </c>
      <c r="H355" s="1">
        <f>VLOOKUP(A:A,USD!A:R,8,FALSE)</f>
        <v>1</v>
      </c>
      <c r="I355" s="87">
        <f>(VLOOKUP($A:$A,USD!$A:$AL,9,FALSE)*88)/88*20</f>
        <v>65</v>
      </c>
      <c r="J355" s="87">
        <f>(VLOOKUP($A:$A,USD!$A:$AL,10,FALSE)*88)/88*20</f>
        <v>110</v>
      </c>
      <c r="K355" s="87">
        <f>(VLOOKUP($A:$A,USD!$A:$AL,11,FALSE)*88)/88*20</f>
        <v>70</v>
      </c>
      <c r="L355" s="87">
        <f>(VLOOKUP($A:$A,USD!$A:$AL,12,FALSE)*88)/88*20</f>
        <v>60</v>
      </c>
      <c r="M355" s="87">
        <f>(VLOOKUP($A:$A,USD!$A:$AL,13,FALSE)*88)/88*20</f>
        <v>20</v>
      </c>
      <c r="N355" s="87">
        <f>(VLOOKUP($A:$A,USD!$A:$AL,14,FALSE)*88)/88*20</f>
        <v>55</v>
      </c>
      <c r="O355" s="68">
        <f>(VLOOKUP($A:$A,USD!$A:$AL,15,FALSE)*88)/88*20</f>
        <v>37.916666666666671</v>
      </c>
      <c r="P355" s="87">
        <f>(VLOOKUP($A:$A,USD!$A:$AL,16,FALSE)*88)/88*20</f>
        <v>0</v>
      </c>
      <c r="Q355" s="68">
        <f t="shared" si="45"/>
        <v>417.91666666666669</v>
      </c>
      <c r="R355" s="68">
        <f t="shared" si="46"/>
        <v>92.916666666666671</v>
      </c>
      <c r="S355" s="68">
        <f>(VLOOKUP($A:$A,USD!$A:$AL,19,FALSE)*88)/88*20</f>
        <v>0</v>
      </c>
      <c r="T355" s="68">
        <f>(VLOOKUP($A:$A,USD!$A:$AL,20,FALSE)*88)/88*20</f>
        <v>0</v>
      </c>
      <c r="U355" s="68">
        <f>(VLOOKUP($A:$A,USD!$A:$AL,21,FALSE)*88)/88*20</f>
        <v>335.28011363636369</v>
      </c>
      <c r="V355" s="68"/>
      <c r="W355" s="68">
        <f t="shared" si="47"/>
        <v>335.28011363636369</v>
      </c>
      <c r="X355" s="1">
        <f>(VLOOKUP($A:$A,USD!$A:$AL,24,FALSE)*88)/88*20</f>
        <v>52</v>
      </c>
      <c r="Y355" s="68">
        <f>(VLOOKUP($A:$A,USD!$A:$AL,25,FALSE)*88)/88*20</f>
        <v>50.4</v>
      </c>
      <c r="Z355" s="68">
        <f>(VLOOKUP($A:$A,USD!$A:$AL,26,FALSE)*88)/88*20</f>
        <v>26.25</v>
      </c>
      <c r="AB355" s="68">
        <f t="shared" si="48"/>
        <v>128.65</v>
      </c>
      <c r="AC355" s="68">
        <f>(VLOOKUP($A:$A,USD!$A:$AL,29,FALSE)*88)/88*20</f>
        <v>110.22727272727273</v>
      </c>
      <c r="AD355" s="68">
        <f>(VLOOKUP($A:$A,USD!$A:$AL,30,FALSE)*88)/88*20</f>
        <v>107.04545454545455</v>
      </c>
      <c r="AF355" s="68">
        <f t="shared" si="49"/>
        <v>217.27272727272728</v>
      </c>
      <c r="AG355" s="87">
        <f>(VLOOKUP($A:$A,USD!$A:$AL,33,FALSE)*88)/88*20</f>
        <v>28.814300000000003</v>
      </c>
      <c r="AH355" s="68">
        <f>(VLOOKUP($A:$A,USD!$A:$AL,34,FALSE)*88)/88*20</f>
        <v>6.973140495867769</v>
      </c>
      <c r="AI355" s="87">
        <f>(VLOOKUP($A:$A,USD!$A:$AL,35,FALSE)*88)/88*20</f>
        <v>12.587317427197677</v>
      </c>
      <c r="AJ355" s="87">
        <f>(VLOOKUP($A:$A,USD!$A:$AL,36,FALSE)*88)/88*20</f>
        <v>6.7351999999999999</v>
      </c>
      <c r="AL355" s="68">
        <f t="shared" si="50"/>
        <v>55.109957923065444</v>
      </c>
      <c r="AM355" s="87">
        <f>(VLOOKUP($A:$A,USD!$A:$AR,39,FALSE)*88)/88*20</f>
        <v>79.999999999999986</v>
      </c>
      <c r="AN355" s="68">
        <f>(VLOOKUP($A:$A,USD!$A:$AR,40,FALSE)*88)/88*20</f>
        <v>26.17808219178082</v>
      </c>
      <c r="AO355" s="1">
        <f>(VLOOKUP($A:$A,USD!$A:$AR,41,FALSE)*88)/88*20</f>
        <v>0</v>
      </c>
      <c r="AR355" s="1">
        <f t="shared" si="51"/>
        <v>106.1780821917808</v>
      </c>
      <c r="AS355" s="38">
        <f t="shared" si="52"/>
        <v>935.40754769060391</v>
      </c>
      <c r="AT355" s="38">
        <f t="shared" si="53"/>
        <v>1260.4075476906039</v>
      </c>
      <c r="AW355" s="1" t="e">
        <f>(VLOOKUP(A:A,USD!A:AT,46,FALSE)*88)/88*20</f>
        <v>#N/A</v>
      </c>
      <c r="AX355" s="1">
        <f>(VLOOKUP(A:A,USD!A:AU,47,FALSE)*88)/88*20</f>
        <v>382.9545454545455</v>
      </c>
    </row>
    <row r="356" spans="1:50" hidden="1">
      <c r="A356" s="1">
        <v>548900</v>
      </c>
      <c r="B356" s="1" t="s">
        <v>780</v>
      </c>
      <c r="C356" s="1" t="s">
        <v>781</v>
      </c>
      <c r="D356" s="1" t="s">
        <v>253</v>
      </c>
      <c r="E356" s="1" t="str">
        <f>VLOOKUP(A:A,USD!A:E,5,FALSE)</f>
        <v>WTX</v>
      </c>
      <c r="F356" s="1" t="str">
        <f>VLOOKUP(A:A,USD!A:F,6,FALSE)</f>
        <v>WTX</v>
      </c>
      <c r="G356" s="1" t="str">
        <f>VLOOKUP(A:A,'Regions and Ports'!A:G,7,FALSE)</f>
        <v>Los Angeles</v>
      </c>
      <c r="H356" s="1">
        <f>VLOOKUP(A:A,USD!A:R,8,FALSE)</f>
        <v>2</v>
      </c>
      <c r="I356" s="87">
        <f>(VLOOKUP($A:$A,USD!$A:$AL,9,FALSE)*88)/88*20</f>
        <v>60</v>
      </c>
      <c r="J356" s="87">
        <f>(VLOOKUP($A:$A,USD!$A:$AL,10,FALSE)*88)/88*20</f>
        <v>120</v>
      </c>
      <c r="K356" s="87">
        <f>(VLOOKUP($A:$A,USD!$A:$AL,11,FALSE)*88)/88*20</f>
        <v>165</v>
      </c>
      <c r="L356" s="87">
        <f>(VLOOKUP($A:$A,USD!$A:$AL,12,FALSE)*88)/88*20</f>
        <v>0</v>
      </c>
      <c r="M356" s="87">
        <f>(VLOOKUP($A:$A,USD!$A:$AL,13,FALSE)*88)/88*20</f>
        <v>0</v>
      </c>
      <c r="N356" s="87">
        <f>(VLOOKUP($A:$A,USD!$A:$AL,14,FALSE)*88)/88*20</f>
        <v>78</v>
      </c>
      <c r="O356" s="68">
        <f>(VLOOKUP($A:$A,USD!$A:$AL,15,FALSE)*88)/88*20</f>
        <v>37.916666666666671</v>
      </c>
      <c r="P356" s="87" t="e">
        <f>(VLOOKUP($A:$A,USD!$A:$AL,16,FALSE)*88)/88*20</f>
        <v>#N/A</v>
      </c>
      <c r="Q356" s="68" t="e">
        <f t="shared" si="45"/>
        <v>#N/A</v>
      </c>
      <c r="R356" s="68">
        <f t="shared" si="46"/>
        <v>280.91666666666669</v>
      </c>
      <c r="S356" s="68">
        <f>(VLOOKUP($A:$A,USD!$A:$AL,19,FALSE)*88)/88*20</f>
        <v>0</v>
      </c>
      <c r="T356" s="68">
        <f>(VLOOKUP($A:$A,USD!$A:$AL,20,FALSE)*88)/88*20</f>
        <v>0</v>
      </c>
      <c r="U356" s="68" t="e">
        <f>(VLOOKUP($A:$A,USD!$A:$AL,21,FALSE)*88)/88*20</f>
        <v>#N/A</v>
      </c>
      <c r="V356" s="68"/>
      <c r="W356" s="68" t="e">
        <f t="shared" si="47"/>
        <v>#N/A</v>
      </c>
      <c r="X356" s="1" t="e">
        <f>(VLOOKUP($A:$A,USD!$A:$AL,24,FALSE)*88)/88*20</f>
        <v>#N/A</v>
      </c>
      <c r="Y356" s="68" t="e">
        <f>(VLOOKUP($A:$A,USD!$A:$AL,25,FALSE)*88)/88*20</f>
        <v>#N/A</v>
      </c>
      <c r="Z356" s="68">
        <f>(VLOOKUP($A:$A,USD!$A:$AL,26,FALSE)*88)/88*20</f>
        <v>26.25</v>
      </c>
      <c r="AB356" s="68" t="e">
        <f t="shared" si="48"/>
        <v>#N/A</v>
      </c>
      <c r="AC356" s="68" t="e">
        <f>(VLOOKUP($A:$A,USD!$A:$AL,29,FALSE)*88)/88*20</f>
        <v>#N/A</v>
      </c>
      <c r="AD356" s="68" t="e">
        <f>(VLOOKUP($A:$A,USD!$A:$AL,30,FALSE)*88)/88*20</f>
        <v>#N/A</v>
      </c>
      <c r="AF356" s="68" t="e">
        <f t="shared" si="49"/>
        <v>#N/A</v>
      </c>
      <c r="AG356" s="87">
        <f>(VLOOKUP($A:$A,USD!$A:$AL,33,FALSE)*88)/88*20</f>
        <v>28.814300000000003</v>
      </c>
      <c r="AH356" s="68">
        <f>(VLOOKUP($A:$A,USD!$A:$AL,34,FALSE)*88)/88*20</f>
        <v>6.973140495867769</v>
      </c>
      <c r="AI356" s="87">
        <f>(VLOOKUP($A:$A,USD!$A:$AL,35,FALSE)*88)/88*20</f>
        <v>12.587317427197677</v>
      </c>
      <c r="AJ356" s="87">
        <f>(VLOOKUP($A:$A,USD!$A:$AL,36,FALSE)*88)/88*20</f>
        <v>6.7351999999999999</v>
      </c>
      <c r="AL356" s="68">
        <f t="shared" si="50"/>
        <v>55.109957923065444</v>
      </c>
      <c r="AM356" s="87">
        <f>(VLOOKUP($A:$A,USD!$A:$AR,39,FALSE)*88)/88*20</f>
        <v>79.999999999999986</v>
      </c>
      <c r="AN356" s="68">
        <f>(VLOOKUP($A:$A,USD!$A:$AR,40,FALSE)*88)/88*20</f>
        <v>26.17808219178082</v>
      </c>
      <c r="AO356" s="1">
        <f>(VLOOKUP($A:$A,USD!$A:$AR,41,FALSE)*88)/88*20</f>
        <v>0</v>
      </c>
      <c r="AR356" s="1">
        <f t="shared" si="51"/>
        <v>106.1780821917808</v>
      </c>
      <c r="AS356" s="38" t="e">
        <f t="shared" si="52"/>
        <v>#N/A</v>
      </c>
      <c r="AT356" s="38" t="e">
        <f t="shared" si="53"/>
        <v>#N/A</v>
      </c>
      <c r="AW356" s="1" t="e">
        <f>(VLOOKUP(A:A,USD!A:AT,46,FALSE)*88)/88*20</f>
        <v>#N/A</v>
      </c>
      <c r="AX356" s="1" t="e">
        <f>(VLOOKUP(A:A,USD!A:AU,47,FALSE)*88)/88*20</f>
        <v>#N/A</v>
      </c>
    </row>
    <row r="357" spans="1:50" hidden="1">
      <c r="A357" s="1">
        <v>947505</v>
      </c>
      <c r="B357" s="1" t="s">
        <v>783</v>
      </c>
      <c r="C357" s="1" t="s">
        <v>784</v>
      </c>
      <c r="D357" s="1" t="s">
        <v>71</v>
      </c>
      <c r="E357" s="1" t="str">
        <f>VLOOKUP(A:A,USD!A:E,5,FALSE)</f>
        <v>WTX</v>
      </c>
      <c r="F357" s="1" t="str">
        <f>VLOOKUP(A:A,USD!A:F,6,FALSE)</f>
        <v>WTX</v>
      </c>
      <c r="G357" s="1" t="str">
        <f>VLOOKUP(A:A,'Regions and Ports'!A:G,7,FALSE)</f>
        <v>Dallas</v>
      </c>
      <c r="H357" s="1">
        <f>VLOOKUP(A:A,USD!A:R,8,FALSE)</f>
        <v>2</v>
      </c>
      <c r="I357" s="87">
        <f>(VLOOKUP($A:$A,USD!$A:$AL,9,FALSE)*88)/88*20</f>
        <v>90</v>
      </c>
      <c r="J357" s="87">
        <f>(VLOOKUP($A:$A,USD!$A:$AL,10,FALSE)*88)/88*20</f>
        <v>120</v>
      </c>
      <c r="K357" s="87">
        <f>(VLOOKUP($A:$A,USD!$A:$AL,11,FALSE)*88)/88*20</f>
        <v>195</v>
      </c>
      <c r="L357" s="87">
        <f>(VLOOKUP($A:$A,USD!$A:$AL,12,FALSE)*88)/88*20</f>
        <v>0</v>
      </c>
      <c r="M357" s="87">
        <f>(VLOOKUP($A:$A,USD!$A:$AL,13,FALSE)*88)/88*20</f>
        <v>0</v>
      </c>
      <c r="N357" s="87">
        <f>(VLOOKUP($A:$A,USD!$A:$AL,14,FALSE)*88)/88*20</f>
        <v>42</v>
      </c>
      <c r="O357" s="68">
        <f>(VLOOKUP($A:$A,USD!$A:$AL,15,FALSE)*88)/88*20</f>
        <v>37.916666666666671</v>
      </c>
      <c r="P357" s="87">
        <f>(VLOOKUP($A:$A,USD!$A:$AL,16,FALSE)*88)/88*20</f>
        <v>0</v>
      </c>
      <c r="Q357" s="68">
        <f t="shared" si="45"/>
        <v>484.91666666666669</v>
      </c>
      <c r="R357" s="68">
        <f t="shared" si="46"/>
        <v>274.91666666666669</v>
      </c>
      <c r="S357" s="68">
        <f>(VLOOKUP($A:$A,USD!$A:$AL,19,FALSE)*88)/88*20</f>
        <v>0</v>
      </c>
      <c r="T357" s="68">
        <f>(VLOOKUP($A:$A,USD!$A:$AL,20,FALSE)*88)/88*20</f>
        <v>0</v>
      </c>
      <c r="U357" s="68">
        <f>(VLOOKUP($A:$A,USD!$A:$AL,21,FALSE)*88)/88*20</f>
        <v>157.95454545454544</v>
      </c>
      <c r="V357" s="68"/>
      <c r="W357" s="68">
        <f t="shared" si="47"/>
        <v>157.95454545454544</v>
      </c>
      <c r="X357" s="1">
        <f>(VLOOKUP($A:$A,USD!$A:$AL,24,FALSE)*88)/88*20</f>
        <v>54</v>
      </c>
      <c r="Y357" s="68">
        <f>(VLOOKUP($A:$A,USD!$A:$AL,25,FALSE)*88)/88*20</f>
        <v>50.4</v>
      </c>
      <c r="Z357" s="68">
        <f>(VLOOKUP($A:$A,USD!$A:$AL,26,FALSE)*88)/88*20</f>
        <v>26.25</v>
      </c>
      <c r="AB357" s="68">
        <f t="shared" si="48"/>
        <v>130.65</v>
      </c>
      <c r="AC357" s="68">
        <f>(VLOOKUP($A:$A,USD!$A:$AL,29,FALSE)*88)/88*20</f>
        <v>162.5</v>
      </c>
      <c r="AD357" s="68">
        <f>(VLOOKUP($A:$A,USD!$A:$AL,30,FALSE)*88)/88*20</f>
        <v>268.18181818181819</v>
      </c>
      <c r="AF357" s="68">
        <f t="shared" si="49"/>
        <v>430.68181818181819</v>
      </c>
      <c r="AG357" s="87">
        <f>(VLOOKUP($A:$A,USD!$A:$AL,33,FALSE)*88)/88*20</f>
        <v>28.814300000000003</v>
      </c>
      <c r="AH357" s="68">
        <f>(VLOOKUP($A:$A,USD!$A:$AL,34,FALSE)*88)/88*20</f>
        <v>6.973140495867769</v>
      </c>
      <c r="AI357" s="87">
        <f>(VLOOKUP($A:$A,USD!$A:$AL,35,FALSE)*88)/88*20</f>
        <v>12.587317427197677</v>
      </c>
      <c r="AJ357" s="87">
        <f>(VLOOKUP($A:$A,USD!$A:$AL,36,FALSE)*88)/88*20</f>
        <v>6.7351999999999999</v>
      </c>
      <c r="AL357" s="68">
        <f t="shared" si="50"/>
        <v>55.109957923065444</v>
      </c>
      <c r="AM357" s="87">
        <f>(VLOOKUP($A:$A,USD!$A:$AR,39,FALSE)*88)/88*20</f>
        <v>79.999999999999986</v>
      </c>
      <c r="AN357" s="68">
        <f>(VLOOKUP($A:$A,USD!$A:$AR,40,FALSE)*88)/88*20</f>
        <v>26.17808219178082</v>
      </c>
      <c r="AO357" s="1">
        <f>(VLOOKUP($A:$A,USD!$A:$AR,41,FALSE)*88)/88*20</f>
        <v>0</v>
      </c>
      <c r="AR357" s="1">
        <f t="shared" si="51"/>
        <v>106.1780821917808</v>
      </c>
      <c r="AS357" s="38">
        <f t="shared" si="52"/>
        <v>1155.4910704178765</v>
      </c>
      <c r="AT357" s="38">
        <f t="shared" si="53"/>
        <v>1365.4910704178765</v>
      </c>
      <c r="AW357" s="1">
        <f>(VLOOKUP(A:A,USD!A:AT,46,FALSE)*88)/88*20</f>
        <v>286.95454545454544</v>
      </c>
      <c r="AX357" s="1" t="e">
        <f>(VLOOKUP(A:A,USD!A:AU,47,FALSE)*88)/88*20</f>
        <v>#N/A</v>
      </c>
    </row>
    <row r="358" spans="1:50" hidden="1">
      <c r="A358" s="125">
        <v>947505</v>
      </c>
      <c r="B358" s="1" t="s">
        <v>783</v>
      </c>
      <c r="C358" s="1" t="s">
        <v>784</v>
      </c>
      <c r="D358" s="1" t="s">
        <v>71</v>
      </c>
      <c r="E358" s="1" t="s">
        <v>2067</v>
      </c>
      <c r="F358" s="1" t="str">
        <f>VLOOKUP(A:A,USD!A:F,6,FALSE)</f>
        <v>WTX</v>
      </c>
      <c r="G358" s="1" t="s">
        <v>439</v>
      </c>
      <c r="H358" s="1">
        <f>VLOOKUP(A:A,USD!A:R,8,FALSE)</f>
        <v>2</v>
      </c>
      <c r="I358" s="87">
        <f>(VLOOKUP($A:$A,USD!$A:$AL,9,FALSE)*88)/88*20</f>
        <v>90</v>
      </c>
      <c r="J358" s="87">
        <f>(VLOOKUP($A:$A,USD!$A:$AL,10,FALSE)*88)/88*20</f>
        <v>120</v>
      </c>
      <c r="K358" s="87">
        <f>(VLOOKUP($A:$A,USD!$A:$AL,11,FALSE)*88)/88*20</f>
        <v>195</v>
      </c>
      <c r="L358" s="87">
        <f>(VLOOKUP($A:$A,USD!$A:$AL,12,FALSE)*88)/88*20</f>
        <v>0</v>
      </c>
      <c r="M358" s="87">
        <f>(VLOOKUP($A:$A,USD!$A:$AL,13,FALSE)*88)/88*20</f>
        <v>0</v>
      </c>
      <c r="N358" s="87">
        <f>(VLOOKUP($A:$A,USD!$A:$AL,14,FALSE)*88)/88*20</f>
        <v>42</v>
      </c>
      <c r="O358" s="68">
        <f>(VLOOKUP($A:$A,USD!$A:$AL,15,FALSE)*88)/88*20</f>
        <v>37.916666666666671</v>
      </c>
      <c r="P358" s="87">
        <f>(VLOOKUP($A:$A,USD!$A:$AL,16,FALSE)*88)/88*20</f>
        <v>0</v>
      </c>
      <c r="Q358" s="68">
        <f t="shared" si="45"/>
        <v>484.91666666666669</v>
      </c>
      <c r="R358" s="68">
        <f t="shared" si="46"/>
        <v>274.91666666666669</v>
      </c>
      <c r="S358" s="68">
        <f>(VLOOKUP($A:$A,USD!$A:$AL,19,FALSE)*88)/88*20</f>
        <v>0</v>
      </c>
      <c r="T358" s="68">
        <f>(VLOOKUP($A:$A,USD!$A:$AL,20,FALSE)*88)/88*20</f>
        <v>0</v>
      </c>
      <c r="U358" s="68" cm="1">
        <f t="array" ref="U358">(_xlfn.XLOOKUP(1, (USD!$A:$A=$A358)*(USD!$E:$E=$E358), USD!$U:$U, "", 0)*88)/88*20</f>
        <v>352.27272727272725</v>
      </c>
      <c r="V358" s="68"/>
      <c r="W358" s="68">
        <f t="shared" si="47"/>
        <v>352.27272727272725</v>
      </c>
      <c r="X358" s="1">
        <f>(VLOOKUP($A:$A,USD!$A:$AL,24,FALSE)*88)/88*20</f>
        <v>54</v>
      </c>
      <c r="Y358" s="68">
        <f>(VLOOKUP($A:$A,USD!$A:$AL,25,FALSE)*88)/88*20</f>
        <v>50.4</v>
      </c>
      <c r="Z358" s="68">
        <f>(VLOOKUP($A:$A,USD!$A:$AL,26,FALSE)*88)/88*20</f>
        <v>26.25</v>
      </c>
      <c r="AB358" s="68">
        <f t="shared" si="48"/>
        <v>130.65</v>
      </c>
      <c r="AC358" s="68" cm="1">
        <f t="array" ref="AC358">_xlfn.XLOOKUP(A358&amp;E358, USD!$A:$A&amp;USD!$E:$E, USD!$AC:$AC, "")*20</f>
        <v>132.95454545454544</v>
      </c>
      <c r="AD358" s="68" cm="1">
        <f t="array" ref="AD358">_xlfn.XLOOKUP(A358&amp;E358, USD!$A:$A&amp;USD!$E:$E, USD!$AD:$AD, "")*20</f>
        <v>197.95454545454547</v>
      </c>
      <c r="AF358" s="68">
        <f t="shared" si="49"/>
        <v>330.90909090909088</v>
      </c>
      <c r="AG358" s="87">
        <f>(VLOOKUP($A:$A,USD!$A:$AL,33,FALSE)*88)/88*20</f>
        <v>28.814300000000003</v>
      </c>
      <c r="AH358" s="68">
        <f>(VLOOKUP($A:$A,USD!$A:$AL,34,FALSE)*88)/88*20</f>
        <v>6.973140495867769</v>
      </c>
      <c r="AI358" s="87">
        <f>(VLOOKUP($A:$A,USD!$A:$AL,35,FALSE)*88)/88*20</f>
        <v>12.587317427197677</v>
      </c>
      <c r="AJ358" s="87">
        <f>(VLOOKUP($A:$A,USD!$A:$AL,36,FALSE)*88)/88*20</f>
        <v>6.7351999999999999</v>
      </c>
      <c r="AL358" s="68">
        <f t="shared" si="50"/>
        <v>55.109957923065444</v>
      </c>
      <c r="AM358" s="87">
        <f>(VLOOKUP($A:$A,USD!$A:$AR,39,FALSE)*88)/88*20</f>
        <v>79.999999999999986</v>
      </c>
      <c r="AN358" s="68">
        <f>(VLOOKUP($A:$A,USD!$A:$AR,40,FALSE)*88)/88*20</f>
        <v>26.17808219178082</v>
      </c>
      <c r="AO358" s="1">
        <f>(VLOOKUP($A:$A,USD!$A:$AR,41,FALSE)*88)/88*20</f>
        <v>0</v>
      </c>
      <c r="AR358" s="1">
        <f t="shared" si="51"/>
        <v>106.1780821917808</v>
      </c>
      <c r="AS358" s="38">
        <f t="shared" si="52"/>
        <v>1250.036524963331</v>
      </c>
      <c r="AT358" s="38">
        <f t="shared" si="53"/>
        <v>1460.036524963331</v>
      </c>
      <c r="AW358" s="1">
        <f>(VLOOKUP(A:A,USD!A:AT,46,FALSE)*88)/88*20</f>
        <v>286.95454545454544</v>
      </c>
      <c r="AX358" s="1" t="e">
        <f>(VLOOKUP(A:A,USD!A:AU,47,FALSE)*88)/88*20</f>
        <v>#N/A</v>
      </c>
    </row>
    <row r="359" spans="1:50" hidden="1">
      <c r="A359" s="1">
        <v>347750</v>
      </c>
      <c r="B359" s="1" t="s">
        <v>786</v>
      </c>
      <c r="C359" s="1" t="s">
        <v>787</v>
      </c>
      <c r="D359" s="1" t="s">
        <v>76</v>
      </c>
      <c r="E359" s="1" t="str">
        <f>VLOOKUP(A:A,USD!A:E,5,FALSE)</f>
        <v>GA 30 Day</v>
      </c>
      <c r="F359" s="1" t="str">
        <f>VLOOKUP(A:A,USD!A:F,6,FALSE)</f>
        <v>ER5</v>
      </c>
      <c r="G359" s="1" t="str">
        <f>VLOOKUP(A:A,'Regions and Ports'!A:G,7,FALSE)</f>
        <v>Savannah</v>
      </c>
      <c r="H359" s="1">
        <f>VLOOKUP(A:A,USD!A:R,8,FALSE)</f>
        <v>4</v>
      </c>
      <c r="I359" s="87">
        <f>(VLOOKUP($A:$A,USD!$A:$AL,9,FALSE)*88)/88*20</f>
        <v>0</v>
      </c>
      <c r="J359" s="87">
        <f>(VLOOKUP($A:$A,USD!$A:$AL,10,FALSE)*88)/88*20</f>
        <v>0</v>
      </c>
      <c r="K359" s="87">
        <f>(VLOOKUP($A:$A,USD!$A:$AL,11,FALSE)*88)/88*20</f>
        <v>0</v>
      </c>
      <c r="L359" s="87">
        <f>(VLOOKUP($A:$A,USD!$A:$AL,12,FALSE)*88)/88*20</f>
        <v>0</v>
      </c>
      <c r="M359" s="87">
        <f>(VLOOKUP($A:$A,USD!$A:$AL,13,FALSE)*88)/88*20</f>
        <v>20</v>
      </c>
      <c r="N359" s="87">
        <f>(VLOOKUP($A:$A,USD!$A:$AL,14,FALSE)*88)/88*20</f>
        <v>85</v>
      </c>
      <c r="O359" s="68">
        <f>(VLOOKUP($A:$A,USD!$A:$AL,15,FALSE)*88)/88*20</f>
        <v>37.916666666666671</v>
      </c>
      <c r="P359" s="87">
        <f>(VLOOKUP($A:$A,USD!$A:$AL,16,FALSE)*88)/88*20</f>
        <v>0</v>
      </c>
      <c r="Q359" s="68">
        <f t="shared" si="45"/>
        <v>142.91666666666669</v>
      </c>
      <c r="R359" s="68">
        <f t="shared" si="46"/>
        <v>37.916666666666671</v>
      </c>
      <c r="S359" s="68">
        <f>(VLOOKUP($A:$A,USD!$A:$AL,19,FALSE)*88)/88*20</f>
        <v>0</v>
      </c>
      <c r="T359" s="68">
        <f>(VLOOKUP($A:$A,USD!$A:$AL,20,FALSE)*88)/88*20</f>
        <v>0</v>
      </c>
      <c r="U359" s="68">
        <f>(VLOOKUP($A:$A,USD!$A:$AL,21,FALSE)*88)/88*20</f>
        <v>227.45000000000002</v>
      </c>
      <c r="V359" s="68"/>
      <c r="W359" s="68">
        <f t="shared" si="47"/>
        <v>227.45000000000002</v>
      </c>
      <c r="X359" s="1">
        <f>(VLOOKUP($A:$A,USD!$A:$AL,24,FALSE)*88)/88*20</f>
        <v>52</v>
      </c>
      <c r="Y359" s="68">
        <f>(VLOOKUP($A:$A,USD!$A:$AL,25,FALSE)*88)/88*20</f>
        <v>50.4</v>
      </c>
      <c r="Z359" s="68">
        <f>(VLOOKUP($A:$A,USD!$A:$AL,26,FALSE)*88)/88*20</f>
        <v>26.25</v>
      </c>
      <c r="AB359" s="68">
        <f t="shared" si="48"/>
        <v>128.65</v>
      </c>
      <c r="AC359" s="68">
        <f>(VLOOKUP($A:$A,USD!$A:$AL,29,FALSE)*88)/88*20</f>
        <v>110.22727272727273</v>
      </c>
      <c r="AD359" s="68">
        <f>(VLOOKUP($A:$A,USD!$A:$AL,30,FALSE)*88)/88*20</f>
        <v>107.04545454545455</v>
      </c>
      <c r="AF359" s="68">
        <f t="shared" si="49"/>
        <v>217.27272727272728</v>
      </c>
      <c r="AG359" s="87">
        <f>(VLOOKUP($A:$A,USD!$A:$AL,33,FALSE)*88)/88*20</f>
        <v>28.814300000000003</v>
      </c>
      <c r="AH359" s="68">
        <f>(VLOOKUP($A:$A,USD!$A:$AL,34,FALSE)*88)/88*20</f>
        <v>6.973140495867769</v>
      </c>
      <c r="AI359" s="87">
        <f>(VLOOKUP($A:$A,USD!$A:$AL,35,FALSE)*88)/88*20</f>
        <v>12.587317427197677</v>
      </c>
      <c r="AJ359" s="87">
        <f>(VLOOKUP($A:$A,USD!$A:$AL,36,FALSE)*88)/88*20</f>
        <v>6.7351999999999999</v>
      </c>
      <c r="AL359" s="68">
        <f t="shared" si="50"/>
        <v>55.109957923065444</v>
      </c>
      <c r="AM359" s="87">
        <f>(VLOOKUP($A:$A,USD!$A:$AR,39,FALSE)*88)/88*20</f>
        <v>79.999999999999986</v>
      </c>
      <c r="AN359" s="68">
        <f>(VLOOKUP($A:$A,USD!$A:$AR,40,FALSE)*88)/88*20</f>
        <v>26.17808219178082</v>
      </c>
      <c r="AO359" s="1">
        <f>(VLOOKUP($A:$A,USD!$A:$AR,41,FALSE)*88)/88*20</f>
        <v>0</v>
      </c>
      <c r="AR359" s="1">
        <f t="shared" si="51"/>
        <v>106.1780821917808</v>
      </c>
      <c r="AS359" s="38">
        <f t="shared" si="52"/>
        <v>772.57743405424014</v>
      </c>
      <c r="AT359" s="38">
        <f t="shared" si="53"/>
        <v>877.57743405424014</v>
      </c>
      <c r="AW359" s="1">
        <f>(VLOOKUP(A:A,USD!A:AT,46,FALSE)*88)/88*20</f>
        <v>530.5</v>
      </c>
      <c r="AX359" s="1">
        <f>(VLOOKUP(A:A,USD!A:AU,47,FALSE)*88)/88*20</f>
        <v>304.5454545454545</v>
      </c>
    </row>
    <row r="360" spans="1:50" hidden="1">
      <c r="A360" s="1">
        <v>349526</v>
      </c>
      <c r="B360" s="1" t="s">
        <v>788</v>
      </c>
      <c r="C360" s="1" t="s">
        <v>787</v>
      </c>
      <c r="D360" s="1" t="s">
        <v>76</v>
      </c>
      <c r="E360" s="1" t="str">
        <f>VLOOKUP(A:A,USD!A:E,5,FALSE)</f>
        <v>GA 30 Day</v>
      </c>
      <c r="F360" s="1" t="str">
        <f>VLOOKUP(A:A,USD!A:F,6,FALSE)</f>
        <v>ER5</v>
      </c>
      <c r="G360" s="1" t="str">
        <f>VLOOKUP(A:A,'Regions and Ports'!A:G,7,FALSE)</f>
        <v>Savannah</v>
      </c>
      <c r="H360" s="1">
        <f>VLOOKUP(A:A,USD!A:R,8,FALSE)</f>
        <v>4</v>
      </c>
      <c r="I360" s="87">
        <f>(VLOOKUP($A:$A,USD!$A:$AL,9,FALSE)*88)/88*20</f>
        <v>70</v>
      </c>
      <c r="J360" s="87">
        <f>(VLOOKUP($A:$A,USD!$A:$AL,10,FALSE)*88)/88*20</f>
        <v>100</v>
      </c>
      <c r="K360" s="87">
        <f>(VLOOKUP($A:$A,USD!$A:$AL,11,FALSE)*88)/88*20</f>
        <v>0</v>
      </c>
      <c r="L360" s="87">
        <f>(VLOOKUP($A:$A,USD!$A:$AL,12,FALSE)*88)/88*20</f>
        <v>0</v>
      </c>
      <c r="M360" s="87">
        <f>(VLOOKUP($A:$A,USD!$A:$AL,13,FALSE)*88)/88*20</f>
        <v>20</v>
      </c>
      <c r="N360" s="87">
        <f>(VLOOKUP($A:$A,USD!$A:$AL,14,FALSE)*88)/88*20</f>
        <v>60</v>
      </c>
      <c r="O360" s="68">
        <f>(VLOOKUP($A:$A,USD!$A:$AL,15,FALSE)*88)/88*20</f>
        <v>37.916666666666671</v>
      </c>
      <c r="P360" s="87">
        <f>(VLOOKUP($A:$A,USD!$A:$AL,16,FALSE)*88)/88*20</f>
        <v>0</v>
      </c>
      <c r="Q360" s="68">
        <f t="shared" si="45"/>
        <v>287.91666666666669</v>
      </c>
      <c r="R360" s="68">
        <f t="shared" si="46"/>
        <v>37.916666666666671</v>
      </c>
      <c r="S360" s="68">
        <f>(VLOOKUP($A:$A,USD!$A:$AL,19,FALSE)*88)/88*20</f>
        <v>0</v>
      </c>
      <c r="T360" s="68">
        <f>(VLOOKUP($A:$A,USD!$A:$AL,20,FALSE)*88)/88*20</f>
        <v>0</v>
      </c>
      <c r="U360" s="68">
        <f>(VLOOKUP($A:$A,USD!$A:$AL,21,FALSE)*88)/88*20</f>
        <v>227.45000000000002</v>
      </c>
      <c r="V360" s="68"/>
      <c r="W360" s="68">
        <f t="shared" si="47"/>
        <v>227.45000000000002</v>
      </c>
      <c r="X360" s="1">
        <f>(VLOOKUP($A:$A,USD!$A:$AL,24,FALSE)*88)/88*20</f>
        <v>52</v>
      </c>
      <c r="Y360" s="68">
        <f>(VLOOKUP($A:$A,USD!$A:$AL,25,FALSE)*88)/88*20</f>
        <v>50.4</v>
      </c>
      <c r="Z360" s="68">
        <f>(VLOOKUP($A:$A,USD!$A:$AL,26,FALSE)*88)/88*20</f>
        <v>26.25</v>
      </c>
      <c r="AB360" s="68">
        <f t="shared" si="48"/>
        <v>128.65</v>
      </c>
      <c r="AC360" s="68">
        <f>(VLOOKUP($A:$A,USD!$A:$AL,29,FALSE)*88)/88*20</f>
        <v>110.22727272727273</v>
      </c>
      <c r="AD360" s="68">
        <f>(VLOOKUP($A:$A,USD!$A:$AL,30,FALSE)*88)/88*20</f>
        <v>107.04545454545455</v>
      </c>
      <c r="AF360" s="68">
        <f t="shared" si="49"/>
        <v>217.27272727272728</v>
      </c>
      <c r="AG360" s="87">
        <f>(VLOOKUP($A:$A,USD!$A:$AL,33,FALSE)*88)/88*20</f>
        <v>28.814300000000003</v>
      </c>
      <c r="AH360" s="68">
        <f>(VLOOKUP($A:$A,USD!$A:$AL,34,FALSE)*88)/88*20</f>
        <v>6.973140495867769</v>
      </c>
      <c r="AI360" s="87">
        <f>(VLOOKUP($A:$A,USD!$A:$AL,35,FALSE)*88)/88*20</f>
        <v>12.587317427197677</v>
      </c>
      <c r="AJ360" s="87">
        <f>(VLOOKUP($A:$A,USD!$A:$AL,36,FALSE)*88)/88*20</f>
        <v>6.7351999999999999</v>
      </c>
      <c r="AL360" s="68">
        <f t="shared" si="50"/>
        <v>55.109957923065444</v>
      </c>
      <c r="AM360" s="87">
        <f>(VLOOKUP($A:$A,USD!$A:$AR,39,FALSE)*88)/88*20</f>
        <v>79.999999999999986</v>
      </c>
      <c r="AN360" s="68">
        <f>(VLOOKUP($A:$A,USD!$A:$AR,40,FALSE)*88)/88*20</f>
        <v>26.17808219178082</v>
      </c>
      <c r="AO360" s="1">
        <f>(VLOOKUP($A:$A,USD!$A:$AR,41,FALSE)*88)/88*20</f>
        <v>0</v>
      </c>
      <c r="AR360" s="1">
        <f t="shared" si="51"/>
        <v>106.1780821917808</v>
      </c>
      <c r="AS360" s="38">
        <f t="shared" si="52"/>
        <v>772.57743405424014</v>
      </c>
      <c r="AT360" s="38">
        <f t="shared" si="53"/>
        <v>1022.5774340542401</v>
      </c>
      <c r="AW360" s="1">
        <f>(VLOOKUP(A:A,USD!A:AT,46,FALSE)*88)/88*20</f>
        <v>530.5</v>
      </c>
      <c r="AX360" s="1">
        <f>(VLOOKUP(A:A,USD!A:AU,47,FALSE)*88)/88*20</f>
        <v>304.5454545454545</v>
      </c>
    </row>
    <row r="361" spans="1:50" hidden="1">
      <c r="A361" s="1">
        <v>349527</v>
      </c>
      <c r="B361" s="1" t="s">
        <v>789</v>
      </c>
      <c r="C361" s="1" t="s">
        <v>787</v>
      </c>
      <c r="D361" s="1" t="s">
        <v>76</v>
      </c>
      <c r="E361" s="1" t="str">
        <f>VLOOKUP(A:A,USD!A:E,5,FALSE)</f>
        <v>GA 30 Day</v>
      </c>
      <c r="F361" s="1" t="str">
        <f>VLOOKUP(A:A,USD!A:F,6,FALSE)</f>
        <v>ER5</v>
      </c>
      <c r="G361" s="1" t="str">
        <f>VLOOKUP(A:A,'Regions and Ports'!A:G,7,FALSE)</f>
        <v>Savannah</v>
      </c>
      <c r="H361" s="1">
        <f>VLOOKUP(A:A,USD!A:R,8,FALSE)</f>
        <v>4</v>
      </c>
      <c r="I361" s="87">
        <f>(VLOOKUP($A:$A,USD!$A:$AL,9,FALSE)*88)/88*20</f>
        <v>70</v>
      </c>
      <c r="J361" s="87">
        <f>(VLOOKUP($A:$A,USD!$A:$AL,10,FALSE)*88)/88*20</f>
        <v>100</v>
      </c>
      <c r="K361" s="87">
        <f>(VLOOKUP($A:$A,USD!$A:$AL,11,FALSE)*88)/88*20</f>
        <v>0</v>
      </c>
      <c r="L361" s="87">
        <f>(VLOOKUP($A:$A,USD!$A:$AL,12,FALSE)*88)/88*20</f>
        <v>0</v>
      </c>
      <c r="M361" s="87">
        <f>(VLOOKUP($A:$A,USD!$A:$AL,13,FALSE)*88)/88*20</f>
        <v>10</v>
      </c>
      <c r="N361" s="87">
        <f>(VLOOKUP($A:$A,USD!$A:$AL,14,FALSE)*88)/88*20</f>
        <v>40</v>
      </c>
      <c r="O361" s="68">
        <f>(VLOOKUP($A:$A,USD!$A:$AL,15,FALSE)*88)/88*20</f>
        <v>37.916666666666671</v>
      </c>
      <c r="P361" s="87">
        <f>(VLOOKUP($A:$A,USD!$A:$AL,16,FALSE)*88)/88*20</f>
        <v>0</v>
      </c>
      <c r="Q361" s="68">
        <f t="shared" si="45"/>
        <v>257.91666666666669</v>
      </c>
      <c r="R361" s="68">
        <f t="shared" si="46"/>
        <v>37.916666666666671</v>
      </c>
      <c r="S361" s="68">
        <f>(VLOOKUP($A:$A,USD!$A:$AL,19,FALSE)*88)/88*20</f>
        <v>0</v>
      </c>
      <c r="T361" s="68">
        <f>(VLOOKUP($A:$A,USD!$A:$AL,20,FALSE)*88)/88*20</f>
        <v>0</v>
      </c>
      <c r="U361" s="68">
        <f>(VLOOKUP($A:$A,USD!$A:$AL,21,FALSE)*88)/88*20</f>
        <v>227.45000000000002</v>
      </c>
      <c r="V361" s="68"/>
      <c r="W361" s="68">
        <f t="shared" si="47"/>
        <v>227.45000000000002</v>
      </c>
      <c r="X361" s="1">
        <f>(VLOOKUP($A:$A,USD!$A:$AL,24,FALSE)*88)/88*20</f>
        <v>52</v>
      </c>
      <c r="Y361" s="68">
        <f>(VLOOKUP($A:$A,USD!$A:$AL,25,FALSE)*88)/88*20</f>
        <v>50.4</v>
      </c>
      <c r="Z361" s="68">
        <f>(VLOOKUP($A:$A,USD!$A:$AL,26,FALSE)*88)/88*20</f>
        <v>26.25</v>
      </c>
      <c r="AB361" s="68">
        <f t="shared" si="48"/>
        <v>128.65</v>
      </c>
      <c r="AC361" s="68">
        <f>(VLOOKUP($A:$A,USD!$A:$AL,29,FALSE)*88)/88*20</f>
        <v>110.22727272727273</v>
      </c>
      <c r="AD361" s="68">
        <f>(VLOOKUP($A:$A,USD!$A:$AL,30,FALSE)*88)/88*20</f>
        <v>107.04545454545455</v>
      </c>
      <c r="AF361" s="68">
        <f t="shared" si="49"/>
        <v>217.27272727272728</v>
      </c>
      <c r="AG361" s="87">
        <f>(VLOOKUP($A:$A,USD!$A:$AL,33,FALSE)*88)/88*20</f>
        <v>28.814300000000003</v>
      </c>
      <c r="AH361" s="68">
        <f>(VLOOKUP($A:$A,USD!$A:$AL,34,FALSE)*88)/88*20</f>
        <v>6.973140495867769</v>
      </c>
      <c r="AI361" s="87">
        <f>(VLOOKUP($A:$A,USD!$A:$AL,35,FALSE)*88)/88*20</f>
        <v>12.587317427197677</v>
      </c>
      <c r="AJ361" s="87">
        <f>(VLOOKUP($A:$A,USD!$A:$AL,36,FALSE)*88)/88*20</f>
        <v>6.7351999999999999</v>
      </c>
      <c r="AL361" s="68">
        <f t="shared" si="50"/>
        <v>55.109957923065444</v>
      </c>
      <c r="AM361" s="87">
        <f>(VLOOKUP($A:$A,USD!$A:$AR,39,FALSE)*88)/88*20</f>
        <v>79.999999999999986</v>
      </c>
      <c r="AN361" s="68">
        <f>(VLOOKUP($A:$A,USD!$A:$AR,40,FALSE)*88)/88*20</f>
        <v>26.17808219178082</v>
      </c>
      <c r="AO361" s="1">
        <f>(VLOOKUP($A:$A,USD!$A:$AR,41,FALSE)*88)/88*20</f>
        <v>0</v>
      </c>
      <c r="AR361" s="1">
        <f t="shared" si="51"/>
        <v>106.1780821917808</v>
      </c>
      <c r="AS361" s="38">
        <f t="shared" si="52"/>
        <v>772.57743405424014</v>
      </c>
      <c r="AT361" s="38">
        <f t="shared" si="53"/>
        <v>992.57743405424014</v>
      </c>
      <c r="AW361" s="1">
        <f>(VLOOKUP(A:A,USD!A:AT,46,FALSE)*88)/88*20</f>
        <v>530.5</v>
      </c>
      <c r="AX361" s="1">
        <f>(VLOOKUP(A:A,USD!A:AU,47,FALSE)*88)/88*20</f>
        <v>304.5454545454545</v>
      </c>
    </row>
    <row r="362" spans="1:50" hidden="1">
      <c r="A362" s="1">
        <v>350503</v>
      </c>
      <c r="B362" s="1" t="s">
        <v>790</v>
      </c>
      <c r="C362" s="1" t="s">
        <v>791</v>
      </c>
      <c r="D362" s="1" t="s">
        <v>76</v>
      </c>
      <c r="E362" s="1" t="str">
        <f>VLOOKUP(A:A,USD!A:E,5,FALSE)</f>
        <v>GA 30 Day</v>
      </c>
      <c r="F362" s="1" t="str">
        <f>VLOOKUP(A:A,USD!A:F,6,FALSE)</f>
        <v>ER5</v>
      </c>
      <c r="G362" s="1" t="str">
        <f>VLOOKUP(A:A,'Regions and Ports'!A:G,7,FALSE)</f>
        <v>Savannah</v>
      </c>
      <c r="H362" s="1">
        <f>VLOOKUP(A:A,USD!A:R,8,FALSE)</f>
        <v>4</v>
      </c>
      <c r="I362" s="87">
        <f>(VLOOKUP($A:$A,USD!$A:$AL,9,FALSE)*88)/88*20</f>
        <v>50</v>
      </c>
      <c r="J362" s="87">
        <f>(VLOOKUP($A:$A,USD!$A:$AL,10,FALSE)*88)/88*20</f>
        <v>90</v>
      </c>
      <c r="K362" s="87">
        <f>(VLOOKUP($A:$A,USD!$A:$AL,11,FALSE)*88)/88*20</f>
        <v>0</v>
      </c>
      <c r="L362" s="87">
        <f>(VLOOKUP($A:$A,USD!$A:$AL,12,FALSE)*88)/88*20</f>
        <v>0</v>
      </c>
      <c r="M362" s="87">
        <f>(VLOOKUP($A:$A,USD!$A:$AL,13,FALSE)*88)/88*20</f>
        <v>20</v>
      </c>
      <c r="N362" s="87">
        <f>(VLOOKUP($A:$A,USD!$A:$AL,14,FALSE)*88)/88*20</f>
        <v>32</v>
      </c>
      <c r="O362" s="68">
        <f>(VLOOKUP($A:$A,USD!$A:$AL,15,FALSE)*88)/88*20</f>
        <v>37.916666666666671</v>
      </c>
      <c r="P362" s="87">
        <f>(VLOOKUP($A:$A,USD!$A:$AL,16,FALSE)*88)/88*20</f>
        <v>0</v>
      </c>
      <c r="Q362" s="68">
        <f t="shared" si="45"/>
        <v>229.91666666666669</v>
      </c>
      <c r="R362" s="68">
        <f t="shared" si="46"/>
        <v>37.916666666666671</v>
      </c>
      <c r="S362" s="68">
        <f>(VLOOKUP($A:$A,USD!$A:$AL,19,FALSE)*88)/88*20</f>
        <v>0</v>
      </c>
      <c r="T362" s="68">
        <f>(VLOOKUP($A:$A,USD!$A:$AL,20,FALSE)*88)/88*20</f>
        <v>0</v>
      </c>
      <c r="U362" s="68">
        <f>(VLOOKUP($A:$A,USD!$A:$AL,21,FALSE)*88)/88*20</f>
        <v>183.87840909090912</v>
      </c>
      <c r="V362" s="68"/>
      <c r="W362" s="68">
        <f t="shared" si="47"/>
        <v>183.87840909090912</v>
      </c>
      <c r="X362" s="1">
        <f>(VLOOKUP($A:$A,USD!$A:$AL,24,FALSE)*88)/88*20</f>
        <v>52</v>
      </c>
      <c r="Y362" s="68">
        <f>(VLOOKUP($A:$A,USD!$A:$AL,25,FALSE)*88)/88*20</f>
        <v>50.4</v>
      </c>
      <c r="Z362" s="68">
        <f>(VLOOKUP($A:$A,USD!$A:$AL,26,FALSE)*88)/88*20</f>
        <v>26.25</v>
      </c>
      <c r="AB362" s="68">
        <f t="shared" si="48"/>
        <v>128.65</v>
      </c>
      <c r="AC362" s="68">
        <f>(VLOOKUP($A:$A,USD!$A:$AL,29,FALSE)*88)/88*20</f>
        <v>110.22727272727273</v>
      </c>
      <c r="AD362" s="68">
        <f>(VLOOKUP($A:$A,USD!$A:$AL,30,FALSE)*88)/88*20</f>
        <v>107.04545454545455</v>
      </c>
      <c r="AF362" s="68">
        <f t="shared" si="49"/>
        <v>217.27272727272728</v>
      </c>
      <c r="AG362" s="87">
        <f>(VLOOKUP($A:$A,USD!$A:$AL,33,FALSE)*88)/88*20</f>
        <v>28.814300000000003</v>
      </c>
      <c r="AH362" s="68">
        <f>(VLOOKUP($A:$A,USD!$A:$AL,34,FALSE)*88)/88*20</f>
        <v>6.973140495867769</v>
      </c>
      <c r="AI362" s="87">
        <f>(VLOOKUP($A:$A,USD!$A:$AL,35,FALSE)*88)/88*20</f>
        <v>12.587317427197677</v>
      </c>
      <c r="AJ362" s="87">
        <f>(VLOOKUP($A:$A,USD!$A:$AL,36,FALSE)*88)/88*20</f>
        <v>6.7351999999999999</v>
      </c>
      <c r="AL362" s="68">
        <f t="shared" si="50"/>
        <v>55.109957923065444</v>
      </c>
      <c r="AM362" s="87">
        <f>(VLOOKUP($A:$A,USD!$A:$AR,39,FALSE)*88)/88*20</f>
        <v>79.999999999999986</v>
      </c>
      <c r="AN362" s="68">
        <f>(VLOOKUP($A:$A,USD!$A:$AR,40,FALSE)*88)/88*20</f>
        <v>26.17808219178082</v>
      </c>
      <c r="AO362" s="1">
        <f>(VLOOKUP($A:$A,USD!$A:$AR,41,FALSE)*88)/88*20</f>
        <v>0</v>
      </c>
      <c r="AR362" s="1">
        <f t="shared" si="51"/>
        <v>106.1780821917808</v>
      </c>
      <c r="AS362" s="38">
        <f t="shared" si="52"/>
        <v>729.00584314514924</v>
      </c>
      <c r="AT362" s="38">
        <f t="shared" si="53"/>
        <v>921.00584314514924</v>
      </c>
      <c r="AW362" s="1">
        <f>(VLOOKUP(A:A,USD!A:AT,46,FALSE)*88)/88*20</f>
        <v>534.66590909090905</v>
      </c>
      <c r="AX362" s="1">
        <f>(VLOOKUP(A:A,USD!A:AU,47,FALSE)*88)/88*20</f>
        <v>251.70454545454547</v>
      </c>
    </row>
    <row r="363" spans="1:50" hidden="1">
      <c r="A363" s="1">
        <v>208710</v>
      </c>
      <c r="B363" s="1" t="s">
        <v>792</v>
      </c>
      <c r="C363" s="1" t="s">
        <v>793</v>
      </c>
      <c r="D363" s="1" t="s">
        <v>461</v>
      </c>
      <c r="E363" s="1" t="str">
        <f>VLOOKUP(A:A,USD!A:E,5,FALSE)</f>
        <v>Eastern Rule 5</v>
      </c>
      <c r="F363" s="1" t="str">
        <f>VLOOKUP(A:A,USD!A:F,6,FALSE)</f>
        <v>ER5</v>
      </c>
      <c r="G363" s="1" t="str">
        <f>VLOOKUP(A:A,'Regions and Ports'!A:G,7,FALSE)</f>
        <v>Savannah</v>
      </c>
      <c r="H363" s="1">
        <f>VLOOKUP(A:A,USD!A:R,8,FALSE)</f>
        <v>1</v>
      </c>
      <c r="I363" s="87">
        <f>(VLOOKUP($A:$A,USD!$A:$AL,9,FALSE)*88)/88*20</f>
        <v>55</v>
      </c>
      <c r="J363" s="87">
        <f>(VLOOKUP($A:$A,USD!$A:$AL,10,FALSE)*88)/88*20</f>
        <v>95</v>
      </c>
      <c r="K363" s="87">
        <f>(VLOOKUP($A:$A,USD!$A:$AL,11,FALSE)*88)/88*20</f>
        <v>140</v>
      </c>
      <c r="L363" s="87">
        <f>(VLOOKUP($A:$A,USD!$A:$AL,12,FALSE)*88)/88*20</f>
        <v>0</v>
      </c>
      <c r="M363" s="87">
        <f>(VLOOKUP($A:$A,USD!$A:$AL,13,FALSE)*88)/88*20</f>
        <v>20</v>
      </c>
      <c r="N363" s="87">
        <f>(VLOOKUP($A:$A,USD!$A:$AL,14,FALSE)*88)/88*20</f>
        <v>50</v>
      </c>
      <c r="O363" s="68">
        <f>(VLOOKUP($A:$A,USD!$A:$AL,15,FALSE)*88)/88*20</f>
        <v>37.916666666666671</v>
      </c>
      <c r="P363" s="87">
        <f>(VLOOKUP($A:$A,USD!$A:$AL,16,FALSE)*88)/88*20</f>
        <v>0</v>
      </c>
      <c r="Q363" s="68">
        <f t="shared" si="45"/>
        <v>397.91666666666669</v>
      </c>
      <c r="R363" s="68">
        <f t="shared" si="46"/>
        <v>87.916666666666671</v>
      </c>
      <c r="S363" s="68">
        <f>(VLOOKUP($A:$A,USD!$A:$AL,19,FALSE)*88)/88*20</f>
        <v>0</v>
      </c>
      <c r="T363" s="68">
        <f>(VLOOKUP($A:$A,USD!$A:$AL,20,FALSE)*88)/88*20</f>
        <v>0</v>
      </c>
      <c r="U363" s="68">
        <f>(VLOOKUP($A:$A,USD!$A:$AL,21,FALSE)*88)/88*20</f>
        <v>331.01875000000001</v>
      </c>
      <c r="V363" s="68"/>
      <c r="W363" s="68">
        <f t="shared" si="47"/>
        <v>331.01875000000001</v>
      </c>
      <c r="X363" s="1">
        <f>(VLOOKUP($A:$A,USD!$A:$AL,24,FALSE)*88)/88*20</f>
        <v>52</v>
      </c>
      <c r="Y363" s="68">
        <f>(VLOOKUP($A:$A,USD!$A:$AL,25,FALSE)*88)/88*20</f>
        <v>50.4</v>
      </c>
      <c r="Z363" s="68">
        <f>(VLOOKUP($A:$A,USD!$A:$AL,26,FALSE)*88)/88*20</f>
        <v>26.25</v>
      </c>
      <c r="AB363" s="68">
        <f t="shared" si="48"/>
        <v>128.65</v>
      </c>
      <c r="AC363" s="68">
        <f>(VLOOKUP($A:$A,USD!$A:$AL,29,FALSE)*88)/88*20</f>
        <v>110.22727272727273</v>
      </c>
      <c r="AD363" s="68">
        <f>(VLOOKUP($A:$A,USD!$A:$AL,30,FALSE)*88)/88*20</f>
        <v>107.04545454545455</v>
      </c>
      <c r="AF363" s="68">
        <f t="shared" si="49"/>
        <v>217.27272727272728</v>
      </c>
      <c r="AG363" s="87">
        <f>(VLOOKUP($A:$A,USD!$A:$AL,33,FALSE)*88)/88*20</f>
        <v>28.814300000000003</v>
      </c>
      <c r="AH363" s="68">
        <f>(VLOOKUP($A:$A,USD!$A:$AL,34,FALSE)*88)/88*20</f>
        <v>6.973140495867769</v>
      </c>
      <c r="AI363" s="87">
        <f>(VLOOKUP($A:$A,USD!$A:$AL,35,FALSE)*88)/88*20</f>
        <v>12.587317427197677</v>
      </c>
      <c r="AJ363" s="87">
        <f>(VLOOKUP($A:$A,USD!$A:$AL,36,FALSE)*88)/88*20</f>
        <v>6.7351999999999999</v>
      </c>
      <c r="AL363" s="68">
        <f t="shared" si="50"/>
        <v>55.109957923065444</v>
      </c>
      <c r="AM363" s="87">
        <f>(VLOOKUP($A:$A,USD!$A:$AR,39,FALSE)*88)/88*20</f>
        <v>79.999999999999986</v>
      </c>
      <c r="AN363" s="68">
        <f>(VLOOKUP($A:$A,USD!$A:$AR,40,FALSE)*88)/88*20</f>
        <v>26.17808219178082</v>
      </c>
      <c r="AO363" s="1">
        <f>(VLOOKUP($A:$A,USD!$A:$AR,41,FALSE)*88)/88*20</f>
        <v>0</v>
      </c>
      <c r="AR363" s="1">
        <f t="shared" si="51"/>
        <v>106.1780821917808</v>
      </c>
      <c r="AS363" s="38">
        <f t="shared" si="52"/>
        <v>926.14618405424017</v>
      </c>
      <c r="AT363" s="38">
        <f t="shared" si="53"/>
        <v>1236.1461840542402</v>
      </c>
      <c r="AW363" s="1" t="e">
        <f>(VLOOKUP(A:A,USD!A:AT,46,FALSE)*88)/88*20</f>
        <v>#N/A</v>
      </c>
      <c r="AX363" s="1">
        <f>(VLOOKUP(A:A,USD!A:AU,47,FALSE)*88)/88*20</f>
        <v>388.06818181818181</v>
      </c>
    </row>
    <row r="364" spans="1:50" hidden="1">
      <c r="A364" s="1">
        <v>345008</v>
      </c>
      <c r="B364" s="1" t="s">
        <v>794</v>
      </c>
      <c r="C364" s="1" t="s">
        <v>795</v>
      </c>
      <c r="D364" s="1" t="s">
        <v>76</v>
      </c>
      <c r="E364" s="1" t="str">
        <f>VLOOKUP(A:A,USD!A:E,5,FALSE)</f>
        <v>GA 30 Day</v>
      </c>
      <c r="F364" s="1" t="str">
        <f>VLOOKUP(A:A,USD!A:F,6,FALSE)</f>
        <v>ER5</v>
      </c>
      <c r="G364" s="1" t="str">
        <f>VLOOKUP(A:A,'Regions and Ports'!A:G,7,FALSE)</f>
        <v>Savannah</v>
      </c>
      <c r="H364" s="1">
        <f>VLOOKUP(A:A,USD!A:R,8,FALSE)</f>
        <v>4</v>
      </c>
      <c r="I364" s="87">
        <f>(VLOOKUP($A:$A,USD!$A:$AL,9,FALSE)*88)/88*20</f>
        <v>60</v>
      </c>
      <c r="J364" s="87">
        <f>(VLOOKUP($A:$A,USD!$A:$AL,10,FALSE)*88)/88*20</f>
        <v>100</v>
      </c>
      <c r="K364" s="87">
        <f>(VLOOKUP($A:$A,USD!$A:$AL,11,FALSE)*88)/88*20</f>
        <v>0</v>
      </c>
      <c r="L364" s="87">
        <f>(VLOOKUP($A:$A,USD!$A:$AL,12,FALSE)*88)/88*20</f>
        <v>0</v>
      </c>
      <c r="M364" s="87">
        <f>(VLOOKUP($A:$A,USD!$A:$AL,13,FALSE)*88)/88*20</f>
        <v>0</v>
      </c>
      <c r="N364" s="87">
        <f>(VLOOKUP($A:$A,USD!$A:$AL,14,FALSE)*88)/88*20</f>
        <v>40</v>
      </c>
      <c r="O364" s="68">
        <f>(VLOOKUP($A:$A,USD!$A:$AL,15,FALSE)*88)/88*20</f>
        <v>37.916666666666671</v>
      </c>
      <c r="P364" s="87">
        <f>(VLOOKUP($A:$A,USD!$A:$AL,16,FALSE)*88)/88*20</f>
        <v>0</v>
      </c>
      <c r="Q364" s="68">
        <f t="shared" si="45"/>
        <v>237.91666666666669</v>
      </c>
      <c r="R364" s="68">
        <f t="shared" si="46"/>
        <v>37.916666666666671</v>
      </c>
      <c r="S364" s="68">
        <f>(VLOOKUP($A:$A,USD!$A:$AL,19,FALSE)*88)/88*20</f>
        <v>0</v>
      </c>
      <c r="T364" s="68">
        <f>(VLOOKUP($A:$A,USD!$A:$AL,20,FALSE)*88)/88*20</f>
        <v>0</v>
      </c>
      <c r="U364" s="68">
        <f>(VLOOKUP($A:$A,USD!$A:$AL,21,FALSE)*88)/88*20</f>
        <v>186.07954545454547</v>
      </c>
      <c r="V364" s="68"/>
      <c r="W364" s="68">
        <f t="shared" si="47"/>
        <v>186.07954545454547</v>
      </c>
      <c r="X364" s="1">
        <f>(VLOOKUP($A:$A,USD!$A:$AL,24,FALSE)*88)/88*20</f>
        <v>52</v>
      </c>
      <c r="Y364" s="68">
        <f>(VLOOKUP($A:$A,USD!$A:$AL,25,FALSE)*88)/88*20</f>
        <v>50.4</v>
      </c>
      <c r="Z364" s="68">
        <f>(VLOOKUP($A:$A,USD!$A:$AL,26,FALSE)*88)/88*20</f>
        <v>26.25</v>
      </c>
      <c r="AB364" s="68">
        <f t="shared" si="48"/>
        <v>128.65</v>
      </c>
      <c r="AC364" s="68">
        <f>(VLOOKUP($A:$A,USD!$A:$AL,29,FALSE)*88)/88*20</f>
        <v>110.22727272727273</v>
      </c>
      <c r="AD364" s="68">
        <f>(VLOOKUP($A:$A,USD!$A:$AL,30,FALSE)*88)/88*20</f>
        <v>107.04545454545455</v>
      </c>
      <c r="AF364" s="68">
        <f t="shared" si="49"/>
        <v>217.27272727272728</v>
      </c>
      <c r="AG364" s="87">
        <f>(VLOOKUP($A:$A,USD!$A:$AL,33,FALSE)*88)/88*20</f>
        <v>28.814300000000003</v>
      </c>
      <c r="AH364" s="68">
        <f>(VLOOKUP($A:$A,USD!$A:$AL,34,FALSE)*88)/88*20</f>
        <v>6.973140495867769</v>
      </c>
      <c r="AI364" s="87">
        <f>(VLOOKUP($A:$A,USD!$A:$AL,35,FALSE)*88)/88*20</f>
        <v>12.587317427197677</v>
      </c>
      <c r="AJ364" s="87">
        <f>(VLOOKUP($A:$A,USD!$A:$AL,36,FALSE)*88)/88*20</f>
        <v>6.7351999999999999</v>
      </c>
      <c r="AL364" s="68">
        <f t="shared" si="50"/>
        <v>55.109957923065444</v>
      </c>
      <c r="AM364" s="87">
        <f>(VLOOKUP($A:$A,USD!$A:$AR,39,FALSE)*88)/88*20</f>
        <v>79.999999999999986</v>
      </c>
      <c r="AN364" s="68">
        <f>(VLOOKUP($A:$A,USD!$A:$AR,40,FALSE)*88)/88*20</f>
        <v>26.17808219178082</v>
      </c>
      <c r="AO364" s="1">
        <f>(VLOOKUP($A:$A,USD!$A:$AR,41,FALSE)*88)/88*20</f>
        <v>0</v>
      </c>
      <c r="AR364" s="1">
        <f t="shared" si="51"/>
        <v>106.1780821917808</v>
      </c>
      <c r="AS364" s="38">
        <f t="shared" si="52"/>
        <v>731.20697950878559</v>
      </c>
      <c r="AT364" s="38">
        <f t="shared" si="53"/>
        <v>931.20697950878559</v>
      </c>
      <c r="AW364" s="1">
        <f>(VLOOKUP(A:A,USD!A:AT,46,FALSE)*88)/88*20</f>
        <v>554.2136363636364</v>
      </c>
      <c r="AX364" s="1">
        <f>(VLOOKUP(A:A,USD!A:AU,47,FALSE)*88)/88*20</f>
        <v>224.43181818181816</v>
      </c>
    </row>
    <row r="365" spans="1:50" hidden="1">
      <c r="A365" s="1">
        <v>601006</v>
      </c>
      <c r="B365" s="1" t="s">
        <v>796</v>
      </c>
      <c r="C365" s="1" t="s">
        <v>797</v>
      </c>
      <c r="D365" s="1" t="s">
        <v>136</v>
      </c>
      <c r="E365" s="1" t="str">
        <f>VLOOKUP(A:A,USD!A:E,5,FALSE)</f>
        <v>Eastern Rule 5</v>
      </c>
      <c r="F365" s="1" t="str">
        <f>VLOOKUP(A:A,USD!A:F,6,FALSE)</f>
        <v>ER5</v>
      </c>
      <c r="G365" s="1" t="str">
        <f>VLOOKUP(A:A,'Regions and Ports'!A:G,7,FALSE)</f>
        <v>Savannah</v>
      </c>
      <c r="H365" s="1">
        <f>VLOOKUP(A:A,USD!A:R,8,FALSE)</f>
        <v>1</v>
      </c>
      <c r="I365" s="87">
        <f>(VLOOKUP($A:$A,USD!$A:$AL,9,FALSE)*88)/88*20</f>
        <v>55</v>
      </c>
      <c r="J365" s="87">
        <f>(VLOOKUP($A:$A,USD!$A:$AL,10,FALSE)*88)/88*20</f>
        <v>100</v>
      </c>
      <c r="K365" s="87">
        <f>(VLOOKUP($A:$A,USD!$A:$AL,11,FALSE)*88)/88*20</f>
        <v>0</v>
      </c>
      <c r="L365" s="87">
        <f>(VLOOKUP($A:$A,USD!$A:$AL,12,FALSE)*88)/88*20</f>
        <v>0</v>
      </c>
      <c r="M365" s="87">
        <f>(VLOOKUP($A:$A,USD!$A:$AL,13,FALSE)*88)/88*20</f>
        <v>7</v>
      </c>
      <c r="N365" s="87">
        <f>(VLOOKUP($A:$A,USD!$A:$AL,14,FALSE)*88)/88*20</f>
        <v>53</v>
      </c>
      <c r="O365" s="68">
        <f>(VLOOKUP($A:$A,USD!$A:$AL,15,FALSE)*88)/88*20</f>
        <v>37.916666666666671</v>
      </c>
      <c r="P365" s="87">
        <f>(VLOOKUP($A:$A,USD!$A:$AL,16,FALSE)*88)/88*20</f>
        <v>0</v>
      </c>
      <c r="Q365" s="68">
        <f t="shared" si="45"/>
        <v>252.91666666666669</v>
      </c>
      <c r="R365" s="68">
        <f t="shared" si="46"/>
        <v>90.916666666666671</v>
      </c>
      <c r="S365" s="68">
        <f>(VLOOKUP($A:$A,USD!$A:$AL,19,FALSE)*88)/88*20</f>
        <v>0</v>
      </c>
      <c r="T365" s="68">
        <f>(VLOOKUP($A:$A,USD!$A:$AL,20,FALSE)*88)/88*20</f>
        <v>0</v>
      </c>
      <c r="U365" s="68">
        <f>(VLOOKUP($A:$A,USD!$A:$AL,21,FALSE)*88)/88*20</f>
        <v>294.20738636363632</v>
      </c>
      <c r="V365" s="68"/>
      <c r="W365" s="68">
        <f t="shared" si="47"/>
        <v>294.20738636363632</v>
      </c>
      <c r="X365" s="1">
        <f>(VLOOKUP($A:$A,USD!$A:$AL,24,FALSE)*88)/88*20</f>
        <v>52</v>
      </c>
      <c r="Y365" s="68">
        <f>(VLOOKUP($A:$A,USD!$A:$AL,25,FALSE)*88)/88*20</f>
        <v>50.4</v>
      </c>
      <c r="Z365" s="68">
        <f>(VLOOKUP($A:$A,USD!$A:$AL,26,FALSE)*88)/88*20</f>
        <v>26.25</v>
      </c>
      <c r="AB365" s="68">
        <f t="shared" si="48"/>
        <v>128.65</v>
      </c>
      <c r="AC365" s="68">
        <f>(VLOOKUP($A:$A,USD!$A:$AL,29,FALSE)*88)/88*20</f>
        <v>110.22727272727273</v>
      </c>
      <c r="AD365" s="68">
        <f>(VLOOKUP($A:$A,USD!$A:$AL,30,FALSE)*88)/88*20</f>
        <v>107.04545454545455</v>
      </c>
      <c r="AF365" s="68">
        <f t="shared" si="49"/>
        <v>217.27272727272728</v>
      </c>
      <c r="AG365" s="87">
        <f>(VLOOKUP($A:$A,USD!$A:$AL,33,FALSE)*88)/88*20</f>
        <v>28.814300000000003</v>
      </c>
      <c r="AH365" s="68">
        <f>(VLOOKUP($A:$A,USD!$A:$AL,34,FALSE)*88)/88*20</f>
        <v>6.973140495867769</v>
      </c>
      <c r="AI365" s="87">
        <f>(VLOOKUP($A:$A,USD!$A:$AL,35,FALSE)*88)/88*20</f>
        <v>12.587317427197677</v>
      </c>
      <c r="AJ365" s="87">
        <f>(VLOOKUP($A:$A,USD!$A:$AL,36,FALSE)*88)/88*20</f>
        <v>6.7351999999999999</v>
      </c>
      <c r="AL365" s="68">
        <f t="shared" si="50"/>
        <v>55.109957923065444</v>
      </c>
      <c r="AM365" s="87">
        <f>(VLOOKUP($A:$A,USD!$A:$AR,39,FALSE)*88)/88*20</f>
        <v>79.999999999999986</v>
      </c>
      <c r="AN365" s="68">
        <f>(VLOOKUP($A:$A,USD!$A:$AR,40,FALSE)*88)/88*20</f>
        <v>26.17808219178082</v>
      </c>
      <c r="AO365" s="1">
        <f>(VLOOKUP($A:$A,USD!$A:$AR,41,FALSE)*88)/88*20</f>
        <v>0</v>
      </c>
      <c r="AR365" s="1">
        <f t="shared" si="51"/>
        <v>106.1780821917808</v>
      </c>
      <c r="AS365" s="38">
        <f t="shared" si="52"/>
        <v>892.33482041787647</v>
      </c>
      <c r="AT365" s="38">
        <f t="shared" si="53"/>
        <v>1054.3348204178765</v>
      </c>
      <c r="AW365" s="1" t="e">
        <f>(VLOOKUP(A:A,USD!A:AT,46,FALSE)*88)/88*20</f>
        <v>#N/A</v>
      </c>
      <c r="AX365" s="1">
        <f>(VLOOKUP(A:A,USD!A:AU,47,FALSE)*88)/88*20</f>
        <v>248.29545454545453</v>
      </c>
    </row>
    <row r="366" spans="1:50" hidden="1">
      <c r="A366" s="1">
        <v>898030</v>
      </c>
      <c r="B366" s="1" t="s">
        <v>798</v>
      </c>
      <c r="C366" s="1" t="s">
        <v>6</v>
      </c>
      <c r="D366" s="1" t="s">
        <v>71</v>
      </c>
      <c r="E366" s="1" t="str">
        <f>VLOOKUP(A:A,USD!A:E,5,FALSE)</f>
        <v>STEX</v>
      </c>
      <c r="F366" s="1" t="str">
        <f>VLOOKUP(A:A,USD!A:F,6,FALSE)</f>
        <v>STX</v>
      </c>
      <c r="G366" s="1" t="str">
        <f>VLOOKUP(A:A,'Regions and Ports'!A:G,7,FALSE)</f>
        <v>Houston</v>
      </c>
      <c r="H366" s="1">
        <f>VLOOKUP(A:A,USD!A:R,8,FALSE)</f>
        <v>3</v>
      </c>
      <c r="I366" s="87">
        <f>(VLOOKUP($A:$A,USD!$A:$AL,9,FALSE)*88)/88*20</f>
        <v>120</v>
      </c>
      <c r="J366" s="87">
        <f>(VLOOKUP($A:$A,USD!$A:$AL,10,FALSE)*88)/88*20</f>
        <v>165</v>
      </c>
      <c r="K366" s="87">
        <f>(VLOOKUP($A:$A,USD!$A:$AL,11,FALSE)*88)/88*20</f>
        <v>235</v>
      </c>
      <c r="L366" s="87">
        <f>(VLOOKUP($A:$A,USD!$A:$AL,12,FALSE)*88)/88*20</f>
        <v>0</v>
      </c>
      <c r="M366" s="87">
        <f>(VLOOKUP($A:$A,USD!$A:$AL,13,FALSE)*88)/88*20</f>
        <v>0</v>
      </c>
      <c r="N366" s="87">
        <f>(VLOOKUP($A:$A,USD!$A:$AL,14,FALSE)*88)/88*20</f>
        <v>68</v>
      </c>
      <c r="O366" s="68">
        <f>(VLOOKUP($A:$A,USD!$A:$AL,15,FALSE)*88)/88*20</f>
        <v>37.916666666666671</v>
      </c>
      <c r="P366" s="87">
        <f>(VLOOKUP($A:$A,USD!$A:$AL,16,FALSE)*88)/88*20</f>
        <v>0</v>
      </c>
      <c r="Q366" s="68">
        <f t="shared" si="45"/>
        <v>625.91666666666663</v>
      </c>
      <c r="R366" s="68">
        <f t="shared" si="46"/>
        <v>505.91666666666669</v>
      </c>
      <c r="S366" s="68">
        <f>(VLOOKUP($A:$A,USD!$A:$AL,19,FALSE)*88)/88*20</f>
        <v>0</v>
      </c>
      <c r="T366" s="68">
        <f>(VLOOKUP($A:$A,USD!$A:$AL,20,FALSE)*88)/88*20</f>
        <v>0</v>
      </c>
      <c r="U366" s="68">
        <f>(VLOOKUP($A:$A,USD!$A:$AL,21,FALSE)*88)/88*20</f>
        <v>275.56818181818181</v>
      </c>
      <c r="V366" s="68"/>
      <c r="W366" s="68">
        <f t="shared" si="47"/>
        <v>275.56818181818181</v>
      </c>
      <c r="X366" s="1">
        <f>(VLOOKUP($A:$A,USD!$A:$AL,24,FALSE)*88)/88*20</f>
        <v>54</v>
      </c>
      <c r="Y366" s="68">
        <f>(VLOOKUP($A:$A,USD!$A:$AL,25,FALSE)*88)/88*20</f>
        <v>50.4</v>
      </c>
      <c r="Z366" s="68">
        <f>(VLOOKUP($A:$A,USD!$A:$AL,26,FALSE)*88)/88*20</f>
        <v>26.25</v>
      </c>
      <c r="AB366" s="68">
        <f t="shared" si="48"/>
        <v>130.65</v>
      </c>
      <c r="AC366" s="68">
        <f>(VLOOKUP($A:$A,USD!$A:$AL,29,FALSE)*88)/88*20</f>
        <v>132.95454545454544</v>
      </c>
      <c r="AD366" s="68">
        <f>(VLOOKUP($A:$A,USD!$A:$AL,30,FALSE)*88)/88*20</f>
        <v>197.95454545454547</v>
      </c>
      <c r="AF366" s="68">
        <f t="shared" si="49"/>
        <v>330.90909090909088</v>
      </c>
      <c r="AG366" s="87">
        <f>(VLOOKUP($A:$A,USD!$A:$AL,33,FALSE)*88)/88*20</f>
        <v>28.814300000000003</v>
      </c>
      <c r="AH366" s="68">
        <f>(VLOOKUP($A:$A,USD!$A:$AL,34,FALSE)*88)/88*20</f>
        <v>6.973140495867769</v>
      </c>
      <c r="AI366" s="87">
        <f>(VLOOKUP($A:$A,USD!$A:$AL,35,FALSE)*88)/88*20</f>
        <v>12.587317427197677</v>
      </c>
      <c r="AJ366" s="87">
        <f>(VLOOKUP($A:$A,USD!$A:$AL,36,FALSE)*88)/88*20</f>
        <v>6.7351999999999999</v>
      </c>
      <c r="AL366" s="68">
        <f t="shared" si="50"/>
        <v>55.109957923065444</v>
      </c>
      <c r="AM366" s="87">
        <f>(VLOOKUP($A:$A,USD!$A:$AR,39,FALSE)*88)/88*20</f>
        <v>79.999999999999986</v>
      </c>
      <c r="AN366" s="68">
        <f>(VLOOKUP($A:$A,USD!$A:$AR,40,FALSE)*88)/88*20</f>
        <v>26.17808219178082</v>
      </c>
      <c r="AO366" s="1">
        <f>(VLOOKUP($A:$A,USD!$A:$AR,41,FALSE)*88)/88*20</f>
        <v>0</v>
      </c>
      <c r="AR366" s="1">
        <f t="shared" si="51"/>
        <v>106.1780821917808</v>
      </c>
      <c r="AS366" s="38">
        <f t="shared" si="52"/>
        <v>1404.3319795087855</v>
      </c>
      <c r="AT366" s="38">
        <f t="shared" si="53"/>
        <v>1524.3319795087857</v>
      </c>
      <c r="AW366" s="1" t="e">
        <f>(VLOOKUP(A:A,USD!A:AT,46,FALSE)*88)/88*20</f>
        <v>#N/A</v>
      </c>
      <c r="AX366" s="1" t="e">
        <f>(VLOOKUP(A:A,USD!A:AU,47,FALSE)*88)/88*20</f>
        <v>#N/A</v>
      </c>
    </row>
    <row r="367" spans="1:50" hidden="1">
      <c r="A367" s="1">
        <v>166150</v>
      </c>
      <c r="B367" s="1" t="s">
        <v>800</v>
      </c>
      <c r="C367" s="1" t="s">
        <v>801</v>
      </c>
      <c r="D367" s="1" t="s">
        <v>149</v>
      </c>
      <c r="E367" s="1" t="str">
        <f>VLOOKUP(A:A,USD!A:E,5,FALSE)</f>
        <v>Memphis Rule 5</v>
      </c>
      <c r="F367" s="1" t="str">
        <f>VLOOKUP(A:A,USD!A:F,6,FALSE)</f>
        <v>MR5</v>
      </c>
      <c r="G367" s="1" t="str">
        <f>VLOOKUP(A:A,'Regions and Ports'!A:G,7,FALSE)</f>
        <v>Memphis</v>
      </c>
      <c r="H367" s="1">
        <f>VLOOKUP(A:A,USD!A:R,8,FALSE)</f>
        <v>1</v>
      </c>
      <c r="I367" s="87">
        <f>(VLOOKUP($A:$A,USD!$A:$AL,9,FALSE)*88)/88*20</f>
        <v>55</v>
      </c>
      <c r="J367" s="87">
        <f>(VLOOKUP($A:$A,USD!$A:$AL,10,FALSE)*88)/88*20</f>
        <v>320</v>
      </c>
      <c r="K367" s="87">
        <f>(VLOOKUP($A:$A,USD!$A:$AL,11,FALSE)*88)/88*20</f>
        <v>0</v>
      </c>
      <c r="L367" s="87">
        <f>(VLOOKUP($A:$A,USD!$A:$AL,12,FALSE)*88)/88*20</f>
        <v>61</v>
      </c>
      <c r="M367" s="87">
        <f>(VLOOKUP($A:$A,USD!$A:$AL,13,FALSE)*88)/88*20</f>
        <v>10</v>
      </c>
      <c r="N367" s="87">
        <f>(VLOOKUP($A:$A,USD!$A:$AL,14,FALSE)*88)/88*20</f>
        <v>75</v>
      </c>
      <c r="O367" s="68">
        <f>(VLOOKUP($A:$A,USD!$A:$AL,15,FALSE)*88)/88*20</f>
        <v>37.916666666666671</v>
      </c>
      <c r="P367" s="87">
        <f>(VLOOKUP($A:$A,USD!$A:$AL,16,FALSE)*88)/88*20</f>
        <v>0</v>
      </c>
      <c r="Q367" s="68">
        <f t="shared" si="45"/>
        <v>558.91666666666663</v>
      </c>
      <c r="R367" s="68">
        <f t="shared" si="46"/>
        <v>112.91666666666667</v>
      </c>
      <c r="S367" s="68">
        <f>(VLOOKUP($A:$A,USD!$A:$AL,19,FALSE)*88)/88*20</f>
        <v>0</v>
      </c>
      <c r="T367" s="68">
        <f>(VLOOKUP($A:$A,USD!$A:$AL,20,FALSE)*88)/88*20</f>
        <v>0</v>
      </c>
      <c r="U367" s="68">
        <f>(VLOOKUP($A:$A,USD!$A:$AL,21,FALSE)*88)/88*20</f>
        <v>139.20454545454544</v>
      </c>
      <c r="V367" s="68"/>
      <c r="W367" s="68">
        <f t="shared" si="47"/>
        <v>139.20454545454544</v>
      </c>
      <c r="X367" s="1">
        <f>(VLOOKUP($A:$A,USD!$A:$AL,24,FALSE)*88)/88*20</f>
        <v>50</v>
      </c>
      <c r="Y367" s="68">
        <f>(VLOOKUP($A:$A,USD!$A:$AL,25,FALSE)*88)/88*20</f>
        <v>33.6</v>
      </c>
      <c r="Z367" s="68">
        <f>(VLOOKUP($A:$A,USD!$A:$AL,26,FALSE)*88)/88*20</f>
        <v>26.25</v>
      </c>
      <c r="AB367" s="68">
        <f t="shared" si="48"/>
        <v>109.85</v>
      </c>
      <c r="AC367" s="68">
        <f>(VLOOKUP($A:$A,USD!$A:$AL,29,FALSE)*88)/88*20</f>
        <v>146.02272727272725</v>
      </c>
      <c r="AD367" s="68">
        <f>(VLOOKUP($A:$A,USD!$A:$AL,30,FALSE)*88)/88*20</f>
        <v>182.72727272727275</v>
      </c>
      <c r="AF367" s="68">
        <f t="shared" si="49"/>
        <v>328.75</v>
      </c>
      <c r="AG367" s="87">
        <f>(VLOOKUP($A:$A,USD!$A:$AL,33,FALSE)*88)/88*20</f>
        <v>28.814300000000003</v>
      </c>
      <c r="AH367" s="68">
        <f>(VLOOKUP($A:$A,USD!$A:$AL,34,FALSE)*88)/88*20</f>
        <v>6.973140495867769</v>
      </c>
      <c r="AI367" s="87">
        <f>(VLOOKUP($A:$A,USD!$A:$AL,35,FALSE)*88)/88*20</f>
        <v>12.587317427197677</v>
      </c>
      <c r="AJ367" s="87">
        <f>(VLOOKUP($A:$A,USD!$A:$AL,36,FALSE)*88)/88*20</f>
        <v>6.7351999999999999</v>
      </c>
      <c r="AL367" s="68">
        <f t="shared" si="50"/>
        <v>55.109957923065444</v>
      </c>
      <c r="AM367" s="87">
        <f>(VLOOKUP($A:$A,USD!$A:$AR,39,FALSE)*88)/88*20</f>
        <v>79.999999999999986</v>
      </c>
      <c r="AN367" s="68">
        <f>(VLOOKUP($A:$A,USD!$A:$AR,40,FALSE)*88)/88*20</f>
        <v>26.17808219178082</v>
      </c>
      <c r="AO367" s="1">
        <f>(VLOOKUP($A:$A,USD!$A:$AR,41,FALSE)*88)/88*20</f>
        <v>0</v>
      </c>
      <c r="AR367" s="1">
        <f t="shared" si="51"/>
        <v>106.1780821917808</v>
      </c>
      <c r="AS367" s="38">
        <f t="shared" si="52"/>
        <v>852.00925223605839</v>
      </c>
      <c r="AT367" s="38">
        <f t="shared" si="53"/>
        <v>1298.009252236058</v>
      </c>
      <c r="AW367" s="1" t="e">
        <f>(VLOOKUP(A:A,USD!A:AT,46,FALSE)*88)/88*20</f>
        <v>#N/A</v>
      </c>
      <c r="AX367" s="1">
        <f>(VLOOKUP(A:A,USD!A:AU,47,FALSE)*88)/88*20</f>
        <v>478.06818181818181</v>
      </c>
    </row>
    <row r="368" spans="1:50" hidden="1">
      <c r="A368" s="1">
        <v>167003</v>
      </c>
      <c r="B368" s="1" t="s">
        <v>802</v>
      </c>
      <c r="C368" s="1" t="s">
        <v>801</v>
      </c>
      <c r="D368" s="1" t="s">
        <v>149</v>
      </c>
      <c r="E368" s="1" t="str">
        <f>VLOOKUP(A:A,USD!A:E,5,FALSE)</f>
        <v>Memphis Rule 5</v>
      </c>
      <c r="F368" s="1" t="str">
        <f>VLOOKUP(A:A,USD!A:F,6,FALSE)</f>
        <v>MR5</v>
      </c>
      <c r="G368" s="1" t="str">
        <f>VLOOKUP(A:A,'Regions and Ports'!A:G,7,FALSE)</f>
        <v>Memphis</v>
      </c>
      <c r="H368" s="1">
        <f>VLOOKUP(A:A,USD!A:R,8,FALSE)</f>
        <v>1</v>
      </c>
      <c r="I368" s="87">
        <f>(VLOOKUP($A:$A,USD!$A:$AL,9,FALSE)*88)/88*20</f>
        <v>45</v>
      </c>
      <c r="J368" s="87">
        <f>(VLOOKUP($A:$A,USD!$A:$AL,10,FALSE)*88)/88*20</f>
        <v>330</v>
      </c>
      <c r="K368" s="87">
        <f>(VLOOKUP($A:$A,USD!$A:$AL,11,FALSE)*88)/88*20</f>
        <v>0</v>
      </c>
      <c r="L368" s="87">
        <f>(VLOOKUP($A:$A,USD!$A:$AL,12,FALSE)*88)/88*20</f>
        <v>0</v>
      </c>
      <c r="M368" s="87">
        <f>(VLOOKUP($A:$A,USD!$A:$AL,13,FALSE)*88)/88*20</f>
        <v>10</v>
      </c>
      <c r="N368" s="87">
        <f>(VLOOKUP($A:$A,USD!$A:$AL,14,FALSE)*88)/88*20</f>
        <v>75</v>
      </c>
      <c r="O368" s="68">
        <f>(VLOOKUP($A:$A,USD!$A:$AL,15,FALSE)*88)/88*20</f>
        <v>37.916666666666671</v>
      </c>
      <c r="P368" s="87">
        <f>(VLOOKUP($A:$A,USD!$A:$AL,16,FALSE)*88)/88*20</f>
        <v>0</v>
      </c>
      <c r="Q368" s="68">
        <f t="shared" si="45"/>
        <v>497.91666666666669</v>
      </c>
      <c r="R368" s="68">
        <f t="shared" si="46"/>
        <v>112.91666666666667</v>
      </c>
      <c r="S368" s="68">
        <f>(VLOOKUP($A:$A,USD!$A:$AL,19,FALSE)*88)/88*20</f>
        <v>0</v>
      </c>
      <c r="T368" s="68">
        <f>(VLOOKUP($A:$A,USD!$A:$AL,20,FALSE)*88)/88*20</f>
        <v>0</v>
      </c>
      <c r="U368" s="68">
        <f>(VLOOKUP($A:$A,USD!$A:$AL,21,FALSE)*88)/88*20</f>
        <v>139.20454545454544</v>
      </c>
      <c r="V368" s="68"/>
      <c r="W368" s="68">
        <f t="shared" si="47"/>
        <v>139.20454545454544</v>
      </c>
      <c r="X368" s="1">
        <f>(VLOOKUP($A:$A,USD!$A:$AL,24,FALSE)*88)/88*20</f>
        <v>50</v>
      </c>
      <c r="Y368" s="68">
        <f>(VLOOKUP($A:$A,USD!$A:$AL,25,FALSE)*88)/88*20</f>
        <v>33.6</v>
      </c>
      <c r="Z368" s="68">
        <f>(VLOOKUP($A:$A,USD!$A:$AL,26,FALSE)*88)/88*20</f>
        <v>26.25</v>
      </c>
      <c r="AB368" s="68">
        <f t="shared" si="48"/>
        <v>109.85</v>
      </c>
      <c r="AC368" s="68">
        <f>(VLOOKUP($A:$A,USD!$A:$AL,29,FALSE)*88)/88*20</f>
        <v>146.02272727272725</v>
      </c>
      <c r="AD368" s="68">
        <f>(VLOOKUP($A:$A,USD!$A:$AL,30,FALSE)*88)/88*20</f>
        <v>182.72727272727275</v>
      </c>
      <c r="AF368" s="68">
        <f t="shared" si="49"/>
        <v>328.75</v>
      </c>
      <c r="AG368" s="87">
        <f>(VLOOKUP($A:$A,USD!$A:$AL,33,FALSE)*88)/88*20</f>
        <v>28.814300000000003</v>
      </c>
      <c r="AH368" s="68">
        <f>(VLOOKUP($A:$A,USD!$A:$AL,34,FALSE)*88)/88*20</f>
        <v>6.973140495867769</v>
      </c>
      <c r="AI368" s="87">
        <f>(VLOOKUP($A:$A,USD!$A:$AL,35,FALSE)*88)/88*20</f>
        <v>12.587317427197677</v>
      </c>
      <c r="AJ368" s="87">
        <f>(VLOOKUP($A:$A,USD!$A:$AL,36,FALSE)*88)/88*20</f>
        <v>6.7351999999999999</v>
      </c>
      <c r="AL368" s="68">
        <f t="shared" si="50"/>
        <v>55.109957923065444</v>
      </c>
      <c r="AM368" s="87">
        <f>(VLOOKUP($A:$A,USD!$A:$AR,39,FALSE)*88)/88*20</f>
        <v>79.999999999999986</v>
      </c>
      <c r="AN368" s="68">
        <f>(VLOOKUP($A:$A,USD!$A:$AR,40,FALSE)*88)/88*20</f>
        <v>26.17808219178082</v>
      </c>
      <c r="AO368" s="1">
        <f>(VLOOKUP($A:$A,USD!$A:$AR,41,FALSE)*88)/88*20</f>
        <v>0</v>
      </c>
      <c r="AR368" s="1">
        <f t="shared" si="51"/>
        <v>106.1780821917808</v>
      </c>
      <c r="AS368" s="38">
        <f t="shared" si="52"/>
        <v>852.00925223605839</v>
      </c>
      <c r="AT368" s="38">
        <f t="shared" si="53"/>
        <v>1237.0092522360583</v>
      </c>
      <c r="AW368" s="1" t="e">
        <f>(VLOOKUP(A:A,USD!A:AT,46,FALSE)*88)/88*20</f>
        <v>#N/A</v>
      </c>
      <c r="AX368" s="1">
        <f>(VLOOKUP(A:A,USD!A:AU,47,FALSE)*88)/88*20</f>
        <v>478.06818181818181</v>
      </c>
    </row>
    <row r="369" spans="1:50" hidden="1">
      <c r="A369" s="1">
        <v>167025</v>
      </c>
      <c r="B369" s="1" t="s">
        <v>804</v>
      </c>
      <c r="C369" s="1" t="s">
        <v>801</v>
      </c>
      <c r="D369" s="1" t="s">
        <v>149</v>
      </c>
      <c r="E369" s="1" t="str">
        <f>VLOOKUP(A:A,USD!A:E,5,FALSE)</f>
        <v>Memphis Rule 5</v>
      </c>
      <c r="F369" s="1" t="str">
        <f>VLOOKUP(A:A,USD!A:F,6,FALSE)</f>
        <v>MR5</v>
      </c>
      <c r="G369" s="1" t="str">
        <f>VLOOKUP(A:A,'Regions and Ports'!A:G,7,FALSE)</f>
        <v>Memphis</v>
      </c>
      <c r="H369" s="1">
        <f>VLOOKUP(A:A,USD!A:R,8,FALSE)</f>
        <v>1</v>
      </c>
      <c r="I369" s="87">
        <f>(VLOOKUP($A:$A,USD!$A:$AL,9,FALSE)*88)/88*20</f>
        <v>37</v>
      </c>
      <c r="J369" s="87">
        <f>(VLOOKUP($A:$A,USD!$A:$AL,10,FALSE)*88)/88*20</f>
        <v>80</v>
      </c>
      <c r="K369" s="87">
        <f>(VLOOKUP($A:$A,USD!$A:$AL,11,FALSE)*88)/88*20</f>
        <v>140</v>
      </c>
      <c r="L369" s="87">
        <f>(VLOOKUP($A:$A,USD!$A:$AL,12,FALSE)*88)/88*20</f>
        <v>61</v>
      </c>
      <c r="M369" s="87">
        <f>(VLOOKUP($A:$A,USD!$A:$AL,13,FALSE)*88)/88*20</f>
        <v>0</v>
      </c>
      <c r="N369" s="87">
        <f>(VLOOKUP($A:$A,USD!$A:$AL,14,FALSE)*88)/88*20</f>
        <v>60</v>
      </c>
      <c r="O369" s="68">
        <f>(VLOOKUP($A:$A,USD!$A:$AL,15,FALSE)*88)/88*20</f>
        <v>37.916666666666671</v>
      </c>
      <c r="P369" s="87">
        <f>(VLOOKUP($A:$A,USD!$A:$AL,16,FALSE)*88)/88*20</f>
        <v>0</v>
      </c>
      <c r="Q369" s="68">
        <f t="shared" si="45"/>
        <v>415.91666666666669</v>
      </c>
      <c r="R369" s="68">
        <f t="shared" si="46"/>
        <v>97.916666666666671</v>
      </c>
      <c r="S369" s="68">
        <f>(VLOOKUP($A:$A,USD!$A:$AL,19,FALSE)*88)/88*20</f>
        <v>0</v>
      </c>
      <c r="T369" s="68">
        <f>(VLOOKUP($A:$A,USD!$A:$AL,20,FALSE)*88)/88*20</f>
        <v>0</v>
      </c>
      <c r="U369" s="68">
        <f>(VLOOKUP($A:$A,USD!$A:$AL,21,FALSE)*88)/88*20</f>
        <v>139.20454545454544</v>
      </c>
      <c r="V369" s="68"/>
      <c r="W369" s="68">
        <f t="shared" si="47"/>
        <v>139.20454545454544</v>
      </c>
      <c r="X369" s="1">
        <f>(VLOOKUP($A:$A,USD!$A:$AL,24,FALSE)*88)/88*20</f>
        <v>50</v>
      </c>
      <c r="Y369" s="68">
        <f>(VLOOKUP($A:$A,USD!$A:$AL,25,FALSE)*88)/88*20</f>
        <v>33.6</v>
      </c>
      <c r="Z369" s="68">
        <f>(VLOOKUP($A:$A,USD!$A:$AL,26,FALSE)*88)/88*20</f>
        <v>26.25</v>
      </c>
      <c r="AB369" s="68">
        <f t="shared" si="48"/>
        <v>109.85</v>
      </c>
      <c r="AC369" s="68">
        <f>(VLOOKUP($A:$A,USD!$A:$AL,29,FALSE)*88)/88*20</f>
        <v>146.02272727272725</v>
      </c>
      <c r="AD369" s="68">
        <f>(VLOOKUP($A:$A,USD!$A:$AL,30,FALSE)*88)/88*20</f>
        <v>182.72727272727275</v>
      </c>
      <c r="AF369" s="68">
        <f t="shared" si="49"/>
        <v>328.75</v>
      </c>
      <c r="AG369" s="87">
        <f>(VLOOKUP($A:$A,USD!$A:$AL,33,FALSE)*88)/88*20</f>
        <v>28.814300000000003</v>
      </c>
      <c r="AH369" s="68">
        <f>(VLOOKUP($A:$A,USD!$A:$AL,34,FALSE)*88)/88*20</f>
        <v>6.973140495867769</v>
      </c>
      <c r="AI369" s="87">
        <f>(VLOOKUP($A:$A,USD!$A:$AL,35,FALSE)*88)/88*20</f>
        <v>12.587317427197677</v>
      </c>
      <c r="AJ369" s="87">
        <f>(VLOOKUP($A:$A,USD!$A:$AL,36,FALSE)*88)/88*20</f>
        <v>6.7351999999999999</v>
      </c>
      <c r="AL369" s="68">
        <f t="shared" si="50"/>
        <v>55.109957923065444</v>
      </c>
      <c r="AM369" s="87">
        <f>(VLOOKUP($A:$A,USD!$A:$AR,39,FALSE)*88)/88*20</f>
        <v>79.999999999999986</v>
      </c>
      <c r="AN369" s="68">
        <f>(VLOOKUP($A:$A,USD!$A:$AR,40,FALSE)*88)/88*20</f>
        <v>26.17808219178082</v>
      </c>
      <c r="AO369" s="1">
        <f>(VLOOKUP($A:$A,USD!$A:$AR,41,FALSE)*88)/88*20</f>
        <v>0</v>
      </c>
      <c r="AR369" s="1">
        <f t="shared" si="51"/>
        <v>106.1780821917808</v>
      </c>
      <c r="AS369" s="38">
        <f t="shared" si="52"/>
        <v>837.00925223605839</v>
      </c>
      <c r="AT369" s="38">
        <f t="shared" si="53"/>
        <v>1155.0092522360583</v>
      </c>
      <c r="AW369" s="1" t="e">
        <f>(VLOOKUP(A:A,USD!A:AT,46,FALSE)*88)/88*20</f>
        <v>#N/A</v>
      </c>
      <c r="AX369" s="1">
        <f>(VLOOKUP(A:A,USD!A:AU,47,FALSE)*88)/88*20</f>
        <v>478.06818181818181</v>
      </c>
    </row>
    <row r="370" spans="1:50" hidden="1">
      <c r="A370" s="1">
        <v>167035</v>
      </c>
      <c r="B370" s="1" t="s">
        <v>806</v>
      </c>
      <c r="C370" s="1" t="s">
        <v>801</v>
      </c>
      <c r="D370" s="1" t="s">
        <v>149</v>
      </c>
      <c r="E370" s="1" t="str">
        <f>VLOOKUP(A:A,USD!A:E,5,FALSE)</f>
        <v>Memphis Rule 5</v>
      </c>
      <c r="F370" s="1" t="str">
        <f>VLOOKUP(A:A,USD!A:F,6,FALSE)</f>
        <v>MR5</v>
      </c>
      <c r="G370" s="1" t="str">
        <f>VLOOKUP(A:A,'Regions and Ports'!A:G,7,FALSE)</f>
        <v>Memphis</v>
      </c>
      <c r="H370" s="1">
        <f>VLOOKUP(A:A,USD!A:R,8,FALSE)</f>
        <v>1</v>
      </c>
      <c r="I370" s="87">
        <f>(VLOOKUP($A:$A,USD!$A:$AL,9,FALSE)*88)/88*20</f>
        <v>55</v>
      </c>
      <c r="J370" s="87">
        <f>(VLOOKUP($A:$A,USD!$A:$AL,10,FALSE)*88)/88*20</f>
        <v>320</v>
      </c>
      <c r="K370" s="87">
        <f>(VLOOKUP($A:$A,USD!$A:$AL,11,FALSE)*88)/88*20</f>
        <v>0</v>
      </c>
      <c r="L370" s="87">
        <f>(VLOOKUP($A:$A,USD!$A:$AL,12,FALSE)*88)/88*20</f>
        <v>61</v>
      </c>
      <c r="M370" s="87">
        <f>(VLOOKUP($A:$A,USD!$A:$AL,13,FALSE)*88)/88*20</f>
        <v>10</v>
      </c>
      <c r="N370" s="87">
        <f>(VLOOKUP($A:$A,USD!$A:$AL,14,FALSE)*88)/88*20</f>
        <v>75</v>
      </c>
      <c r="O370" s="68">
        <f>(VLOOKUP($A:$A,USD!$A:$AL,15,FALSE)*88)/88*20</f>
        <v>37.916666666666671</v>
      </c>
      <c r="P370" s="87">
        <f>(VLOOKUP($A:$A,USD!$A:$AL,16,FALSE)*88)/88*20</f>
        <v>0</v>
      </c>
      <c r="Q370" s="68">
        <f t="shared" si="45"/>
        <v>558.91666666666663</v>
      </c>
      <c r="R370" s="68">
        <f t="shared" si="46"/>
        <v>112.91666666666667</v>
      </c>
      <c r="S370" s="68">
        <f>(VLOOKUP($A:$A,USD!$A:$AL,19,FALSE)*88)/88*20</f>
        <v>0</v>
      </c>
      <c r="T370" s="68">
        <f>(VLOOKUP($A:$A,USD!$A:$AL,20,FALSE)*88)/88*20</f>
        <v>0</v>
      </c>
      <c r="U370" s="68">
        <f>(VLOOKUP($A:$A,USD!$A:$AL,21,FALSE)*88)/88*20</f>
        <v>139.20454545454544</v>
      </c>
      <c r="V370" s="68"/>
      <c r="W370" s="68">
        <f t="shared" si="47"/>
        <v>139.20454545454544</v>
      </c>
      <c r="X370" s="1">
        <f>(VLOOKUP($A:$A,USD!$A:$AL,24,FALSE)*88)/88*20</f>
        <v>50</v>
      </c>
      <c r="Y370" s="68">
        <f>(VLOOKUP($A:$A,USD!$A:$AL,25,FALSE)*88)/88*20</f>
        <v>33.6</v>
      </c>
      <c r="Z370" s="68">
        <f>(VLOOKUP($A:$A,USD!$A:$AL,26,FALSE)*88)/88*20</f>
        <v>26.25</v>
      </c>
      <c r="AB370" s="68">
        <f t="shared" si="48"/>
        <v>109.85</v>
      </c>
      <c r="AC370" s="68">
        <f>(VLOOKUP($A:$A,USD!$A:$AL,29,FALSE)*88)/88*20</f>
        <v>146.02272727272725</v>
      </c>
      <c r="AD370" s="68">
        <f>(VLOOKUP($A:$A,USD!$A:$AL,30,FALSE)*88)/88*20</f>
        <v>182.72727272727275</v>
      </c>
      <c r="AF370" s="68">
        <f t="shared" si="49"/>
        <v>328.75</v>
      </c>
      <c r="AG370" s="87">
        <f>(VLOOKUP($A:$A,USD!$A:$AL,33,FALSE)*88)/88*20</f>
        <v>28.814300000000003</v>
      </c>
      <c r="AH370" s="68">
        <f>(VLOOKUP($A:$A,USD!$A:$AL,34,FALSE)*88)/88*20</f>
        <v>6.973140495867769</v>
      </c>
      <c r="AI370" s="87">
        <f>(VLOOKUP($A:$A,USD!$A:$AL,35,FALSE)*88)/88*20</f>
        <v>12.587317427197677</v>
      </c>
      <c r="AJ370" s="87">
        <f>(VLOOKUP($A:$A,USD!$A:$AL,36,FALSE)*88)/88*20</f>
        <v>6.7351999999999999</v>
      </c>
      <c r="AL370" s="68">
        <f t="shared" si="50"/>
        <v>55.109957923065444</v>
      </c>
      <c r="AM370" s="87">
        <f>(VLOOKUP($A:$A,USD!$A:$AR,39,FALSE)*88)/88*20</f>
        <v>79.999999999999986</v>
      </c>
      <c r="AN370" s="68">
        <f>(VLOOKUP($A:$A,USD!$A:$AR,40,FALSE)*88)/88*20</f>
        <v>26.17808219178082</v>
      </c>
      <c r="AO370" s="1">
        <f>(VLOOKUP($A:$A,USD!$A:$AR,41,FALSE)*88)/88*20</f>
        <v>0</v>
      </c>
      <c r="AR370" s="1">
        <f t="shared" si="51"/>
        <v>106.1780821917808</v>
      </c>
      <c r="AS370" s="38">
        <f t="shared" si="52"/>
        <v>852.00925223605839</v>
      </c>
      <c r="AT370" s="38">
        <f t="shared" si="53"/>
        <v>1298.009252236058</v>
      </c>
      <c r="AW370" s="1" t="e">
        <f>(VLOOKUP(A:A,USD!A:AT,46,FALSE)*88)/88*20</f>
        <v>#N/A</v>
      </c>
      <c r="AX370" s="1">
        <f>(VLOOKUP(A:A,USD!A:AU,47,FALSE)*88)/88*20</f>
        <v>478.06818181818181</v>
      </c>
    </row>
    <row r="371" spans="1:50" hidden="1">
      <c r="A371" s="1">
        <v>925013</v>
      </c>
      <c r="B371" s="1" t="s">
        <v>808</v>
      </c>
      <c r="C371" s="1" t="s">
        <v>809</v>
      </c>
      <c r="D371" s="1" t="s">
        <v>71</v>
      </c>
      <c r="E371" s="1" t="str">
        <f>VLOOKUP(A:A,USD!A:E,5,FALSE)</f>
        <v>STEX</v>
      </c>
      <c r="F371" s="1" t="str">
        <f>VLOOKUP(A:A,USD!A:F,6,FALSE)</f>
        <v>STX</v>
      </c>
      <c r="G371" s="1" t="str">
        <f>VLOOKUP(A:A,'Regions and Ports'!A:G,7,FALSE)</f>
        <v>Houston</v>
      </c>
      <c r="H371" s="1">
        <f>VLOOKUP(A:A,USD!A:R,8,FALSE)</f>
        <v>3</v>
      </c>
      <c r="I371" s="87">
        <f>(VLOOKUP($A:$A,USD!$A:$AL,9,FALSE)*88)/88*20</f>
        <v>120</v>
      </c>
      <c r="J371" s="87">
        <f>(VLOOKUP($A:$A,USD!$A:$AL,10,FALSE)*88)/88*20</f>
        <v>165</v>
      </c>
      <c r="K371" s="87">
        <f>(VLOOKUP($A:$A,USD!$A:$AL,11,FALSE)*88)/88*20</f>
        <v>235</v>
      </c>
      <c r="L371" s="87">
        <f>(VLOOKUP($A:$A,USD!$A:$AL,12,FALSE)*88)/88*20</f>
        <v>0</v>
      </c>
      <c r="M371" s="87">
        <f>(VLOOKUP($A:$A,USD!$A:$AL,13,FALSE)*88)/88*20</f>
        <v>0</v>
      </c>
      <c r="N371" s="87">
        <f>(VLOOKUP($A:$A,USD!$A:$AL,14,FALSE)*88)/88*20</f>
        <v>68</v>
      </c>
      <c r="O371" s="68">
        <f>(VLOOKUP($A:$A,USD!$A:$AL,15,FALSE)*88)/88*20</f>
        <v>37.916666666666671</v>
      </c>
      <c r="P371" s="87">
        <f>(VLOOKUP($A:$A,USD!$A:$AL,16,FALSE)*88)/88*20</f>
        <v>0</v>
      </c>
      <c r="Q371" s="68">
        <f t="shared" si="45"/>
        <v>625.91666666666663</v>
      </c>
      <c r="R371" s="68">
        <f t="shared" si="46"/>
        <v>505.91666666666669</v>
      </c>
      <c r="S371" s="68">
        <f>(VLOOKUP($A:$A,USD!$A:$AL,19,FALSE)*88)/88*20</f>
        <v>0</v>
      </c>
      <c r="T371" s="68">
        <f>(VLOOKUP($A:$A,USD!$A:$AL,20,FALSE)*88)/88*20</f>
        <v>0</v>
      </c>
      <c r="U371" s="68">
        <f>(VLOOKUP($A:$A,USD!$A:$AL,21,FALSE)*88)/88*20</f>
        <v>275.56818181818181</v>
      </c>
      <c r="V371" s="68"/>
      <c r="W371" s="68">
        <f t="shared" si="47"/>
        <v>275.56818181818181</v>
      </c>
      <c r="X371" s="1">
        <f>(VLOOKUP($A:$A,USD!$A:$AL,24,FALSE)*88)/88*20</f>
        <v>54</v>
      </c>
      <c r="Y371" s="68">
        <f>(VLOOKUP($A:$A,USD!$A:$AL,25,FALSE)*88)/88*20</f>
        <v>50.4</v>
      </c>
      <c r="Z371" s="68">
        <f>(VLOOKUP($A:$A,USD!$A:$AL,26,FALSE)*88)/88*20</f>
        <v>26.25</v>
      </c>
      <c r="AB371" s="68">
        <f t="shared" si="48"/>
        <v>130.65</v>
      </c>
      <c r="AC371" s="68">
        <f>(VLOOKUP($A:$A,USD!$A:$AL,29,FALSE)*88)/88*20</f>
        <v>132.95454545454544</v>
      </c>
      <c r="AD371" s="68">
        <f>(VLOOKUP($A:$A,USD!$A:$AL,30,FALSE)*88)/88*20</f>
        <v>197.95454545454547</v>
      </c>
      <c r="AF371" s="68">
        <f t="shared" si="49"/>
        <v>330.90909090909088</v>
      </c>
      <c r="AG371" s="87">
        <f>(VLOOKUP($A:$A,USD!$A:$AL,33,FALSE)*88)/88*20</f>
        <v>28.814300000000003</v>
      </c>
      <c r="AH371" s="68">
        <f>(VLOOKUP($A:$A,USD!$A:$AL,34,FALSE)*88)/88*20</f>
        <v>6.973140495867769</v>
      </c>
      <c r="AI371" s="87">
        <f>(VLOOKUP($A:$A,USD!$A:$AL,35,FALSE)*88)/88*20</f>
        <v>12.587317427197677</v>
      </c>
      <c r="AJ371" s="87">
        <f>(VLOOKUP($A:$A,USD!$A:$AL,36,FALSE)*88)/88*20</f>
        <v>6.7351999999999999</v>
      </c>
      <c r="AL371" s="68">
        <f t="shared" si="50"/>
        <v>55.109957923065444</v>
      </c>
      <c r="AM371" s="87">
        <f>(VLOOKUP($A:$A,USD!$A:$AR,39,FALSE)*88)/88*20</f>
        <v>79.999999999999986</v>
      </c>
      <c r="AN371" s="68">
        <f>(VLOOKUP($A:$A,USD!$A:$AR,40,FALSE)*88)/88*20</f>
        <v>26.17808219178082</v>
      </c>
      <c r="AO371" s="1">
        <f>(VLOOKUP($A:$A,USD!$A:$AR,41,FALSE)*88)/88*20</f>
        <v>0</v>
      </c>
      <c r="AR371" s="1">
        <f t="shared" si="51"/>
        <v>106.1780821917808</v>
      </c>
      <c r="AS371" s="38">
        <f t="shared" si="52"/>
        <v>1404.3319795087855</v>
      </c>
      <c r="AT371" s="38">
        <f t="shared" si="53"/>
        <v>1524.3319795087857</v>
      </c>
      <c r="AW371" s="1" t="e">
        <f>(VLOOKUP(A:A,USD!A:AT,46,FALSE)*88)/88*20</f>
        <v>#N/A</v>
      </c>
      <c r="AX371" s="1" t="e">
        <f>(VLOOKUP(A:A,USD!A:AU,47,FALSE)*88)/88*20</f>
        <v>#N/A</v>
      </c>
    </row>
    <row r="372" spans="1:50" hidden="1">
      <c r="A372" s="1">
        <v>607541</v>
      </c>
      <c r="B372" s="1" t="s">
        <v>810</v>
      </c>
      <c r="C372" s="1" t="s">
        <v>811</v>
      </c>
      <c r="D372" s="1" t="s">
        <v>136</v>
      </c>
      <c r="E372" s="1" t="str">
        <f>VLOOKUP(A:A,USD!A:E,5,FALSE)</f>
        <v>Eastern Rule 5</v>
      </c>
      <c r="F372" s="1" t="str">
        <f>VLOOKUP(A:A,USD!A:F,6,FALSE)</f>
        <v>ER5</v>
      </c>
      <c r="G372" s="1" t="str">
        <f>VLOOKUP(A:A,'Regions and Ports'!A:G,7,FALSE)</f>
        <v>Savannah</v>
      </c>
      <c r="H372" s="1">
        <f>VLOOKUP(A:A,USD!A:R,8,FALSE)</f>
        <v>1</v>
      </c>
      <c r="I372" s="87">
        <f>(VLOOKUP($A:$A,USD!$A:$AL,9,FALSE)*88)/88*20</f>
        <v>80</v>
      </c>
      <c r="J372" s="87">
        <f>(VLOOKUP($A:$A,USD!$A:$AL,10,FALSE)*88)/88*20</f>
        <v>100</v>
      </c>
      <c r="K372" s="87">
        <f>(VLOOKUP($A:$A,USD!$A:$AL,11,FALSE)*88)/88*20</f>
        <v>0</v>
      </c>
      <c r="L372" s="87">
        <f>(VLOOKUP($A:$A,USD!$A:$AL,12,FALSE)*88)/88*20</f>
        <v>0</v>
      </c>
      <c r="M372" s="87">
        <f>(VLOOKUP($A:$A,USD!$A:$AL,13,FALSE)*88)/88*20</f>
        <v>20</v>
      </c>
      <c r="N372" s="87">
        <f>(VLOOKUP($A:$A,USD!$A:$AL,14,FALSE)*88)/88*20</f>
        <v>40</v>
      </c>
      <c r="O372" s="68">
        <f>(VLOOKUP($A:$A,USD!$A:$AL,15,FALSE)*88)/88*20</f>
        <v>37.916666666666671</v>
      </c>
      <c r="P372" s="87">
        <f>(VLOOKUP($A:$A,USD!$A:$AL,16,FALSE)*88)/88*20</f>
        <v>0</v>
      </c>
      <c r="Q372" s="68">
        <f t="shared" si="45"/>
        <v>277.91666666666669</v>
      </c>
      <c r="R372" s="68">
        <f t="shared" si="46"/>
        <v>77.916666666666671</v>
      </c>
      <c r="S372" s="68">
        <f>(VLOOKUP($A:$A,USD!$A:$AL,19,FALSE)*88)/88*20</f>
        <v>0</v>
      </c>
      <c r="T372" s="68">
        <f>(VLOOKUP($A:$A,USD!$A:$AL,20,FALSE)*88)/88*20</f>
        <v>0</v>
      </c>
      <c r="U372" s="68">
        <f>(VLOOKUP($A:$A,USD!$A:$AL,21,FALSE)*88)/88*20</f>
        <v>241.39034090909092</v>
      </c>
      <c r="V372" s="68"/>
      <c r="W372" s="68">
        <f t="shared" si="47"/>
        <v>241.39034090909092</v>
      </c>
      <c r="X372" s="1">
        <f>(VLOOKUP($A:$A,USD!$A:$AL,24,FALSE)*88)/88*20</f>
        <v>52</v>
      </c>
      <c r="Y372" s="68">
        <f>(VLOOKUP($A:$A,USD!$A:$AL,25,FALSE)*88)/88*20</f>
        <v>50.4</v>
      </c>
      <c r="Z372" s="68">
        <f>(VLOOKUP($A:$A,USD!$A:$AL,26,FALSE)*88)/88*20</f>
        <v>26.25</v>
      </c>
      <c r="AB372" s="68">
        <f t="shared" si="48"/>
        <v>128.65</v>
      </c>
      <c r="AC372" s="68">
        <f>(VLOOKUP($A:$A,USD!$A:$AL,29,FALSE)*88)/88*20</f>
        <v>110.22727272727273</v>
      </c>
      <c r="AD372" s="68">
        <f>(VLOOKUP($A:$A,USD!$A:$AL,30,FALSE)*88)/88*20</f>
        <v>107.04545454545455</v>
      </c>
      <c r="AF372" s="68">
        <f t="shared" si="49"/>
        <v>217.27272727272728</v>
      </c>
      <c r="AG372" s="87">
        <f>(VLOOKUP($A:$A,USD!$A:$AL,33,FALSE)*88)/88*20</f>
        <v>28.814300000000003</v>
      </c>
      <c r="AH372" s="68">
        <f>(VLOOKUP($A:$A,USD!$A:$AL,34,FALSE)*88)/88*20</f>
        <v>6.973140495867769</v>
      </c>
      <c r="AI372" s="87">
        <f>(VLOOKUP($A:$A,USD!$A:$AL,35,FALSE)*88)/88*20</f>
        <v>12.587317427197677</v>
      </c>
      <c r="AJ372" s="87">
        <f>(VLOOKUP($A:$A,USD!$A:$AL,36,FALSE)*88)/88*20</f>
        <v>6.7351999999999999</v>
      </c>
      <c r="AL372" s="68">
        <f t="shared" si="50"/>
        <v>55.109957923065444</v>
      </c>
      <c r="AM372" s="87">
        <f>(VLOOKUP($A:$A,USD!$A:$AR,39,FALSE)*88)/88*20</f>
        <v>79.999999999999986</v>
      </c>
      <c r="AN372" s="68">
        <f>(VLOOKUP($A:$A,USD!$A:$AR,40,FALSE)*88)/88*20</f>
        <v>26.17808219178082</v>
      </c>
      <c r="AO372" s="1">
        <f>(VLOOKUP($A:$A,USD!$A:$AR,41,FALSE)*88)/88*20</f>
        <v>0</v>
      </c>
      <c r="AR372" s="1">
        <f t="shared" si="51"/>
        <v>106.1780821917808</v>
      </c>
      <c r="AS372" s="38">
        <f t="shared" si="52"/>
        <v>826.51777496333114</v>
      </c>
      <c r="AT372" s="38">
        <f t="shared" si="53"/>
        <v>1026.517774963331</v>
      </c>
      <c r="AW372" s="1" t="e">
        <f>(VLOOKUP(A:A,USD!A:AT,46,FALSE)*88)/88*20</f>
        <v>#N/A</v>
      </c>
      <c r="AX372" s="1">
        <f>(VLOOKUP(A:A,USD!A:AU,47,FALSE)*88)/88*20</f>
        <v>224.43181818181816</v>
      </c>
    </row>
    <row r="373" spans="1:50" hidden="1">
      <c r="A373" s="1">
        <v>611030</v>
      </c>
      <c r="B373" s="1" t="s">
        <v>812</v>
      </c>
      <c r="C373" s="1" t="s">
        <v>811</v>
      </c>
      <c r="D373" s="1" t="s">
        <v>136</v>
      </c>
      <c r="E373" s="1" t="str">
        <f>VLOOKUP(A:A,USD!A:E,5,FALSE)</f>
        <v>Eastern Rule 5</v>
      </c>
      <c r="F373" s="1" t="str">
        <f>VLOOKUP(A:A,USD!A:F,6,FALSE)</f>
        <v>ER5</v>
      </c>
      <c r="G373" s="1" t="str">
        <f>VLOOKUP(A:A,'Regions and Ports'!A:G,7,FALSE)</f>
        <v>Savannah</v>
      </c>
      <c r="H373" s="1">
        <f>VLOOKUP(A:A,USD!A:R,8,FALSE)</f>
        <v>1</v>
      </c>
      <c r="I373" s="87">
        <f>(VLOOKUP($A:$A,USD!$A:$AL,9,FALSE)*88)/88*20</f>
        <v>80</v>
      </c>
      <c r="J373" s="87">
        <f>(VLOOKUP($A:$A,USD!$A:$AL,10,FALSE)*88)/88*20</f>
        <v>100</v>
      </c>
      <c r="K373" s="87">
        <f>(VLOOKUP($A:$A,USD!$A:$AL,11,FALSE)*88)/88*20</f>
        <v>0</v>
      </c>
      <c r="L373" s="87">
        <f>(VLOOKUP($A:$A,USD!$A:$AL,12,FALSE)*88)/88*20</f>
        <v>0</v>
      </c>
      <c r="M373" s="87">
        <f>(VLOOKUP($A:$A,USD!$A:$AL,13,FALSE)*88)/88*20</f>
        <v>20</v>
      </c>
      <c r="N373" s="87">
        <f>(VLOOKUP($A:$A,USD!$A:$AL,14,FALSE)*88)/88*20</f>
        <v>40</v>
      </c>
      <c r="O373" s="68">
        <f>(VLOOKUP($A:$A,USD!$A:$AL,15,FALSE)*88)/88*20</f>
        <v>37.916666666666671</v>
      </c>
      <c r="P373" s="87">
        <f>(VLOOKUP($A:$A,USD!$A:$AL,16,FALSE)*88)/88*20</f>
        <v>0</v>
      </c>
      <c r="Q373" s="68">
        <f t="shared" si="45"/>
        <v>277.91666666666669</v>
      </c>
      <c r="R373" s="68">
        <f t="shared" si="46"/>
        <v>77.916666666666671</v>
      </c>
      <c r="S373" s="68">
        <f>(VLOOKUP($A:$A,USD!$A:$AL,19,FALSE)*88)/88*20</f>
        <v>0</v>
      </c>
      <c r="T373" s="68">
        <f>(VLOOKUP($A:$A,USD!$A:$AL,20,FALSE)*88)/88*20</f>
        <v>0</v>
      </c>
      <c r="U373" s="68">
        <f>(VLOOKUP($A:$A,USD!$A:$AL,21,FALSE)*88)/88*20</f>
        <v>241.39034090909092</v>
      </c>
      <c r="V373" s="68"/>
      <c r="W373" s="68">
        <f t="shared" si="47"/>
        <v>241.39034090909092</v>
      </c>
      <c r="X373" s="1">
        <f>(VLOOKUP($A:$A,USD!$A:$AL,24,FALSE)*88)/88*20</f>
        <v>52</v>
      </c>
      <c r="Y373" s="68">
        <f>(VLOOKUP($A:$A,USD!$A:$AL,25,FALSE)*88)/88*20</f>
        <v>50.4</v>
      </c>
      <c r="Z373" s="68">
        <f>(VLOOKUP($A:$A,USD!$A:$AL,26,FALSE)*88)/88*20</f>
        <v>26.25</v>
      </c>
      <c r="AB373" s="68">
        <f t="shared" si="48"/>
        <v>128.65</v>
      </c>
      <c r="AC373" s="68">
        <f>(VLOOKUP($A:$A,USD!$A:$AL,29,FALSE)*88)/88*20</f>
        <v>110.22727272727273</v>
      </c>
      <c r="AD373" s="68">
        <f>(VLOOKUP($A:$A,USD!$A:$AL,30,FALSE)*88)/88*20</f>
        <v>107.04545454545455</v>
      </c>
      <c r="AF373" s="68">
        <f t="shared" si="49"/>
        <v>217.27272727272728</v>
      </c>
      <c r="AG373" s="87">
        <f>(VLOOKUP($A:$A,USD!$A:$AL,33,FALSE)*88)/88*20</f>
        <v>28.814300000000003</v>
      </c>
      <c r="AH373" s="68">
        <f>(VLOOKUP($A:$A,USD!$A:$AL,34,FALSE)*88)/88*20</f>
        <v>6.973140495867769</v>
      </c>
      <c r="AI373" s="87">
        <f>(VLOOKUP($A:$A,USD!$A:$AL,35,FALSE)*88)/88*20</f>
        <v>12.587317427197677</v>
      </c>
      <c r="AJ373" s="87">
        <f>(VLOOKUP($A:$A,USD!$A:$AL,36,FALSE)*88)/88*20</f>
        <v>6.7351999999999999</v>
      </c>
      <c r="AL373" s="68">
        <f t="shared" si="50"/>
        <v>55.109957923065444</v>
      </c>
      <c r="AM373" s="87">
        <f>(VLOOKUP($A:$A,USD!$A:$AR,39,FALSE)*88)/88*20</f>
        <v>79.999999999999986</v>
      </c>
      <c r="AN373" s="68">
        <f>(VLOOKUP($A:$A,USD!$A:$AR,40,FALSE)*88)/88*20</f>
        <v>26.17808219178082</v>
      </c>
      <c r="AO373" s="1">
        <f>(VLOOKUP($A:$A,USD!$A:$AR,41,FALSE)*88)/88*20</f>
        <v>0</v>
      </c>
      <c r="AR373" s="1">
        <f t="shared" si="51"/>
        <v>106.1780821917808</v>
      </c>
      <c r="AS373" s="38">
        <f t="shared" si="52"/>
        <v>826.51777496333114</v>
      </c>
      <c r="AT373" s="38">
        <f t="shared" si="53"/>
        <v>1026.517774963331</v>
      </c>
      <c r="AW373" s="1" t="e">
        <f>(VLOOKUP(A:A,USD!A:AT,46,FALSE)*88)/88*20</f>
        <v>#N/A</v>
      </c>
      <c r="AX373" s="1">
        <f>(VLOOKUP(A:A,USD!A:AU,47,FALSE)*88)/88*20</f>
        <v>224.43181818181816</v>
      </c>
    </row>
    <row r="374" spans="1:50" hidden="1">
      <c r="A374" s="1">
        <v>998008</v>
      </c>
      <c r="B374" s="1" t="s">
        <v>813</v>
      </c>
      <c r="C374" s="1" t="s">
        <v>814</v>
      </c>
      <c r="D374" s="1" t="s">
        <v>324</v>
      </c>
      <c r="E374" s="1" t="str">
        <f>VLOOKUP(A:A,USD!A:E,5,FALSE)</f>
        <v>Eastern Rule 5</v>
      </c>
      <c r="F374" s="1" t="str">
        <f>VLOOKUP(A:A,USD!A:F,6,FALSE)</f>
        <v>ER5</v>
      </c>
      <c r="G374" s="1" t="str">
        <f>VLOOKUP(A:A,'Regions and Ports'!A:G,7,FALSE)</f>
        <v>Savannah</v>
      </c>
      <c r="H374" s="1">
        <f>VLOOKUP(A:A,USD!A:R,8,FALSE)</f>
        <v>1</v>
      </c>
      <c r="I374" s="87">
        <f>(VLOOKUP($A:$A,USD!$A:$AL,9,FALSE)*88)/88*20</f>
        <v>75</v>
      </c>
      <c r="J374" s="87">
        <f>(VLOOKUP($A:$A,USD!$A:$AL,10,FALSE)*88)/88*20</f>
        <v>100</v>
      </c>
      <c r="K374" s="87">
        <f>(VLOOKUP($A:$A,USD!$A:$AL,11,FALSE)*88)/88*20</f>
        <v>0</v>
      </c>
      <c r="L374" s="87">
        <f>(VLOOKUP($A:$A,USD!$A:$AL,12,FALSE)*88)/88*20</f>
        <v>0</v>
      </c>
      <c r="M374" s="87">
        <f>(VLOOKUP($A:$A,USD!$A:$AL,13,FALSE)*88)/88*20</f>
        <v>15</v>
      </c>
      <c r="N374" s="87">
        <f>(VLOOKUP($A:$A,USD!$A:$AL,14,FALSE)*88)/88*20</f>
        <v>35.600000000000009</v>
      </c>
      <c r="O374" s="68">
        <f>(VLOOKUP($A:$A,USD!$A:$AL,15,FALSE)*88)/88*20</f>
        <v>37.916666666666671</v>
      </c>
      <c r="P374" s="87">
        <f>(VLOOKUP($A:$A,USD!$A:$AL,16,FALSE)*88)/88*20</f>
        <v>0</v>
      </c>
      <c r="Q374" s="68">
        <f t="shared" si="45"/>
        <v>263.51666666666671</v>
      </c>
      <c r="R374" s="68">
        <f t="shared" si="46"/>
        <v>73.51666666666668</v>
      </c>
      <c r="S374" s="68">
        <f>(VLOOKUP($A:$A,USD!$A:$AL,19,FALSE)*88)/88*20</f>
        <v>0</v>
      </c>
      <c r="T374" s="68">
        <f>(VLOOKUP($A:$A,USD!$A:$AL,20,FALSE)*88)/88*20</f>
        <v>0</v>
      </c>
      <c r="U374" s="68">
        <f>(VLOOKUP($A:$A,USD!$A:$AL,21,FALSE)*88)/88*20</f>
        <v>314.2409090909091</v>
      </c>
      <c r="V374" s="68"/>
      <c r="W374" s="68">
        <f t="shared" si="47"/>
        <v>314.2409090909091</v>
      </c>
      <c r="X374" s="1">
        <f>(VLOOKUP($A:$A,USD!$A:$AL,24,FALSE)*88)/88*20</f>
        <v>52</v>
      </c>
      <c r="Y374" s="68">
        <f>(VLOOKUP($A:$A,USD!$A:$AL,25,FALSE)*88)/88*20</f>
        <v>50.4</v>
      </c>
      <c r="Z374" s="68">
        <f>(VLOOKUP($A:$A,USD!$A:$AL,26,FALSE)*88)/88*20</f>
        <v>26.25</v>
      </c>
      <c r="AB374" s="68">
        <f t="shared" si="48"/>
        <v>128.65</v>
      </c>
      <c r="AC374" s="68">
        <f>(VLOOKUP($A:$A,USD!$A:$AL,29,FALSE)*88)/88*20</f>
        <v>110.22727272727273</v>
      </c>
      <c r="AD374" s="68">
        <f>(VLOOKUP($A:$A,USD!$A:$AL,30,FALSE)*88)/88*20</f>
        <v>107.04545454545455</v>
      </c>
      <c r="AF374" s="68">
        <f t="shared" si="49"/>
        <v>217.27272727272728</v>
      </c>
      <c r="AG374" s="87">
        <f>(VLOOKUP($A:$A,USD!$A:$AL,33,FALSE)*88)/88*20</f>
        <v>28.814300000000003</v>
      </c>
      <c r="AH374" s="68">
        <f>(VLOOKUP($A:$A,USD!$A:$AL,34,FALSE)*88)/88*20</f>
        <v>6.973140495867769</v>
      </c>
      <c r="AI374" s="87">
        <f>(VLOOKUP($A:$A,USD!$A:$AL,35,FALSE)*88)/88*20</f>
        <v>12.587317427197677</v>
      </c>
      <c r="AJ374" s="87">
        <f>(VLOOKUP($A:$A,USD!$A:$AL,36,FALSE)*88)/88*20</f>
        <v>6.7351999999999999</v>
      </c>
      <c r="AL374" s="68">
        <f t="shared" si="50"/>
        <v>55.109957923065444</v>
      </c>
      <c r="AM374" s="87">
        <f>(VLOOKUP($A:$A,USD!$A:$AR,39,FALSE)*88)/88*20</f>
        <v>79.999999999999986</v>
      </c>
      <c r="AN374" s="68">
        <f>(VLOOKUP($A:$A,USD!$A:$AR,40,FALSE)*88)/88*20</f>
        <v>26.17808219178082</v>
      </c>
      <c r="AO374" s="1">
        <f>(VLOOKUP($A:$A,USD!$A:$AR,41,FALSE)*88)/88*20</f>
        <v>0</v>
      </c>
      <c r="AR374" s="1">
        <f t="shared" si="51"/>
        <v>106.1780821917808</v>
      </c>
      <c r="AS374" s="38">
        <f t="shared" si="52"/>
        <v>894.96834314514922</v>
      </c>
      <c r="AT374" s="38">
        <f t="shared" si="53"/>
        <v>1084.9683431451492</v>
      </c>
      <c r="AW374" s="1" t="e">
        <f>(VLOOKUP(A:A,USD!A:AT,46,FALSE)*88)/88*20</f>
        <v>#N/A</v>
      </c>
      <c r="AX374" s="1">
        <f>(VLOOKUP(A:A,USD!A:AU,47,FALSE)*88)/88*20</f>
        <v>285.7954545454545</v>
      </c>
    </row>
    <row r="375" spans="1:50" hidden="1">
      <c r="A375" s="1">
        <v>420002</v>
      </c>
      <c r="B375" s="1" t="s">
        <v>816</v>
      </c>
      <c r="C375" s="1" t="s">
        <v>817</v>
      </c>
      <c r="D375" s="1" t="s">
        <v>80</v>
      </c>
      <c r="E375" s="1" t="str">
        <f>VLOOKUP(A:A,USD!A:E,5,FALSE)</f>
        <v>Memphis Rule 5</v>
      </c>
      <c r="F375" s="1" t="str">
        <f>VLOOKUP(A:A,USD!A:F,6,FALSE)</f>
        <v>MR5</v>
      </c>
      <c r="G375" s="1" t="str">
        <f>VLOOKUP(A:A,'Regions and Ports'!A:G,7,FALSE)</f>
        <v>Houston</v>
      </c>
      <c r="H375" s="1">
        <f>VLOOKUP(A:A,USD!A:R,8,FALSE)</f>
        <v>1</v>
      </c>
      <c r="I375" s="87">
        <f>(VLOOKUP($A:$A,USD!$A:$AL,9,FALSE)*88)/88*20</f>
        <v>106</v>
      </c>
      <c r="J375" s="87">
        <f>(VLOOKUP($A:$A,USD!$A:$AL,10,FALSE)*88)/88*20</f>
        <v>180</v>
      </c>
      <c r="K375" s="87">
        <f>(VLOOKUP($A:$A,USD!$A:$AL,11,FALSE)*88)/88*20</f>
        <v>160</v>
      </c>
      <c r="L375" s="87">
        <f>(VLOOKUP($A:$A,USD!$A:$AL,12,FALSE)*88)/88*20</f>
        <v>0</v>
      </c>
      <c r="M375" s="87">
        <f>(VLOOKUP($A:$A,USD!$A:$AL,13,FALSE)*88)/88*20</f>
        <v>0</v>
      </c>
      <c r="N375" s="87">
        <f>(VLOOKUP($A:$A,USD!$A:$AL,14,FALSE)*88)/88*20</f>
        <v>70</v>
      </c>
      <c r="O375" s="68">
        <f>(VLOOKUP($A:$A,USD!$A:$AL,15,FALSE)*88)/88*20</f>
        <v>37.916666666666671</v>
      </c>
      <c r="P375" s="87">
        <f>(VLOOKUP($A:$A,USD!$A:$AL,16,FALSE)*88)/88*20</f>
        <v>0</v>
      </c>
      <c r="Q375" s="68">
        <f t="shared" si="45"/>
        <v>553.91666666666663</v>
      </c>
      <c r="R375" s="68">
        <f t="shared" si="46"/>
        <v>107.91666666666667</v>
      </c>
      <c r="S375" s="68">
        <f>(VLOOKUP($A:$A,USD!$A:$AL,19,FALSE)*88)/88*20</f>
        <v>0</v>
      </c>
      <c r="T375" s="68">
        <f>(VLOOKUP($A:$A,USD!$A:$AL,20,FALSE)*88)/88*20</f>
        <v>0</v>
      </c>
      <c r="U375" s="68">
        <f>(VLOOKUP($A:$A,USD!$A:$AL,21,FALSE)*88)/88*20</f>
        <v>318.18181818181819</v>
      </c>
      <c r="V375" s="68"/>
      <c r="W375" s="68">
        <f t="shared" si="47"/>
        <v>318.18181818181819</v>
      </c>
      <c r="X375" s="1">
        <f>(VLOOKUP($A:$A,USD!$A:$AL,24,FALSE)*88)/88*20</f>
        <v>54</v>
      </c>
      <c r="Y375" s="68">
        <f>(VLOOKUP($A:$A,USD!$A:$AL,25,FALSE)*88)/88*20</f>
        <v>50.4</v>
      </c>
      <c r="Z375" s="68">
        <f>(VLOOKUP($A:$A,USD!$A:$AL,26,FALSE)*88)/88*20</f>
        <v>26.25</v>
      </c>
      <c r="AB375" s="68">
        <f t="shared" si="48"/>
        <v>130.65</v>
      </c>
      <c r="AC375" s="68">
        <f>(VLOOKUP($A:$A,USD!$A:$AL,29,FALSE)*88)/88*20</f>
        <v>132.95454545454544</v>
      </c>
      <c r="AD375" s="68">
        <f>(VLOOKUP($A:$A,USD!$A:$AL,30,FALSE)*88)/88*20</f>
        <v>197.95454545454547</v>
      </c>
      <c r="AF375" s="68">
        <f t="shared" si="49"/>
        <v>330.90909090909088</v>
      </c>
      <c r="AG375" s="87">
        <f>(VLOOKUP($A:$A,USD!$A:$AL,33,FALSE)*88)/88*20</f>
        <v>28.814300000000003</v>
      </c>
      <c r="AH375" s="68">
        <f>(VLOOKUP($A:$A,USD!$A:$AL,34,FALSE)*88)/88*20</f>
        <v>6.973140495867769</v>
      </c>
      <c r="AI375" s="87">
        <f>(VLOOKUP($A:$A,USD!$A:$AL,35,FALSE)*88)/88*20</f>
        <v>12.587317427197677</v>
      </c>
      <c r="AJ375" s="87">
        <f>(VLOOKUP($A:$A,USD!$A:$AL,36,FALSE)*88)/88*20</f>
        <v>6.7351999999999999</v>
      </c>
      <c r="AL375" s="68">
        <f t="shared" si="50"/>
        <v>55.109957923065444</v>
      </c>
      <c r="AM375" s="87">
        <f>(VLOOKUP($A:$A,USD!$A:$AR,39,FALSE)*88)/88*20</f>
        <v>79.999999999999986</v>
      </c>
      <c r="AN375" s="68">
        <f>(VLOOKUP($A:$A,USD!$A:$AR,40,FALSE)*88)/88*20</f>
        <v>26.17808219178082</v>
      </c>
      <c r="AO375" s="1">
        <f>(VLOOKUP($A:$A,USD!$A:$AR,41,FALSE)*88)/88*20</f>
        <v>0</v>
      </c>
      <c r="AR375" s="1">
        <f t="shared" si="51"/>
        <v>106.1780821917808</v>
      </c>
      <c r="AS375" s="38">
        <f t="shared" si="52"/>
        <v>1048.945615872422</v>
      </c>
      <c r="AT375" s="38">
        <f t="shared" si="53"/>
        <v>1494.9456158724217</v>
      </c>
      <c r="AW375" s="1">
        <f>(VLOOKUP(A:A,USD!A:AT,46,FALSE)*88)/88*20</f>
        <v>353.9295454545454</v>
      </c>
      <c r="AX375" s="1">
        <f>(VLOOKUP(A:A,USD!A:AU,47,FALSE)*88)/88*20</f>
        <v>532.61363636363637</v>
      </c>
    </row>
  </sheetData>
  <autoFilter ref="A2:AX375" xr:uid="{380E761E-E649-4C60-96F0-B6345ECABDBE}">
    <filterColumn colId="3">
      <filters>
        <filter val="AL"/>
      </filters>
    </filterColumn>
  </autoFilter>
  <mergeCells count="7">
    <mergeCell ref="AS1:AT1"/>
    <mergeCell ref="H1:R1"/>
    <mergeCell ref="S1:W1"/>
    <mergeCell ref="X1:AB1"/>
    <mergeCell ref="AC1:AF1"/>
    <mergeCell ref="AG1:AL1"/>
    <mergeCell ref="AM1:AR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8060-5601-48AE-8538-2A9C8F34D0FE}">
  <dimension ref="A1:AU375"/>
  <sheetViews>
    <sheetView tabSelected="1" workbookViewId="0">
      <pane ySplit="2" topLeftCell="A33" activePane="bottomLeft" state="frozen"/>
      <selection pane="bottomLeft" activeCell="AR59" sqref="AR59"/>
    </sheetView>
  </sheetViews>
  <sheetFormatPr defaultColWidth="9.1796875" defaultRowHeight="12" outlineLevelCol="1"/>
  <cols>
    <col min="1" max="1" width="9" style="1" bestFit="1" customWidth="1"/>
    <col min="2" max="2" width="11.1796875" style="1" customWidth="1"/>
    <col min="3" max="3" width="12.1796875" style="1" bestFit="1" customWidth="1"/>
    <col min="4" max="4" width="4.7265625" style="1" bestFit="1" customWidth="1"/>
    <col min="5" max="5" width="9.1796875" style="1"/>
    <col min="6" max="6" width="5.453125" style="1" bestFit="1" customWidth="1"/>
    <col min="7" max="7" width="9.1796875" style="1"/>
    <col min="8" max="8" width="5.453125" style="87" customWidth="1" outlineLevel="1"/>
    <col min="9" max="16" width="10" style="1" customWidth="1" outlineLevel="1"/>
    <col min="17" max="17" width="9.1796875" style="1" customWidth="1" outlineLevel="1"/>
    <col min="18" max="18" width="10" style="1" bestFit="1" customWidth="1"/>
    <col min="19" max="22" width="9.1796875" style="1" customWidth="1" outlineLevel="1"/>
    <col min="23" max="23" width="9.1796875" style="1"/>
    <col min="24" max="27" width="9.1796875" style="87" hidden="1" customWidth="1" outlineLevel="1"/>
    <col min="28" max="28" width="9.1796875" style="87" collapsed="1"/>
    <col min="29" max="31" width="9.1796875" style="1" customWidth="1" outlineLevel="1"/>
    <col min="32" max="32" width="9.1796875" style="1"/>
    <col min="33" max="37" width="9.1796875" style="1" hidden="1" customWidth="1" outlineLevel="1"/>
    <col min="38" max="38" width="9.1796875" style="1" collapsed="1"/>
    <col min="39" max="40" width="9.1796875" style="1" customWidth="1" outlineLevel="1"/>
    <col min="41" max="41" width="6.1796875" style="1" customWidth="1" outlineLevel="1"/>
    <col min="42" max="42" width="6.54296875" style="1" customWidth="1" outlineLevel="1"/>
    <col min="43" max="43" width="9.1796875" style="1" customWidth="1" outlineLevel="1"/>
    <col min="44" max="16384" width="9.1796875" style="1"/>
  </cols>
  <sheetData>
    <row r="1" spans="1:47" ht="12.75" customHeight="1" thickBot="1">
      <c r="H1" s="700" t="s">
        <v>0</v>
      </c>
      <c r="I1" s="701"/>
      <c r="J1" s="701"/>
      <c r="K1" s="701"/>
      <c r="L1" s="701"/>
      <c r="M1" s="701"/>
      <c r="N1" s="701"/>
      <c r="O1" s="701"/>
      <c r="P1" s="701"/>
      <c r="Q1" s="701"/>
      <c r="R1" s="702"/>
      <c r="S1" s="703" t="s">
        <v>1</v>
      </c>
      <c r="T1" s="704"/>
      <c r="U1" s="704"/>
      <c r="V1" s="704"/>
      <c r="W1" s="705"/>
      <c r="X1" s="706" t="s">
        <v>2</v>
      </c>
      <c r="Y1" s="707"/>
      <c r="Z1" s="707"/>
      <c r="AA1" s="707"/>
      <c r="AB1" s="708"/>
      <c r="AC1" s="709" t="s">
        <v>3</v>
      </c>
      <c r="AD1" s="709"/>
      <c r="AE1" s="709"/>
      <c r="AF1" s="699"/>
      <c r="AG1" s="710" t="s">
        <v>4</v>
      </c>
      <c r="AH1" s="711"/>
      <c r="AI1" s="711"/>
      <c r="AJ1" s="711"/>
      <c r="AK1" s="711"/>
      <c r="AL1" s="712"/>
      <c r="AM1" s="713" t="s">
        <v>5</v>
      </c>
      <c r="AN1" s="714"/>
      <c r="AO1" s="714"/>
      <c r="AP1" s="714"/>
      <c r="AQ1" s="714"/>
      <c r="AR1" s="715"/>
      <c r="AT1" s="2" t="s">
        <v>6</v>
      </c>
      <c r="AU1" s="559" t="s">
        <v>698</v>
      </c>
    </row>
    <row r="2" spans="1:47" s="87" customFormat="1" ht="12.5" thickBot="1">
      <c r="A2" s="376" t="s">
        <v>7</v>
      </c>
      <c r="B2" s="377" t="s">
        <v>8</v>
      </c>
      <c r="C2" s="377" t="s">
        <v>9</v>
      </c>
      <c r="D2" s="377" t="s">
        <v>10</v>
      </c>
      <c r="E2" s="377" t="s">
        <v>11</v>
      </c>
      <c r="F2" s="377" t="s">
        <v>12</v>
      </c>
      <c r="G2" s="377" t="s">
        <v>13</v>
      </c>
      <c r="H2" s="378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28</v>
      </c>
      <c r="P2" s="3" t="s">
        <v>21</v>
      </c>
      <c r="Q2" s="377" t="s">
        <v>2102</v>
      </c>
      <c r="R2" s="375" t="s">
        <v>22</v>
      </c>
      <c r="S2" s="379" t="s">
        <v>23</v>
      </c>
      <c r="T2" s="379" t="s">
        <v>2096</v>
      </c>
      <c r="U2" s="379" t="s">
        <v>25</v>
      </c>
      <c r="V2" s="379"/>
      <c r="W2" s="380" t="s">
        <v>26</v>
      </c>
      <c r="X2" s="376" t="s">
        <v>27</v>
      </c>
      <c r="Y2" s="377" t="s">
        <v>20</v>
      </c>
      <c r="Z2" s="377" t="s">
        <v>28</v>
      </c>
      <c r="AA2" s="377"/>
      <c r="AB2" s="381" t="s">
        <v>29</v>
      </c>
      <c r="AC2" s="382" t="s">
        <v>30</v>
      </c>
      <c r="AD2" s="382" t="s">
        <v>31</v>
      </c>
      <c r="AE2" s="382"/>
      <c r="AF2" s="50" t="s">
        <v>32</v>
      </c>
      <c r="AG2" s="383" t="s">
        <v>33</v>
      </c>
      <c r="AH2" s="384" t="s">
        <v>34</v>
      </c>
      <c r="AI2" s="384" t="s">
        <v>35</v>
      </c>
      <c r="AJ2" s="384" t="s">
        <v>36</v>
      </c>
      <c r="AK2" s="384"/>
      <c r="AL2" s="55" t="s">
        <v>37</v>
      </c>
      <c r="AM2" s="385" t="s">
        <v>38</v>
      </c>
      <c r="AN2" s="386" t="s">
        <v>2183</v>
      </c>
      <c r="AO2" s="386" t="s">
        <v>39</v>
      </c>
      <c r="AP2" s="386"/>
      <c r="AQ2" s="386"/>
      <c r="AR2" s="56" t="s">
        <v>40</v>
      </c>
      <c r="AT2" s="6" t="s">
        <v>25</v>
      </c>
      <c r="AU2" s="560" t="s">
        <v>25</v>
      </c>
    </row>
    <row r="3" spans="1:47">
      <c r="A3" s="1">
        <v>520</v>
      </c>
      <c r="B3" s="1" t="s">
        <v>63</v>
      </c>
      <c r="C3" s="1" t="s">
        <v>64</v>
      </c>
      <c r="D3" s="1" t="s">
        <v>65</v>
      </c>
      <c r="E3" s="1" t="str">
        <f>VLOOKUP(A:A,'Regions and Ports'!A:G,5,FALSE)</f>
        <v>Eastern Rule 5</v>
      </c>
      <c r="F3" s="1" t="str">
        <f>VLOOKUP(A:A,'Regions and Ports'!A:F,6,FALSE)</f>
        <v>ER5</v>
      </c>
      <c r="G3" s="1" t="str">
        <f>VLOOKUP(A:A,'Regions and Ports'!A:G,7,FALSE)</f>
        <v>Savannah</v>
      </c>
      <c r="H3" s="87">
        <v>1</v>
      </c>
      <c r="I3" s="69">
        <f>VLOOKUP(A:A,'Seam Tariffs'!A:AB,9,FALSE)</f>
        <v>0</v>
      </c>
      <c r="J3" s="69">
        <f>VLOOKUP(A:A,'Seam Tariffs'!A:AB,11,FALSE)</f>
        <v>7</v>
      </c>
      <c r="K3" s="69">
        <f>VLOOKUP(A:A,'Seam Tariffs'!A:AB,12,FALSE)</f>
        <v>0</v>
      </c>
      <c r="L3" s="69">
        <f>VLOOKUP(A:A,'Seam Tariffs'!A:AB,13,FALSE)</f>
        <v>0</v>
      </c>
      <c r="M3" s="69">
        <f>VLOOKUP(A:A,'Seam Tariffs'!A:AB,14,FALSE)</f>
        <v>0.5</v>
      </c>
      <c r="N3" s="69">
        <f>VLOOKUP(A:A,'Seam Tariffs'!A:AB,28,FALSE)</f>
        <v>3.5</v>
      </c>
      <c r="O3" s="69">
        <f>COSTS!$W$6</f>
        <v>1.8958333333333335</v>
      </c>
      <c r="P3" s="69">
        <f>VLOOKUP(G3,COSTS!$V$11:$X$14,3,FALSE)</f>
        <v>0</v>
      </c>
      <c r="Q3" s="69">
        <f t="shared" ref="Q3:Q66" si="0">I3+J3+K3+L3+M3+N3+O3+P3</f>
        <v>12.895833333333334</v>
      </c>
      <c r="R3" s="69">
        <f t="shared" ref="R3:R66" si="1">IF(H3=1,SUM(N3),IF(H3=2,SUM(K3,N3),IF(H3=3,SUM(J3,K3,L3,N3),IF(H3=4,SUM(L3),"ERROR"))))+O3+P3</f>
        <v>5.3958333333333339</v>
      </c>
      <c r="S3" s="87">
        <f>VLOOKUP(A:A,'Flat Bed &amp; Late Fees'!A:J,6,FALSE)</f>
        <v>0</v>
      </c>
      <c r="T3" s="87">
        <f>VLOOKUP(A:A,'Flat Bed &amp; Late Fees'!A:J,7,FALSE)</f>
        <v>0</v>
      </c>
      <c r="U3" s="68">
        <f>VLOOKUP(C3&amp;G3,OTR!E:J,6,FALSE)/88</f>
        <v>13.59465909090909</v>
      </c>
      <c r="V3" s="87"/>
      <c r="W3" s="68">
        <f t="shared" ref="W3:W66" si="2">S3+T3+U3+V3</f>
        <v>13.59465909090909</v>
      </c>
      <c r="X3" s="69">
        <f>VLOOKUP(G3,COSTS!$Z$18:$AC$23,2,FALSE)</f>
        <v>2.6</v>
      </c>
      <c r="Y3" s="87">
        <f>VLOOKUP(G3,COSTS!$Z$18:$AC$23,4,FALSE)</f>
        <v>2.52</v>
      </c>
      <c r="Z3" s="69">
        <f>(COSTS!$W$3*COSTS!$W$4*500)/52*COSTS!$AE$17</f>
        <v>1.3125</v>
      </c>
      <c r="AB3" s="69">
        <f t="shared" ref="AB3:AB66" si="3">X3+Y3+Z3+AA3</f>
        <v>6.4325000000000001</v>
      </c>
      <c r="AC3" s="69">
        <f>VLOOKUP(G3,COSTS!$Z$11:$AE$14,5,FALSE)</f>
        <v>5.5113636363636367</v>
      </c>
      <c r="AD3" s="69">
        <f>VLOOKUP(G3,COSTS!$Z$4:$AD$7,4,FALSE)</f>
        <v>5.3522727272727275</v>
      </c>
      <c r="AE3" s="69"/>
      <c r="AF3" s="69">
        <f t="shared" ref="AF3:AF66" si="4">AC3+AD3+AE3</f>
        <v>10.863636363636363</v>
      </c>
      <c r="AG3" s="87">
        <f>((COSTS!$C$5*88)/20)/88</f>
        <v>1.4407150000000002</v>
      </c>
      <c r="AH3" s="69">
        <f>(COSTS!$X$38/88)*20</f>
        <v>0.34865702479338845</v>
      </c>
      <c r="AI3" s="87">
        <f>((COSTS!$E$5*88)/20)/88</f>
        <v>0.62936587135988387</v>
      </c>
      <c r="AJ3" s="87">
        <f>((COSTS!$D$5*88)/20)/88</f>
        <v>0.33676</v>
      </c>
      <c r="AL3" s="387">
        <f t="shared" ref="AL3:AL66" si="5">AG3+AH3+AI3+AJ3+AK3</f>
        <v>2.7554978961532726</v>
      </c>
      <c r="AM3" s="69">
        <f>(COSTS!$W$3+0.1)*500*0.01</f>
        <v>3.9999999999999996</v>
      </c>
      <c r="AN3" s="387">
        <f>((COSTS!$G$5/20)*88)/88</f>
        <v>1.308904109589041</v>
      </c>
      <c r="AR3" s="69">
        <f t="shared" ref="AR3:AR66" si="6">AM3+AN3+AO3+AP3+AQ3</f>
        <v>5.3089041095890401</v>
      </c>
      <c r="AT3" s="1" t="e">
        <f>VLOOKUP(C3&amp;$AT$1,OTR!E:J,6,FALSE)/88</f>
        <v>#N/A</v>
      </c>
      <c r="AU3" s="1">
        <f>VLOOKUP(C3&amp;$AU$1,OTR!E:J,6,FALSE)/88</f>
        <v>15.568181818181818</v>
      </c>
    </row>
    <row r="4" spans="1:47">
      <c r="A4" s="1">
        <v>810537</v>
      </c>
      <c r="B4" s="1" t="s">
        <v>69</v>
      </c>
      <c r="C4" s="1" t="s">
        <v>70</v>
      </c>
      <c r="D4" s="1" t="s">
        <v>71</v>
      </c>
      <c r="E4" s="1" t="str">
        <f>VLOOKUP(A:A,'Regions and Ports'!A:G,5,FALSE)</f>
        <v>WTX</v>
      </c>
      <c r="F4" s="1" t="str">
        <f>VLOOKUP(A:A,'Regions and Ports'!A:F,6,FALSE)</f>
        <v>WTX</v>
      </c>
      <c r="G4" s="1" t="str">
        <f>VLOOKUP(A:A,'Regions and Ports'!A:G,7,FALSE)</f>
        <v>Dallas</v>
      </c>
      <c r="H4" s="87">
        <v>2</v>
      </c>
      <c r="I4" s="69">
        <f>VLOOKUP(A:A,'Seam Tariffs'!A:AB,9,FALSE)</f>
        <v>4.75</v>
      </c>
      <c r="J4" s="69">
        <f>VLOOKUP(A:A,'Seam Tariffs'!A:AB,11,FALSE)</f>
        <v>6</v>
      </c>
      <c r="K4" s="69">
        <f>VLOOKUP(A:A,'Seam Tariffs'!A:AB,12,FALSE)</f>
        <v>10</v>
      </c>
      <c r="L4" s="69">
        <f>VLOOKUP(A:A,'Seam Tariffs'!A:AB,13,FALSE)</f>
        <v>0</v>
      </c>
      <c r="M4" s="69">
        <f>VLOOKUP(A:A,'Seam Tariffs'!A:AB,14,FALSE)</f>
        <v>0</v>
      </c>
      <c r="N4" s="69">
        <f>VLOOKUP(A:A,'Seam Tariffs'!A:AB,28,FALSE)</f>
        <v>2.5</v>
      </c>
      <c r="O4" s="69">
        <f>COSTS!$W$6</f>
        <v>1.8958333333333335</v>
      </c>
      <c r="P4" s="69">
        <f>VLOOKUP(G4,COSTS!$V$11:$X$14,3,FALSE)</f>
        <v>0</v>
      </c>
      <c r="Q4" s="69">
        <f t="shared" si="0"/>
        <v>25.145833333333332</v>
      </c>
      <c r="R4" s="69">
        <f t="shared" si="1"/>
        <v>14.395833333333334</v>
      </c>
      <c r="S4" s="87">
        <f>VLOOKUP(A:A,'Flat Bed &amp; Late Fees'!A:J,6,FALSE)</f>
        <v>0</v>
      </c>
      <c r="T4" s="87">
        <f>VLOOKUP(A:A,'Flat Bed &amp; Late Fees'!A:J,7,FALSE)</f>
        <v>0</v>
      </c>
      <c r="U4" s="68">
        <f>VLOOKUP(C4&amp;G4,OTR!E:J,6,FALSE)/88</f>
        <v>9.7727272727272734</v>
      </c>
      <c r="V4" s="87"/>
      <c r="W4" s="68">
        <f t="shared" si="2"/>
        <v>9.7727272727272734</v>
      </c>
      <c r="X4" s="69">
        <f>VLOOKUP(G4,COSTS!$Z$18:$AC$23,2,FALSE)</f>
        <v>2.7</v>
      </c>
      <c r="Y4" s="87">
        <f>VLOOKUP(G4,COSTS!$Z$18:$AC$23,4,FALSE)</f>
        <v>2.52</v>
      </c>
      <c r="Z4" s="69">
        <f>(COSTS!$W$3*COSTS!$W$4*500)/52*COSTS!$AE$17</f>
        <v>1.3125</v>
      </c>
      <c r="AB4" s="69">
        <f t="shared" si="3"/>
        <v>6.5325000000000006</v>
      </c>
      <c r="AC4" s="69">
        <f>VLOOKUP(G4,COSTS!$Z$11:$AE$14,5,FALSE)</f>
        <v>8.125</v>
      </c>
      <c r="AD4" s="69">
        <f>VLOOKUP(G4,COSTS!$Z$4:$AD$7,4,FALSE)</f>
        <v>13.409090909090908</v>
      </c>
      <c r="AE4" s="69"/>
      <c r="AF4" s="69">
        <f t="shared" si="4"/>
        <v>21.534090909090907</v>
      </c>
      <c r="AG4" s="87">
        <f>((COSTS!$C$5*88)/20)/88</f>
        <v>1.4407150000000002</v>
      </c>
      <c r="AH4" s="69">
        <f>(COSTS!$X$38/88)*20</f>
        <v>0.34865702479338845</v>
      </c>
      <c r="AI4" s="87">
        <f>((COSTS!$E$5*88)/20)/88</f>
        <v>0.62936587135988387</v>
      </c>
      <c r="AJ4" s="87">
        <f>((COSTS!$D$5*88)/20)/88</f>
        <v>0.33676</v>
      </c>
      <c r="AL4" s="387">
        <f t="shared" si="5"/>
        <v>2.7554978961532726</v>
      </c>
      <c r="AM4" s="69">
        <f>(COSTS!$W$3+0.1)*500*0.01</f>
        <v>3.9999999999999996</v>
      </c>
      <c r="AN4" s="387">
        <f>((COSTS!$G$5/20)*88)/88</f>
        <v>1.308904109589041</v>
      </c>
      <c r="AR4" s="69">
        <f t="shared" si="6"/>
        <v>5.3089041095890401</v>
      </c>
      <c r="AT4" s="1">
        <f>VLOOKUP(C4&amp;$AT$1,OTR!E:J,6,FALSE)/88</f>
        <v>18.032954545454544</v>
      </c>
      <c r="AU4" s="1" t="e">
        <f>VLOOKUP(C4&amp;$AU$1,OTR!E:J,6,FALSE)/88</f>
        <v>#N/A</v>
      </c>
    </row>
    <row r="5" spans="1:47">
      <c r="A5" s="125">
        <v>810537</v>
      </c>
      <c r="B5" s="1" t="s">
        <v>69</v>
      </c>
      <c r="C5" s="1" t="s">
        <v>70</v>
      </c>
      <c r="D5" s="1" t="s">
        <v>71</v>
      </c>
      <c r="E5" s="1" t="s">
        <v>2067</v>
      </c>
      <c r="F5" s="1" t="str">
        <f>VLOOKUP(A:A,'Regions and Ports'!A:F,6,FALSE)</f>
        <v>WTX</v>
      </c>
      <c r="G5" s="1" t="s">
        <v>439</v>
      </c>
      <c r="H5" s="87">
        <v>2</v>
      </c>
      <c r="I5" s="69">
        <f>VLOOKUP(A:A,'Seam Tariffs'!A:AB,9,FALSE)</f>
        <v>4.75</v>
      </c>
      <c r="J5" s="69">
        <f>VLOOKUP(A:A,'Seam Tariffs'!A:AB,11,FALSE)</f>
        <v>6</v>
      </c>
      <c r="K5" s="69">
        <f>VLOOKUP(A:A,'Seam Tariffs'!A:AB,12,FALSE)</f>
        <v>10</v>
      </c>
      <c r="L5" s="69">
        <f>VLOOKUP(A:A,'Seam Tariffs'!A:AB,13,FALSE)</f>
        <v>0</v>
      </c>
      <c r="M5" s="69">
        <f>VLOOKUP(A:A,'Seam Tariffs'!A:AB,14,FALSE)</f>
        <v>0</v>
      </c>
      <c r="N5" s="69">
        <f>VLOOKUP(A:A,'Seam Tariffs'!A:AB,28,FALSE)</f>
        <v>2.5</v>
      </c>
      <c r="O5" s="69">
        <f>COSTS!$W$6</f>
        <v>1.8958333333333335</v>
      </c>
      <c r="P5" s="69">
        <f>VLOOKUP(G5,COSTS!$V$11:$X$14,3,FALSE)</f>
        <v>0</v>
      </c>
      <c r="Q5" s="69">
        <f t="shared" si="0"/>
        <v>25.145833333333332</v>
      </c>
      <c r="R5" s="69">
        <f t="shared" si="1"/>
        <v>14.395833333333334</v>
      </c>
      <c r="S5" s="87">
        <f>VLOOKUP(A:A,'Flat Bed &amp; Late Fees'!A:J,6,FALSE)</f>
        <v>0</v>
      </c>
      <c r="T5" s="87">
        <f>VLOOKUP(A:A,'Flat Bed &amp; Late Fees'!A:J,7,FALSE)</f>
        <v>0</v>
      </c>
      <c r="U5" s="68">
        <f>VLOOKUP(C5&amp;G5,OTR!E:J,6,FALSE)/88</f>
        <v>15.056818181818182</v>
      </c>
      <c r="V5" s="87"/>
      <c r="W5" s="68">
        <f t="shared" si="2"/>
        <v>15.056818181818182</v>
      </c>
      <c r="X5" s="69">
        <f>VLOOKUP(G5,COSTS!$Z$18:$AC$23,2,FALSE)</f>
        <v>2.7</v>
      </c>
      <c r="Y5" s="87">
        <f>VLOOKUP(G5,COSTS!$Z$18:$AC$23,4,FALSE)</f>
        <v>2.52</v>
      </c>
      <c r="Z5" s="69">
        <f>(COSTS!$W$3*COSTS!$W$4*500)/52*COSTS!$AE$17</f>
        <v>1.3125</v>
      </c>
      <c r="AB5" s="69">
        <f t="shared" si="3"/>
        <v>6.5325000000000006</v>
      </c>
      <c r="AC5" s="69">
        <f>VLOOKUP(G5,COSTS!$Z$11:$AE$14,5,FALSE)</f>
        <v>6.6477272727272725</v>
      </c>
      <c r="AD5" s="69">
        <f>VLOOKUP(G5,COSTS!$Z$4:$AD$7,4,FALSE)</f>
        <v>9.8977272727272734</v>
      </c>
      <c r="AE5" s="69"/>
      <c r="AF5" s="69">
        <f t="shared" si="4"/>
        <v>16.545454545454547</v>
      </c>
      <c r="AG5" s="87">
        <f>((COSTS!$C$5*88)/20)/88</f>
        <v>1.4407150000000002</v>
      </c>
      <c r="AH5" s="69">
        <f>(COSTS!$X$38/88)*20</f>
        <v>0.34865702479338845</v>
      </c>
      <c r="AI5" s="87">
        <f>((COSTS!$E$5*88)/20)/88</f>
        <v>0.62936587135988387</v>
      </c>
      <c r="AJ5" s="87">
        <f>((COSTS!$D$5*88)/20)/88</f>
        <v>0.33676</v>
      </c>
      <c r="AL5" s="387">
        <f t="shared" si="5"/>
        <v>2.7554978961532726</v>
      </c>
      <c r="AM5" s="69">
        <f>(COSTS!$W$3+0.1)*500*0.01</f>
        <v>3.9999999999999996</v>
      </c>
      <c r="AN5" s="387">
        <f>((COSTS!$G$5/20)*88)/88</f>
        <v>1.308904109589041</v>
      </c>
      <c r="AR5" s="69">
        <f t="shared" si="6"/>
        <v>5.3089041095890401</v>
      </c>
      <c r="AT5" s="1">
        <f>VLOOKUP(C5&amp;$AT$1,OTR!E:J,6,FALSE)/88</f>
        <v>18.032954545454544</v>
      </c>
      <c r="AU5" s="1" t="e">
        <f>VLOOKUP(C5&amp;$AU$1,OTR!E:J,6,FALSE)/88</f>
        <v>#N/A</v>
      </c>
    </row>
    <row r="6" spans="1:47">
      <c r="A6" s="1">
        <v>213008</v>
      </c>
      <c r="B6" s="1" t="s">
        <v>74</v>
      </c>
      <c r="C6" s="1" t="s">
        <v>75</v>
      </c>
      <c r="D6" s="1" t="s">
        <v>76</v>
      </c>
      <c r="E6" s="1" t="str">
        <f>VLOOKUP(A:A,'Regions and Ports'!A:G,5,FALSE)</f>
        <v>GA 30 Day</v>
      </c>
      <c r="F6" s="1" t="str">
        <f>VLOOKUP(A:A,'Regions and Ports'!A:F,6,FALSE)</f>
        <v>ER5</v>
      </c>
      <c r="G6" s="1" t="str">
        <f>VLOOKUP(A:A,'Regions and Ports'!A:G,7,FALSE)</f>
        <v>Savannah</v>
      </c>
      <c r="H6" s="87">
        <v>4</v>
      </c>
      <c r="I6" s="69">
        <f>VLOOKUP(A:A,'Seam Tariffs'!A:AB,9,FALSE)</f>
        <v>3.5</v>
      </c>
      <c r="J6" s="69">
        <f>VLOOKUP(A:A,'Seam Tariffs'!A:AB,11,FALSE)</f>
        <v>6.5</v>
      </c>
      <c r="K6" s="69">
        <f>VLOOKUP(A:A,'Seam Tariffs'!A:AB,12,FALSE)</f>
        <v>0</v>
      </c>
      <c r="L6" s="69">
        <f>VLOOKUP(A:A,'Seam Tariffs'!A:AB,13,FALSE)</f>
        <v>0</v>
      </c>
      <c r="M6" s="69">
        <f>VLOOKUP(A:A,'Seam Tariffs'!A:AB,14,FALSE)</f>
        <v>0</v>
      </c>
      <c r="N6" s="69">
        <f>VLOOKUP(A:A,'Seam Tariffs'!A:AB,28,FALSE)</f>
        <v>2.75</v>
      </c>
      <c r="O6" s="69">
        <f>COSTS!$W$6</f>
        <v>1.8958333333333335</v>
      </c>
      <c r="P6" s="69">
        <f>VLOOKUP(G6,COSTS!$V$11:$X$14,3,FALSE)</f>
        <v>0</v>
      </c>
      <c r="Q6" s="69">
        <f t="shared" si="0"/>
        <v>14.645833333333334</v>
      </c>
      <c r="R6" s="69">
        <f t="shared" si="1"/>
        <v>1.8958333333333335</v>
      </c>
      <c r="S6" s="87">
        <f>VLOOKUP(A:A,'Flat Bed &amp; Late Fees'!A:J,6,FALSE)</f>
        <v>0</v>
      </c>
      <c r="T6" s="87">
        <f>VLOOKUP(A:A,'Flat Bed &amp; Late Fees'!A:J,7,FALSE)</f>
        <v>0</v>
      </c>
      <c r="U6" s="68">
        <f>VLOOKUP(C6&amp;G6,OTR!E:J,6,FALSE)/88</f>
        <v>11.383181818181818</v>
      </c>
      <c r="V6" s="87"/>
      <c r="W6" s="68">
        <f t="shared" si="2"/>
        <v>11.383181818181818</v>
      </c>
      <c r="X6" s="69">
        <f>VLOOKUP(G6,COSTS!$Z$18:$AC$23,2,FALSE)</f>
        <v>2.6</v>
      </c>
      <c r="Y6" s="87">
        <f>VLOOKUP(G6,COSTS!$Z$18:$AC$23,4,FALSE)</f>
        <v>2.52</v>
      </c>
      <c r="Z6" s="69">
        <f>(COSTS!$W$3*COSTS!$W$4*500)/52*COSTS!$AE$17</f>
        <v>1.3125</v>
      </c>
      <c r="AB6" s="69">
        <f t="shared" si="3"/>
        <v>6.4325000000000001</v>
      </c>
      <c r="AC6" s="69">
        <f>VLOOKUP(G6,COSTS!$Z$11:$AE$14,5,FALSE)</f>
        <v>5.5113636363636367</v>
      </c>
      <c r="AD6" s="69">
        <f>VLOOKUP(G6,COSTS!$Z$4:$AD$7,4,FALSE)</f>
        <v>5.3522727272727275</v>
      </c>
      <c r="AE6" s="69"/>
      <c r="AF6" s="69">
        <f t="shared" si="4"/>
        <v>10.863636363636363</v>
      </c>
      <c r="AG6" s="87">
        <f>((COSTS!$C$5*88)/20)/88</f>
        <v>1.4407150000000002</v>
      </c>
      <c r="AH6" s="69">
        <f>(COSTS!$X$38/88)*20</f>
        <v>0.34865702479338845</v>
      </c>
      <c r="AI6" s="87">
        <f>((COSTS!$E$5*88)/20)/88</f>
        <v>0.62936587135988387</v>
      </c>
      <c r="AJ6" s="87">
        <f>((COSTS!$D$5*88)/20)/88</f>
        <v>0.33676</v>
      </c>
      <c r="AL6" s="387">
        <f t="shared" si="5"/>
        <v>2.7554978961532726</v>
      </c>
      <c r="AM6" s="69">
        <f>(COSTS!$W$3+0.1)*500*0.01</f>
        <v>3.9999999999999996</v>
      </c>
      <c r="AN6" s="387">
        <f>((COSTS!$G$5/20)*88)/88</f>
        <v>1.308904109589041</v>
      </c>
      <c r="AR6" s="69">
        <f t="shared" si="6"/>
        <v>5.3089041095890401</v>
      </c>
      <c r="AT6" s="1">
        <f>VLOOKUP(C6&amp;$AT$1,OTR!E:J,6,FALSE)/88</f>
        <v>22.759659090909089</v>
      </c>
      <c r="AU6" s="1">
        <f>VLOOKUP(C6&amp;$AU$1,OTR!E:J,6,FALSE)/88</f>
        <v>15.3125</v>
      </c>
    </row>
    <row r="7" spans="1:47">
      <c r="A7" s="1">
        <v>400510</v>
      </c>
      <c r="B7" s="1" t="s">
        <v>78</v>
      </c>
      <c r="C7" s="1" t="s">
        <v>79</v>
      </c>
      <c r="D7" s="1" t="s">
        <v>80</v>
      </c>
      <c r="E7" s="1" t="str">
        <f>VLOOKUP(A:A,'Regions and Ports'!A:G,5,FALSE)</f>
        <v>Memphis Rule 5</v>
      </c>
      <c r="F7" s="1" t="str">
        <f>VLOOKUP(A:A,'Regions and Ports'!A:F,6,FALSE)</f>
        <v>MR5</v>
      </c>
      <c r="G7" s="1" t="str">
        <f>VLOOKUP(A:A,'Regions and Ports'!A:G,7,FALSE)</f>
        <v>Houston</v>
      </c>
      <c r="H7" s="87">
        <v>1</v>
      </c>
      <c r="I7" s="69">
        <f>VLOOKUP(A:A,'Seam Tariffs'!A:AB,9,FALSE)</f>
        <v>5.35</v>
      </c>
      <c r="J7" s="69">
        <f>VLOOKUP(A:A,'Seam Tariffs'!A:AB,11,FALSE)</f>
        <v>9</v>
      </c>
      <c r="K7" s="69">
        <f>VLOOKUP(A:A,'Seam Tariffs'!A:AB,12,FALSE)</f>
        <v>8.5</v>
      </c>
      <c r="L7" s="69">
        <f>VLOOKUP(A:A,'Seam Tariffs'!A:AB,13,FALSE)</f>
        <v>0</v>
      </c>
      <c r="M7" s="69">
        <f>VLOOKUP(A:A,'Seam Tariffs'!A:AB,14,FALSE)</f>
        <v>0</v>
      </c>
      <c r="N7" s="69">
        <f>VLOOKUP(A:A,'Seam Tariffs'!A:AB,28,FALSE)</f>
        <v>3.5</v>
      </c>
      <c r="O7" s="69">
        <f>COSTS!$W$6</f>
        <v>1.8958333333333335</v>
      </c>
      <c r="P7" s="69">
        <f>VLOOKUP(G7,COSTS!$V$11:$X$14,3,FALSE)</f>
        <v>0</v>
      </c>
      <c r="Q7" s="69">
        <f t="shared" si="0"/>
        <v>28.245833333333334</v>
      </c>
      <c r="R7" s="69">
        <f t="shared" si="1"/>
        <v>5.3958333333333339</v>
      </c>
      <c r="S7" s="87">
        <f>VLOOKUP(A:A,'Flat Bed &amp; Late Fees'!A:J,6,FALSE)</f>
        <v>0</v>
      </c>
      <c r="T7" s="87">
        <f>VLOOKUP(A:A,'Flat Bed &amp; Late Fees'!A:J,7,FALSE)</f>
        <v>0</v>
      </c>
      <c r="U7" s="68">
        <f>VLOOKUP(C7&amp;G7,OTR!E:J,6,FALSE)/88</f>
        <v>32.954545454545453</v>
      </c>
      <c r="V7" s="87"/>
      <c r="W7" s="68">
        <f t="shared" si="2"/>
        <v>32.954545454545453</v>
      </c>
      <c r="X7" s="69">
        <f>VLOOKUP(G7,COSTS!$Z$18:$AC$23,2,FALSE)</f>
        <v>2.7</v>
      </c>
      <c r="Y7" s="87">
        <f>VLOOKUP(G7,COSTS!$Z$18:$AC$23,4,FALSE)</f>
        <v>2.52</v>
      </c>
      <c r="Z7" s="69">
        <f>(COSTS!$W$3*COSTS!$W$4*500)/52*COSTS!$AE$17</f>
        <v>1.3125</v>
      </c>
      <c r="AB7" s="69">
        <f t="shared" si="3"/>
        <v>6.5325000000000006</v>
      </c>
      <c r="AC7" s="69">
        <f>VLOOKUP(G7,COSTS!$Z$11:$AE$14,5,FALSE)</f>
        <v>6.6477272727272725</v>
      </c>
      <c r="AD7" s="69">
        <f>VLOOKUP(G7,COSTS!$Z$4:$AD$7,4,FALSE)</f>
        <v>9.8977272727272734</v>
      </c>
      <c r="AE7" s="69"/>
      <c r="AF7" s="69">
        <f t="shared" si="4"/>
        <v>16.545454545454547</v>
      </c>
      <c r="AG7" s="87">
        <f>((COSTS!$C$5*88)/20)/88</f>
        <v>1.4407150000000002</v>
      </c>
      <c r="AH7" s="69">
        <f>(COSTS!$X$38/88)*20</f>
        <v>0.34865702479338845</v>
      </c>
      <c r="AI7" s="87">
        <f>((COSTS!$E$5*88)/20)/88</f>
        <v>0.62936587135988387</v>
      </c>
      <c r="AJ7" s="87">
        <f>((COSTS!$D$5*88)/20)/88</f>
        <v>0.33676</v>
      </c>
      <c r="AL7" s="387">
        <f t="shared" si="5"/>
        <v>2.7554978961532726</v>
      </c>
      <c r="AM7" s="69">
        <f>(COSTS!$W$3+0.1)*500*0.01</f>
        <v>3.9999999999999996</v>
      </c>
      <c r="AN7" s="387">
        <f>((COSTS!$G$5/20)*88)/88</f>
        <v>1.308904109589041</v>
      </c>
      <c r="AR7" s="69">
        <f t="shared" si="6"/>
        <v>5.3089041095890401</v>
      </c>
      <c r="AT7" s="1">
        <f>VLOOKUP(C7&amp;$AT$1,OTR!E:J,6,FALSE)/88</f>
        <v>16.430681818181817</v>
      </c>
      <c r="AU7" s="1">
        <f>VLOOKUP(C7&amp;$AU$1,OTR!E:J,6,FALSE)/88</f>
        <v>26.97159090909091</v>
      </c>
    </row>
    <row r="8" spans="1:47">
      <c r="A8" s="1">
        <v>631020</v>
      </c>
      <c r="B8" s="1" t="s">
        <v>83</v>
      </c>
      <c r="C8" s="1" t="s">
        <v>84</v>
      </c>
      <c r="D8" s="1" t="s">
        <v>85</v>
      </c>
      <c r="E8" s="1" t="str">
        <f>VLOOKUP(A:A,'Regions and Ports'!A:G,5,FALSE)</f>
        <v>WTX</v>
      </c>
      <c r="F8" s="1" t="str">
        <f>VLOOKUP(A:A,'Regions and Ports'!A:F,6,FALSE)</f>
        <v>WTX</v>
      </c>
      <c r="G8" s="1" t="str">
        <f>VLOOKUP(A:A,'Regions and Ports'!A:G,7,FALSE)</f>
        <v>Dallas</v>
      </c>
      <c r="H8" s="87">
        <v>2</v>
      </c>
      <c r="I8" s="69">
        <f>VLOOKUP(A:A,'Seam Tariffs'!A:AB,9,FALSE)</f>
        <v>5.15</v>
      </c>
      <c r="J8" s="69">
        <f>VLOOKUP(A:A,'Seam Tariffs'!A:AB,11,FALSE)</f>
        <v>6.25</v>
      </c>
      <c r="K8" s="69">
        <f>VLOOKUP(A:A,'Seam Tariffs'!A:AB,12,FALSE)</f>
        <v>12</v>
      </c>
      <c r="L8" s="69">
        <f>VLOOKUP(A:A,'Seam Tariffs'!A:AB,13,FALSE)</f>
        <v>0</v>
      </c>
      <c r="M8" s="69">
        <f>VLOOKUP(A:A,'Seam Tariffs'!A:AB,14,FALSE)</f>
        <v>0</v>
      </c>
      <c r="N8" s="69">
        <f>VLOOKUP(A:A,'Seam Tariffs'!A:AB,28,FALSE)</f>
        <v>1.9500000000000002</v>
      </c>
      <c r="O8" s="69">
        <f>COSTS!$W$6</f>
        <v>1.8958333333333335</v>
      </c>
      <c r="P8" s="69">
        <f>VLOOKUP(G8,COSTS!$V$11:$X$14,3,FALSE)</f>
        <v>0</v>
      </c>
      <c r="Q8" s="69">
        <f t="shared" si="0"/>
        <v>27.24583333333333</v>
      </c>
      <c r="R8" s="69">
        <f t="shared" si="1"/>
        <v>15.845833333333333</v>
      </c>
      <c r="S8" s="87">
        <f>VLOOKUP(A:A,'Flat Bed &amp; Late Fees'!A:J,6,FALSE)</f>
        <v>1</v>
      </c>
      <c r="T8" s="87">
        <f>VLOOKUP(A:A,'Flat Bed &amp; Late Fees'!A:J,7,FALSE)</f>
        <v>0.25</v>
      </c>
      <c r="U8" s="68">
        <f>VLOOKUP(C8&amp;G8,OTR!E:J,6,FALSE)/88</f>
        <v>8.3238636363636367</v>
      </c>
      <c r="V8" s="87"/>
      <c r="W8" s="68">
        <f t="shared" si="2"/>
        <v>9.5738636363636367</v>
      </c>
      <c r="X8" s="69">
        <f>VLOOKUP(G8,COSTS!$Z$18:$AC$23,2,FALSE)</f>
        <v>2.7</v>
      </c>
      <c r="Y8" s="87">
        <f>VLOOKUP(G8,COSTS!$Z$18:$AC$23,4,FALSE)</f>
        <v>2.52</v>
      </c>
      <c r="Z8" s="69">
        <f>(COSTS!$W$3*COSTS!$W$4*500)/52*COSTS!$AE$17</f>
        <v>1.3125</v>
      </c>
      <c r="AB8" s="69">
        <f t="shared" si="3"/>
        <v>6.5325000000000006</v>
      </c>
      <c r="AC8" s="69">
        <f>VLOOKUP(G8,COSTS!$Z$11:$AE$14,5,FALSE)</f>
        <v>8.125</v>
      </c>
      <c r="AD8" s="69">
        <f>VLOOKUP(G8,COSTS!$Z$4:$AD$7,4,FALSE)</f>
        <v>13.409090909090908</v>
      </c>
      <c r="AE8" s="69"/>
      <c r="AF8" s="69">
        <f t="shared" si="4"/>
        <v>21.534090909090907</v>
      </c>
      <c r="AG8" s="87">
        <f>((COSTS!$C$5*88)/20)/88</f>
        <v>1.4407150000000002</v>
      </c>
      <c r="AH8" s="69">
        <f>(COSTS!$X$38/88)*20</f>
        <v>0.34865702479338845</v>
      </c>
      <c r="AI8" s="87">
        <f>((COSTS!$E$5*88)/20)/88</f>
        <v>0.62936587135988387</v>
      </c>
      <c r="AJ8" s="87">
        <f>((COSTS!$D$5*88)/20)/88</f>
        <v>0.33676</v>
      </c>
      <c r="AL8" s="387">
        <f t="shared" si="5"/>
        <v>2.7554978961532726</v>
      </c>
      <c r="AM8" s="69">
        <f>(COSTS!$W$3+0.1)*500*0.01</f>
        <v>3.9999999999999996</v>
      </c>
      <c r="AN8" s="387">
        <f>((COSTS!$G$5/20)*88)/88</f>
        <v>1.308904109589041</v>
      </c>
      <c r="AR8" s="69">
        <f t="shared" si="6"/>
        <v>5.3089041095890401</v>
      </c>
      <c r="AT8" s="1">
        <f>VLOOKUP(C8&amp;$AT$1,OTR!E:J,6,FALSE)/88</f>
        <v>21.541931818181819</v>
      </c>
      <c r="AU8" s="1" t="e">
        <f>VLOOKUP(C8&amp;$AU$1,OTR!E:J,6,FALSE)/88</f>
        <v>#N/A</v>
      </c>
    </row>
    <row r="9" spans="1:47">
      <c r="A9" s="125">
        <v>631020</v>
      </c>
      <c r="B9" s="1" t="s">
        <v>83</v>
      </c>
      <c r="C9" s="1" t="s">
        <v>84</v>
      </c>
      <c r="D9" s="1" t="s">
        <v>85</v>
      </c>
      <c r="E9" s="1" t="s">
        <v>2067</v>
      </c>
      <c r="F9" s="1" t="str">
        <f>VLOOKUP(A:A,'Regions and Ports'!A:F,6,FALSE)</f>
        <v>WTX</v>
      </c>
      <c r="G9" s="1" t="s">
        <v>439</v>
      </c>
      <c r="H9" s="87">
        <v>2</v>
      </c>
      <c r="I9" s="69">
        <f>VLOOKUP(A:A,'Seam Tariffs'!A:AB,9,FALSE)</f>
        <v>5.15</v>
      </c>
      <c r="J9" s="69">
        <f>VLOOKUP(A:A,'Seam Tariffs'!A:AB,11,FALSE)</f>
        <v>6.25</v>
      </c>
      <c r="K9" s="69">
        <f>VLOOKUP(A:A,'Seam Tariffs'!A:AB,12,FALSE)</f>
        <v>12</v>
      </c>
      <c r="L9" s="69">
        <f>VLOOKUP(A:A,'Seam Tariffs'!A:AB,13,FALSE)</f>
        <v>0</v>
      </c>
      <c r="M9" s="69">
        <f>VLOOKUP(A:A,'Seam Tariffs'!A:AB,14,FALSE)</f>
        <v>0</v>
      </c>
      <c r="N9" s="69">
        <f>VLOOKUP(A:A,'Seam Tariffs'!A:AB,28,FALSE)</f>
        <v>1.9500000000000002</v>
      </c>
      <c r="O9" s="69">
        <f>COSTS!$W$6</f>
        <v>1.8958333333333335</v>
      </c>
      <c r="P9" s="69">
        <f>VLOOKUP(G9,COSTS!$V$11:$X$14,3,FALSE)</f>
        <v>0</v>
      </c>
      <c r="Q9" s="69">
        <f t="shared" si="0"/>
        <v>27.24583333333333</v>
      </c>
      <c r="R9" s="69">
        <f t="shared" si="1"/>
        <v>15.845833333333333</v>
      </c>
      <c r="S9" s="87">
        <f>VLOOKUP(A:A,'Flat Bed &amp; Late Fees'!A:J,6,FALSE)</f>
        <v>1</v>
      </c>
      <c r="T9" s="87">
        <f>VLOOKUP(A:A,'Flat Bed &amp; Late Fees'!A:J,7,FALSE)</f>
        <v>0.25</v>
      </c>
      <c r="U9" s="68">
        <f>VLOOKUP(C9&amp;G9,OTR!E:J,6,FALSE)/88</f>
        <v>17.613636363636363</v>
      </c>
      <c r="V9" s="87"/>
      <c r="W9" s="68">
        <f t="shared" si="2"/>
        <v>18.863636363636363</v>
      </c>
      <c r="X9" s="69">
        <f>VLOOKUP(G9,COSTS!$Z$18:$AC$23,2,FALSE)</f>
        <v>2.7</v>
      </c>
      <c r="Y9" s="87">
        <f>VLOOKUP(G9,COSTS!$Z$18:$AC$23,4,FALSE)</f>
        <v>2.52</v>
      </c>
      <c r="Z9" s="69">
        <f>(COSTS!$W$3*COSTS!$W$4*500)/52*COSTS!$AE$17</f>
        <v>1.3125</v>
      </c>
      <c r="AB9" s="69">
        <f t="shared" si="3"/>
        <v>6.5325000000000006</v>
      </c>
      <c r="AC9" s="69">
        <f>VLOOKUP(G9,COSTS!$Z$11:$AE$14,5,FALSE)</f>
        <v>6.6477272727272725</v>
      </c>
      <c r="AD9" s="69">
        <f>VLOOKUP(G9,COSTS!$Z$4:$AD$7,4,FALSE)</f>
        <v>9.8977272727272734</v>
      </c>
      <c r="AE9" s="69"/>
      <c r="AF9" s="69">
        <f t="shared" si="4"/>
        <v>16.545454545454547</v>
      </c>
      <c r="AG9" s="87">
        <f>((COSTS!$C$5*88)/20)/88</f>
        <v>1.4407150000000002</v>
      </c>
      <c r="AH9" s="69">
        <f>(COSTS!$X$38/88)*20</f>
        <v>0.34865702479338845</v>
      </c>
      <c r="AI9" s="87">
        <f>((COSTS!$E$5*88)/20)/88</f>
        <v>0.62936587135988387</v>
      </c>
      <c r="AJ9" s="87">
        <f>((COSTS!$D$5*88)/20)/88</f>
        <v>0.33676</v>
      </c>
      <c r="AL9" s="387">
        <f t="shared" si="5"/>
        <v>2.7554978961532726</v>
      </c>
      <c r="AM9" s="69">
        <f>(COSTS!$W$3+0.1)*500*0.01</f>
        <v>3.9999999999999996</v>
      </c>
      <c r="AN9" s="387">
        <f>((COSTS!$G$5/20)*88)/88</f>
        <v>1.308904109589041</v>
      </c>
      <c r="AR9" s="69">
        <f t="shared" si="6"/>
        <v>5.3089041095890401</v>
      </c>
      <c r="AT9" s="1">
        <f>VLOOKUP(C9&amp;$AT$1,OTR!E:J,6,FALSE)/88</f>
        <v>21.541931818181819</v>
      </c>
      <c r="AU9" s="1" t="e">
        <f>VLOOKUP(C9&amp;$AU$1,OTR!E:J,6,FALSE)/88</f>
        <v>#N/A</v>
      </c>
    </row>
    <row r="10" spans="1:47">
      <c r="A10" s="1">
        <v>810001</v>
      </c>
      <c r="B10" s="1" t="s">
        <v>87</v>
      </c>
      <c r="C10" s="1" t="s">
        <v>88</v>
      </c>
      <c r="D10" s="1" t="s">
        <v>71</v>
      </c>
      <c r="E10" s="1" t="str">
        <f>VLOOKUP(A:A,'Regions and Ports'!A:G,5,FALSE)</f>
        <v>WTX</v>
      </c>
      <c r="F10" s="1" t="str">
        <f>VLOOKUP(A:A,'Regions and Ports'!A:F,6,FALSE)</f>
        <v>WTX</v>
      </c>
      <c r="G10" s="1" t="str">
        <f>VLOOKUP(A:A,'Regions and Ports'!A:G,7,FALSE)</f>
        <v>Dallas</v>
      </c>
      <c r="H10" s="87">
        <v>2</v>
      </c>
      <c r="I10" s="69">
        <f>VLOOKUP(A:A,'Seam Tariffs'!A:AB,9,FALSE)</f>
        <v>4.3499999999999996</v>
      </c>
      <c r="J10" s="69">
        <f>VLOOKUP(A:A,'Seam Tariffs'!A:AB,11,FALSE)</f>
        <v>5.75</v>
      </c>
      <c r="K10" s="69">
        <f>VLOOKUP(A:A,'Seam Tariffs'!A:AB,12,FALSE)</f>
        <v>11.25</v>
      </c>
      <c r="L10" s="69">
        <f>VLOOKUP(A:A,'Seam Tariffs'!A:AB,13,FALSE)</f>
        <v>0</v>
      </c>
      <c r="M10" s="69">
        <f>VLOOKUP(A:A,'Seam Tariffs'!A:AB,14,FALSE)</f>
        <v>0</v>
      </c>
      <c r="N10" s="69">
        <f>VLOOKUP(A:A,'Seam Tariffs'!A:AB,28,FALSE)</f>
        <v>2.25</v>
      </c>
      <c r="O10" s="69">
        <f>COSTS!$W$6</f>
        <v>1.8958333333333335</v>
      </c>
      <c r="P10" s="69">
        <f>VLOOKUP(G10,COSTS!$V$11:$X$14,3,FALSE)</f>
        <v>0</v>
      </c>
      <c r="Q10" s="69">
        <f t="shared" si="0"/>
        <v>25.495833333333334</v>
      </c>
      <c r="R10" s="69">
        <f t="shared" si="1"/>
        <v>15.395833333333334</v>
      </c>
      <c r="S10" s="87">
        <f>VLOOKUP(A:A,'Flat Bed &amp; Late Fees'!A:J,6,FALSE)</f>
        <v>1</v>
      </c>
      <c r="T10" s="87">
        <f>VLOOKUP(A:A,'Flat Bed &amp; Late Fees'!A:J,7,FALSE)</f>
        <v>0.25</v>
      </c>
      <c r="U10" s="68">
        <f>VLOOKUP(C10&amp;G10,OTR!E:J,6,FALSE)/88</f>
        <v>10.113636363636363</v>
      </c>
      <c r="V10" s="87"/>
      <c r="W10" s="68">
        <f t="shared" si="2"/>
        <v>11.363636363636363</v>
      </c>
      <c r="X10" s="69">
        <f>VLOOKUP(G10,COSTS!$Z$18:$AC$23,2,FALSE)</f>
        <v>2.7</v>
      </c>
      <c r="Y10" s="87">
        <f>VLOOKUP(G10,COSTS!$Z$18:$AC$23,4,FALSE)</f>
        <v>2.52</v>
      </c>
      <c r="Z10" s="69">
        <f>(COSTS!$W$3*COSTS!$W$4*500)/52*COSTS!$AE$17</f>
        <v>1.3125</v>
      </c>
      <c r="AB10" s="69">
        <f t="shared" si="3"/>
        <v>6.5325000000000006</v>
      </c>
      <c r="AC10" s="69">
        <f>VLOOKUP(G10,COSTS!$Z$11:$AE$14,5,FALSE)</f>
        <v>8.125</v>
      </c>
      <c r="AD10" s="69">
        <f>VLOOKUP(G10,COSTS!$Z$4:$AD$7,4,FALSE)</f>
        <v>13.409090909090908</v>
      </c>
      <c r="AE10" s="69"/>
      <c r="AF10" s="69">
        <f t="shared" si="4"/>
        <v>21.534090909090907</v>
      </c>
      <c r="AG10" s="87">
        <f>((COSTS!$C$5*88)/20)/88</f>
        <v>1.4407150000000002</v>
      </c>
      <c r="AH10" s="69">
        <f>(COSTS!$X$38/88)*20</f>
        <v>0.34865702479338845</v>
      </c>
      <c r="AI10" s="87">
        <f>((COSTS!$E$5*88)/20)/88</f>
        <v>0.62936587135988387</v>
      </c>
      <c r="AJ10" s="87">
        <f>((COSTS!$D$5*88)/20)/88</f>
        <v>0.33676</v>
      </c>
      <c r="AL10" s="387">
        <f t="shared" si="5"/>
        <v>2.7554978961532726</v>
      </c>
      <c r="AM10" s="69">
        <f>(COSTS!$W$3+0.1)*500*0.01</f>
        <v>3.9999999999999996</v>
      </c>
      <c r="AN10" s="387">
        <f>((COSTS!$G$5/20)*88)/88</f>
        <v>1.308904109589041</v>
      </c>
      <c r="AR10" s="69">
        <f t="shared" si="6"/>
        <v>5.3089041095890401</v>
      </c>
      <c r="AT10" s="1">
        <f>VLOOKUP(C10&amp;$AT$1,OTR!E:J,6,FALSE)/88</f>
        <v>21.077272727272724</v>
      </c>
      <c r="AU10" s="1" t="e">
        <f>VLOOKUP(C10&amp;$AU$1,OTR!E:J,6,FALSE)/88</f>
        <v>#N/A</v>
      </c>
    </row>
    <row r="11" spans="1:47">
      <c r="A11" s="1">
        <v>810002</v>
      </c>
      <c r="B11" s="1" t="s">
        <v>90</v>
      </c>
      <c r="C11" s="1" t="s">
        <v>88</v>
      </c>
      <c r="D11" s="1" t="s">
        <v>71</v>
      </c>
      <c r="E11" s="1" t="str">
        <f>VLOOKUP(A:A,'Regions and Ports'!A:G,5,FALSE)</f>
        <v>WTX</v>
      </c>
      <c r="F11" s="1" t="str">
        <f>VLOOKUP(A:A,'Regions and Ports'!A:F,6,FALSE)</f>
        <v>WTX</v>
      </c>
      <c r="G11" s="1" t="str">
        <f>VLOOKUP(A:A,'Regions and Ports'!A:G,7,FALSE)</f>
        <v>Dallas</v>
      </c>
      <c r="H11" s="87">
        <v>2</v>
      </c>
      <c r="I11" s="69">
        <f>VLOOKUP(A:A,'Seam Tariffs'!A:AB,9,FALSE)</f>
        <v>5</v>
      </c>
      <c r="J11" s="69">
        <f>VLOOKUP(A:A,'Seam Tariffs'!A:AB,11,FALSE)</f>
        <v>6.25</v>
      </c>
      <c r="K11" s="69">
        <f>VLOOKUP(A:A,'Seam Tariffs'!A:AB,12,FALSE)</f>
        <v>10.25</v>
      </c>
      <c r="L11" s="69">
        <f>VLOOKUP(A:A,'Seam Tariffs'!A:AB,13,FALSE)</f>
        <v>0</v>
      </c>
      <c r="M11" s="69">
        <f>VLOOKUP(A:A,'Seam Tariffs'!A:AB,14,FALSE)</f>
        <v>0</v>
      </c>
      <c r="N11" s="69">
        <f>VLOOKUP(A:A,'Seam Tariffs'!A:AB,28,FALSE)</f>
        <v>2.4</v>
      </c>
      <c r="O11" s="69">
        <f>COSTS!$W$6</f>
        <v>1.8958333333333335</v>
      </c>
      <c r="P11" s="69">
        <f>VLOOKUP(G11,COSTS!$V$11:$X$14,3,FALSE)</f>
        <v>0</v>
      </c>
      <c r="Q11" s="69">
        <f t="shared" si="0"/>
        <v>25.795833333333331</v>
      </c>
      <c r="R11" s="69">
        <f t="shared" si="1"/>
        <v>14.545833333333334</v>
      </c>
      <c r="S11" s="87">
        <f>VLOOKUP(A:A,'Flat Bed &amp; Late Fees'!A:J,6,FALSE)</f>
        <v>0</v>
      </c>
      <c r="T11" s="87">
        <f>VLOOKUP(A:A,'Flat Bed &amp; Late Fees'!A:J,7,FALSE)</f>
        <v>0</v>
      </c>
      <c r="U11" s="68">
        <f>VLOOKUP(C11&amp;G11,OTR!E:J,6,FALSE)/88</f>
        <v>10.113636363636363</v>
      </c>
      <c r="V11" s="87"/>
      <c r="W11" s="68">
        <f t="shared" si="2"/>
        <v>10.113636363636363</v>
      </c>
      <c r="X11" s="69">
        <f>VLOOKUP(G11,COSTS!$Z$18:$AC$23,2,FALSE)</f>
        <v>2.7</v>
      </c>
      <c r="Y11" s="87">
        <f>VLOOKUP(G11,COSTS!$Z$18:$AC$23,4,FALSE)</f>
        <v>2.52</v>
      </c>
      <c r="Z11" s="69">
        <f>(COSTS!$W$3*COSTS!$W$4*500)/52*COSTS!$AE$17</f>
        <v>1.3125</v>
      </c>
      <c r="AB11" s="69">
        <f t="shared" si="3"/>
        <v>6.5325000000000006</v>
      </c>
      <c r="AC11" s="69">
        <f>VLOOKUP(G11,COSTS!$Z$11:$AE$14,5,FALSE)</f>
        <v>8.125</v>
      </c>
      <c r="AD11" s="69">
        <f>VLOOKUP(G11,COSTS!$Z$4:$AD$7,4,FALSE)</f>
        <v>13.409090909090908</v>
      </c>
      <c r="AE11" s="69"/>
      <c r="AF11" s="69">
        <f t="shared" si="4"/>
        <v>21.534090909090907</v>
      </c>
      <c r="AG11" s="87">
        <f>((COSTS!$C$5*88)/20)/88</f>
        <v>1.4407150000000002</v>
      </c>
      <c r="AH11" s="69">
        <f>(COSTS!$X$38/88)*20</f>
        <v>0.34865702479338845</v>
      </c>
      <c r="AI11" s="87">
        <f>((COSTS!$E$5*88)/20)/88</f>
        <v>0.62936587135988387</v>
      </c>
      <c r="AJ11" s="87">
        <f>((COSTS!$D$5*88)/20)/88</f>
        <v>0.33676</v>
      </c>
      <c r="AL11" s="387">
        <f t="shared" si="5"/>
        <v>2.7554978961532726</v>
      </c>
      <c r="AM11" s="69">
        <f>(COSTS!$W$3+0.1)*500*0.01</f>
        <v>3.9999999999999996</v>
      </c>
      <c r="AN11" s="387">
        <f>((COSTS!$G$5/20)*88)/88</f>
        <v>1.308904109589041</v>
      </c>
      <c r="AR11" s="69">
        <f t="shared" si="6"/>
        <v>5.3089041095890401</v>
      </c>
      <c r="AT11" s="1">
        <f>VLOOKUP(C11&amp;$AT$1,OTR!E:J,6,FALSE)/88</f>
        <v>21.077272727272724</v>
      </c>
      <c r="AU11" s="1" t="e">
        <f>VLOOKUP(C11&amp;$AU$1,OTR!E:J,6,FALSE)/88</f>
        <v>#N/A</v>
      </c>
    </row>
    <row r="12" spans="1:47">
      <c r="A12" s="1">
        <v>810003</v>
      </c>
      <c r="B12" s="1" t="s">
        <v>90</v>
      </c>
      <c r="C12" s="1" t="s">
        <v>88</v>
      </c>
      <c r="D12" s="1" t="s">
        <v>71</v>
      </c>
      <c r="E12" s="1" t="str">
        <f>VLOOKUP(A:A,'Regions and Ports'!A:G,5,FALSE)</f>
        <v>WTX</v>
      </c>
      <c r="F12" s="1" t="str">
        <f>VLOOKUP(A:A,'Regions and Ports'!A:F,6,FALSE)</f>
        <v>WTX</v>
      </c>
      <c r="G12" s="1" t="str">
        <f>VLOOKUP(A:A,'Regions and Ports'!A:G,7,FALSE)</f>
        <v>Dallas</v>
      </c>
      <c r="H12" s="87">
        <v>2</v>
      </c>
      <c r="I12" s="69">
        <f>VLOOKUP(A:A,'Seam Tariffs'!A:AB,9,FALSE)</f>
        <v>5</v>
      </c>
      <c r="J12" s="69">
        <f>VLOOKUP(A:A,'Seam Tariffs'!A:AB,11,FALSE)</f>
        <v>6.25</v>
      </c>
      <c r="K12" s="69">
        <f>VLOOKUP(A:A,'Seam Tariffs'!A:AB,12,FALSE)</f>
        <v>10.25</v>
      </c>
      <c r="L12" s="69">
        <f>VLOOKUP(A:A,'Seam Tariffs'!A:AB,13,FALSE)</f>
        <v>0</v>
      </c>
      <c r="M12" s="69">
        <f>VLOOKUP(A:A,'Seam Tariffs'!A:AB,14,FALSE)</f>
        <v>0</v>
      </c>
      <c r="N12" s="69">
        <f>VLOOKUP(A:A,'Seam Tariffs'!A:AB,28,FALSE)</f>
        <v>2.4</v>
      </c>
      <c r="O12" s="69">
        <f>COSTS!$W$6</f>
        <v>1.8958333333333335</v>
      </c>
      <c r="P12" s="69">
        <f>VLOOKUP(G12,COSTS!$V$11:$X$14,3,FALSE)</f>
        <v>0</v>
      </c>
      <c r="Q12" s="69">
        <f t="shared" si="0"/>
        <v>25.795833333333331</v>
      </c>
      <c r="R12" s="69">
        <f t="shared" si="1"/>
        <v>14.545833333333334</v>
      </c>
      <c r="S12" s="87">
        <f>VLOOKUP(A:A,'Flat Bed &amp; Late Fees'!A:J,6,FALSE)</f>
        <v>0</v>
      </c>
      <c r="T12" s="87">
        <f>VLOOKUP(A:A,'Flat Bed &amp; Late Fees'!A:J,7,FALSE)</f>
        <v>0</v>
      </c>
      <c r="U12" s="68">
        <f>VLOOKUP(C12&amp;G12,OTR!E:J,6,FALSE)/88</f>
        <v>10.113636363636363</v>
      </c>
      <c r="V12" s="87"/>
      <c r="W12" s="68">
        <f t="shared" si="2"/>
        <v>10.113636363636363</v>
      </c>
      <c r="X12" s="69">
        <f>VLOOKUP(G12,COSTS!$Z$18:$AC$23,2,FALSE)</f>
        <v>2.7</v>
      </c>
      <c r="Y12" s="87">
        <f>VLOOKUP(G12,COSTS!$Z$18:$AC$23,4,FALSE)</f>
        <v>2.52</v>
      </c>
      <c r="Z12" s="69">
        <f>(COSTS!$W$3*COSTS!$W$4*500)/52*COSTS!$AE$17</f>
        <v>1.3125</v>
      </c>
      <c r="AB12" s="69">
        <f t="shared" si="3"/>
        <v>6.5325000000000006</v>
      </c>
      <c r="AC12" s="69">
        <f>VLOOKUP(G12,COSTS!$Z$11:$AE$14,5,FALSE)</f>
        <v>8.125</v>
      </c>
      <c r="AD12" s="69">
        <f>VLOOKUP(G12,COSTS!$Z$4:$AD$7,4,FALSE)</f>
        <v>13.409090909090908</v>
      </c>
      <c r="AE12" s="69"/>
      <c r="AF12" s="69">
        <f t="shared" si="4"/>
        <v>21.534090909090907</v>
      </c>
      <c r="AG12" s="87">
        <f>((COSTS!$C$5*88)/20)/88</f>
        <v>1.4407150000000002</v>
      </c>
      <c r="AH12" s="69">
        <f>(COSTS!$X$38/88)*20</f>
        <v>0.34865702479338845</v>
      </c>
      <c r="AI12" s="87">
        <f>((COSTS!$E$5*88)/20)/88</f>
        <v>0.62936587135988387</v>
      </c>
      <c r="AJ12" s="87">
        <f>((COSTS!$D$5*88)/20)/88</f>
        <v>0.33676</v>
      </c>
      <c r="AL12" s="387">
        <f t="shared" si="5"/>
        <v>2.7554978961532726</v>
      </c>
      <c r="AM12" s="69">
        <f>(COSTS!$W$3+0.1)*500*0.01</f>
        <v>3.9999999999999996</v>
      </c>
      <c r="AN12" s="387">
        <f>((COSTS!$G$5/20)*88)/88</f>
        <v>1.308904109589041</v>
      </c>
      <c r="AR12" s="69">
        <f t="shared" si="6"/>
        <v>5.3089041095890401</v>
      </c>
      <c r="AT12" s="1">
        <f>VLOOKUP(C12&amp;$AT$1,OTR!E:J,6,FALSE)/88</f>
        <v>21.077272727272724</v>
      </c>
      <c r="AU12" s="1" t="e">
        <f>VLOOKUP(C12&amp;$AU$1,OTR!E:J,6,FALSE)/88</f>
        <v>#N/A</v>
      </c>
    </row>
    <row r="13" spans="1:47">
      <c r="A13" s="1">
        <v>810535</v>
      </c>
      <c r="B13" s="1" t="s">
        <v>90</v>
      </c>
      <c r="C13" s="1" t="s">
        <v>88</v>
      </c>
      <c r="D13" s="1" t="s">
        <v>71</v>
      </c>
      <c r="E13" s="1" t="str">
        <f>VLOOKUP(A:A,'Regions and Ports'!A:G,5,FALSE)</f>
        <v>WTX</v>
      </c>
      <c r="F13" s="1" t="str">
        <f>VLOOKUP(A:A,'Regions and Ports'!A:F,6,FALSE)</f>
        <v>WTX</v>
      </c>
      <c r="G13" s="1" t="str">
        <f>VLOOKUP(A:A,'Regions and Ports'!A:G,7,FALSE)</f>
        <v>Dallas</v>
      </c>
      <c r="H13" s="87">
        <v>2</v>
      </c>
      <c r="I13" s="69">
        <f>VLOOKUP(A:A,'Seam Tariffs'!A:AB,9,FALSE)</f>
        <v>5</v>
      </c>
      <c r="J13" s="69">
        <f>VLOOKUP(A:A,'Seam Tariffs'!A:AB,11,FALSE)</f>
        <v>6.25</v>
      </c>
      <c r="K13" s="69">
        <f>VLOOKUP(A:A,'Seam Tariffs'!A:AB,12,FALSE)</f>
        <v>10.25</v>
      </c>
      <c r="L13" s="69">
        <f>VLOOKUP(A:A,'Seam Tariffs'!A:AB,13,FALSE)</f>
        <v>0</v>
      </c>
      <c r="M13" s="69">
        <f>VLOOKUP(A:A,'Seam Tariffs'!A:AB,14,FALSE)</f>
        <v>0</v>
      </c>
      <c r="N13" s="69">
        <f>VLOOKUP(A:A,'Seam Tariffs'!A:AB,28,FALSE)</f>
        <v>2.4</v>
      </c>
      <c r="O13" s="69">
        <f>COSTS!$W$6</f>
        <v>1.8958333333333335</v>
      </c>
      <c r="P13" s="69">
        <f>VLOOKUP(G13,COSTS!$V$11:$X$14,3,FALSE)</f>
        <v>0</v>
      </c>
      <c r="Q13" s="69">
        <f t="shared" si="0"/>
        <v>25.795833333333331</v>
      </c>
      <c r="R13" s="69">
        <f t="shared" si="1"/>
        <v>14.545833333333334</v>
      </c>
      <c r="S13" s="87">
        <f>VLOOKUP(A:A,'Flat Bed &amp; Late Fees'!A:J,6,FALSE)</f>
        <v>0</v>
      </c>
      <c r="T13" s="87">
        <f>VLOOKUP(A:A,'Flat Bed &amp; Late Fees'!A:J,7,FALSE)</f>
        <v>0</v>
      </c>
      <c r="U13" s="68">
        <f>VLOOKUP(C13&amp;G13,OTR!E:J,6,FALSE)/88</f>
        <v>10.113636363636363</v>
      </c>
      <c r="V13" s="87"/>
      <c r="W13" s="68">
        <f t="shared" si="2"/>
        <v>10.113636363636363</v>
      </c>
      <c r="X13" s="69">
        <f>VLOOKUP(G13,COSTS!$Z$18:$AC$23,2,FALSE)</f>
        <v>2.7</v>
      </c>
      <c r="Y13" s="87">
        <f>VLOOKUP(G13,COSTS!$Z$18:$AC$23,4,FALSE)</f>
        <v>2.52</v>
      </c>
      <c r="Z13" s="69">
        <f>(COSTS!$W$3*COSTS!$W$4*500)/52*COSTS!$AE$17</f>
        <v>1.3125</v>
      </c>
      <c r="AB13" s="69">
        <f t="shared" si="3"/>
        <v>6.5325000000000006</v>
      </c>
      <c r="AC13" s="69">
        <f>VLOOKUP(G13,COSTS!$Z$11:$AE$14,5,FALSE)</f>
        <v>8.125</v>
      </c>
      <c r="AD13" s="69">
        <f>VLOOKUP(G13,COSTS!$Z$4:$AD$7,4,FALSE)</f>
        <v>13.409090909090908</v>
      </c>
      <c r="AE13" s="69"/>
      <c r="AF13" s="69">
        <f t="shared" si="4"/>
        <v>21.534090909090907</v>
      </c>
      <c r="AG13" s="87">
        <f>((COSTS!$C$5*88)/20)/88</f>
        <v>1.4407150000000002</v>
      </c>
      <c r="AH13" s="69">
        <f>(COSTS!$X$38/88)*20</f>
        <v>0.34865702479338845</v>
      </c>
      <c r="AI13" s="87">
        <f>((COSTS!$E$5*88)/20)/88</f>
        <v>0.62936587135988387</v>
      </c>
      <c r="AJ13" s="87">
        <f>((COSTS!$D$5*88)/20)/88</f>
        <v>0.33676</v>
      </c>
      <c r="AL13" s="387">
        <f t="shared" si="5"/>
        <v>2.7554978961532726</v>
      </c>
      <c r="AM13" s="69">
        <f>(COSTS!$W$3+0.1)*500*0.01</f>
        <v>3.9999999999999996</v>
      </c>
      <c r="AN13" s="387">
        <f>((COSTS!$G$5/20)*88)/88</f>
        <v>1.308904109589041</v>
      </c>
      <c r="AR13" s="69">
        <f t="shared" si="6"/>
        <v>5.3089041095890401</v>
      </c>
      <c r="AT13" s="1">
        <f>VLOOKUP(C13&amp;$AT$1,OTR!E:J,6,FALSE)/88</f>
        <v>21.077272727272724</v>
      </c>
      <c r="AU13" s="1" t="e">
        <f>VLOOKUP(C13&amp;$AU$1,OTR!E:J,6,FALSE)/88</f>
        <v>#N/A</v>
      </c>
    </row>
    <row r="14" spans="1:47">
      <c r="A14" s="1">
        <v>810538</v>
      </c>
      <c r="B14" s="1" t="s">
        <v>90</v>
      </c>
      <c r="C14" s="1" t="s">
        <v>88</v>
      </c>
      <c r="D14" s="1" t="s">
        <v>71</v>
      </c>
      <c r="E14" s="1" t="str">
        <f>VLOOKUP(A:A,'Regions and Ports'!A:G,5,FALSE)</f>
        <v>WTX</v>
      </c>
      <c r="F14" s="1" t="str">
        <f>VLOOKUP(A:A,'Regions and Ports'!A:F,6,FALSE)</f>
        <v>WTX</v>
      </c>
      <c r="G14" s="1" t="str">
        <f>VLOOKUP(A:A,'Regions and Ports'!A:G,7,FALSE)</f>
        <v>Dallas</v>
      </c>
      <c r="H14" s="87">
        <v>2</v>
      </c>
      <c r="I14" s="69">
        <f>VLOOKUP(A:A,'Seam Tariffs'!A:AB,9,FALSE)</f>
        <v>5</v>
      </c>
      <c r="J14" s="69">
        <f>VLOOKUP(A:A,'Seam Tariffs'!A:AB,11,FALSE)</f>
        <v>6.25</v>
      </c>
      <c r="K14" s="69">
        <f>VLOOKUP(A:A,'Seam Tariffs'!A:AB,12,FALSE)</f>
        <v>10.25</v>
      </c>
      <c r="L14" s="69">
        <f>VLOOKUP(A:A,'Seam Tariffs'!A:AB,13,FALSE)</f>
        <v>0</v>
      </c>
      <c r="M14" s="69">
        <f>VLOOKUP(A:A,'Seam Tariffs'!A:AB,14,FALSE)</f>
        <v>0</v>
      </c>
      <c r="N14" s="69">
        <f>VLOOKUP(A:A,'Seam Tariffs'!A:AB,28,FALSE)</f>
        <v>2.4</v>
      </c>
      <c r="O14" s="69">
        <f>COSTS!$W$6</f>
        <v>1.8958333333333335</v>
      </c>
      <c r="P14" s="69">
        <f>VLOOKUP(G14,COSTS!$V$11:$X$14,3,FALSE)</f>
        <v>0</v>
      </c>
      <c r="Q14" s="69">
        <f t="shared" si="0"/>
        <v>25.795833333333331</v>
      </c>
      <c r="R14" s="69">
        <f t="shared" si="1"/>
        <v>14.545833333333334</v>
      </c>
      <c r="S14" s="87">
        <f>VLOOKUP(A:A,'Flat Bed &amp; Late Fees'!A:J,6,FALSE)</f>
        <v>0</v>
      </c>
      <c r="T14" s="87">
        <f>VLOOKUP(A:A,'Flat Bed &amp; Late Fees'!A:J,7,FALSE)</f>
        <v>0</v>
      </c>
      <c r="U14" s="68">
        <f>VLOOKUP(C14&amp;G14,OTR!E:J,6,FALSE)/88</f>
        <v>10.113636363636363</v>
      </c>
      <c r="V14" s="87"/>
      <c r="W14" s="68">
        <f t="shared" si="2"/>
        <v>10.113636363636363</v>
      </c>
      <c r="X14" s="69">
        <f>VLOOKUP(G14,COSTS!$Z$18:$AC$23,2,FALSE)</f>
        <v>2.7</v>
      </c>
      <c r="Y14" s="87">
        <f>VLOOKUP(G14,COSTS!$Z$18:$AC$23,4,FALSE)</f>
        <v>2.52</v>
      </c>
      <c r="Z14" s="69">
        <f>(COSTS!$W$3*COSTS!$W$4*500)/52*COSTS!$AE$17</f>
        <v>1.3125</v>
      </c>
      <c r="AB14" s="69">
        <f t="shared" si="3"/>
        <v>6.5325000000000006</v>
      </c>
      <c r="AC14" s="69">
        <f>VLOOKUP(G14,COSTS!$Z$11:$AE$14,5,FALSE)</f>
        <v>8.125</v>
      </c>
      <c r="AD14" s="69">
        <f>VLOOKUP(G14,COSTS!$Z$4:$AD$7,4,FALSE)</f>
        <v>13.409090909090908</v>
      </c>
      <c r="AE14" s="69"/>
      <c r="AF14" s="69">
        <f t="shared" si="4"/>
        <v>21.534090909090907</v>
      </c>
      <c r="AG14" s="87">
        <f>((COSTS!$C$5*88)/20)/88</f>
        <v>1.4407150000000002</v>
      </c>
      <c r="AH14" s="69">
        <f>(COSTS!$X$38/88)*20</f>
        <v>0.34865702479338845</v>
      </c>
      <c r="AI14" s="87">
        <f>((COSTS!$E$5*88)/20)/88</f>
        <v>0.62936587135988387</v>
      </c>
      <c r="AJ14" s="87">
        <f>((COSTS!$D$5*88)/20)/88</f>
        <v>0.33676</v>
      </c>
      <c r="AL14" s="387">
        <f t="shared" si="5"/>
        <v>2.7554978961532726</v>
      </c>
      <c r="AM14" s="69">
        <f>(COSTS!$W$3+0.1)*500*0.01</f>
        <v>3.9999999999999996</v>
      </c>
      <c r="AN14" s="387">
        <f>((COSTS!$G$5/20)*88)/88</f>
        <v>1.308904109589041</v>
      </c>
      <c r="AR14" s="69">
        <f t="shared" si="6"/>
        <v>5.3089041095890401</v>
      </c>
      <c r="AT14" s="1">
        <f>VLOOKUP(C14&amp;$AT$1,OTR!E:J,6,FALSE)/88</f>
        <v>21.077272727272724</v>
      </c>
      <c r="AU14" s="1" t="e">
        <f>VLOOKUP(C14&amp;$AU$1,OTR!E:J,6,FALSE)/88</f>
        <v>#N/A</v>
      </c>
    </row>
    <row r="15" spans="1:47">
      <c r="A15" s="125">
        <v>810001</v>
      </c>
      <c r="B15" s="1" t="s">
        <v>87</v>
      </c>
      <c r="C15" s="1" t="s">
        <v>88</v>
      </c>
      <c r="D15" s="1" t="s">
        <v>71</v>
      </c>
      <c r="E15" s="1" t="s">
        <v>2067</v>
      </c>
      <c r="F15" s="1" t="str">
        <f>VLOOKUP(A:A,'Regions and Ports'!A:F,6,FALSE)</f>
        <v>WTX</v>
      </c>
      <c r="G15" s="1" t="s">
        <v>439</v>
      </c>
      <c r="H15" s="87">
        <v>2</v>
      </c>
      <c r="I15" s="69">
        <f>VLOOKUP(A:A,'Seam Tariffs'!A:AB,9,FALSE)</f>
        <v>4.3499999999999996</v>
      </c>
      <c r="J15" s="69">
        <f>VLOOKUP(A:A,'Seam Tariffs'!A:AB,11,FALSE)</f>
        <v>5.75</v>
      </c>
      <c r="K15" s="69">
        <f>VLOOKUP(A:A,'Seam Tariffs'!A:AB,12,FALSE)</f>
        <v>11.25</v>
      </c>
      <c r="L15" s="69">
        <f>VLOOKUP(A:A,'Seam Tariffs'!A:AB,13,FALSE)</f>
        <v>0</v>
      </c>
      <c r="M15" s="69">
        <f>VLOOKUP(A:A,'Seam Tariffs'!A:AB,14,FALSE)</f>
        <v>0</v>
      </c>
      <c r="N15" s="69">
        <f>VLOOKUP(A:A,'Seam Tariffs'!A:AB,28,FALSE)</f>
        <v>2.25</v>
      </c>
      <c r="O15" s="69">
        <f>COSTS!$W$6</f>
        <v>1.8958333333333335</v>
      </c>
      <c r="P15" s="69">
        <f>VLOOKUP(G15,COSTS!$V$11:$X$14,3,FALSE)</f>
        <v>0</v>
      </c>
      <c r="Q15" s="69">
        <f t="shared" si="0"/>
        <v>25.495833333333334</v>
      </c>
      <c r="R15" s="69">
        <f t="shared" si="1"/>
        <v>15.395833333333334</v>
      </c>
      <c r="S15" s="87">
        <f>VLOOKUP(A:A,'Flat Bed &amp; Late Fees'!A:J,6,FALSE)</f>
        <v>1</v>
      </c>
      <c r="T15" s="87">
        <f>VLOOKUP(A:A,'Flat Bed &amp; Late Fees'!A:J,7,FALSE)</f>
        <v>0.25</v>
      </c>
      <c r="U15" s="68">
        <f>VLOOKUP(C15&amp;G15,OTR!E:J,6,FALSE)/88</f>
        <v>15.909090909090908</v>
      </c>
      <c r="V15" s="87"/>
      <c r="W15" s="68">
        <f t="shared" si="2"/>
        <v>17.159090909090907</v>
      </c>
      <c r="X15" s="69">
        <f>VLOOKUP(G15,COSTS!$Z$18:$AC$23,2,FALSE)</f>
        <v>2.7</v>
      </c>
      <c r="Y15" s="87">
        <f>VLOOKUP(G15,COSTS!$Z$18:$AC$23,4,FALSE)</f>
        <v>2.52</v>
      </c>
      <c r="Z15" s="69">
        <f>(COSTS!$W$3*COSTS!$W$4*500)/52*COSTS!$AE$17</f>
        <v>1.3125</v>
      </c>
      <c r="AB15" s="69">
        <f t="shared" si="3"/>
        <v>6.5325000000000006</v>
      </c>
      <c r="AC15" s="69">
        <f>VLOOKUP(G15,COSTS!$Z$11:$AE$14,5,FALSE)</f>
        <v>6.6477272727272725</v>
      </c>
      <c r="AD15" s="69">
        <f>VLOOKUP(G15,COSTS!$Z$4:$AD$7,4,FALSE)</f>
        <v>9.8977272727272734</v>
      </c>
      <c r="AE15" s="69"/>
      <c r="AF15" s="69">
        <f t="shared" si="4"/>
        <v>16.545454545454547</v>
      </c>
      <c r="AG15" s="87">
        <f>((COSTS!$C$5*88)/20)/88</f>
        <v>1.4407150000000002</v>
      </c>
      <c r="AH15" s="69">
        <f>(COSTS!$X$38/88)*20</f>
        <v>0.34865702479338845</v>
      </c>
      <c r="AI15" s="87">
        <f>((COSTS!$E$5*88)/20)/88</f>
        <v>0.62936587135988387</v>
      </c>
      <c r="AJ15" s="87">
        <f>((COSTS!$D$5*88)/20)/88</f>
        <v>0.33676</v>
      </c>
      <c r="AL15" s="387">
        <f t="shared" si="5"/>
        <v>2.7554978961532726</v>
      </c>
      <c r="AM15" s="69">
        <f>(COSTS!$W$3+0.1)*500*0.01</f>
        <v>3.9999999999999996</v>
      </c>
      <c r="AN15" s="387">
        <f>((COSTS!$G$5/20)*88)/88</f>
        <v>1.308904109589041</v>
      </c>
      <c r="AR15" s="69">
        <f t="shared" si="6"/>
        <v>5.3089041095890401</v>
      </c>
      <c r="AT15" s="1">
        <f>VLOOKUP(C15&amp;$AT$1,OTR!E:J,6,FALSE)/88</f>
        <v>21.077272727272724</v>
      </c>
      <c r="AU15" s="1" t="e">
        <f>VLOOKUP(C15&amp;$AU$1,OTR!E:J,6,FALSE)/88</f>
        <v>#N/A</v>
      </c>
    </row>
    <row r="16" spans="1:47">
      <c r="A16" s="125">
        <v>810002</v>
      </c>
      <c r="B16" s="1" t="s">
        <v>90</v>
      </c>
      <c r="C16" s="1" t="s">
        <v>88</v>
      </c>
      <c r="D16" s="1" t="s">
        <v>71</v>
      </c>
      <c r="E16" s="1" t="s">
        <v>2067</v>
      </c>
      <c r="F16" s="1" t="str">
        <f>VLOOKUP(A:A,'Regions and Ports'!A:F,6,FALSE)</f>
        <v>WTX</v>
      </c>
      <c r="G16" s="1" t="s">
        <v>439</v>
      </c>
      <c r="H16" s="87">
        <v>2</v>
      </c>
      <c r="I16" s="69">
        <f>VLOOKUP(A:A,'Seam Tariffs'!A:AB,9,FALSE)</f>
        <v>5</v>
      </c>
      <c r="J16" s="69">
        <f>VLOOKUP(A:A,'Seam Tariffs'!A:AB,11,FALSE)</f>
        <v>6.25</v>
      </c>
      <c r="K16" s="69">
        <f>VLOOKUP(A:A,'Seam Tariffs'!A:AB,12,FALSE)</f>
        <v>10.25</v>
      </c>
      <c r="L16" s="69">
        <f>VLOOKUP(A:A,'Seam Tariffs'!A:AB,13,FALSE)</f>
        <v>0</v>
      </c>
      <c r="M16" s="69">
        <f>VLOOKUP(A:A,'Seam Tariffs'!A:AB,14,FALSE)</f>
        <v>0</v>
      </c>
      <c r="N16" s="69">
        <f>VLOOKUP(A:A,'Seam Tariffs'!A:AB,28,FALSE)</f>
        <v>2.4</v>
      </c>
      <c r="O16" s="69">
        <f>COSTS!$W$6</f>
        <v>1.8958333333333335</v>
      </c>
      <c r="P16" s="69">
        <f>VLOOKUP(G16,COSTS!$V$11:$X$14,3,FALSE)</f>
        <v>0</v>
      </c>
      <c r="Q16" s="69">
        <f t="shared" si="0"/>
        <v>25.795833333333331</v>
      </c>
      <c r="R16" s="69">
        <f t="shared" si="1"/>
        <v>14.545833333333334</v>
      </c>
      <c r="S16" s="87">
        <f>VLOOKUP(A:A,'Flat Bed &amp; Late Fees'!A:J,6,FALSE)</f>
        <v>0</v>
      </c>
      <c r="T16" s="87">
        <f>VLOOKUP(A:A,'Flat Bed &amp; Late Fees'!A:J,7,FALSE)</f>
        <v>0</v>
      </c>
      <c r="U16" s="68">
        <f>VLOOKUP(C16&amp;G16,OTR!E:J,6,FALSE)/88</f>
        <v>15.909090909090908</v>
      </c>
      <c r="V16" s="87"/>
      <c r="W16" s="68">
        <f t="shared" si="2"/>
        <v>15.909090909090908</v>
      </c>
      <c r="X16" s="69">
        <f>VLOOKUP(G16,COSTS!$Z$18:$AC$23,2,FALSE)</f>
        <v>2.7</v>
      </c>
      <c r="Y16" s="87">
        <f>VLOOKUP(G16,COSTS!$Z$18:$AC$23,4,FALSE)</f>
        <v>2.52</v>
      </c>
      <c r="Z16" s="69">
        <f>(COSTS!$W$3*COSTS!$W$4*500)/52*COSTS!$AE$17</f>
        <v>1.3125</v>
      </c>
      <c r="AB16" s="69">
        <f t="shared" si="3"/>
        <v>6.5325000000000006</v>
      </c>
      <c r="AC16" s="69">
        <f>VLOOKUP(G16,COSTS!$Z$11:$AE$14,5,FALSE)</f>
        <v>6.6477272727272725</v>
      </c>
      <c r="AD16" s="69">
        <f>VLOOKUP(G16,COSTS!$Z$4:$AD$7,4,FALSE)</f>
        <v>9.8977272727272734</v>
      </c>
      <c r="AE16" s="69"/>
      <c r="AF16" s="69">
        <f t="shared" si="4"/>
        <v>16.545454545454547</v>
      </c>
      <c r="AG16" s="87">
        <f>((COSTS!$C$5*88)/20)/88</f>
        <v>1.4407150000000002</v>
      </c>
      <c r="AH16" s="69">
        <f>(COSTS!$X$38/88)*20</f>
        <v>0.34865702479338845</v>
      </c>
      <c r="AI16" s="87">
        <f>((COSTS!$E$5*88)/20)/88</f>
        <v>0.62936587135988387</v>
      </c>
      <c r="AJ16" s="87">
        <f>((COSTS!$D$5*88)/20)/88</f>
        <v>0.33676</v>
      </c>
      <c r="AL16" s="387">
        <f t="shared" si="5"/>
        <v>2.7554978961532726</v>
      </c>
      <c r="AM16" s="69">
        <f>(COSTS!$W$3+0.1)*500*0.01</f>
        <v>3.9999999999999996</v>
      </c>
      <c r="AN16" s="387">
        <f>((COSTS!$G$5/20)*88)/88</f>
        <v>1.308904109589041</v>
      </c>
      <c r="AR16" s="69">
        <f t="shared" si="6"/>
        <v>5.3089041095890401</v>
      </c>
      <c r="AT16" s="1">
        <f>VLOOKUP(C16&amp;$AT$1,OTR!E:J,6,FALSE)/88</f>
        <v>21.077272727272724</v>
      </c>
      <c r="AU16" s="1" t="e">
        <f>VLOOKUP(C16&amp;$AU$1,OTR!E:J,6,FALSE)/88</f>
        <v>#N/A</v>
      </c>
    </row>
    <row r="17" spans="1:47">
      <c r="A17" s="125">
        <v>810003</v>
      </c>
      <c r="B17" s="1" t="s">
        <v>90</v>
      </c>
      <c r="C17" s="1" t="s">
        <v>88</v>
      </c>
      <c r="D17" s="1" t="s">
        <v>71</v>
      </c>
      <c r="E17" s="1" t="s">
        <v>2067</v>
      </c>
      <c r="F17" s="1" t="str">
        <f>VLOOKUP(A:A,'Regions and Ports'!A:F,6,FALSE)</f>
        <v>WTX</v>
      </c>
      <c r="G17" s="1" t="s">
        <v>439</v>
      </c>
      <c r="H17" s="87">
        <v>2</v>
      </c>
      <c r="I17" s="69">
        <f>VLOOKUP(A:A,'Seam Tariffs'!A:AB,9,FALSE)</f>
        <v>5</v>
      </c>
      <c r="J17" s="69">
        <f>VLOOKUP(A:A,'Seam Tariffs'!A:AB,11,FALSE)</f>
        <v>6.25</v>
      </c>
      <c r="K17" s="69">
        <f>VLOOKUP(A:A,'Seam Tariffs'!A:AB,12,FALSE)</f>
        <v>10.25</v>
      </c>
      <c r="L17" s="69">
        <f>VLOOKUP(A:A,'Seam Tariffs'!A:AB,13,FALSE)</f>
        <v>0</v>
      </c>
      <c r="M17" s="69">
        <f>VLOOKUP(A:A,'Seam Tariffs'!A:AB,14,FALSE)</f>
        <v>0</v>
      </c>
      <c r="N17" s="69">
        <f>VLOOKUP(A:A,'Seam Tariffs'!A:AB,28,FALSE)</f>
        <v>2.4</v>
      </c>
      <c r="O17" s="69">
        <f>COSTS!$W$6</f>
        <v>1.8958333333333335</v>
      </c>
      <c r="P17" s="69">
        <f>VLOOKUP(G17,COSTS!$V$11:$X$14,3,FALSE)</f>
        <v>0</v>
      </c>
      <c r="Q17" s="69">
        <f t="shared" si="0"/>
        <v>25.795833333333331</v>
      </c>
      <c r="R17" s="69">
        <f t="shared" si="1"/>
        <v>14.545833333333334</v>
      </c>
      <c r="S17" s="87">
        <f>VLOOKUP(A:A,'Flat Bed &amp; Late Fees'!A:J,6,FALSE)</f>
        <v>0</v>
      </c>
      <c r="T17" s="87">
        <f>VLOOKUP(A:A,'Flat Bed &amp; Late Fees'!A:J,7,FALSE)</f>
        <v>0</v>
      </c>
      <c r="U17" s="68">
        <f>VLOOKUP(C17&amp;G17,OTR!E:J,6,FALSE)/88</f>
        <v>15.909090909090908</v>
      </c>
      <c r="V17" s="87"/>
      <c r="W17" s="68">
        <f t="shared" si="2"/>
        <v>15.909090909090908</v>
      </c>
      <c r="X17" s="69">
        <f>VLOOKUP(G17,COSTS!$Z$18:$AC$23,2,FALSE)</f>
        <v>2.7</v>
      </c>
      <c r="Y17" s="87">
        <f>VLOOKUP(G17,COSTS!$Z$18:$AC$23,4,FALSE)</f>
        <v>2.52</v>
      </c>
      <c r="Z17" s="69">
        <f>(COSTS!$W$3*COSTS!$W$4*500)/52*COSTS!$AE$17</f>
        <v>1.3125</v>
      </c>
      <c r="AB17" s="69">
        <f t="shared" si="3"/>
        <v>6.5325000000000006</v>
      </c>
      <c r="AC17" s="69">
        <f>VLOOKUP(G17,COSTS!$Z$11:$AE$14,5,FALSE)</f>
        <v>6.6477272727272725</v>
      </c>
      <c r="AD17" s="69">
        <f>VLOOKUP(G17,COSTS!$Z$4:$AD$7,4,FALSE)</f>
        <v>9.8977272727272734</v>
      </c>
      <c r="AE17" s="69"/>
      <c r="AF17" s="69">
        <f t="shared" si="4"/>
        <v>16.545454545454547</v>
      </c>
      <c r="AG17" s="87">
        <f>((COSTS!$C$5*88)/20)/88</f>
        <v>1.4407150000000002</v>
      </c>
      <c r="AH17" s="69">
        <f>(COSTS!$X$38/88)*20</f>
        <v>0.34865702479338845</v>
      </c>
      <c r="AI17" s="87">
        <f>((COSTS!$E$5*88)/20)/88</f>
        <v>0.62936587135988387</v>
      </c>
      <c r="AJ17" s="87">
        <f>((COSTS!$D$5*88)/20)/88</f>
        <v>0.33676</v>
      </c>
      <c r="AL17" s="387">
        <f t="shared" si="5"/>
        <v>2.7554978961532726</v>
      </c>
      <c r="AM17" s="69">
        <f>(COSTS!$W$3+0.1)*500*0.01</f>
        <v>3.9999999999999996</v>
      </c>
      <c r="AN17" s="387">
        <f>((COSTS!$G$5/20)*88)/88</f>
        <v>1.308904109589041</v>
      </c>
      <c r="AR17" s="69">
        <f t="shared" si="6"/>
        <v>5.3089041095890401</v>
      </c>
      <c r="AT17" s="1">
        <f>VLOOKUP(C17&amp;$AT$1,OTR!E:J,6,FALSE)/88</f>
        <v>21.077272727272724</v>
      </c>
      <c r="AU17" s="1" t="e">
        <f>VLOOKUP(C17&amp;$AU$1,OTR!E:J,6,FALSE)/88</f>
        <v>#N/A</v>
      </c>
    </row>
    <row r="18" spans="1:47">
      <c r="A18" s="125">
        <v>810535</v>
      </c>
      <c r="B18" s="1" t="s">
        <v>90</v>
      </c>
      <c r="C18" s="1" t="s">
        <v>88</v>
      </c>
      <c r="D18" s="1" t="s">
        <v>71</v>
      </c>
      <c r="E18" s="1" t="s">
        <v>2067</v>
      </c>
      <c r="F18" s="1" t="str">
        <f>VLOOKUP(A:A,'Regions and Ports'!A:F,6,FALSE)</f>
        <v>WTX</v>
      </c>
      <c r="G18" s="1" t="s">
        <v>439</v>
      </c>
      <c r="H18" s="87">
        <v>2</v>
      </c>
      <c r="I18" s="69">
        <f>VLOOKUP(A:A,'Seam Tariffs'!A:AB,9,FALSE)</f>
        <v>5</v>
      </c>
      <c r="J18" s="69">
        <f>VLOOKUP(A:A,'Seam Tariffs'!A:AB,11,FALSE)</f>
        <v>6.25</v>
      </c>
      <c r="K18" s="69">
        <f>VLOOKUP(A:A,'Seam Tariffs'!A:AB,12,FALSE)</f>
        <v>10.25</v>
      </c>
      <c r="L18" s="69">
        <f>VLOOKUP(A:A,'Seam Tariffs'!A:AB,13,FALSE)</f>
        <v>0</v>
      </c>
      <c r="M18" s="69">
        <f>VLOOKUP(A:A,'Seam Tariffs'!A:AB,14,FALSE)</f>
        <v>0</v>
      </c>
      <c r="N18" s="69">
        <f>VLOOKUP(A:A,'Seam Tariffs'!A:AB,28,FALSE)</f>
        <v>2.4</v>
      </c>
      <c r="O18" s="69">
        <f>COSTS!$W$6</f>
        <v>1.8958333333333335</v>
      </c>
      <c r="P18" s="69">
        <f>VLOOKUP(G18,COSTS!$V$11:$X$14,3,FALSE)</f>
        <v>0</v>
      </c>
      <c r="Q18" s="69">
        <f t="shared" si="0"/>
        <v>25.795833333333331</v>
      </c>
      <c r="R18" s="69">
        <f t="shared" si="1"/>
        <v>14.545833333333334</v>
      </c>
      <c r="S18" s="87">
        <f>VLOOKUP(A:A,'Flat Bed &amp; Late Fees'!A:J,6,FALSE)</f>
        <v>0</v>
      </c>
      <c r="T18" s="87">
        <f>VLOOKUP(A:A,'Flat Bed &amp; Late Fees'!A:J,7,FALSE)</f>
        <v>0</v>
      </c>
      <c r="U18" s="68">
        <f>VLOOKUP(C18&amp;G18,OTR!E:J,6,FALSE)/88</f>
        <v>15.909090909090908</v>
      </c>
      <c r="V18" s="87"/>
      <c r="W18" s="68">
        <f t="shared" si="2"/>
        <v>15.909090909090908</v>
      </c>
      <c r="X18" s="69">
        <f>VLOOKUP(G18,COSTS!$Z$18:$AC$23,2,FALSE)</f>
        <v>2.7</v>
      </c>
      <c r="Y18" s="87">
        <f>VLOOKUP(G18,COSTS!$Z$18:$AC$23,4,FALSE)</f>
        <v>2.52</v>
      </c>
      <c r="Z18" s="69">
        <f>(COSTS!$W$3*COSTS!$W$4*500)/52*COSTS!$AE$17</f>
        <v>1.3125</v>
      </c>
      <c r="AB18" s="69">
        <f t="shared" si="3"/>
        <v>6.5325000000000006</v>
      </c>
      <c r="AC18" s="69">
        <f>VLOOKUP(G18,COSTS!$Z$11:$AE$14,5,FALSE)</f>
        <v>6.6477272727272725</v>
      </c>
      <c r="AD18" s="69">
        <f>VLOOKUP(G18,COSTS!$Z$4:$AD$7,4,FALSE)</f>
        <v>9.8977272727272734</v>
      </c>
      <c r="AE18" s="69"/>
      <c r="AF18" s="69">
        <f t="shared" si="4"/>
        <v>16.545454545454547</v>
      </c>
      <c r="AG18" s="87">
        <f>((COSTS!$C$5*88)/20)/88</f>
        <v>1.4407150000000002</v>
      </c>
      <c r="AH18" s="69">
        <f>(COSTS!$X$38/88)*20</f>
        <v>0.34865702479338845</v>
      </c>
      <c r="AI18" s="87">
        <f>((COSTS!$E$5*88)/20)/88</f>
        <v>0.62936587135988387</v>
      </c>
      <c r="AJ18" s="87">
        <f>((COSTS!$D$5*88)/20)/88</f>
        <v>0.33676</v>
      </c>
      <c r="AL18" s="387">
        <f t="shared" si="5"/>
        <v>2.7554978961532726</v>
      </c>
      <c r="AM18" s="69">
        <f>(COSTS!$W$3+0.1)*500*0.01</f>
        <v>3.9999999999999996</v>
      </c>
      <c r="AN18" s="387">
        <f>((COSTS!$G$5/20)*88)/88</f>
        <v>1.308904109589041</v>
      </c>
      <c r="AR18" s="69">
        <f t="shared" si="6"/>
        <v>5.3089041095890401</v>
      </c>
      <c r="AT18" s="1">
        <f>VLOOKUP(C18&amp;$AT$1,OTR!E:J,6,FALSE)/88</f>
        <v>21.077272727272724</v>
      </c>
      <c r="AU18" s="1" t="e">
        <f>VLOOKUP(C18&amp;$AU$1,OTR!E:J,6,FALSE)/88</f>
        <v>#N/A</v>
      </c>
    </row>
    <row r="19" spans="1:47">
      <c r="A19" s="125">
        <v>810538</v>
      </c>
      <c r="B19" s="1" t="s">
        <v>90</v>
      </c>
      <c r="C19" s="1" t="s">
        <v>88</v>
      </c>
      <c r="D19" s="1" t="s">
        <v>71</v>
      </c>
      <c r="E19" s="1" t="s">
        <v>2067</v>
      </c>
      <c r="F19" s="1" t="str">
        <f>VLOOKUP(A:A,'Regions and Ports'!A:F,6,FALSE)</f>
        <v>WTX</v>
      </c>
      <c r="G19" s="1" t="s">
        <v>439</v>
      </c>
      <c r="H19" s="87">
        <v>2</v>
      </c>
      <c r="I19" s="69">
        <f>VLOOKUP(A:A,'Seam Tariffs'!A:AB,9,FALSE)</f>
        <v>5</v>
      </c>
      <c r="J19" s="69">
        <f>VLOOKUP(A:A,'Seam Tariffs'!A:AB,11,FALSE)</f>
        <v>6.25</v>
      </c>
      <c r="K19" s="69">
        <f>VLOOKUP(A:A,'Seam Tariffs'!A:AB,12,FALSE)</f>
        <v>10.25</v>
      </c>
      <c r="L19" s="69">
        <f>VLOOKUP(A:A,'Seam Tariffs'!A:AB,13,FALSE)</f>
        <v>0</v>
      </c>
      <c r="M19" s="69">
        <f>VLOOKUP(A:A,'Seam Tariffs'!A:AB,14,FALSE)</f>
        <v>0</v>
      </c>
      <c r="N19" s="69">
        <f>VLOOKUP(A:A,'Seam Tariffs'!A:AB,28,FALSE)</f>
        <v>2.4</v>
      </c>
      <c r="O19" s="69">
        <f>COSTS!$W$6</f>
        <v>1.8958333333333335</v>
      </c>
      <c r="P19" s="69">
        <f>VLOOKUP(G19,COSTS!$V$11:$X$14,3,FALSE)</f>
        <v>0</v>
      </c>
      <c r="Q19" s="69">
        <f t="shared" si="0"/>
        <v>25.795833333333331</v>
      </c>
      <c r="R19" s="69">
        <f t="shared" si="1"/>
        <v>14.545833333333334</v>
      </c>
      <c r="S19" s="87">
        <f>VLOOKUP(A:A,'Flat Bed &amp; Late Fees'!A:J,6,FALSE)</f>
        <v>0</v>
      </c>
      <c r="T19" s="87">
        <f>VLOOKUP(A:A,'Flat Bed &amp; Late Fees'!A:J,7,FALSE)</f>
        <v>0</v>
      </c>
      <c r="U19" s="68">
        <f>VLOOKUP(C19&amp;G19,OTR!E:J,6,FALSE)/88</f>
        <v>15.909090909090908</v>
      </c>
      <c r="V19" s="87"/>
      <c r="W19" s="68">
        <f t="shared" si="2"/>
        <v>15.909090909090908</v>
      </c>
      <c r="X19" s="69">
        <f>VLOOKUP(G19,COSTS!$Z$18:$AC$23,2,FALSE)</f>
        <v>2.7</v>
      </c>
      <c r="Y19" s="87">
        <f>VLOOKUP(G19,COSTS!$Z$18:$AC$23,4,FALSE)</f>
        <v>2.52</v>
      </c>
      <c r="Z19" s="69">
        <f>(COSTS!$W$3*COSTS!$W$4*500)/52*COSTS!$AE$17</f>
        <v>1.3125</v>
      </c>
      <c r="AB19" s="69">
        <f t="shared" si="3"/>
        <v>6.5325000000000006</v>
      </c>
      <c r="AC19" s="69">
        <f>VLOOKUP(G19,COSTS!$Z$11:$AE$14,5,FALSE)</f>
        <v>6.6477272727272725</v>
      </c>
      <c r="AD19" s="69">
        <f>VLOOKUP(G19,COSTS!$Z$4:$AD$7,4,FALSE)</f>
        <v>9.8977272727272734</v>
      </c>
      <c r="AE19" s="69"/>
      <c r="AF19" s="69">
        <f t="shared" si="4"/>
        <v>16.545454545454547</v>
      </c>
      <c r="AG19" s="87">
        <f>((COSTS!$C$5*88)/20)/88</f>
        <v>1.4407150000000002</v>
      </c>
      <c r="AH19" s="69">
        <f>(COSTS!$X$38/88)*20</f>
        <v>0.34865702479338845</v>
      </c>
      <c r="AI19" s="87">
        <f>((COSTS!$E$5*88)/20)/88</f>
        <v>0.62936587135988387</v>
      </c>
      <c r="AJ19" s="87">
        <f>((COSTS!$D$5*88)/20)/88</f>
        <v>0.33676</v>
      </c>
      <c r="AL19" s="387">
        <f t="shared" si="5"/>
        <v>2.7554978961532726</v>
      </c>
      <c r="AM19" s="69">
        <f>(COSTS!$W$3+0.1)*500*0.01</f>
        <v>3.9999999999999996</v>
      </c>
      <c r="AN19" s="387">
        <f>((COSTS!$G$5/20)*88)/88</f>
        <v>1.308904109589041</v>
      </c>
      <c r="AR19" s="69">
        <f t="shared" si="6"/>
        <v>5.3089041095890401</v>
      </c>
      <c r="AT19" s="1">
        <f>VLOOKUP(C19&amp;$AT$1,OTR!E:J,6,FALSE)/88</f>
        <v>21.077272727272724</v>
      </c>
      <c r="AU19" s="1" t="e">
        <f>VLOOKUP(C19&amp;$AU$1,OTR!E:J,6,FALSE)/88</f>
        <v>#N/A</v>
      </c>
    </row>
    <row r="20" spans="1:47">
      <c r="A20" s="1">
        <v>220586</v>
      </c>
      <c r="B20" s="1" t="s">
        <v>91</v>
      </c>
      <c r="C20" s="1" t="s">
        <v>92</v>
      </c>
      <c r="D20" s="1" t="s">
        <v>76</v>
      </c>
      <c r="E20" s="1" t="str">
        <f>VLOOKUP(A:A,'Regions and Ports'!A:G,5,FALSE)</f>
        <v>GA 30 Day</v>
      </c>
      <c r="F20" s="1" t="str">
        <f>VLOOKUP(A:A,'Regions and Ports'!A:F,6,FALSE)</f>
        <v>ER5</v>
      </c>
      <c r="G20" s="1" t="str">
        <f>VLOOKUP(A:A,'Regions and Ports'!A:G,7,FALSE)</f>
        <v>Savannah</v>
      </c>
      <c r="H20" s="87">
        <v>4</v>
      </c>
      <c r="I20" s="69">
        <f>VLOOKUP(A:A,'Seam Tariffs'!A:AB,9,FALSE)</f>
        <v>3.5</v>
      </c>
      <c r="J20" s="69">
        <f>VLOOKUP(A:A,'Seam Tariffs'!A:AB,11,FALSE)</f>
        <v>5</v>
      </c>
      <c r="K20" s="69">
        <f>VLOOKUP(A:A,'Seam Tariffs'!A:AB,12,FALSE)</f>
        <v>0</v>
      </c>
      <c r="L20" s="69">
        <f>VLOOKUP(A:A,'Seam Tariffs'!A:AB,13,FALSE)</f>
        <v>0</v>
      </c>
      <c r="M20" s="69">
        <f>VLOOKUP(A:A,'Seam Tariffs'!A:AB,14,FALSE)</f>
        <v>0.5</v>
      </c>
      <c r="N20" s="69">
        <f>VLOOKUP(A:A,'Seam Tariffs'!A:AB,28,FALSE)</f>
        <v>2</v>
      </c>
      <c r="O20" s="69">
        <f>COSTS!$W$6</f>
        <v>1.8958333333333335</v>
      </c>
      <c r="P20" s="69">
        <f>VLOOKUP(G20,COSTS!$V$11:$X$14,3,FALSE)</f>
        <v>0</v>
      </c>
      <c r="Q20" s="69">
        <f t="shared" si="0"/>
        <v>12.895833333333334</v>
      </c>
      <c r="R20" s="69">
        <f t="shared" si="1"/>
        <v>1.8958333333333335</v>
      </c>
      <c r="S20" s="87">
        <f>VLOOKUP(A:A,'Flat Bed &amp; Late Fees'!A:J,6,FALSE)</f>
        <v>0</v>
      </c>
      <c r="T20" s="87">
        <f>VLOOKUP(A:A,'Flat Bed &amp; Late Fees'!A:J,7,FALSE)</f>
        <v>0</v>
      </c>
      <c r="U20" s="68">
        <f>VLOOKUP(C20&amp;G20,OTR!E:J,6,FALSE)/88</f>
        <v>11.297954545454546</v>
      </c>
      <c r="V20" s="87"/>
      <c r="W20" s="68">
        <f t="shared" si="2"/>
        <v>11.297954545454546</v>
      </c>
      <c r="X20" s="69">
        <f>VLOOKUP(G20,COSTS!$Z$18:$AC$23,2,FALSE)</f>
        <v>2.6</v>
      </c>
      <c r="Y20" s="87">
        <f>VLOOKUP(G20,COSTS!$Z$18:$AC$23,4,FALSE)</f>
        <v>2.52</v>
      </c>
      <c r="Z20" s="69">
        <f>(COSTS!$W$3*COSTS!$W$4*500)/52*COSTS!$AE$17</f>
        <v>1.3125</v>
      </c>
      <c r="AB20" s="69">
        <f t="shared" si="3"/>
        <v>6.4325000000000001</v>
      </c>
      <c r="AC20" s="69">
        <f>VLOOKUP(G20,COSTS!$Z$11:$AE$14,5,FALSE)</f>
        <v>5.5113636363636367</v>
      </c>
      <c r="AD20" s="69">
        <f>VLOOKUP(G20,COSTS!$Z$4:$AD$7,4,FALSE)</f>
        <v>5.3522727272727275</v>
      </c>
      <c r="AE20" s="69"/>
      <c r="AF20" s="69">
        <f t="shared" si="4"/>
        <v>10.863636363636363</v>
      </c>
      <c r="AG20" s="87">
        <f>((COSTS!$C$5*88)/20)/88</f>
        <v>1.4407150000000002</v>
      </c>
      <c r="AH20" s="69">
        <f>(COSTS!$X$38/88)*20</f>
        <v>0.34865702479338845</v>
      </c>
      <c r="AI20" s="87">
        <f>((COSTS!$E$5*88)/20)/88</f>
        <v>0.62936587135988387</v>
      </c>
      <c r="AJ20" s="87">
        <f>((COSTS!$D$5*88)/20)/88</f>
        <v>0.33676</v>
      </c>
      <c r="AL20" s="387">
        <f t="shared" si="5"/>
        <v>2.7554978961532726</v>
      </c>
      <c r="AM20" s="69">
        <f>(COSTS!$W$3+0.1)*500*0.01</f>
        <v>3.9999999999999996</v>
      </c>
      <c r="AN20" s="387">
        <f>((COSTS!$G$5/20)*88)/88</f>
        <v>1.308904109589041</v>
      </c>
      <c r="AR20" s="69">
        <f t="shared" si="6"/>
        <v>5.3089041095890401</v>
      </c>
      <c r="AT20" s="1" t="e">
        <f>VLOOKUP(C20&amp;$AT$1,OTR!E:J,6,FALSE)/88</f>
        <v>#N/A</v>
      </c>
      <c r="AU20" s="1">
        <f>VLOOKUP(C20&amp;$AU$1,OTR!E:J,6,FALSE)/88</f>
        <v>14.630681818181818</v>
      </c>
    </row>
    <row r="21" spans="1:47">
      <c r="A21" s="1">
        <v>4004</v>
      </c>
      <c r="B21" s="1" t="s">
        <v>94</v>
      </c>
      <c r="C21" s="1" t="s">
        <v>95</v>
      </c>
      <c r="D21" s="1" t="s">
        <v>65</v>
      </c>
      <c r="E21" s="1" t="str">
        <f>VLOOKUP(A:A,'Regions and Ports'!A:G,5,FALSE)</f>
        <v>Eastern Rule 5</v>
      </c>
      <c r="F21" s="1" t="str">
        <f>VLOOKUP(A:A,'Regions and Ports'!A:F,6,FALSE)</f>
        <v>ER5</v>
      </c>
      <c r="G21" s="1" t="str">
        <f>VLOOKUP(A:A,'Regions and Ports'!A:G,7,FALSE)</f>
        <v>Savannah</v>
      </c>
      <c r="H21" s="87">
        <v>1</v>
      </c>
      <c r="I21" s="69">
        <f>VLOOKUP(A:A,'Seam Tariffs'!A:AB,9,FALSE)</f>
        <v>0</v>
      </c>
      <c r="J21" s="69">
        <f>VLOOKUP(A:A,'Seam Tariffs'!A:AB,11,FALSE)</f>
        <v>0</v>
      </c>
      <c r="K21" s="69">
        <f>VLOOKUP(A:A,'Seam Tariffs'!A:AB,12,FALSE)</f>
        <v>0</v>
      </c>
      <c r="L21" s="69">
        <f>VLOOKUP(A:A,'Seam Tariffs'!A:AB,13,FALSE)</f>
        <v>0</v>
      </c>
      <c r="M21" s="69">
        <f>VLOOKUP(A:A,'Seam Tariffs'!A:AB,14,FALSE)</f>
        <v>0</v>
      </c>
      <c r="N21" s="69">
        <f>VLOOKUP(A:A,'Seam Tariffs'!A:AB,28,FALSE)</f>
        <v>2.5</v>
      </c>
      <c r="O21" s="69">
        <f>COSTS!$W$6</f>
        <v>1.8958333333333335</v>
      </c>
      <c r="P21" s="69">
        <f>VLOOKUP(G21,COSTS!$V$11:$X$14,3,FALSE)</f>
        <v>0</v>
      </c>
      <c r="Q21" s="69">
        <f t="shared" si="0"/>
        <v>4.3958333333333339</v>
      </c>
      <c r="R21" s="69">
        <f t="shared" si="1"/>
        <v>4.3958333333333339</v>
      </c>
      <c r="S21" s="87">
        <f>VLOOKUP(A:A,'Flat Bed &amp; Late Fees'!A:J,6,FALSE)</f>
        <v>0</v>
      </c>
      <c r="T21" s="87">
        <f>VLOOKUP(A:A,'Flat Bed &amp; Late Fees'!A:J,7,FALSE)</f>
        <v>0</v>
      </c>
      <c r="U21" s="68">
        <f>VLOOKUP(C21&amp;G21,OTR!E:J,6,FALSE)/88</f>
        <v>15.834517045454545</v>
      </c>
      <c r="V21" s="87"/>
      <c r="W21" s="68">
        <f t="shared" si="2"/>
        <v>15.834517045454545</v>
      </c>
      <c r="X21" s="69">
        <f>VLOOKUP(G21,COSTS!$Z$18:$AC$23,2,FALSE)</f>
        <v>2.6</v>
      </c>
      <c r="Y21" s="87">
        <f>VLOOKUP(G21,COSTS!$Z$18:$AC$23,4,FALSE)</f>
        <v>2.52</v>
      </c>
      <c r="Z21" s="69">
        <f>(COSTS!$W$3*COSTS!$W$4*500)/52*COSTS!$AE$17</f>
        <v>1.3125</v>
      </c>
      <c r="AB21" s="69">
        <f t="shared" si="3"/>
        <v>6.4325000000000001</v>
      </c>
      <c r="AC21" s="69">
        <f>VLOOKUP(G21,COSTS!$Z$11:$AE$14,5,FALSE)</f>
        <v>5.5113636363636367</v>
      </c>
      <c r="AD21" s="69">
        <f>VLOOKUP(G21,COSTS!$Z$4:$AD$7,4,FALSE)</f>
        <v>5.3522727272727275</v>
      </c>
      <c r="AE21" s="69"/>
      <c r="AF21" s="69">
        <f t="shared" si="4"/>
        <v>10.863636363636363</v>
      </c>
      <c r="AG21" s="87">
        <f>((COSTS!$C$5*88)/20)/88</f>
        <v>1.4407150000000002</v>
      </c>
      <c r="AH21" s="69">
        <f>(COSTS!$X$38/88)*20</f>
        <v>0.34865702479338845</v>
      </c>
      <c r="AI21" s="87">
        <f>((COSTS!$E$5*88)/20)/88</f>
        <v>0.62936587135988387</v>
      </c>
      <c r="AJ21" s="87">
        <f>((COSTS!$D$5*88)/20)/88</f>
        <v>0.33676</v>
      </c>
      <c r="AL21" s="387">
        <f t="shared" si="5"/>
        <v>2.7554978961532726</v>
      </c>
      <c r="AM21" s="69">
        <f>(COSTS!$W$3+0.1)*500*0.01</f>
        <v>3.9999999999999996</v>
      </c>
      <c r="AN21" s="387">
        <f>((COSTS!$G$5/20)*88)/88</f>
        <v>1.308904109589041</v>
      </c>
      <c r="AR21" s="69">
        <f t="shared" si="6"/>
        <v>5.3089041095890401</v>
      </c>
      <c r="AT21" s="1" t="e">
        <f>VLOOKUP(C21&amp;$AT$1,OTR!E:J,6,FALSE)/88</f>
        <v>#N/A</v>
      </c>
      <c r="AU21" s="1">
        <f>VLOOKUP(C21&amp;$AU$1,OTR!E:J,6,FALSE)/88</f>
        <v>16.420454545454547</v>
      </c>
    </row>
    <row r="22" spans="1:47">
      <c r="A22" s="1">
        <v>217517</v>
      </c>
      <c r="B22" s="1" t="s">
        <v>97</v>
      </c>
      <c r="C22" s="1" t="s">
        <v>98</v>
      </c>
      <c r="D22" s="1" t="s">
        <v>76</v>
      </c>
      <c r="E22" s="1" t="str">
        <f>VLOOKUP(A:A,'Regions and Ports'!A:G,5,FALSE)</f>
        <v>GA 30 Day</v>
      </c>
      <c r="F22" s="1" t="str">
        <f>VLOOKUP(A:A,'Regions and Ports'!A:F,6,FALSE)</f>
        <v>ER5</v>
      </c>
      <c r="G22" s="1" t="str">
        <f>VLOOKUP(A:A,'Regions and Ports'!A:G,7,FALSE)</f>
        <v>Savannah</v>
      </c>
      <c r="H22" s="87">
        <v>4</v>
      </c>
      <c r="I22" s="69">
        <f>VLOOKUP(A:A,'Seam Tariffs'!A:AB,9,FALSE)</f>
        <v>3.25</v>
      </c>
      <c r="J22" s="69">
        <f>VLOOKUP(A:A,'Seam Tariffs'!A:AB,11,FALSE)</f>
        <v>5.5</v>
      </c>
      <c r="K22" s="69">
        <f>VLOOKUP(A:A,'Seam Tariffs'!A:AB,12,FALSE)</f>
        <v>0</v>
      </c>
      <c r="L22" s="69">
        <f>VLOOKUP(A:A,'Seam Tariffs'!A:AB,13,FALSE)</f>
        <v>0</v>
      </c>
      <c r="M22" s="69">
        <f>VLOOKUP(A:A,'Seam Tariffs'!A:AB,14,FALSE)</f>
        <v>0</v>
      </c>
      <c r="N22" s="69">
        <f>VLOOKUP(A:A,'Seam Tariffs'!A:AB,28,FALSE)</f>
        <v>3</v>
      </c>
      <c r="O22" s="69">
        <f>COSTS!$W$6</f>
        <v>1.8958333333333335</v>
      </c>
      <c r="P22" s="69">
        <f>VLOOKUP(G22,COSTS!$V$11:$X$14,3,FALSE)</f>
        <v>0</v>
      </c>
      <c r="Q22" s="69">
        <f t="shared" si="0"/>
        <v>13.645833333333334</v>
      </c>
      <c r="R22" s="69">
        <f t="shared" si="1"/>
        <v>1.8958333333333335</v>
      </c>
      <c r="S22" s="87">
        <f>VLOOKUP(A:A,'Flat Bed &amp; Late Fees'!A:J,6,FALSE)</f>
        <v>0</v>
      </c>
      <c r="T22" s="87">
        <f>VLOOKUP(A:A,'Flat Bed &amp; Late Fees'!A:J,7,FALSE)</f>
        <v>0</v>
      </c>
      <c r="U22" s="68">
        <f>VLOOKUP(C22&amp;G22,OTR!E:J,6,FALSE)/88</f>
        <v>13.200909090909091</v>
      </c>
      <c r="V22" s="87"/>
      <c r="W22" s="68">
        <f t="shared" si="2"/>
        <v>13.200909090909091</v>
      </c>
      <c r="X22" s="69">
        <f>VLOOKUP(G22,COSTS!$Z$18:$AC$23,2,FALSE)</f>
        <v>2.6</v>
      </c>
      <c r="Y22" s="87">
        <f>VLOOKUP(G22,COSTS!$Z$18:$AC$23,4,FALSE)</f>
        <v>2.52</v>
      </c>
      <c r="Z22" s="69">
        <f>(COSTS!$W$3*COSTS!$W$4*500)/52*COSTS!$AE$17</f>
        <v>1.3125</v>
      </c>
      <c r="AB22" s="69">
        <f t="shared" si="3"/>
        <v>6.4325000000000001</v>
      </c>
      <c r="AC22" s="69">
        <f>VLOOKUP(G22,COSTS!$Z$11:$AE$14,5,FALSE)</f>
        <v>5.5113636363636367</v>
      </c>
      <c r="AD22" s="69">
        <f>VLOOKUP(G22,COSTS!$Z$4:$AD$7,4,FALSE)</f>
        <v>5.3522727272727275</v>
      </c>
      <c r="AE22" s="69"/>
      <c r="AF22" s="69">
        <f t="shared" si="4"/>
        <v>10.863636363636363</v>
      </c>
      <c r="AG22" s="87">
        <f>((COSTS!$C$5*88)/20)/88</f>
        <v>1.4407150000000002</v>
      </c>
      <c r="AH22" s="69">
        <f>(COSTS!$X$38/88)*20</f>
        <v>0.34865702479338845</v>
      </c>
      <c r="AI22" s="87">
        <f>((COSTS!$E$5*88)/20)/88</f>
        <v>0.62936587135988387</v>
      </c>
      <c r="AJ22" s="87">
        <f>((COSTS!$D$5*88)/20)/88</f>
        <v>0.33676</v>
      </c>
      <c r="AL22" s="387">
        <f t="shared" si="5"/>
        <v>2.7554978961532726</v>
      </c>
      <c r="AM22" s="69">
        <f>(COSTS!$W$3+0.1)*500*0.01</f>
        <v>3.9999999999999996</v>
      </c>
      <c r="AN22" s="387">
        <f>((COSTS!$G$5/20)*88)/88</f>
        <v>1.308904109589041</v>
      </c>
      <c r="AR22" s="69">
        <f t="shared" si="6"/>
        <v>5.3089041095890401</v>
      </c>
      <c r="AT22" s="1">
        <f>VLOOKUP(C22&amp;$AT$1,OTR!E:J,6,FALSE)/88</f>
        <v>13.786931818181818</v>
      </c>
      <c r="AU22" s="1">
        <f>VLOOKUP(C22&amp;$AU$1,OTR!E:J,6,FALSE)/88</f>
        <v>15.994318181818182</v>
      </c>
    </row>
    <row r="23" spans="1:47">
      <c r="A23" s="1">
        <v>1100</v>
      </c>
      <c r="B23" s="1" t="s">
        <v>100</v>
      </c>
      <c r="C23" s="1" t="s">
        <v>101</v>
      </c>
      <c r="D23" s="1" t="s">
        <v>65</v>
      </c>
      <c r="E23" s="1" t="str">
        <f>VLOOKUP(A:A,'Regions and Ports'!A:G,5,FALSE)</f>
        <v>Eastern Rule 5</v>
      </c>
      <c r="F23" s="1" t="str">
        <f>VLOOKUP(A:A,'Regions and Ports'!A:F,6,FALSE)</f>
        <v>ER5</v>
      </c>
      <c r="G23" s="1" t="str">
        <f>VLOOKUP(A:A,'Regions and Ports'!A:G,7,FALSE)</f>
        <v>Savannah</v>
      </c>
      <c r="H23" s="87">
        <v>1</v>
      </c>
      <c r="I23" s="69">
        <f>VLOOKUP(A:A,'Seam Tariffs'!A:AB,9,FALSE)</f>
        <v>2.15</v>
      </c>
      <c r="J23" s="69">
        <f>VLOOKUP(A:A,'Seam Tariffs'!A:AB,11,FALSE)</f>
        <v>6</v>
      </c>
      <c r="K23" s="69">
        <f>VLOOKUP(A:A,'Seam Tariffs'!A:AB,12,FALSE)</f>
        <v>7.5</v>
      </c>
      <c r="L23" s="69">
        <f>VLOOKUP(A:A,'Seam Tariffs'!A:AB,13,FALSE)</f>
        <v>0</v>
      </c>
      <c r="M23" s="69">
        <f>VLOOKUP(A:A,'Seam Tariffs'!A:AB,14,FALSE)</f>
        <v>0.5</v>
      </c>
      <c r="N23" s="69">
        <f>VLOOKUP(A:A,'Seam Tariffs'!A:AB,28,FALSE)</f>
        <v>3</v>
      </c>
      <c r="O23" s="69">
        <f>COSTS!$W$6</f>
        <v>1.8958333333333335</v>
      </c>
      <c r="P23" s="69">
        <f>VLOOKUP(G23,COSTS!$V$11:$X$14,3,FALSE)</f>
        <v>0</v>
      </c>
      <c r="Q23" s="69">
        <f t="shared" si="0"/>
        <v>21.045833333333331</v>
      </c>
      <c r="R23" s="69">
        <f t="shared" si="1"/>
        <v>4.8958333333333339</v>
      </c>
      <c r="S23" s="87">
        <f>VLOOKUP(A:A,'Flat Bed &amp; Late Fees'!A:J,6,FALSE)</f>
        <v>0</v>
      </c>
      <c r="T23" s="87">
        <f>VLOOKUP(A:A,'Flat Bed &amp; Late Fees'!A:J,7,FALSE)</f>
        <v>0</v>
      </c>
      <c r="U23" s="68">
        <f>VLOOKUP(C23&amp;G23,OTR!E:J,6,FALSE)/88</f>
        <v>16.59627840909091</v>
      </c>
      <c r="V23" s="87"/>
      <c r="W23" s="68">
        <f t="shared" si="2"/>
        <v>16.59627840909091</v>
      </c>
      <c r="X23" s="69">
        <f>VLOOKUP(G23,COSTS!$Z$18:$AC$23,2,FALSE)</f>
        <v>2.6</v>
      </c>
      <c r="Y23" s="87">
        <f>VLOOKUP(G23,COSTS!$Z$18:$AC$23,4,FALSE)</f>
        <v>2.52</v>
      </c>
      <c r="Z23" s="69">
        <f>(COSTS!$W$3*COSTS!$W$4*500)/52*COSTS!$AE$17</f>
        <v>1.3125</v>
      </c>
      <c r="AB23" s="69">
        <f t="shared" si="3"/>
        <v>6.4325000000000001</v>
      </c>
      <c r="AC23" s="69">
        <f>VLOOKUP(G23,COSTS!$Z$11:$AE$14,5,FALSE)</f>
        <v>5.5113636363636367</v>
      </c>
      <c r="AD23" s="69">
        <f>VLOOKUP(G23,COSTS!$Z$4:$AD$7,4,FALSE)</f>
        <v>5.3522727272727275</v>
      </c>
      <c r="AE23" s="69"/>
      <c r="AF23" s="69">
        <f t="shared" si="4"/>
        <v>10.863636363636363</v>
      </c>
      <c r="AG23" s="87">
        <f>((COSTS!$C$5*88)/20)/88</f>
        <v>1.4407150000000002</v>
      </c>
      <c r="AH23" s="69">
        <f>(COSTS!$X$38/88)*20</f>
        <v>0.34865702479338845</v>
      </c>
      <c r="AI23" s="87">
        <f>((COSTS!$E$5*88)/20)/88</f>
        <v>0.62936587135988387</v>
      </c>
      <c r="AJ23" s="87">
        <f>((COSTS!$D$5*88)/20)/88</f>
        <v>0.33676</v>
      </c>
      <c r="AL23" s="387">
        <f t="shared" si="5"/>
        <v>2.7554978961532726</v>
      </c>
      <c r="AM23" s="69">
        <f>(COSTS!$W$3+0.1)*500*0.01</f>
        <v>3.9999999999999996</v>
      </c>
      <c r="AN23" s="387">
        <f>((COSTS!$G$5/20)*88)/88</f>
        <v>1.308904109589041</v>
      </c>
      <c r="AR23" s="69">
        <f t="shared" si="6"/>
        <v>5.3089041095890401</v>
      </c>
      <c r="AT23" s="1" t="e">
        <f>VLOOKUP(C23&amp;$AT$1,OTR!E:J,6,FALSE)/88</f>
        <v>#N/A</v>
      </c>
      <c r="AU23" s="1">
        <f>VLOOKUP(C23&amp;$AU$1,OTR!E:J,6,FALSE)/88</f>
        <v>17.443181818181817</v>
      </c>
    </row>
    <row r="24" spans="1:47">
      <c r="A24" s="1">
        <v>221010</v>
      </c>
      <c r="B24" s="1" t="s">
        <v>103</v>
      </c>
      <c r="C24" s="1" t="s">
        <v>104</v>
      </c>
      <c r="D24" s="1" t="s">
        <v>76</v>
      </c>
      <c r="E24" s="1" t="str">
        <f>VLOOKUP(A:A,'Regions and Ports'!A:G,5,FALSE)</f>
        <v>GA 30 Day</v>
      </c>
      <c r="F24" s="1" t="str">
        <f>VLOOKUP(A:A,'Regions and Ports'!A:F,6,FALSE)</f>
        <v>ER5</v>
      </c>
      <c r="G24" s="1" t="str">
        <f>VLOOKUP(A:A,'Regions and Ports'!A:G,7,FALSE)</f>
        <v>Savannah</v>
      </c>
      <c r="H24" s="87">
        <v>4</v>
      </c>
      <c r="I24" s="69">
        <f>VLOOKUP(A:A,'Seam Tariffs'!A:AB,9,FALSE)</f>
        <v>0</v>
      </c>
      <c r="J24" s="69">
        <f>VLOOKUP(A:A,'Seam Tariffs'!A:AB,11,FALSE)</f>
        <v>0</v>
      </c>
      <c r="K24" s="69">
        <f>VLOOKUP(A:A,'Seam Tariffs'!A:AB,12,FALSE)</f>
        <v>0</v>
      </c>
      <c r="L24" s="69">
        <f>VLOOKUP(A:A,'Seam Tariffs'!A:AB,13,FALSE)</f>
        <v>0</v>
      </c>
      <c r="M24" s="69">
        <f>VLOOKUP(A:A,'Seam Tariffs'!A:AB,14,FALSE)</f>
        <v>0</v>
      </c>
      <c r="N24" s="69">
        <f>VLOOKUP(A:A,'Seam Tariffs'!A:AB,28,FALSE)</f>
        <v>2.5</v>
      </c>
      <c r="O24" s="69">
        <f>COSTS!$W$6</f>
        <v>1.8958333333333335</v>
      </c>
      <c r="P24" s="69">
        <f>VLOOKUP(G24,COSTS!$V$11:$X$14,3,FALSE)</f>
        <v>0</v>
      </c>
      <c r="Q24" s="69">
        <f t="shared" si="0"/>
        <v>4.3958333333333339</v>
      </c>
      <c r="R24" s="69">
        <f t="shared" si="1"/>
        <v>1.8958333333333335</v>
      </c>
      <c r="S24" s="87">
        <f>VLOOKUP(A:A,'Flat Bed &amp; Late Fees'!A:J,6,FALSE)</f>
        <v>0</v>
      </c>
      <c r="T24" s="87">
        <f>VLOOKUP(A:A,'Flat Bed &amp; Late Fees'!A:J,7,FALSE)</f>
        <v>0</v>
      </c>
      <c r="U24" s="68">
        <f>VLOOKUP(C24&amp;G24,OTR!E:J,6,FALSE)/88</f>
        <v>13.179886363636363</v>
      </c>
      <c r="V24" s="87"/>
      <c r="W24" s="68">
        <f t="shared" si="2"/>
        <v>13.179886363636363</v>
      </c>
      <c r="X24" s="69">
        <f>VLOOKUP(G24,COSTS!$Z$18:$AC$23,2,FALSE)</f>
        <v>2.6</v>
      </c>
      <c r="Y24" s="87">
        <f>VLOOKUP(G24,COSTS!$Z$18:$AC$23,4,FALSE)</f>
        <v>2.52</v>
      </c>
      <c r="Z24" s="69">
        <f>(COSTS!$W$3*COSTS!$W$4*500)/52*COSTS!$AE$17</f>
        <v>1.3125</v>
      </c>
      <c r="AB24" s="69">
        <f t="shared" si="3"/>
        <v>6.4325000000000001</v>
      </c>
      <c r="AC24" s="69">
        <f>VLOOKUP(G24,COSTS!$Z$11:$AE$14,5,FALSE)</f>
        <v>5.5113636363636367</v>
      </c>
      <c r="AD24" s="69">
        <f>VLOOKUP(G24,COSTS!$Z$4:$AD$7,4,FALSE)</f>
        <v>5.3522727272727275</v>
      </c>
      <c r="AE24" s="69"/>
      <c r="AF24" s="69">
        <f t="shared" si="4"/>
        <v>10.863636363636363</v>
      </c>
      <c r="AG24" s="87">
        <f>((COSTS!$C$5*88)/20)/88</f>
        <v>1.4407150000000002</v>
      </c>
      <c r="AH24" s="69">
        <f>(COSTS!$X$38/88)*20</f>
        <v>0.34865702479338845</v>
      </c>
      <c r="AI24" s="87">
        <f>((COSTS!$E$5*88)/20)/88</f>
        <v>0.62936587135988387</v>
      </c>
      <c r="AJ24" s="87">
        <f>((COSTS!$D$5*88)/20)/88</f>
        <v>0.33676</v>
      </c>
      <c r="AL24" s="387">
        <f t="shared" si="5"/>
        <v>2.7554978961532726</v>
      </c>
      <c r="AM24" s="69">
        <f>(COSTS!$W$3+0.1)*500*0.01</f>
        <v>3.9999999999999996</v>
      </c>
      <c r="AN24" s="387">
        <f>((COSTS!$G$5/20)*88)/88</f>
        <v>1.308904109589041</v>
      </c>
      <c r="AR24" s="69">
        <f t="shared" si="6"/>
        <v>5.3089041095890401</v>
      </c>
      <c r="AT24" s="1" t="e">
        <f>VLOOKUP(C24&amp;$AT$1,OTR!E:J,6,FALSE)/88</f>
        <v>#N/A</v>
      </c>
      <c r="AU24" s="1">
        <f>VLOOKUP(C24&amp;$AU$1,OTR!E:J,6,FALSE)/88</f>
        <v>17.03409090909091</v>
      </c>
    </row>
    <row r="25" spans="1:47">
      <c r="A25" s="1">
        <v>176000</v>
      </c>
      <c r="B25" s="1" t="s">
        <v>106</v>
      </c>
      <c r="C25" s="1" t="s">
        <v>107</v>
      </c>
      <c r="D25" s="1" t="s">
        <v>108</v>
      </c>
      <c r="E25" s="1" t="str">
        <f>VLOOKUP(A:A,'Regions and Ports'!A:G,5,FALSE)</f>
        <v>Southwest</v>
      </c>
      <c r="F25" s="1">
        <f>VLOOKUP(A:A,'Regions and Ports'!A:F,6,FALSE)</f>
        <v>0</v>
      </c>
      <c r="G25" s="1" t="str">
        <f>VLOOKUP(A:A,'Regions and Ports'!A:G,7,FALSE)</f>
        <v>Los Angeles</v>
      </c>
      <c r="H25" s="87">
        <v>5</v>
      </c>
      <c r="I25" s="69">
        <f>VLOOKUP(A:A,'Seam Tariffs'!A:AB,9,FALSE)</f>
        <v>0</v>
      </c>
      <c r="J25" s="69">
        <f>VLOOKUP(A:A,'Seam Tariffs'!A:AB,11,FALSE)</f>
        <v>10</v>
      </c>
      <c r="K25" s="69">
        <f>VLOOKUP(A:A,'Seam Tariffs'!A:AB,12,FALSE)</f>
        <v>0</v>
      </c>
      <c r="L25" s="69">
        <f>VLOOKUP(A:A,'Seam Tariffs'!A:AB,13,FALSE)</f>
        <v>0</v>
      </c>
      <c r="M25" s="69">
        <f>VLOOKUP(A:A,'Seam Tariffs'!A:AB,14,FALSE)</f>
        <v>0</v>
      </c>
      <c r="N25" s="69">
        <f>VLOOKUP(A:A,'Seam Tariffs'!A:AB,28,FALSE)</f>
        <v>5.1000000000000005</v>
      </c>
      <c r="O25" s="69">
        <f>COSTS!$W$6</f>
        <v>1.8958333333333335</v>
      </c>
      <c r="P25" s="69" t="e">
        <f>VLOOKUP(G25,COSTS!$V$11:$X$14,3,FALSE)</f>
        <v>#N/A</v>
      </c>
      <c r="Q25" s="69" t="e">
        <f t="shared" si="0"/>
        <v>#N/A</v>
      </c>
      <c r="R25" s="69" t="e">
        <f t="shared" si="1"/>
        <v>#VALUE!</v>
      </c>
      <c r="S25" s="87">
        <f>VLOOKUP(A:A,'Flat Bed &amp; Late Fees'!A:J,6,FALSE)</f>
        <v>0</v>
      </c>
      <c r="T25" s="87">
        <f>VLOOKUP(A:A,'Flat Bed &amp; Late Fees'!A:J,7,FALSE)</f>
        <v>0</v>
      </c>
      <c r="U25" s="68" t="e">
        <f>VLOOKUP(C25&amp;G25,OTR!E:J,6,FALSE)/88</f>
        <v>#N/A</v>
      </c>
      <c r="V25" s="87"/>
      <c r="W25" s="68" t="e">
        <f t="shared" si="2"/>
        <v>#N/A</v>
      </c>
      <c r="X25" s="69" t="e">
        <f>VLOOKUP(G25,COSTS!$Z$18:$AC$23,2,FALSE)</f>
        <v>#N/A</v>
      </c>
      <c r="Y25" s="87" t="e">
        <f>VLOOKUP(G25,COSTS!$Z$18:$AC$23,4,FALSE)</f>
        <v>#N/A</v>
      </c>
      <c r="Z25" s="69">
        <f>(COSTS!$W$3*COSTS!$W$4*500)/52*COSTS!$AE$17</f>
        <v>1.3125</v>
      </c>
      <c r="AB25" s="69" t="e">
        <f t="shared" si="3"/>
        <v>#N/A</v>
      </c>
      <c r="AC25" s="69" t="e">
        <f>VLOOKUP(G25,COSTS!$Z$11:$AE$14,5,FALSE)</f>
        <v>#N/A</v>
      </c>
      <c r="AD25" s="69" t="e">
        <f>VLOOKUP(G25,COSTS!$Z$4:$AD$7,4,FALSE)</f>
        <v>#N/A</v>
      </c>
      <c r="AE25" s="69"/>
      <c r="AF25" s="69" t="e">
        <f t="shared" si="4"/>
        <v>#N/A</v>
      </c>
      <c r="AG25" s="87">
        <f>((COSTS!$C$5*88)/20)/88</f>
        <v>1.4407150000000002</v>
      </c>
      <c r="AH25" s="69">
        <f>(COSTS!$X$38/88)*20</f>
        <v>0.34865702479338845</v>
      </c>
      <c r="AI25" s="87">
        <f>((COSTS!$E$5*88)/20)/88</f>
        <v>0.62936587135988387</v>
      </c>
      <c r="AJ25" s="87">
        <f>((COSTS!$D$5*88)/20)/88</f>
        <v>0.33676</v>
      </c>
      <c r="AL25" s="387">
        <f t="shared" si="5"/>
        <v>2.7554978961532726</v>
      </c>
      <c r="AM25" s="69">
        <f>(COSTS!$W$3+0.1)*500*0.01</f>
        <v>3.9999999999999996</v>
      </c>
      <c r="AN25" s="387">
        <f>((COSTS!$G$5/20)*88)/88</f>
        <v>1.308904109589041</v>
      </c>
      <c r="AR25" s="69">
        <f t="shared" si="6"/>
        <v>5.3089041095890401</v>
      </c>
      <c r="AT25" s="1" t="e">
        <f>VLOOKUP(C25&amp;$AT$1,OTR!E:J,6,FALSE)/88</f>
        <v>#N/A</v>
      </c>
      <c r="AU25" s="1" t="e">
        <f>VLOOKUP(C25&amp;$AU$1,OTR!E:J,6,FALSE)/88</f>
        <v>#N/A</v>
      </c>
    </row>
    <row r="26" spans="1:47">
      <c r="A26" s="1">
        <v>176001</v>
      </c>
      <c r="B26" s="1" t="s">
        <v>110</v>
      </c>
      <c r="C26" s="1" t="s">
        <v>107</v>
      </c>
      <c r="D26" s="1" t="s">
        <v>108</v>
      </c>
      <c r="E26" s="1" t="str">
        <f>VLOOKUP(A:A,'Regions and Ports'!A:G,5,FALSE)</f>
        <v>Southwest</v>
      </c>
      <c r="F26" s="1">
        <f>VLOOKUP(A:A,'Regions and Ports'!A:F,6,FALSE)</f>
        <v>0</v>
      </c>
      <c r="G26" s="1" t="str">
        <f>VLOOKUP(A:A,'Regions and Ports'!A:G,7,FALSE)</f>
        <v>Los Angeles</v>
      </c>
      <c r="H26" s="87">
        <v>5</v>
      </c>
      <c r="I26" s="69">
        <f>VLOOKUP(A:A,'Seam Tariffs'!A:AB,9,FALSE)</f>
        <v>4</v>
      </c>
      <c r="J26" s="69">
        <f>VLOOKUP(A:A,'Seam Tariffs'!A:AB,11,FALSE)</f>
        <v>9</v>
      </c>
      <c r="K26" s="69">
        <f>VLOOKUP(A:A,'Seam Tariffs'!A:AB,12,FALSE)</f>
        <v>9.5</v>
      </c>
      <c r="L26" s="69">
        <f>VLOOKUP(A:A,'Seam Tariffs'!A:AB,13,FALSE)</f>
        <v>0</v>
      </c>
      <c r="M26" s="69">
        <f>VLOOKUP(A:A,'Seam Tariffs'!A:AB,14,FALSE)</f>
        <v>1</v>
      </c>
      <c r="N26" s="69">
        <f>VLOOKUP(A:A,'Seam Tariffs'!A:AB,28,FALSE)</f>
        <v>4.8</v>
      </c>
      <c r="O26" s="69">
        <f>COSTS!$W$6</f>
        <v>1.8958333333333335</v>
      </c>
      <c r="P26" s="69" t="e">
        <f>VLOOKUP(G26,COSTS!$V$11:$X$14,3,FALSE)</f>
        <v>#N/A</v>
      </c>
      <c r="Q26" s="69" t="e">
        <f t="shared" si="0"/>
        <v>#N/A</v>
      </c>
      <c r="R26" s="69" t="e">
        <f t="shared" si="1"/>
        <v>#VALUE!</v>
      </c>
      <c r="S26" s="87">
        <f>VLOOKUP(A:A,'Flat Bed &amp; Late Fees'!A:J,6,FALSE)</f>
        <v>0</v>
      </c>
      <c r="T26" s="87">
        <f>VLOOKUP(A:A,'Flat Bed &amp; Late Fees'!A:J,7,FALSE)</f>
        <v>0</v>
      </c>
      <c r="U26" s="68" t="e">
        <f>VLOOKUP(C26&amp;G26,OTR!E:J,6,FALSE)/88</f>
        <v>#N/A</v>
      </c>
      <c r="V26" s="87"/>
      <c r="W26" s="68" t="e">
        <f t="shared" si="2"/>
        <v>#N/A</v>
      </c>
      <c r="X26" s="69" t="e">
        <f>VLOOKUP(G26,COSTS!$Z$18:$AC$23,2,FALSE)</f>
        <v>#N/A</v>
      </c>
      <c r="Y26" s="87" t="e">
        <f>VLOOKUP(G26,COSTS!$Z$18:$AC$23,4,FALSE)</f>
        <v>#N/A</v>
      </c>
      <c r="Z26" s="69">
        <f>(COSTS!$W$3*COSTS!$W$4*500)/52*COSTS!$AE$17</f>
        <v>1.3125</v>
      </c>
      <c r="AB26" s="69" t="e">
        <f t="shared" si="3"/>
        <v>#N/A</v>
      </c>
      <c r="AC26" s="69" t="e">
        <f>VLOOKUP(G26,COSTS!$Z$11:$AE$14,5,FALSE)</f>
        <v>#N/A</v>
      </c>
      <c r="AD26" s="69" t="e">
        <f>VLOOKUP(G26,COSTS!$Z$4:$AD$7,4,FALSE)</f>
        <v>#N/A</v>
      </c>
      <c r="AE26" s="69"/>
      <c r="AF26" s="69" t="e">
        <f t="shared" si="4"/>
        <v>#N/A</v>
      </c>
      <c r="AG26" s="87">
        <f>((COSTS!$C$5*88)/20)/88</f>
        <v>1.4407150000000002</v>
      </c>
      <c r="AH26" s="69">
        <f>(COSTS!$X$38/88)*20</f>
        <v>0.34865702479338845</v>
      </c>
      <c r="AI26" s="87">
        <f>((COSTS!$E$5*88)/20)/88</f>
        <v>0.62936587135988387</v>
      </c>
      <c r="AJ26" s="87">
        <f>((COSTS!$D$5*88)/20)/88</f>
        <v>0.33676</v>
      </c>
      <c r="AL26" s="387">
        <f t="shared" si="5"/>
        <v>2.7554978961532726</v>
      </c>
      <c r="AM26" s="69">
        <f>(COSTS!$W$3+0.1)*500*0.01</f>
        <v>3.9999999999999996</v>
      </c>
      <c r="AN26" s="387">
        <f>((COSTS!$G$5/20)*88)/88</f>
        <v>1.308904109589041</v>
      </c>
      <c r="AR26" s="69">
        <f t="shared" si="6"/>
        <v>5.3089041095890401</v>
      </c>
      <c r="AT26" s="1" t="e">
        <f>VLOOKUP(C26&amp;$AT$1,OTR!E:J,6,FALSE)/88</f>
        <v>#N/A</v>
      </c>
      <c r="AU26" s="1" t="e">
        <f>VLOOKUP(C26&amp;$AU$1,OTR!E:J,6,FALSE)/88</f>
        <v>#N/A</v>
      </c>
    </row>
    <row r="27" spans="1:47">
      <c r="A27" s="1">
        <v>176006</v>
      </c>
      <c r="B27" s="1" t="s">
        <v>111</v>
      </c>
      <c r="C27" s="1" t="s">
        <v>107</v>
      </c>
      <c r="D27" s="1" t="s">
        <v>108</v>
      </c>
      <c r="E27" s="1" t="str">
        <f>VLOOKUP(A:A,'Regions and Ports'!A:G,5,FALSE)</f>
        <v>Southwest</v>
      </c>
      <c r="F27" s="1">
        <f>VLOOKUP(A:A,'Regions and Ports'!A:F,6,FALSE)</f>
        <v>0</v>
      </c>
      <c r="G27" s="1" t="str">
        <f>VLOOKUP(A:A,'Regions and Ports'!A:G,7,FALSE)</f>
        <v>Los Angeles</v>
      </c>
      <c r="H27" s="87">
        <v>5</v>
      </c>
      <c r="I27" s="69">
        <f>VLOOKUP(A:A,'Seam Tariffs'!A:AB,9,FALSE)</f>
        <v>0</v>
      </c>
      <c r="J27" s="69">
        <f>VLOOKUP(A:A,'Seam Tariffs'!A:AB,11,FALSE)</f>
        <v>9.5</v>
      </c>
      <c r="K27" s="69">
        <f>VLOOKUP(A:A,'Seam Tariffs'!A:AB,12,FALSE)</f>
        <v>0</v>
      </c>
      <c r="L27" s="69">
        <f>VLOOKUP(A:A,'Seam Tariffs'!A:AB,13,FALSE)</f>
        <v>0</v>
      </c>
      <c r="M27" s="69">
        <f>VLOOKUP(A:A,'Seam Tariffs'!A:AB,14,FALSE)</f>
        <v>0.5</v>
      </c>
      <c r="N27" s="69">
        <f>VLOOKUP(A:A,'Seam Tariffs'!A:AB,28,FALSE)</f>
        <v>4.8</v>
      </c>
      <c r="O27" s="69">
        <f>COSTS!$W$6</f>
        <v>1.8958333333333335</v>
      </c>
      <c r="P27" s="69" t="e">
        <f>VLOOKUP(G27,COSTS!$V$11:$X$14,3,FALSE)</f>
        <v>#N/A</v>
      </c>
      <c r="Q27" s="69" t="e">
        <f t="shared" si="0"/>
        <v>#N/A</v>
      </c>
      <c r="R27" s="69" t="e">
        <f t="shared" si="1"/>
        <v>#VALUE!</v>
      </c>
      <c r="S27" s="87">
        <f>VLOOKUP(A:A,'Flat Bed &amp; Late Fees'!A:J,6,FALSE)</f>
        <v>0</v>
      </c>
      <c r="T27" s="87">
        <f>VLOOKUP(A:A,'Flat Bed &amp; Late Fees'!A:J,7,FALSE)</f>
        <v>0</v>
      </c>
      <c r="U27" s="68" t="e">
        <f>VLOOKUP(C27&amp;G27,OTR!E:J,6,FALSE)/88</f>
        <v>#N/A</v>
      </c>
      <c r="V27" s="87"/>
      <c r="W27" s="68" t="e">
        <f t="shared" si="2"/>
        <v>#N/A</v>
      </c>
      <c r="X27" s="69" t="e">
        <f>VLOOKUP(G27,COSTS!$Z$18:$AC$23,2,FALSE)</f>
        <v>#N/A</v>
      </c>
      <c r="Y27" s="87" t="e">
        <f>VLOOKUP(G27,COSTS!$Z$18:$AC$23,4,FALSE)</f>
        <v>#N/A</v>
      </c>
      <c r="Z27" s="69">
        <f>(COSTS!$W$3*COSTS!$W$4*500)/52*COSTS!$AE$17</f>
        <v>1.3125</v>
      </c>
      <c r="AB27" s="69" t="e">
        <f t="shared" si="3"/>
        <v>#N/A</v>
      </c>
      <c r="AC27" s="69" t="e">
        <f>VLOOKUP(G27,COSTS!$Z$11:$AE$14,5,FALSE)</f>
        <v>#N/A</v>
      </c>
      <c r="AD27" s="69" t="e">
        <f>VLOOKUP(G27,COSTS!$Z$4:$AD$7,4,FALSE)</f>
        <v>#N/A</v>
      </c>
      <c r="AE27" s="69"/>
      <c r="AF27" s="69" t="e">
        <f t="shared" si="4"/>
        <v>#N/A</v>
      </c>
      <c r="AG27" s="87">
        <f>((COSTS!$C$5*88)/20)/88</f>
        <v>1.4407150000000002</v>
      </c>
      <c r="AH27" s="69">
        <f>(COSTS!$X$38/88)*20</f>
        <v>0.34865702479338845</v>
      </c>
      <c r="AI27" s="87">
        <f>((COSTS!$E$5*88)/20)/88</f>
        <v>0.62936587135988387</v>
      </c>
      <c r="AJ27" s="87">
        <f>((COSTS!$D$5*88)/20)/88</f>
        <v>0.33676</v>
      </c>
      <c r="AL27" s="387">
        <f t="shared" si="5"/>
        <v>2.7554978961532726</v>
      </c>
      <c r="AM27" s="69">
        <f>(COSTS!$W$3+0.1)*500*0.01</f>
        <v>3.9999999999999996</v>
      </c>
      <c r="AN27" s="387">
        <f>((COSTS!$G$5/20)*88)/88</f>
        <v>1.308904109589041</v>
      </c>
      <c r="AR27" s="69">
        <f t="shared" si="6"/>
        <v>5.3089041095890401</v>
      </c>
      <c r="AT27" s="1" t="e">
        <f>VLOOKUP(C27&amp;$AT$1,OTR!E:J,6,FALSE)/88</f>
        <v>#N/A</v>
      </c>
      <c r="AU27" s="1" t="e">
        <f>VLOOKUP(C27&amp;$AU$1,OTR!E:J,6,FALSE)/88</f>
        <v>#N/A</v>
      </c>
    </row>
    <row r="28" spans="1:47">
      <c r="A28" s="1">
        <v>820010</v>
      </c>
      <c r="B28" s="1" t="s">
        <v>112</v>
      </c>
      <c r="C28" s="1" t="s">
        <v>113</v>
      </c>
      <c r="D28" s="1" t="s">
        <v>71</v>
      </c>
      <c r="E28" s="1" t="str">
        <f>VLOOKUP(A:A,'Regions and Ports'!A:G,5,FALSE)</f>
        <v>WTX</v>
      </c>
      <c r="F28" s="1" t="str">
        <f>VLOOKUP(A:A,'Regions and Ports'!A:F,6,FALSE)</f>
        <v>WTX</v>
      </c>
      <c r="G28" s="1" t="str">
        <f>VLOOKUP(A:A,'Regions and Ports'!A:G,7,FALSE)</f>
        <v>Dallas</v>
      </c>
      <c r="H28" s="87">
        <v>2</v>
      </c>
      <c r="I28" s="69">
        <f>VLOOKUP(A:A,'Seam Tariffs'!A:AB,9,FALSE)</f>
        <v>5.0999999999999996</v>
      </c>
      <c r="J28" s="69">
        <f>VLOOKUP(A:A,'Seam Tariffs'!A:AB,11,FALSE)</f>
        <v>6.25</v>
      </c>
      <c r="K28" s="69">
        <f>VLOOKUP(A:A,'Seam Tariffs'!A:AB,12,FALSE)</f>
        <v>12</v>
      </c>
      <c r="L28" s="69">
        <f>VLOOKUP(A:A,'Seam Tariffs'!A:AB,13,FALSE)</f>
        <v>0</v>
      </c>
      <c r="M28" s="69">
        <f>VLOOKUP(A:A,'Seam Tariffs'!A:AB,14,FALSE)</f>
        <v>0</v>
      </c>
      <c r="N28" s="69">
        <f>VLOOKUP(A:A,'Seam Tariffs'!A:AB,28,FALSE)</f>
        <v>2.85</v>
      </c>
      <c r="O28" s="69">
        <f>COSTS!$W$6</f>
        <v>1.8958333333333335</v>
      </c>
      <c r="P28" s="69">
        <f>VLOOKUP(G28,COSTS!$V$11:$X$14,3,FALSE)</f>
        <v>0</v>
      </c>
      <c r="Q28" s="69">
        <f t="shared" si="0"/>
        <v>28.095833333333335</v>
      </c>
      <c r="R28" s="69">
        <f t="shared" si="1"/>
        <v>16.745833333333334</v>
      </c>
      <c r="S28" s="87">
        <f>VLOOKUP(A:A,'Flat Bed &amp; Late Fees'!A:J,6,FALSE)</f>
        <v>0</v>
      </c>
      <c r="T28" s="87">
        <f>VLOOKUP(A:A,'Flat Bed &amp; Late Fees'!A:J,7,FALSE)</f>
        <v>0</v>
      </c>
      <c r="U28" s="68">
        <f>VLOOKUP(C28&amp;G28,OTR!E:J,6,FALSE)/88</f>
        <v>8.8352272727272734</v>
      </c>
      <c r="V28" s="87"/>
      <c r="W28" s="68">
        <f t="shared" si="2"/>
        <v>8.8352272727272734</v>
      </c>
      <c r="X28" s="69">
        <f>VLOOKUP(G28,COSTS!$Z$18:$AC$23,2,FALSE)</f>
        <v>2.7</v>
      </c>
      <c r="Y28" s="87">
        <f>VLOOKUP(G28,COSTS!$Z$18:$AC$23,4,FALSE)</f>
        <v>2.52</v>
      </c>
      <c r="Z28" s="69">
        <f>(COSTS!$W$3*COSTS!$W$4*500)/52*COSTS!$AE$17</f>
        <v>1.3125</v>
      </c>
      <c r="AB28" s="69">
        <f t="shared" si="3"/>
        <v>6.5325000000000006</v>
      </c>
      <c r="AC28" s="69">
        <f>VLOOKUP(G28,COSTS!$Z$11:$AE$14,5,FALSE)</f>
        <v>8.125</v>
      </c>
      <c r="AD28" s="69">
        <f>VLOOKUP(G28,COSTS!$Z$4:$AD$7,4,FALSE)</f>
        <v>13.409090909090908</v>
      </c>
      <c r="AE28" s="69"/>
      <c r="AF28" s="69">
        <f t="shared" si="4"/>
        <v>21.534090909090907</v>
      </c>
      <c r="AG28" s="87">
        <f>((COSTS!$C$5*88)/20)/88</f>
        <v>1.4407150000000002</v>
      </c>
      <c r="AH28" s="69">
        <f>(COSTS!$X$38/88)*20</f>
        <v>0.34865702479338845</v>
      </c>
      <c r="AI28" s="87">
        <f>((COSTS!$E$5*88)/20)/88</f>
        <v>0.62936587135988387</v>
      </c>
      <c r="AJ28" s="87">
        <f>((COSTS!$D$5*88)/20)/88</f>
        <v>0.33676</v>
      </c>
      <c r="AL28" s="387">
        <f t="shared" si="5"/>
        <v>2.7554978961532726</v>
      </c>
      <c r="AM28" s="69">
        <f>(COSTS!$W$3+0.1)*500*0.01</f>
        <v>3.9999999999999996</v>
      </c>
      <c r="AN28" s="387">
        <f>((COSTS!$G$5/20)*88)/88</f>
        <v>1.308904109589041</v>
      </c>
      <c r="AR28" s="69">
        <f t="shared" si="6"/>
        <v>5.3089041095890401</v>
      </c>
      <c r="AT28" s="1">
        <f>VLOOKUP(C28&amp;$AT$1,OTR!E:J,6,FALSE)/88</f>
        <v>13.434431818181819</v>
      </c>
      <c r="AU28" s="1" t="e">
        <f>VLOOKUP(C28&amp;$AU$1,OTR!E:J,6,FALSE)/88</f>
        <v>#N/A</v>
      </c>
    </row>
    <row r="29" spans="1:47">
      <c r="A29" s="125">
        <v>820010</v>
      </c>
      <c r="B29" s="1" t="s">
        <v>112</v>
      </c>
      <c r="C29" s="1" t="s">
        <v>113</v>
      </c>
      <c r="D29" s="1" t="s">
        <v>71</v>
      </c>
      <c r="E29" s="1" t="s">
        <v>2067</v>
      </c>
      <c r="F29" s="1" t="str">
        <f>VLOOKUP(A:A,'Regions and Ports'!A:F,6,FALSE)</f>
        <v>WTX</v>
      </c>
      <c r="G29" s="1" t="s">
        <v>439</v>
      </c>
      <c r="H29" s="87">
        <v>2</v>
      </c>
      <c r="I29" s="69">
        <f>VLOOKUP(A:A,'Seam Tariffs'!A:AB,9,FALSE)</f>
        <v>5.0999999999999996</v>
      </c>
      <c r="J29" s="69">
        <f>VLOOKUP(A:A,'Seam Tariffs'!A:AB,11,FALSE)</f>
        <v>6.25</v>
      </c>
      <c r="K29" s="69">
        <f>VLOOKUP(A:A,'Seam Tariffs'!A:AB,12,FALSE)</f>
        <v>12</v>
      </c>
      <c r="L29" s="69">
        <f>VLOOKUP(A:A,'Seam Tariffs'!A:AB,13,FALSE)</f>
        <v>0</v>
      </c>
      <c r="M29" s="69">
        <f>VLOOKUP(A:A,'Seam Tariffs'!A:AB,14,FALSE)</f>
        <v>0</v>
      </c>
      <c r="N29" s="69">
        <f>VLOOKUP(A:A,'Seam Tariffs'!A:AB,28,FALSE)</f>
        <v>2.85</v>
      </c>
      <c r="O29" s="69">
        <f>COSTS!$W$6</f>
        <v>1.8958333333333335</v>
      </c>
      <c r="P29" s="69">
        <f>VLOOKUP(G29,COSTS!$V$11:$X$14,3,FALSE)</f>
        <v>0</v>
      </c>
      <c r="Q29" s="69">
        <f t="shared" si="0"/>
        <v>28.095833333333335</v>
      </c>
      <c r="R29" s="69">
        <f t="shared" si="1"/>
        <v>16.745833333333334</v>
      </c>
      <c r="S29" s="87">
        <f>VLOOKUP(A:A,'Flat Bed &amp; Late Fees'!A:J,6,FALSE)</f>
        <v>0</v>
      </c>
      <c r="T29" s="87">
        <f>VLOOKUP(A:A,'Flat Bed &amp; Late Fees'!A:J,7,FALSE)</f>
        <v>0</v>
      </c>
      <c r="U29" s="68">
        <f>VLOOKUP(C29&amp;G29,OTR!E:J,6,FALSE)/88</f>
        <v>15.056818181818182</v>
      </c>
      <c r="V29" s="87"/>
      <c r="W29" s="68">
        <f t="shared" si="2"/>
        <v>15.056818181818182</v>
      </c>
      <c r="X29" s="69">
        <f>VLOOKUP(G29,COSTS!$Z$18:$AC$23,2,FALSE)</f>
        <v>2.7</v>
      </c>
      <c r="Y29" s="87">
        <f>VLOOKUP(G29,COSTS!$Z$18:$AC$23,4,FALSE)</f>
        <v>2.52</v>
      </c>
      <c r="Z29" s="69">
        <f>(COSTS!$W$3*COSTS!$W$4*500)/52*COSTS!$AE$17</f>
        <v>1.3125</v>
      </c>
      <c r="AB29" s="69">
        <f t="shared" si="3"/>
        <v>6.5325000000000006</v>
      </c>
      <c r="AC29" s="69">
        <f>VLOOKUP(G29,COSTS!$Z$11:$AE$14,5,FALSE)</f>
        <v>6.6477272727272725</v>
      </c>
      <c r="AD29" s="69">
        <f>VLOOKUP(G29,COSTS!$Z$4:$AD$7,4,FALSE)</f>
        <v>9.8977272727272734</v>
      </c>
      <c r="AE29" s="69"/>
      <c r="AF29" s="69">
        <f t="shared" si="4"/>
        <v>16.545454545454547</v>
      </c>
      <c r="AG29" s="87">
        <f>((COSTS!$C$5*88)/20)/88</f>
        <v>1.4407150000000002</v>
      </c>
      <c r="AH29" s="69">
        <f>(COSTS!$X$38/88)*20</f>
        <v>0.34865702479338845</v>
      </c>
      <c r="AI29" s="87">
        <f>((COSTS!$E$5*88)/20)/88</f>
        <v>0.62936587135988387</v>
      </c>
      <c r="AJ29" s="87">
        <f>((COSTS!$D$5*88)/20)/88</f>
        <v>0.33676</v>
      </c>
      <c r="AL29" s="387">
        <f t="shared" si="5"/>
        <v>2.7554978961532726</v>
      </c>
      <c r="AM29" s="69">
        <f>(COSTS!$W$3+0.1)*500*0.01</f>
        <v>3.9999999999999996</v>
      </c>
      <c r="AN29" s="387">
        <f>((COSTS!$G$5/20)*88)/88</f>
        <v>1.308904109589041</v>
      </c>
      <c r="AR29" s="69">
        <f t="shared" si="6"/>
        <v>5.3089041095890401</v>
      </c>
      <c r="AT29" s="1">
        <f>VLOOKUP(C29&amp;$AT$1,OTR!E:J,6,FALSE)/88</f>
        <v>13.434431818181819</v>
      </c>
      <c r="AU29" s="1" t="e">
        <f>VLOOKUP(C29&amp;$AU$1,OTR!E:J,6,FALSE)/88</f>
        <v>#N/A</v>
      </c>
    </row>
    <row r="30" spans="1:47">
      <c r="A30" s="1">
        <v>222010</v>
      </c>
      <c r="B30" s="1" t="s">
        <v>115</v>
      </c>
      <c r="C30" s="1" t="s">
        <v>116</v>
      </c>
      <c r="D30" s="1" t="s">
        <v>76</v>
      </c>
      <c r="E30" s="1" t="str">
        <f>VLOOKUP(A:A,'Regions and Ports'!A:G,5,FALSE)</f>
        <v>GA 30 Day</v>
      </c>
      <c r="F30" s="1" t="str">
        <f>VLOOKUP(A:A,'Regions and Ports'!A:F,6,FALSE)</f>
        <v>ER5</v>
      </c>
      <c r="G30" s="1" t="str">
        <f>VLOOKUP(A:A,'Regions and Ports'!A:G,7,FALSE)</f>
        <v>Savannah</v>
      </c>
      <c r="H30" s="87">
        <v>4</v>
      </c>
      <c r="I30" s="69">
        <f>VLOOKUP(A:A,'Seam Tariffs'!A:AB,9,FALSE)</f>
        <v>3</v>
      </c>
      <c r="J30" s="69">
        <f>VLOOKUP(A:A,'Seam Tariffs'!A:AB,11,FALSE)</f>
        <v>4.5</v>
      </c>
      <c r="K30" s="69">
        <f>VLOOKUP(A:A,'Seam Tariffs'!A:AB,12,FALSE)</f>
        <v>0</v>
      </c>
      <c r="L30" s="69">
        <f>VLOOKUP(A:A,'Seam Tariffs'!A:AB,13,FALSE)</f>
        <v>0</v>
      </c>
      <c r="M30" s="69">
        <f>VLOOKUP(A:A,'Seam Tariffs'!A:AB,14,FALSE)</f>
        <v>0</v>
      </c>
      <c r="N30" s="69">
        <f>VLOOKUP(A:A,'Seam Tariffs'!A:AB,28,FALSE)</f>
        <v>2</v>
      </c>
      <c r="O30" s="69">
        <f>COSTS!$W$6</f>
        <v>1.8958333333333335</v>
      </c>
      <c r="P30" s="69">
        <f>VLOOKUP(G30,COSTS!$V$11:$X$14,3,FALSE)</f>
        <v>0</v>
      </c>
      <c r="Q30" s="69">
        <f t="shared" si="0"/>
        <v>11.395833333333334</v>
      </c>
      <c r="R30" s="69">
        <f t="shared" si="1"/>
        <v>1.8958333333333335</v>
      </c>
      <c r="S30" s="87">
        <f>VLOOKUP(A:A,'Flat Bed &amp; Late Fees'!A:J,6,FALSE)</f>
        <v>0</v>
      </c>
      <c r="T30" s="87">
        <f>VLOOKUP(A:A,'Flat Bed &amp; Late Fees'!A:J,7,FALSE)</f>
        <v>0</v>
      </c>
      <c r="U30" s="68">
        <f>VLOOKUP(C30&amp;G30,OTR!E:J,6,FALSE)/88</f>
        <v>9.1371022727272742</v>
      </c>
      <c r="V30" s="87"/>
      <c r="W30" s="68">
        <f t="shared" si="2"/>
        <v>9.1371022727272742</v>
      </c>
      <c r="X30" s="69">
        <f>VLOOKUP(G30,COSTS!$Z$18:$AC$23,2,FALSE)</f>
        <v>2.6</v>
      </c>
      <c r="Y30" s="87">
        <f>VLOOKUP(G30,COSTS!$Z$18:$AC$23,4,FALSE)</f>
        <v>2.52</v>
      </c>
      <c r="Z30" s="69">
        <f>(COSTS!$W$3*COSTS!$W$4*500)/52*COSTS!$AE$17</f>
        <v>1.3125</v>
      </c>
      <c r="AB30" s="69">
        <f t="shared" si="3"/>
        <v>6.4325000000000001</v>
      </c>
      <c r="AC30" s="69">
        <f>VLOOKUP(G30,COSTS!$Z$11:$AE$14,5,FALSE)</f>
        <v>5.5113636363636367</v>
      </c>
      <c r="AD30" s="69">
        <f>VLOOKUP(G30,COSTS!$Z$4:$AD$7,4,FALSE)</f>
        <v>5.3522727272727275</v>
      </c>
      <c r="AE30" s="69"/>
      <c r="AF30" s="69">
        <f t="shared" si="4"/>
        <v>10.863636363636363</v>
      </c>
      <c r="AG30" s="87">
        <f>((COSTS!$C$5*88)/20)/88</f>
        <v>1.4407150000000002</v>
      </c>
      <c r="AH30" s="69">
        <f>(COSTS!$X$38/88)*20</f>
        <v>0.34865702479338845</v>
      </c>
      <c r="AI30" s="87">
        <f>((COSTS!$E$5*88)/20)/88</f>
        <v>0.62936587135988387</v>
      </c>
      <c r="AJ30" s="87">
        <f>((COSTS!$D$5*88)/20)/88</f>
        <v>0.33676</v>
      </c>
      <c r="AL30" s="387">
        <f t="shared" si="5"/>
        <v>2.7554978961532726</v>
      </c>
      <c r="AM30" s="69">
        <f>(COSTS!$W$3+0.1)*500*0.01</f>
        <v>3.9999999999999996</v>
      </c>
      <c r="AN30" s="387">
        <f>((COSTS!$G$5/20)*88)/88</f>
        <v>1.308904109589041</v>
      </c>
      <c r="AR30" s="69">
        <f t="shared" si="6"/>
        <v>5.3089041095890401</v>
      </c>
      <c r="AT30" s="1">
        <f>VLOOKUP(C30&amp;$AT$1,OTR!E:J,6,FALSE)/88</f>
        <v>25.868068181818181</v>
      </c>
      <c r="AU30" s="1">
        <f>VLOOKUP(C30&amp;$AU$1,OTR!E:J,6,FALSE)/88</f>
        <v>12.926136363636363</v>
      </c>
    </row>
    <row r="31" spans="1:47">
      <c r="A31" s="1">
        <v>220900</v>
      </c>
      <c r="B31" s="1" t="s">
        <v>118</v>
      </c>
      <c r="C31" s="1" t="s">
        <v>119</v>
      </c>
      <c r="D31" s="1" t="s">
        <v>76</v>
      </c>
      <c r="E31" s="1" t="str">
        <f>VLOOKUP(A:A,'Regions and Ports'!A:G,5,FALSE)</f>
        <v>GA 30 Day</v>
      </c>
      <c r="F31" s="1" t="str">
        <f>VLOOKUP(A:A,'Regions and Ports'!A:F,6,FALSE)</f>
        <v>ER5</v>
      </c>
      <c r="G31" s="1" t="str">
        <f>VLOOKUP(A:A,'Regions and Ports'!A:G,7,FALSE)</f>
        <v>Savannah</v>
      </c>
      <c r="H31" s="87">
        <v>4</v>
      </c>
      <c r="I31" s="69">
        <f>VLOOKUP(A:A,'Seam Tariffs'!A:AB,9,FALSE)</f>
        <v>2.95</v>
      </c>
      <c r="J31" s="69">
        <f>VLOOKUP(A:A,'Seam Tariffs'!A:AB,11,FALSE)</f>
        <v>5</v>
      </c>
      <c r="K31" s="69">
        <f>VLOOKUP(A:A,'Seam Tariffs'!A:AB,12,FALSE)</f>
        <v>0</v>
      </c>
      <c r="L31" s="69">
        <f>VLOOKUP(A:A,'Seam Tariffs'!A:AB,13,FALSE)</f>
        <v>0</v>
      </c>
      <c r="M31" s="69">
        <f>VLOOKUP(A:A,'Seam Tariffs'!A:AB,14,FALSE)</f>
        <v>0</v>
      </c>
      <c r="N31" s="69">
        <f>VLOOKUP(A:A,'Seam Tariffs'!A:AB,28,FALSE)</f>
        <v>3</v>
      </c>
      <c r="O31" s="69">
        <f>COSTS!$W$6</f>
        <v>1.8958333333333335</v>
      </c>
      <c r="P31" s="69">
        <f>VLOOKUP(G31,COSTS!$V$11:$X$14,3,FALSE)</f>
        <v>0</v>
      </c>
      <c r="Q31" s="69">
        <f t="shared" si="0"/>
        <v>12.845833333333333</v>
      </c>
      <c r="R31" s="69">
        <f t="shared" si="1"/>
        <v>1.8958333333333335</v>
      </c>
      <c r="S31" s="87">
        <f>VLOOKUP(A:A,'Flat Bed &amp; Late Fees'!A:J,6,FALSE)</f>
        <v>0</v>
      </c>
      <c r="T31" s="87">
        <f>VLOOKUP(A:A,'Flat Bed &amp; Late Fees'!A:J,7,FALSE)</f>
        <v>0</v>
      </c>
      <c r="U31" s="68">
        <f>VLOOKUP(C31&amp;G31,OTR!E:J,6,FALSE)/88</f>
        <v>8.6896590909090907</v>
      </c>
      <c r="V31" s="87"/>
      <c r="W31" s="68">
        <f t="shared" si="2"/>
        <v>8.6896590909090907</v>
      </c>
      <c r="X31" s="69">
        <f>VLOOKUP(G31,COSTS!$Z$18:$AC$23,2,FALSE)</f>
        <v>2.6</v>
      </c>
      <c r="Y31" s="87">
        <f>VLOOKUP(G31,COSTS!$Z$18:$AC$23,4,FALSE)</f>
        <v>2.52</v>
      </c>
      <c r="Z31" s="69">
        <f>(COSTS!$W$3*COSTS!$W$4*500)/52*COSTS!$AE$17</f>
        <v>1.3125</v>
      </c>
      <c r="AB31" s="69">
        <f t="shared" si="3"/>
        <v>6.4325000000000001</v>
      </c>
      <c r="AC31" s="69">
        <f>VLOOKUP(G31,COSTS!$Z$11:$AE$14,5,FALSE)</f>
        <v>5.5113636363636367</v>
      </c>
      <c r="AD31" s="69">
        <f>VLOOKUP(G31,COSTS!$Z$4:$AD$7,4,FALSE)</f>
        <v>5.3522727272727275</v>
      </c>
      <c r="AE31" s="69"/>
      <c r="AF31" s="69">
        <f t="shared" si="4"/>
        <v>10.863636363636363</v>
      </c>
      <c r="AG31" s="87">
        <f>((COSTS!$C$5*88)/20)/88</f>
        <v>1.4407150000000002</v>
      </c>
      <c r="AH31" s="69">
        <f>(COSTS!$X$38/88)*20</f>
        <v>0.34865702479338845</v>
      </c>
      <c r="AI31" s="87">
        <f>((COSTS!$E$5*88)/20)/88</f>
        <v>0.62936587135988387</v>
      </c>
      <c r="AJ31" s="87">
        <f>((COSTS!$D$5*88)/20)/88</f>
        <v>0.33676</v>
      </c>
      <c r="AL31" s="387">
        <f t="shared" si="5"/>
        <v>2.7554978961532726</v>
      </c>
      <c r="AM31" s="69">
        <f>(COSTS!$W$3+0.1)*500*0.01</f>
        <v>3.9999999999999996</v>
      </c>
      <c r="AN31" s="387">
        <f>((COSTS!$G$5/20)*88)/88</f>
        <v>1.308904109589041</v>
      </c>
      <c r="AR31" s="69">
        <f t="shared" si="6"/>
        <v>5.3089041095890401</v>
      </c>
      <c r="AT31" s="1">
        <f>VLOOKUP(C31&amp;$AT$1,OTR!E:J,6,FALSE)/88</f>
        <v>25.852045454545454</v>
      </c>
      <c r="AU31" s="1">
        <f>VLOOKUP(C31&amp;$AU$1,OTR!E:J,6,FALSE)/88</f>
        <v>14.630681818181818</v>
      </c>
    </row>
    <row r="32" spans="1:47">
      <c r="A32" s="1">
        <v>819202</v>
      </c>
      <c r="B32" s="1" t="s">
        <v>121</v>
      </c>
      <c r="C32" s="1" t="s">
        <v>122</v>
      </c>
      <c r="D32" s="1" t="s">
        <v>71</v>
      </c>
      <c r="E32" s="1" t="str">
        <f>VLOOKUP(A:A,'Regions and Ports'!A:G,5,FALSE)</f>
        <v>STEX</v>
      </c>
      <c r="F32" s="1" t="str">
        <f>VLOOKUP(A:A,'Regions and Ports'!A:F,6,FALSE)</f>
        <v>STX</v>
      </c>
      <c r="G32" s="1" t="str">
        <f>VLOOKUP(A:A,'Regions and Ports'!A:G,7,FALSE)</f>
        <v>Houston</v>
      </c>
      <c r="H32" s="87">
        <v>3</v>
      </c>
      <c r="I32" s="69">
        <f>VLOOKUP(A:A,'Seam Tariffs'!A:AB,9,FALSE)</f>
        <v>4.5</v>
      </c>
      <c r="J32" s="69">
        <f>VLOOKUP(A:A,'Seam Tariffs'!A:AB,11,FALSE)</f>
        <v>7.5</v>
      </c>
      <c r="K32" s="69">
        <f>VLOOKUP(A:A,'Seam Tariffs'!A:AB,12,FALSE)</f>
        <v>10.15</v>
      </c>
      <c r="L32" s="69">
        <f>VLOOKUP(A:A,'Seam Tariffs'!A:AB,13,FALSE)</f>
        <v>3</v>
      </c>
      <c r="M32" s="69">
        <f>VLOOKUP(A:A,'Seam Tariffs'!A:AB,14,FALSE)</f>
        <v>0</v>
      </c>
      <c r="N32" s="69">
        <f>VLOOKUP(A:A,'Seam Tariffs'!A:AB,28,FALSE)</f>
        <v>4.25</v>
      </c>
      <c r="O32" s="69">
        <f>COSTS!$W$6</f>
        <v>1.8958333333333335</v>
      </c>
      <c r="P32" s="69">
        <f>VLOOKUP(G32,COSTS!$V$11:$X$14,3,FALSE)</f>
        <v>0</v>
      </c>
      <c r="Q32" s="69">
        <f t="shared" si="0"/>
        <v>31.295833333333331</v>
      </c>
      <c r="R32" s="69">
        <f t="shared" si="1"/>
        <v>26.795833333333331</v>
      </c>
      <c r="S32" s="87">
        <f>VLOOKUP(A:A,'Flat Bed &amp; Late Fees'!A:J,6,FALSE)</f>
        <v>0</v>
      </c>
      <c r="T32" s="87">
        <f>VLOOKUP(A:A,'Flat Bed &amp; Late Fees'!A:J,7,FALSE)</f>
        <v>0</v>
      </c>
      <c r="U32" s="68" t="e">
        <f>VLOOKUP(C32&amp;G32,OTR!E:J,6,FALSE)/88</f>
        <v>#N/A</v>
      </c>
      <c r="V32" s="87"/>
      <c r="W32" s="68" t="e">
        <f t="shared" si="2"/>
        <v>#N/A</v>
      </c>
      <c r="X32" s="69">
        <f>VLOOKUP(G32,COSTS!$Z$18:$AC$23,2,FALSE)</f>
        <v>2.7</v>
      </c>
      <c r="Y32" s="87">
        <f>VLOOKUP(G32,COSTS!$Z$18:$AC$23,4,FALSE)</f>
        <v>2.52</v>
      </c>
      <c r="Z32" s="69">
        <f>(COSTS!$W$3*COSTS!$W$4*500)/52*COSTS!$AE$17</f>
        <v>1.3125</v>
      </c>
      <c r="AB32" s="69">
        <f t="shared" si="3"/>
        <v>6.5325000000000006</v>
      </c>
      <c r="AC32" s="69">
        <f>VLOOKUP(G32,COSTS!$Z$11:$AE$14,5,FALSE)</f>
        <v>6.6477272727272725</v>
      </c>
      <c r="AD32" s="69">
        <f>VLOOKUP(G32,COSTS!$Z$4:$AD$7,4,FALSE)</f>
        <v>9.8977272727272734</v>
      </c>
      <c r="AE32" s="69"/>
      <c r="AF32" s="69">
        <f t="shared" si="4"/>
        <v>16.545454545454547</v>
      </c>
      <c r="AG32" s="87">
        <f>((COSTS!$C$5*88)/20)/88</f>
        <v>1.4407150000000002</v>
      </c>
      <c r="AH32" s="69">
        <f>(COSTS!$X$38/88)*20</f>
        <v>0.34865702479338845</v>
      </c>
      <c r="AI32" s="87">
        <f>((COSTS!$E$5*88)/20)/88</f>
        <v>0.62936587135988387</v>
      </c>
      <c r="AJ32" s="87">
        <f>((COSTS!$D$5*88)/20)/88</f>
        <v>0.33676</v>
      </c>
      <c r="AL32" s="387">
        <f t="shared" si="5"/>
        <v>2.7554978961532726</v>
      </c>
      <c r="AM32" s="69">
        <f>(COSTS!$W$3+0.1)*500*0.01</f>
        <v>3.9999999999999996</v>
      </c>
      <c r="AN32" s="387">
        <f>((COSTS!$G$5/20)*88)/88</f>
        <v>1.308904109589041</v>
      </c>
      <c r="AR32" s="69">
        <f t="shared" si="6"/>
        <v>5.3089041095890401</v>
      </c>
      <c r="AT32" s="1">
        <f>VLOOKUP(C32&amp;$AT$1,OTR!E:J,6,FALSE)/88</f>
        <v>11.70397727272727</v>
      </c>
      <c r="AU32" s="1" t="e">
        <f>VLOOKUP(C32&amp;$AU$1,OTR!E:J,6,FALSE)/88</f>
        <v>#N/A</v>
      </c>
    </row>
    <row r="33" spans="1:47">
      <c r="A33" s="1">
        <v>11515</v>
      </c>
      <c r="B33" s="1" t="s">
        <v>124</v>
      </c>
      <c r="C33" s="1" t="s">
        <v>125</v>
      </c>
      <c r="D33" s="1" t="s">
        <v>65</v>
      </c>
      <c r="E33" s="1" t="str">
        <f>VLOOKUP(A:A,'Regions and Ports'!A:G,5,FALSE)</f>
        <v>Eastern Rule 5</v>
      </c>
      <c r="F33" s="1" t="str">
        <f>VLOOKUP(A:A,'Regions and Ports'!A:F,6,FALSE)</f>
        <v>ER5</v>
      </c>
      <c r="G33" s="1" t="str">
        <f>VLOOKUP(A:A,'Regions and Ports'!A:G,7,FALSE)</f>
        <v>Memphis</v>
      </c>
      <c r="H33" s="87">
        <v>1</v>
      </c>
      <c r="I33" s="69">
        <f>VLOOKUP(A:A,'Seam Tariffs'!A:AB,9,FALSE)</f>
        <v>4</v>
      </c>
      <c r="J33" s="69">
        <f>VLOOKUP(A:A,'Seam Tariffs'!A:AB,11,FALSE)</f>
        <v>6.75</v>
      </c>
      <c r="K33" s="69">
        <f>VLOOKUP(A:A,'Seam Tariffs'!A:AB,12,FALSE)</f>
        <v>7</v>
      </c>
      <c r="L33" s="69">
        <f>VLOOKUP(A:A,'Seam Tariffs'!A:AB,13,FALSE)</f>
        <v>0</v>
      </c>
      <c r="M33" s="69">
        <f>VLOOKUP(A:A,'Seam Tariffs'!A:AB,14,FALSE)</f>
        <v>0.5</v>
      </c>
      <c r="N33" s="69">
        <f>VLOOKUP(A:A,'Seam Tariffs'!A:AB,28,FALSE)</f>
        <v>2</v>
      </c>
      <c r="O33" s="69">
        <f>COSTS!$W$6</f>
        <v>1.8958333333333335</v>
      </c>
      <c r="P33" s="69">
        <f>VLOOKUP(G33,COSTS!$V$11:$X$14,3,FALSE)</f>
        <v>0</v>
      </c>
      <c r="Q33" s="69">
        <f t="shared" si="0"/>
        <v>22.145833333333332</v>
      </c>
      <c r="R33" s="69">
        <f t="shared" si="1"/>
        <v>3.8958333333333335</v>
      </c>
      <c r="S33" s="87">
        <f>VLOOKUP(A:A,'Flat Bed &amp; Late Fees'!A:J,6,FALSE)</f>
        <v>0</v>
      </c>
      <c r="T33" s="87">
        <f>VLOOKUP(A:A,'Flat Bed &amp; Late Fees'!A:J,7,FALSE)</f>
        <v>0</v>
      </c>
      <c r="U33" s="68">
        <f>VLOOKUP(C33&amp;G33,OTR!E:J,6,FALSE)/88</f>
        <v>11.414034090909091</v>
      </c>
      <c r="V33" s="87"/>
      <c r="W33" s="68">
        <f t="shared" si="2"/>
        <v>11.414034090909091</v>
      </c>
      <c r="X33" s="69">
        <f>VLOOKUP(G33,COSTS!$Z$18:$AC$23,2,FALSE)</f>
        <v>2.5</v>
      </c>
      <c r="Y33" s="87">
        <f>VLOOKUP(G33,COSTS!$Z$18:$AC$23,4,FALSE)</f>
        <v>1.68</v>
      </c>
      <c r="Z33" s="69">
        <f>(COSTS!$W$3*COSTS!$W$4*500)/52*COSTS!$AE$17</f>
        <v>1.3125</v>
      </c>
      <c r="AB33" s="69">
        <f t="shared" si="3"/>
        <v>5.4924999999999997</v>
      </c>
      <c r="AC33" s="69">
        <f>VLOOKUP(G33,COSTS!$Z$11:$AE$14,5,FALSE)</f>
        <v>7.3011363636363633</v>
      </c>
      <c r="AD33" s="69">
        <f>VLOOKUP(G33,COSTS!$Z$4:$AD$7,4,FALSE)</f>
        <v>9.1363636363636367</v>
      </c>
      <c r="AE33" s="69"/>
      <c r="AF33" s="69">
        <f t="shared" si="4"/>
        <v>16.4375</v>
      </c>
      <c r="AG33" s="87">
        <f>((COSTS!$C$5*88)/20)/88</f>
        <v>1.4407150000000002</v>
      </c>
      <c r="AH33" s="69">
        <f>(COSTS!$X$38/88)*20</f>
        <v>0.34865702479338845</v>
      </c>
      <c r="AI33" s="87">
        <f>((COSTS!$E$5*88)/20)/88</f>
        <v>0.62936587135988387</v>
      </c>
      <c r="AJ33" s="87">
        <f>((COSTS!$D$5*88)/20)/88</f>
        <v>0.33676</v>
      </c>
      <c r="AL33" s="387">
        <f t="shared" si="5"/>
        <v>2.7554978961532726</v>
      </c>
      <c r="AM33" s="69">
        <f>(COSTS!$W$3+0.1)*500*0.01</f>
        <v>3.9999999999999996</v>
      </c>
      <c r="AN33" s="387">
        <f>((COSTS!$G$5/20)*88)/88</f>
        <v>1.308904109589041</v>
      </c>
      <c r="AR33" s="69">
        <f t="shared" si="6"/>
        <v>5.3089041095890401</v>
      </c>
      <c r="AT33" s="1" t="e">
        <f>VLOOKUP(C33&amp;$AT$1,OTR!E:J,6,FALSE)/88</f>
        <v>#N/A</v>
      </c>
      <c r="AU33" s="1">
        <f>VLOOKUP(C33&amp;$AU$1,OTR!E:J,6,FALSE)/88</f>
        <v>17.52840909090909</v>
      </c>
    </row>
    <row r="34" spans="1:47">
      <c r="A34" s="1">
        <v>467005</v>
      </c>
      <c r="B34" s="1" t="s">
        <v>126</v>
      </c>
      <c r="C34" s="1" t="s">
        <v>127</v>
      </c>
      <c r="D34" s="1" t="s">
        <v>128</v>
      </c>
      <c r="E34" s="1" t="str">
        <f>VLOOKUP(A:A,'Regions and Ports'!A:G,5,FALSE)</f>
        <v>Memphis Rule 5</v>
      </c>
      <c r="F34" s="1" t="str">
        <f>VLOOKUP(A:A,'Regions and Ports'!A:F,6,FALSE)</f>
        <v>MR5</v>
      </c>
      <c r="G34" s="1" t="str">
        <f>VLOOKUP(A:A,'Regions and Ports'!A:G,7,FALSE)</f>
        <v>Memphis</v>
      </c>
      <c r="H34" s="87">
        <v>1</v>
      </c>
      <c r="I34" s="69">
        <f>VLOOKUP(A:A,'Seam Tariffs'!A:AB,9,FALSE)</f>
        <v>1.5</v>
      </c>
      <c r="J34" s="69">
        <f>VLOOKUP(A:A,'Seam Tariffs'!A:AB,11,FALSE)</f>
        <v>3.75</v>
      </c>
      <c r="K34" s="69">
        <f>VLOOKUP(A:A,'Seam Tariffs'!A:AB,12,FALSE)</f>
        <v>8</v>
      </c>
      <c r="L34" s="69">
        <f>VLOOKUP(A:A,'Seam Tariffs'!A:AB,13,FALSE)</f>
        <v>3.05</v>
      </c>
      <c r="M34" s="69">
        <f>VLOOKUP(A:A,'Seam Tariffs'!A:AB,14,FALSE)</f>
        <v>0.5</v>
      </c>
      <c r="N34" s="69">
        <f>VLOOKUP(A:A,'Seam Tariffs'!A:AB,28,FALSE)</f>
        <v>3.15</v>
      </c>
      <c r="O34" s="69">
        <f>COSTS!$W$6</f>
        <v>1.8958333333333335</v>
      </c>
      <c r="P34" s="69">
        <f>VLOOKUP(G34,COSTS!$V$11:$X$14,3,FALSE)</f>
        <v>0</v>
      </c>
      <c r="Q34" s="69">
        <f t="shared" si="0"/>
        <v>21.845833333333331</v>
      </c>
      <c r="R34" s="69">
        <f t="shared" si="1"/>
        <v>5.0458333333333334</v>
      </c>
      <c r="S34" s="87">
        <f>VLOOKUP(A:A,'Flat Bed &amp; Late Fees'!A:J,6,FALSE)</f>
        <v>0</v>
      </c>
      <c r="T34" s="87">
        <f>VLOOKUP(A:A,'Flat Bed &amp; Late Fees'!A:J,7,FALSE)</f>
        <v>0</v>
      </c>
      <c r="U34" s="68">
        <f>VLOOKUP(C34&amp;G34,OTR!E:J,6,FALSE)/88</f>
        <v>9.464545454545453</v>
      </c>
      <c r="V34" s="87"/>
      <c r="W34" s="68">
        <f t="shared" si="2"/>
        <v>9.464545454545453</v>
      </c>
      <c r="X34" s="69">
        <f>VLOOKUP(G34,COSTS!$Z$18:$AC$23,2,FALSE)</f>
        <v>2.5</v>
      </c>
      <c r="Y34" s="87">
        <f>VLOOKUP(G34,COSTS!$Z$18:$AC$23,4,FALSE)</f>
        <v>1.68</v>
      </c>
      <c r="Z34" s="69">
        <f>(COSTS!$W$3*COSTS!$W$4*500)/52*COSTS!$AE$17</f>
        <v>1.3125</v>
      </c>
      <c r="AB34" s="69">
        <f t="shared" si="3"/>
        <v>5.4924999999999997</v>
      </c>
      <c r="AC34" s="69">
        <f>VLOOKUP(G34,COSTS!$Z$11:$AE$14,5,FALSE)</f>
        <v>7.3011363636363633</v>
      </c>
      <c r="AD34" s="69">
        <f>VLOOKUP(G34,COSTS!$Z$4:$AD$7,4,FALSE)</f>
        <v>9.1363636363636367</v>
      </c>
      <c r="AE34" s="69"/>
      <c r="AF34" s="69">
        <f t="shared" si="4"/>
        <v>16.4375</v>
      </c>
      <c r="AG34" s="87">
        <f>((COSTS!$C$5*88)/20)/88</f>
        <v>1.4407150000000002</v>
      </c>
      <c r="AH34" s="69">
        <f>(COSTS!$X$38/88)*20</f>
        <v>0.34865702479338845</v>
      </c>
      <c r="AI34" s="87">
        <f>((COSTS!$E$5*88)/20)/88</f>
        <v>0.62936587135988387</v>
      </c>
      <c r="AJ34" s="87">
        <f>((COSTS!$D$5*88)/20)/88</f>
        <v>0.33676</v>
      </c>
      <c r="AL34" s="387">
        <f t="shared" si="5"/>
        <v>2.7554978961532726</v>
      </c>
      <c r="AM34" s="69">
        <f>(COSTS!$W$3+0.1)*500*0.01</f>
        <v>3.9999999999999996</v>
      </c>
      <c r="AN34" s="387">
        <f>((COSTS!$G$5/20)*88)/88</f>
        <v>1.308904109589041</v>
      </c>
      <c r="AR34" s="69">
        <f t="shared" si="6"/>
        <v>5.3089041095890401</v>
      </c>
      <c r="AT34" s="1">
        <f>VLOOKUP(C34&amp;$AT$1,OTR!E:J,6,FALSE)/88</f>
        <v>23.288409090909088</v>
      </c>
      <c r="AU34" s="1" t="e">
        <f>VLOOKUP(C34&amp;$AU$1,OTR!E:J,6,FALSE)/88</f>
        <v>#N/A</v>
      </c>
    </row>
    <row r="35" spans="1:47">
      <c r="A35" s="1">
        <v>676592</v>
      </c>
      <c r="B35" s="1" t="s">
        <v>130</v>
      </c>
      <c r="C35" s="1" t="s">
        <v>131</v>
      </c>
      <c r="D35" s="1" t="s">
        <v>132</v>
      </c>
      <c r="E35" s="1" t="str">
        <f>VLOOKUP(A:A,'Regions and Ports'!A:G,5,FALSE)</f>
        <v>Eastern Rule 5</v>
      </c>
      <c r="F35" s="1" t="str">
        <f>VLOOKUP(A:A,'Regions and Ports'!A:F,6,FALSE)</f>
        <v>ER5</v>
      </c>
      <c r="G35" s="1" t="str">
        <f>VLOOKUP(A:A,'Regions and Ports'!A:G,7,FALSE)</f>
        <v>Savannah</v>
      </c>
      <c r="H35" s="87">
        <v>1</v>
      </c>
      <c r="I35" s="69">
        <f>VLOOKUP(A:A,'Seam Tariffs'!A:AB,9,FALSE)</f>
        <v>4</v>
      </c>
      <c r="J35" s="69">
        <f>VLOOKUP(A:A,'Seam Tariffs'!A:AB,11,FALSE)</f>
        <v>4.75</v>
      </c>
      <c r="K35" s="69">
        <f>VLOOKUP(A:A,'Seam Tariffs'!A:AB,12,FALSE)</f>
        <v>0</v>
      </c>
      <c r="L35" s="69">
        <f>VLOOKUP(A:A,'Seam Tariffs'!A:AB,13,FALSE)</f>
        <v>0</v>
      </c>
      <c r="M35" s="69">
        <f>VLOOKUP(A:A,'Seam Tariffs'!A:AB,14,FALSE)</f>
        <v>0</v>
      </c>
      <c r="N35" s="69">
        <f>VLOOKUP(A:A,'Seam Tariffs'!A:AB,28,FALSE)</f>
        <v>2</v>
      </c>
      <c r="O35" s="69">
        <f>COSTS!$W$6</f>
        <v>1.8958333333333335</v>
      </c>
      <c r="P35" s="69">
        <f>VLOOKUP(G35,COSTS!$V$11:$X$14,3,FALSE)</f>
        <v>0</v>
      </c>
      <c r="Q35" s="69">
        <f t="shared" si="0"/>
        <v>12.645833333333334</v>
      </c>
      <c r="R35" s="69">
        <f t="shared" si="1"/>
        <v>3.8958333333333335</v>
      </c>
      <c r="S35" s="87">
        <f>VLOOKUP(A:A,'Flat Bed &amp; Late Fees'!A:J,6,FALSE)</f>
        <v>0</v>
      </c>
      <c r="T35" s="87">
        <f>VLOOKUP(A:A,'Flat Bed &amp; Late Fees'!A:J,7,FALSE)</f>
        <v>0</v>
      </c>
      <c r="U35" s="68">
        <f>VLOOKUP(C35&amp;G35,OTR!E:J,6,FALSE)/88</f>
        <v>11.9975</v>
      </c>
      <c r="V35" s="87"/>
      <c r="W35" s="68">
        <f t="shared" si="2"/>
        <v>11.9975</v>
      </c>
      <c r="X35" s="69">
        <f>VLOOKUP(G35,COSTS!$Z$18:$AC$23,2,FALSE)</f>
        <v>2.6</v>
      </c>
      <c r="Y35" s="87">
        <f>VLOOKUP(G35,COSTS!$Z$18:$AC$23,4,FALSE)</f>
        <v>2.52</v>
      </c>
      <c r="Z35" s="69">
        <f>(COSTS!$W$3*COSTS!$W$4*500)/52*COSTS!$AE$17</f>
        <v>1.3125</v>
      </c>
      <c r="AB35" s="69">
        <f t="shared" si="3"/>
        <v>6.4325000000000001</v>
      </c>
      <c r="AC35" s="69">
        <f>VLOOKUP(G35,COSTS!$Z$11:$AE$14,5,FALSE)</f>
        <v>5.5113636363636367</v>
      </c>
      <c r="AD35" s="69">
        <f>VLOOKUP(G35,COSTS!$Z$4:$AD$7,4,FALSE)</f>
        <v>5.3522727272727275</v>
      </c>
      <c r="AE35" s="69"/>
      <c r="AF35" s="69">
        <f t="shared" si="4"/>
        <v>10.863636363636363</v>
      </c>
      <c r="AG35" s="87">
        <f>((COSTS!$C$5*88)/20)/88</f>
        <v>1.4407150000000002</v>
      </c>
      <c r="AH35" s="69">
        <f>(COSTS!$X$38/88)*20</f>
        <v>0.34865702479338845</v>
      </c>
      <c r="AI35" s="87">
        <f>((COSTS!$E$5*88)/20)/88</f>
        <v>0.62936587135988387</v>
      </c>
      <c r="AJ35" s="87">
        <f>((COSTS!$D$5*88)/20)/88</f>
        <v>0.33676</v>
      </c>
      <c r="AL35" s="387">
        <f t="shared" si="5"/>
        <v>2.7554978961532726</v>
      </c>
      <c r="AM35" s="69">
        <f>(COSTS!$W$3+0.1)*500*0.01</f>
        <v>3.9999999999999996</v>
      </c>
      <c r="AN35" s="387">
        <f>((COSTS!$G$5/20)*88)/88</f>
        <v>1.308904109589041</v>
      </c>
      <c r="AR35" s="69">
        <f t="shared" si="6"/>
        <v>5.3089041095890401</v>
      </c>
      <c r="AT35" s="1" t="e">
        <f>VLOOKUP(C35&amp;$AT$1,OTR!E:J,6,FALSE)/88</f>
        <v>#N/A</v>
      </c>
      <c r="AU35" s="1">
        <f>VLOOKUP(C35&amp;$AU$1,OTR!E:J,6,FALSE)/88</f>
        <v>9.0909090909090917</v>
      </c>
    </row>
    <row r="36" spans="1:47">
      <c r="A36" s="1">
        <v>558070</v>
      </c>
      <c r="B36" s="1" t="s">
        <v>134</v>
      </c>
      <c r="C36" s="1" t="s">
        <v>135</v>
      </c>
      <c r="D36" s="1" t="s">
        <v>136</v>
      </c>
      <c r="E36" s="1" t="str">
        <f>VLOOKUP(A:A,'Regions and Ports'!A:G,5,FALSE)</f>
        <v>Eastern Rule 5</v>
      </c>
      <c r="F36" s="1" t="str">
        <f>VLOOKUP(A:A,'Regions and Ports'!A:F,6,FALSE)</f>
        <v>ER5</v>
      </c>
      <c r="G36" s="1" t="str">
        <f>VLOOKUP(A:A,'Regions and Ports'!A:G,7,FALSE)</f>
        <v>Savannah</v>
      </c>
      <c r="H36" s="87">
        <v>1</v>
      </c>
      <c r="I36" s="69">
        <f>VLOOKUP(A:A,'Seam Tariffs'!A:AB,9,FALSE)</f>
        <v>3.5</v>
      </c>
      <c r="J36" s="69">
        <f>VLOOKUP(A:A,'Seam Tariffs'!A:AB,11,FALSE)</f>
        <v>4.5</v>
      </c>
      <c r="K36" s="69">
        <f>VLOOKUP(A:A,'Seam Tariffs'!A:AB,12,FALSE)</f>
        <v>0</v>
      </c>
      <c r="L36" s="69">
        <f>VLOOKUP(A:A,'Seam Tariffs'!A:AB,13,FALSE)</f>
        <v>0</v>
      </c>
      <c r="M36" s="69">
        <f>VLOOKUP(A:A,'Seam Tariffs'!A:AB,14,FALSE)</f>
        <v>1</v>
      </c>
      <c r="N36" s="69">
        <f>VLOOKUP(A:A,'Seam Tariffs'!A:AB,28,FALSE)</f>
        <v>2</v>
      </c>
      <c r="O36" s="69">
        <f>COSTS!$W$6</f>
        <v>1.8958333333333335</v>
      </c>
      <c r="P36" s="69">
        <f>VLOOKUP(G36,COSTS!$V$11:$X$14,3,FALSE)</f>
        <v>0</v>
      </c>
      <c r="Q36" s="69">
        <f t="shared" si="0"/>
        <v>12.895833333333334</v>
      </c>
      <c r="R36" s="69">
        <f t="shared" si="1"/>
        <v>3.8958333333333335</v>
      </c>
      <c r="S36" s="87">
        <f>VLOOKUP(A:A,'Flat Bed &amp; Late Fees'!A:J,6,FALSE)</f>
        <v>0</v>
      </c>
      <c r="T36" s="87">
        <f>VLOOKUP(A:A,'Flat Bed &amp; Late Fees'!A:J,7,FALSE)</f>
        <v>0</v>
      </c>
      <c r="U36" s="68">
        <f>VLOOKUP(C36&amp;G36,OTR!E:J,6,FALSE)/88</f>
        <v>13.213778409090908</v>
      </c>
      <c r="V36" s="87"/>
      <c r="W36" s="68">
        <f t="shared" si="2"/>
        <v>13.213778409090908</v>
      </c>
      <c r="X36" s="69">
        <f>VLOOKUP(G36,COSTS!$Z$18:$AC$23,2,FALSE)</f>
        <v>2.6</v>
      </c>
      <c r="Y36" s="87">
        <f>VLOOKUP(G36,COSTS!$Z$18:$AC$23,4,FALSE)</f>
        <v>2.52</v>
      </c>
      <c r="Z36" s="69">
        <f>(COSTS!$W$3*COSTS!$W$4*500)/52*COSTS!$AE$17</f>
        <v>1.3125</v>
      </c>
      <c r="AB36" s="69">
        <f t="shared" si="3"/>
        <v>6.4325000000000001</v>
      </c>
      <c r="AC36" s="69">
        <f>VLOOKUP(G36,COSTS!$Z$11:$AE$14,5,FALSE)</f>
        <v>5.5113636363636367</v>
      </c>
      <c r="AD36" s="69">
        <f>VLOOKUP(G36,COSTS!$Z$4:$AD$7,4,FALSE)</f>
        <v>5.3522727272727275</v>
      </c>
      <c r="AE36" s="69"/>
      <c r="AF36" s="69">
        <f t="shared" si="4"/>
        <v>10.863636363636363</v>
      </c>
      <c r="AG36" s="87">
        <f>((COSTS!$C$5*88)/20)/88</f>
        <v>1.4407150000000002</v>
      </c>
      <c r="AH36" s="69">
        <f>(COSTS!$X$38/88)*20</f>
        <v>0.34865702479338845</v>
      </c>
      <c r="AI36" s="87">
        <f>((COSTS!$E$5*88)/20)/88</f>
        <v>0.62936587135988387</v>
      </c>
      <c r="AJ36" s="87">
        <f>((COSTS!$D$5*88)/20)/88</f>
        <v>0.33676</v>
      </c>
      <c r="AL36" s="387">
        <f t="shared" si="5"/>
        <v>2.7554978961532726</v>
      </c>
      <c r="AM36" s="69">
        <f>(COSTS!$W$3+0.1)*500*0.01</f>
        <v>3.9999999999999996</v>
      </c>
      <c r="AN36" s="387">
        <f>((COSTS!$G$5/20)*88)/88</f>
        <v>1.308904109589041</v>
      </c>
      <c r="AR36" s="69">
        <f t="shared" si="6"/>
        <v>5.3089041095890401</v>
      </c>
      <c r="AT36" s="1" t="e">
        <f>VLOOKUP(C36&amp;$AT$1,OTR!E:J,6,FALSE)/88</f>
        <v>#N/A</v>
      </c>
      <c r="AU36" s="1">
        <f>VLOOKUP(C36&amp;$AU$1,OTR!E:J,6,FALSE)/88</f>
        <v>12.840909090909092</v>
      </c>
    </row>
    <row r="37" spans="1:47">
      <c r="A37" s="1">
        <v>829537</v>
      </c>
      <c r="B37" s="1" t="s">
        <v>138</v>
      </c>
      <c r="C37" s="1" t="s">
        <v>2203</v>
      </c>
      <c r="D37" s="1" t="s">
        <v>71</v>
      </c>
      <c r="E37" s="1" t="str">
        <f>VLOOKUP(A:A,'Regions and Ports'!A:G,5,FALSE)</f>
        <v>WTX</v>
      </c>
      <c r="F37" s="1" t="str">
        <f>VLOOKUP(A:A,'Regions and Ports'!A:F,6,FALSE)</f>
        <v>WTX</v>
      </c>
      <c r="G37" s="1" t="str">
        <f>VLOOKUP(A:A,'Regions and Ports'!A:G,7,FALSE)</f>
        <v>Dallas</v>
      </c>
      <c r="H37" s="87">
        <v>2</v>
      </c>
      <c r="I37" s="69">
        <f>VLOOKUP(A:A,'Seam Tariffs'!A:AB,9,FALSE)</f>
        <v>5.15</v>
      </c>
      <c r="J37" s="69">
        <f>VLOOKUP(A:A,'Seam Tariffs'!A:AB,11,FALSE)</f>
        <v>6.25</v>
      </c>
      <c r="K37" s="69">
        <f>VLOOKUP(A:A,'Seam Tariffs'!A:AB,12,FALSE)</f>
        <v>12</v>
      </c>
      <c r="L37" s="69">
        <f>VLOOKUP(A:A,'Seam Tariffs'!A:AB,13,FALSE)</f>
        <v>0</v>
      </c>
      <c r="M37" s="69">
        <f>VLOOKUP(A:A,'Seam Tariffs'!A:AB,14,FALSE)</f>
        <v>0</v>
      </c>
      <c r="N37" s="69">
        <f>VLOOKUP(A:A,'Seam Tariffs'!A:AB,28,FALSE)</f>
        <v>1.9500000000000002</v>
      </c>
      <c r="O37" s="69">
        <f>COSTS!$W$6</f>
        <v>1.8958333333333335</v>
      </c>
      <c r="P37" s="69">
        <f>VLOOKUP(G37,COSTS!$V$11:$X$14,3,FALSE)</f>
        <v>0</v>
      </c>
      <c r="Q37" s="69">
        <f t="shared" si="0"/>
        <v>27.24583333333333</v>
      </c>
      <c r="R37" s="69">
        <f t="shared" si="1"/>
        <v>15.845833333333333</v>
      </c>
      <c r="S37" s="87">
        <f>VLOOKUP(A:A,'Flat Bed &amp; Late Fees'!A:J,6,FALSE)</f>
        <v>1</v>
      </c>
      <c r="T37" s="87">
        <f>VLOOKUP(A:A,'Flat Bed &amp; Late Fees'!A:J,7,FALSE)</f>
        <v>0.25</v>
      </c>
      <c r="U37" s="68">
        <f>VLOOKUP(C37&amp;G37,OTR!E:J,6,FALSE)/88</f>
        <v>8.4090909090909083</v>
      </c>
      <c r="V37" s="87"/>
      <c r="W37" s="68">
        <f t="shared" si="2"/>
        <v>9.6590909090909083</v>
      </c>
      <c r="X37" s="69">
        <f>VLOOKUP(G37,COSTS!$Z$18:$AC$23,2,FALSE)</f>
        <v>2.7</v>
      </c>
      <c r="Y37" s="87">
        <f>VLOOKUP(G37,COSTS!$Z$18:$AC$23,4,FALSE)</f>
        <v>2.52</v>
      </c>
      <c r="Z37" s="69">
        <f>(COSTS!$W$3*COSTS!$W$4*500)/52*COSTS!$AE$17</f>
        <v>1.3125</v>
      </c>
      <c r="AB37" s="69">
        <f t="shared" si="3"/>
        <v>6.5325000000000006</v>
      </c>
      <c r="AC37" s="69">
        <f>VLOOKUP(G37,COSTS!$Z$11:$AE$14,5,FALSE)</f>
        <v>8.125</v>
      </c>
      <c r="AD37" s="69">
        <f>VLOOKUP(G37,COSTS!$Z$4:$AD$7,4,FALSE)</f>
        <v>13.409090909090908</v>
      </c>
      <c r="AE37" s="69"/>
      <c r="AF37" s="69">
        <f t="shared" si="4"/>
        <v>21.534090909090907</v>
      </c>
      <c r="AG37" s="87">
        <f>((COSTS!$C$5*88)/20)/88</f>
        <v>1.4407150000000002</v>
      </c>
      <c r="AH37" s="69">
        <f>(COSTS!$X$38/88)*20</f>
        <v>0.34865702479338845</v>
      </c>
      <c r="AI37" s="87">
        <f>((COSTS!$E$5*88)/20)/88</f>
        <v>0.62936587135988387</v>
      </c>
      <c r="AJ37" s="87">
        <f>((COSTS!$D$5*88)/20)/88</f>
        <v>0.33676</v>
      </c>
      <c r="AL37" s="387">
        <f t="shared" si="5"/>
        <v>2.7554978961532726</v>
      </c>
      <c r="AM37" s="69">
        <f>(COSTS!$W$3+0.1)*500*0.01</f>
        <v>3.9999999999999996</v>
      </c>
      <c r="AN37" s="387">
        <f>((COSTS!$G$5/20)*88)/88</f>
        <v>1.308904109589041</v>
      </c>
      <c r="AR37" s="69">
        <f t="shared" si="6"/>
        <v>5.3089041095890401</v>
      </c>
      <c r="AT37" s="1" t="e">
        <f>VLOOKUP(C37&amp;$AT$1,OTR!E:J,6,FALSE)/88</f>
        <v>#N/A</v>
      </c>
      <c r="AU37" s="1" t="e">
        <f>VLOOKUP(C37&amp;$AU$1,OTR!E:J,6,FALSE)/88</f>
        <v>#N/A</v>
      </c>
    </row>
    <row r="38" spans="1:47">
      <c r="A38" s="125">
        <v>829537</v>
      </c>
      <c r="B38" s="1" t="s">
        <v>138</v>
      </c>
      <c r="C38" s="1" t="s">
        <v>2203</v>
      </c>
      <c r="D38" s="1" t="s">
        <v>71</v>
      </c>
      <c r="E38" s="1" t="s">
        <v>2067</v>
      </c>
      <c r="F38" s="1" t="str">
        <f>VLOOKUP(A:A,'Regions and Ports'!A:F,6,FALSE)</f>
        <v>WTX</v>
      </c>
      <c r="G38" s="1" t="s">
        <v>439</v>
      </c>
      <c r="H38" s="87">
        <v>2</v>
      </c>
      <c r="I38" s="69">
        <f>VLOOKUP(A:A,'Seam Tariffs'!A:AB,9,FALSE)</f>
        <v>5.15</v>
      </c>
      <c r="J38" s="69">
        <f>VLOOKUP(A:A,'Seam Tariffs'!A:AB,11,FALSE)</f>
        <v>6.25</v>
      </c>
      <c r="K38" s="69">
        <f>VLOOKUP(A:A,'Seam Tariffs'!A:AB,12,FALSE)</f>
        <v>12</v>
      </c>
      <c r="L38" s="69">
        <f>VLOOKUP(A:A,'Seam Tariffs'!A:AB,13,FALSE)</f>
        <v>0</v>
      </c>
      <c r="M38" s="69">
        <f>VLOOKUP(A:A,'Seam Tariffs'!A:AB,14,FALSE)</f>
        <v>0</v>
      </c>
      <c r="N38" s="69">
        <f>VLOOKUP(A:A,'Seam Tariffs'!A:AB,28,FALSE)</f>
        <v>1.9500000000000002</v>
      </c>
      <c r="O38" s="69">
        <f>COSTS!$W$6</f>
        <v>1.8958333333333335</v>
      </c>
      <c r="P38" s="69">
        <f>VLOOKUP(G38,COSTS!$V$11:$X$14,3,FALSE)</f>
        <v>0</v>
      </c>
      <c r="Q38" s="69">
        <f t="shared" si="0"/>
        <v>27.24583333333333</v>
      </c>
      <c r="R38" s="69">
        <f t="shared" si="1"/>
        <v>15.845833333333333</v>
      </c>
      <c r="S38" s="87">
        <f>VLOOKUP(A:A,'Flat Bed &amp; Late Fees'!A:J,6,FALSE)</f>
        <v>1</v>
      </c>
      <c r="T38" s="87">
        <f>VLOOKUP(A:A,'Flat Bed &amp; Late Fees'!A:J,7,FALSE)</f>
        <v>0.25</v>
      </c>
      <c r="U38" s="68">
        <f>VLOOKUP(C38&amp;G38,OTR!E:J,6,FALSE)/88</f>
        <v>12.926136363636363</v>
      </c>
      <c r="V38" s="87"/>
      <c r="W38" s="68">
        <f t="shared" si="2"/>
        <v>14.176136363636363</v>
      </c>
      <c r="X38" s="69">
        <f>VLOOKUP(G38,COSTS!$Z$18:$AC$23,2,FALSE)</f>
        <v>2.7</v>
      </c>
      <c r="Y38" s="87">
        <f>VLOOKUP(G38,COSTS!$Z$18:$AC$23,4,FALSE)</f>
        <v>2.52</v>
      </c>
      <c r="Z38" s="69">
        <f>(COSTS!$W$3*COSTS!$W$4*500)/52*COSTS!$AE$17</f>
        <v>1.3125</v>
      </c>
      <c r="AB38" s="69">
        <f t="shared" si="3"/>
        <v>6.5325000000000006</v>
      </c>
      <c r="AC38" s="69">
        <f>VLOOKUP(G38,COSTS!$Z$11:$AE$14,5,FALSE)</f>
        <v>6.6477272727272725</v>
      </c>
      <c r="AD38" s="69">
        <f>VLOOKUP(G38,COSTS!$Z$4:$AD$7,4,FALSE)</f>
        <v>9.8977272727272734</v>
      </c>
      <c r="AE38" s="69"/>
      <c r="AF38" s="69">
        <f t="shared" si="4"/>
        <v>16.545454545454547</v>
      </c>
      <c r="AG38" s="87">
        <f>((COSTS!$C$5*88)/20)/88</f>
        <v>1.4407150000000002</v>
      </c>
      <c r="AH38" s="69">
        <f>(COSTS!$X$38/88)*20</f>
        <v>0.34865702479338845</v>
      </c>
      <c r="AI38" s="87">
        <f>((COSTS!$E$5*88)/20)/88</f>
        <v>0.62936587135988387</v>
      </c>
      <c r="AJ38" s="87">
        <f>((COSTS!$D$5*88)/20)/88</f>
        <v>0.33676</v>
      </c>
      <c r="AL38" s="387">
        <f t="shared" si="5"/>
        <v>2.7554978961532726</v>
      </c>
      <c r="AM38" s="69">
        <f>(COSTS!$W$3+0.1)*500*0.01</f>
        <v>3.9999999999999996</v>
      </c>
      <c r="AN38" s="387">
        <f>((COSTS!$G$5/20)*88)/88</f>
        <v>1.308904109589041</v>
      </c>
      <c r="AR38" s="69">
        <f t="shared" si="6"/>
        <v>5.3089041095890401</v>
      </c>
      <c r="AT38" s="1" t="e">
        <f>VLOOKUP(C38&amp;$AT$1,OTR!E:J,6,FALSE)/88</f>
        <v>#N/A</v>
      </c>
      <c r="AU38" s="1" t="e">
        <f>VLOOKUP(C38&amp;$AU$1,OTR!E:J,6,FALSE)/88</f>
        <v>#N/A</v>
      </c>
    </row>
    <row r="39" spans="1:47">
      <c r="A39" s="1">
        <v>677503</v>
      </c>
      <c r="B39" s="1" t="s">
        <v>141</v>
      </c>
      <c r="C39" s="1" t="s">
        <v>142</v>
      </c>
      <c r="D39" s="1" t="s">
        <v>132</v>
      </c>
      <c r="E39" s="1" t="str">
        <f>VLOOKUP(A:A,'Regions and Ports'!A:G,5,FALSE)</f>
        <v>Eastern Rule 5</v>
      </c>
      <c r="F39" s="1" t="str">
        <f>VLOOKUP(A:A,'Regions and Ports'!A:F,6,FALSE)</f>
        <v>ER5</v>
      </c>
      <c r="G39" s="1" t="str">
        <f>VLOOKUP(A:A,'Regions and Ports'!A:G,7,FALSE)</f>
        <v>Savannah</v>
      </c>
      <c r="H39" s="87">
        <v>1</v>
      </c>
      <c r="I39" s="69">
        <f>VLOOKUP(A:A,'Seam Tariffs'!A:AB,9,FALSE)</f>
        <v>3.75</v>
      </c>
      <c r="J39" s="69">
        <f>VLOOKUP(A:A,'Seam Tariffs'!A:AB,11,FALSE)</f>
        <v>4.25</v>
      </c>
      <c r="K39" s="69">
        <f>VLOOKUP(A:A,'Seam Tariffs'!A:AB,12,FALSE)</f>
        <v>0</v>
      </c>
      <c r="L39" s="69">
        <f>VLOOKUP(A:A,'Seam Tariffs'!A:AB,13,FALSE)</f>
        <v>0</v>
      </c>
      <c r="M39" s="69">
        <f>VLOOKUP(A:A,'Seam Tariffs'!A:AB,14,FALSE)</f>
        <v>0.25</v>
      </c>
      <c r="N39" s="69">
        <f>VLOOKUP(A:A,'Seam Tariffs'!A:AB,28,FALSE)</f>
        <v>2.5</v>
      </c>
      <c r="O39" s="69">
        <f>COSTS!$W$6</f>
        <v>1.8958333333333335</v>
      </c>
      <c r="P39" s="69">
        <f>VLOOKUP(G39,COSTS!$V$11:$X$14,3,FALSE)</f>
        <v>0</v>
      </c>
      <c r="Q39" s="69">
        <f t="shared" si="0"/>
        <v>12.645833333333334</v>
      </c>
      <c r="R39" s="69">
        <f t="shared" si="1"/>
        <v>4.3958333333333339</v>
      </c>
      <c r="S39" s="87">
        <f>VLOOKUP(A:A,'Flat Bed &amp; Late Fees'!A:J,6,FALSE)</f>
        <v>0</v>
      </c>
      <c r="T39" s="87">
        <f>VLOOKUP(A:A,'Flat Bed &amp; Late Fees'!A:J,7,FALSE)</f>
        <v>0</v>
      </c>
      <c r="U39" s="68">
        <f>VLOOKUP(C39&amp;G39,OTR!E:J,6,FALSE)/88</f>
        <v>11.17721590909091</v>
      </c>
      <c r="V39" s="87"/>
      <c r="W39" s="68">
        <f t="shared" si="2"/>
        <v>11.17721590909091</v>
      </c>
      <c r="X39" s="69">
        <f>VLOOKUP(G39,COSTS!$Z$18:$AC$23,2,FALSE)</f>
        <v>2.6</v>
      </c>
      <c r="Y39" s="87">
        <f>VLOOKUP(G39,COSTS!$Z$18:$AC$23,4,FALSE)</f>
        <v>2.52</v>
      </c>
      <c r="Z39" s="69">
        <f>(COSTS!$W$3*COSTS!$W$4*500)/52*COSTS!$AE$17</f>
        <v>1.3125</v>
      </c>
      <c r="AB39" s="69">
        <f t="shared" si="3"/>
        <v>6.4325000000000001</v>
      </c>
      <c r="AC39" s="69">
        <f>VLOOKUP(G39,COSTS!$Z$11:$AE$14,5,FALSE)</f>
        <v>5.5113636363636367</v>
      </c>
      <c r="AD39" s="69">
        <f>VLOOKUP(G39,COSTS!$Z$4:$AD$7,4,FALSE)</f>
        <v>5.3522727272727275</v>
      </c>
      <c r="AE39" s="69"/>
      <c r="AF39" s="69">
        <f t="shared" si="4"/>
        <v>10.863636363636363</v>
      </c>
      <c r="AG39" s="87">
        <f>((COSTS!$C$5*88)/20)/88</f>
        <v>1.4407150000000002</v>
      </c>
      <c r="AH39" s="69">
        <f>(COSTS!$X$38/88)*20</f>
        <v>0.34865702479338845</v>
      </c>
      <c r="AI39" s="87">
        <f>((COSTS!$E$5*88)/20)/88</f>
        <v>0.62936587135988387</v>
      </c>
      <c r="AJ39" s="87">
        <f>((COSTS!$D$5*88)/20)/88</f>
        <v>0.33676</v>
      </c>
      <c r="AL39" s="387">
        <f t="shared" si="5"/>
        <v>2.7554978961532726</v>
      </c>
      <c r="AM39" s="69">
        <f>(COSTS!$W$3+0.1)*500*0.01</f>
        <v>3.9999999999999996</v>
      </c>
      <c r="AN39" s="387">
        <f>((COSTS!$G$5/20)*88)/88</f>
        <v>1.308904109589041</v>
      </c>
      <c r="AR39" s="69">
        <f t="shared" si="6"/>
        <v>5.3089041095890401</v>
      </c>
      <c r="AT39" s="1" t="e">
        <f>VLOOKUP(C39&amp;$AT$1,OTR!E:J,6,FALSE)/88</f>
        <v>#N/A</v>
      </c>
      <c r="AU39" s="1">
        <f>VLOOKUP(C39&amp;$AU$1,OTR!E:J,6,FALSE)/88</f>
        <v>9.0909090909090917</v>
      </c>
    </row>
    <row r="40" spans="1:47">
      <c r="A40" s="1">
        <v>224505</v>
      </c>
      <c r="B40" s="1" t="s">
        <v>144</v>
      </c>
      <c r="C40" s="1" t="s">
        <v>145</v>
      </c>
      <c r="D40" s="1" t="s">
        <v>76</v>
      </c>
      <c r="E40" s="1" t="str">
        <f>VLOOKUP(A:A,'Regions and Ports'!A:G,5,FALSE)</f>
        <v>GA 30 Day</v>
      </c>
      <c r="F40" s="1" t="str">
        <f>VLOOKUP(A:A,'Regions and Ports'!A:F,6,FALSE)</f>
        <v>ER5</v>
      </c>
      <c r="G40" s="1" t="str">
        <f>VLOOKUP(A:A,'Regions and Ports'!A:G,7,FALSE)</f>
        <v>Savannah</v>
      </c>
      <c r="H40" s="87">
        <v>4</v>
      </c>
      <c r="I40" s="69">
        <f>VLOOKUP(A:A,'Seam Tariffs'!A:AB,9,FALSE)</f>
        <v>0</v>
      </c>
      <c r="J40" s="69">
        <f>VLOOKUP(A:A,'Seam Tariffs'!A:AB,11,FALSE)</f>
        <v>0</v>
      </c>
      <c r="K40" s="69">
        <f>VLOOKUP(A:A,'Seam Tariffs'!A:AB,12,FALSE)</f>
        <v>0</v>
      </c>
      <c r="L40" s="69">
        <f>VLOOKUP(A:A,'Seam Tariffs'!A:AB,13,FALSE)</f>
        <v>0</v>
      </c>
      <c r="M40" s="69">
        <f>VLOOKUP(A:A,'Seam Tariffs'!A:AB,14,FALSE)</f>
        <v>0</v>
      </c>
      <c r="N40" s="69">
        <f>VLOOKUP(A:A,'Seam Tariffs'!A:AB,28,FALSE)</f>
        <v>2.65</v>
      </c>
      <c r="O40" s="69">
        <f>COSTS!$W$6</f>
        <v>1.8958333333333335</v>
      </c>
      <c r="P40" s="69">
        <f>VLOOKUP(G40,COSTS!$V$11:$X$14,3,FALSE)</f>
        <v>0</v>
      </c>
      <c r="Q40" s="69">
        <f t="shared" si="0"/>
        <v>4.5458333333333334</v>
      </c>
      <c r="R40" s="69">
        <f t="shared" si="1"/>
        <v>1.8958333333333335</v>
      </c>
      <c r="S40" s="87">
        <f>VLOOKUP(A:A,'Flat Bed &amp; Late Fees'!A:J,6,FALSE)</f>
        <v>0</v>
      </c>
      <c r="T40" s="87">
        <f>VLOOKUP(A:A,'Flat Bed &amp; Late Fees'!A:J,7,FALSE)</f>
        <v>0</v>
      </c>
      <c r="U40" s="68">
        <f>VLOOKUP(C40&amp;G40,OTR!E:J,6,FALSE)/88</f>
        <v>13.532443181818183</v>
      </c>
      <c r="V40" s="87"/>
      <c r="W40" s="68">
        <f t="shared" si="2"/>
        <v>13.532443181818183</v>
      </c>
      <c r="X40" s="69">
        <f>VLOOKUP(G40,COSTS!$Z$18:$AC$23,2,FALSE)</f>
        <v>2.6</v>
      </c>
      <c r="Y40" s="87">
        <f>VLOOKUP(G40,COSTS!$Z$18:$AC$23,4,FALSE)</f>
        <v>2.52</v>
      </c>
      <c r="Z40" s="69">
        <f>(COSTS!$W$3*COSTS!$W$4*500)/52*COSTS!$AE$17</f>
        <v>1.3125</v>
      </c>
      <c r="AB40" s="69">
        <f t="shared" si="3"/>
        <v>6.4325000000000001</v>
      </c>
      <c r="AC40" s="69">
        <f>VLOOKUP(G40,COSTS!$Z$11:$AE$14,5,FALSE)</f>
        <v>5.5113636363636367</v>
      </c>
      <c r="AD40" s="69">
        <f>VLOOKUP(G40,COSTS!$Z$4:$AD$7,4,FALSE)</f>
        <v>5.3522727272727275</v>
      </c>
      <c r="AE40" s="69"/>
      <c r="AF40" s="69">
        <f t="shared" si="4"/>
        <v>10.863636363636363</v>
      </c>
      <c r="AG40" s="87">
        <f>((COSTS!$C$5*88)/20)/88</f>
        <v>1.4407150000000002</v>
      </c>
      <c r="AH40" s="69">
        <f>(COSTS!$X$38/88)*20</f>
        <v>0.34865702479338845</v>
      </c>
      <c r="AI40" s="87">
        <f>((COSTS!$E$5*88)/20)/88</f>
        <v>0.62936587135988387</v>
      </c>
      <c r="AJ40" s="87">
        <f>((COSTS!$D$5*88)/20)/88</f>
        <v>0.33676</v>
      </c>
      <c r="AL40" s="387">
        <f t="shared" si="5"/>
        <v>2.7554978961532726</v>
      </c>
      <c r="AM40" s="69">
        <f>(COSTS!$W$3+0.1)*500*0.01</f>
        <v>3.9999999999999996</v>
      </c>
      <c r="AN40" s="387">
        <f>((COSTS!$G$5/20)*88)/88</f>
        <v>1.308904109589041</v>
      </c>
      <c r="AR40" s="69">
        <f t="shared" si="6"/>
        <v>5.3089041095890401</v>
      </c>
      <c r="AT40" s="1">
        <f>VLOOKUP(C40&amp;$AT$1,OTR!E:J,6,FALSE)/88</f>
        <v>22.118749999999999</v>
      </c>
      <c r="AU40" s="1">
        <f>VLOOKUP(C40&amp;$AU$1,OTR!E:J,6,FALSE)/88</f>
        <v>15.977272727272727</v>
      </c>
    </row>
    <row r="41" spans="1:47">
      <c r="A41" s="1">
        <v>129004</v>
      </c>
      <c r="B41" s="1" t="s">
        <v>147</v>
      </c>
      <c r="C41" s="1" t="s">
        <v>148</v>
      </c>
      <c r="D41" s="1" t="s">
        <v>149</v>
      </c>
      <c r="E41" s="1" t="str">
        <f>VLOOKUP(A:A,'Regions and Ports'!A:G,5,FALSE)</f>
        <v>Memphis Rule 5</v>
      </c>
      <c r="F41" s="1" t="str">
        <f>VLOOKUP(A:A,'Regions and Ports'!A:F,6,FALSE)</f>
        <v>MR5</v>
      </c>
      <c r="G41" s="1" t="str">
        <f>VLOOKUP(A:A,'Regions and Ports'!A:G,7,FALSE)</f>
        <v>Memphis</v>
      </c>
      <c r="H41" s="87">
        <v>1</v>
      </c>
      <c r="I41" s="69">
        <f>VLOOKUP(A:A,'Seam Tariffs'!A:AB,9,FALSE)</f>
        <v>3</v>
      </c>
      <c r="J41" s="69">
        <f>VLOOKUP(A:A,'Seam Tariffs'!A:AB,11,FALSE)</f>
        <v>10.25</v>
      </c>
      <c r="K41" s="69">
        <f>VLOOKUP(A:A,'Seam Tariffs'!A:AB,12,FALSE)</f>
        <v>8</v>
      </c>
      <c r="L41" s="69">
        <f>VLOOKUP(A:A,'Seam Tariffs'!A:AB,13,FALSE)</f>
        <v>0</v>
      </c>
      <c r="M41" s="69">
        <f>VLOOKUP(A:A,'Seam Tariffs'!A:AB,14,FALSE)</f>
        <v>0</v>
      </c>
      <c r="N41" s="69">
        <f>VLOOKUP(A:A,'Seam Tariffs'!A:AB,28,FALSE)</f>
        <v>3.3</v>
      </c>
      <c r="O41" s="69">
        <f>COSTS!$W$6</f>
        <v>1.8958333333333335</v>
      </c>
      <c r="P41" s="69">
        <f>VLOOKUP(G41,COSTS!$V$11:$X$14,3,FALSE)</f>
        <v>0</v>
      </c>
      <c r="Q41" s="69">
        <f t="shared" si="0"/>
        <v>26.445833333333333</v>
      </c>
      <c r="R41" s="69">
        <f t="shared" si="1"/>
        <v>5.1958333333333329</v>
      </c>
      <c r="S41" s="87">
        <f>VLOOKUP(A:A,'Flat Bed &amp; Late Fees'!A:J,6,FALSE)</f>
        <v>0</v>
      </c>
      <c r="T41" s="87">
        <f>VLOOKUP(A:A,'Flat Bed &amp; Late Fees'!A:J,7,FALSE)</f>
        <v>0</v>
      </c>
      <c r="U41" s="68">
        <f>VLOOKUP(C41&amp;G41,OTR!E:J,6,FALSE)/88</f>
        <v>8.8352272727272734</v>
      </c>
      <c r="V41" s="87"/>
      <c r="W41" s="68">
        <f t="shared" si="2"/>
        <v>8.8352272727272734</v>
      </c>
      <c r="X41" s="69">
        <f>VLOOKUP(G41,COSTS!$Z$18:$AC$23,2,FALSE)</f>
        <v>2.5</v>
      </c>
      <c r="Y41" s="87">
        <f>VLOOKUP(G41,COSTS!$Z$18:$AC$23,4,FALSE)</f>
        <v>1.68</v>
      </c>
      <c r="Z41" s="69">
        <f>(COSTS!$W$3*COSTS!$W$4*500)/52*COSTS!$AE$17</f>
        <v>1.3125</v>
      </c>
      <c r="AB41" s="69">
        <f t="shared" si="3"/>
        <v>5.4924999999999997</v>
      </c>
      <c r="AC41" s="69">
        <f>VLOOKUP(G41,COSTS!$Z$11:$AE$14,5,FALSE)</f>
        <v>7.3011363636363633</v>
      </c>
      <c r="AD41" s="69">
        <f>VLOOKUP(G41,COSTS!$Z$4:$AD$7,4,FALSE)</f>
        <v>9.1363636363636367</v>
      </c>
      <c r="AE41" s="69"/>
      <c r="AF41" s="69">
        <f t="shared" si="4"/>
        <v>16.4375</v>
      </c>
      <c r="AG41" s="87">
        <f>((COSTS!$C$5*88)/20)/88</f>
        <v>1.4407150000000002</v>
      </c>
      <c r="AH41" s="69">
        <f>(COSTS!$X$38/88)*20</f>
        <v>0.34865702479338845</v>
      </c>
      <c r="AI41" s="87">
        <f>((COSTS!$E$5*88)/20)/88</f>
        <v>0.62936587135988387</v>
      </c>
      <c r="AJ41" s="87">
        <f>((COSTS!$D$5*88)/20)/88</f>
        <v>0.33676</v>
      </c>
      <c r="AL41" s="387">
        <f t="shared" si="5"/>
        <v>2.7554978961532726</v>
      </c>
      <c r="AM41" s="69">
        <f>(COSTS!$W$3+0.1)*500*0.01</f>
        <v>3.9999999999999996</v>
      </c>
      <c r="AN41" s="387">
        <f>((COSTS!$G$5/20)*88)/88</f>
        <v>1.308904109589041</v>
      </c>
      <c r="AR41" s="69">
        <f t="shared" si="6"/>
        <v>5.3089041095890401</v>
      </c>
      <c r="AT41" s="1" t="e">
        <f>VLOOKUP(C41&amp;$AT$1,OTR!E:J,6,FALSE)/88</f>
        <v>#N/A</v>
      </c>
      <c r="AU41" s="1">
        <f>VLOOKUP(C41&amp;$AU$1,OTR!E:J,6,FALSE)/88</f>
        <v>22.386363636363637</v>
      </c>
    </row>
    <row r="42" spans="1:47">
      <c r="A42" s="1">
        <v>129010</v>
      </c>
      <c r="B42" s="1" t="s">
        <v>151</v>
      </c>
      <c r="C42" s="1" t="s">
        <v>148</v>
      </c>
      <c r="D42" s="1" t="s">
        <v>149</v>
      </c>
      <c r="E42" s="1" t="str">
        <f>VLOOKUP(A:A,'Regions and Ports'!A:G,5,FALSE)</f>
        <v>Memphis Rule 5</v>
      </c>
      <c r="F42" s="1" t="str">
        <f>VLOOKUP(A:A,'Regions and Ports'!A:F,6,FALSE)</f>
        <v>MR5</v>
      </c>
      <c r="G42" s="1" t="str">
        <f>VLOOKUP(A:A,'Regions and Ports'!A:G,7,FALSE)</f>
        <v>Memphis</v>
      </c>
      <c r="H42" s="87">
        <v>1</v>
      </c>
      <c r="I42" s="69">
        <f>VLOOKUP(A:A,'Seam Tariffs'!A:AB,9,FALSE)</f>
        <v>2.1</v>
      </c>
      <c r="J42" s="69">
        <f>VLOOKUP(A:A,'Seam Tariffs'!A:AB,11,FALSE)</f>
        <v>20.75</v>
      </c>
      <c r="K42" s="69">
        <f>VLOOKUP(A:A,'Seam Tariffs'!A:AB,12,FALSE)</f>
        <v>0</v>
      </c>
      <c r="L42" s="69">
        <f>VLOOKUP(A:A,'Seam Tariffs'!A:AB,13,FALSE)</f>
        <v>0</v>
      </c>
      <c r="M42" s="69">
        <f>VLOOKUP(A:A,'Seam Tariffs'!A:AB,14,FALSE)</f>
        <v>0.5</v>
      </c>
      <c r="N42" s="69">
        <f>VLOOKUP(A:A,'Seam Tariffs'!A:AB,28,FALSE)</f>
        <v>3.25</v>
      </c>
      <c r="O42" s="69">
        <f>COSTS!$W$6</f>
        <v>1.8958333333333335</v>
      </c>
      <c r="P42" s="69">
        <f>VLOOKUP(G42,COSTS!$V$11:$X$14,3,FALSE)</f>
        <v>0</v>
      </c>
      <c r="Q42" s="69">
        <f t="shared" si="0"/>
        <v>28.495833333333334</v>
      </c>
      <c r="R42" s="69">
        <f t="shared" si="1"/>
        <v>5.1458333333333339</v>
      </c>
      <c r="S42" s="87">
        <f>VLOOKUP(A:A,'Flat Bed &amp; Late Fees'!A:J,6,FALSE)</f>
        <v>0</v>
      </c>
      <c r="T42" s="87">
        <f>VLOOKUP(A:A,'Flat Bed &amp; Late Fees'!A:J,7,FALSE)</f>
        <v>0</v>
      </c>
      <c r="U42" s="68">
        <f>VLOOKUP(C42&amp;G42,OTR!E:J,6,FALSE)/88</f>
        <v>8.8352272727272734</v>
      </c>
      <c r="V42" s="87"/>
      <c r="W42" s="68">
        <f t="shared" si="2"/>
        <v>8.8352272727272734</v>
      </c>
      <c r="X42" s="69">
        <f>VLOOKUP(G42,COSTS!$Z$18:$AC$23,2,FALSE)</f>
        <v>2.5</v>
      </c>
      <c r="Y42" s="87">
        <f>VLOOKUP(G42,COSTS!$Z$18:$AC$23,4,FALSE)</f>
        <v>1.68</v>
      </c>
      <c r="Z42" s="69">
        <f>(COSTS!$W$3*COSTS!$W$4*500)/52*COSTS!$AE$17</f>
        <v>1.3125</v>
      </c>
      <c r="AB42" s="69">
        <f t="shared" si="3"/>
        <v>5.4924999999999997</v>
      </c>
      <c r="AC42" s="69">
        <f>VLOOKUP(G42,COSTS!$Z$11:$AE$14,5,FALSE)</f>
        <v>7.3011363636363633</v>
      </c>
      <c r="AD42" s="69">
        <f>VLOOKUP(G42,COSTS!$Z$4:$AD$7,4,FALSE)</f>
        <v>9.1363636363636367</v>
      </c>
      <c r="AE42" s="69"/>
      <c r="AF42" s="69">
        <f t="shared" si="4"/>
        <v>16.4375</v>
      </c>
      <c r="AG42" s="87">
        <f>((COSTS!$C$5*88)/20)/88</f>
        <v>1.4407150000000002</v>
      </c>
      <c r="AH42" s="69">
        <f>(COSTS!$X$38/88)*20</f>
        <v>0.34865702479338845</v>
      </c>
      <c r="AI42" s="87">
        <f>((COSTS!$E$5*88)/20)/88</f>
        <v>0.62936587135988387</v>
      </c>
      <c r="AJ42" s="87">
        <f>((COSTS!$D$5*88)/20)/88</f>
        <v>0.33676</v>
      </c>
      <c r="AL42" s="387">
        <f t="shared" si="5"/>
        <v>2.7554978961532726</v>
      </c>
      <c r="AM42" s="69">
        <f>(COSTS!$W$3+0.1)*500*0.01</f>
        <v>3.9999999999999996</v>
      </c>
      <c r="AN42" s="387">
        <f>((COSTS!$G$5/20)*88)/88</f>
        <v>1.308904109589041</v>
      </c>
      <c r="AR42" s="69">
        <f t="shared" si="6"/>
        <v>5.3089041095890401</v>
      </c>
      <c r="AT42" s="1" t="e">
        <f>VLOOKUP(C42&amp;$AT$1,OTR!E:J,6,FALSE)/88</f>
        <v>#N/A</v>
      </c>
      <c r="AU42" s="1">
        <f>VLOOKUP(C42&amp;$AU$1,OTR!E:J,6,FALSE)/88</f>
        <v>22.386363636363637</v>
      </c>
    </row>
    <row r="43" spans="1:47">
      <c r="A43" s="1">
        <v>129129</v>
      </c>
      <c r="B43" s="1" t="s">
        <v>152</v>
      </c>
      <c r="C43" s="1" t="s">
        <v>148</v>
      </c>
      <c r="D43" s="1" t="s">
        <v>149</v>
      </c>
      <c r="E43" s="1" t="str">
        <f>VLOOKUP(A:A,'Regions and Ports'!A:G,5,FALSE)</f>
        <v>Memphis Rule 5</v>
      </c>
      <c r="F43" s="1" t="str">
        <f>VLOOKUP(A:A,'Regions and Ports'!A:F,6,FALSE)</f>
        <v>MR5</v>
      </c>
      <c r="G43" s="1" t="str">
        <f>VLOOKUP(A:A,'Regions and Ports'!A:G,7,FALSE)</f>
        <v>Memphis</v>
      </c>
      <c r="H43" s="87">
        <v>1</v>
      </c>
      <c r="I43" s="69">
        <f>VLOOKUP(A:A,'Seam Tariffs'!A:AB,9,FALSE)</f>
        <v>1.85</v>
      </c>
      <c r="J43" s="69">
        <f>VLOOKUP(A:A,'Seam Tariffs'!A:AB,11,FALSE)</f>
        <v>4</v>
      </c>
      <c r="K43" s="69">
        <f>VLOOKUP(A:A,'Seam Tariffs'!A:AB,12,FALSE)</f>
        <v>7</v>
      </c>
      <c r="L43" s="69">
        <f>VLOOKUP(A:A,'Seam Tariffs'!A:AB,13,FALSE)</f>
        <v>3.05</v>
      </c>
      <c r="M43" s="69">
        <f>VLOOKUP(A:A,'Seam Tariffs'!A:AB,14,FALSE)</f>
        <v>0</v>
      </c>
      <c r="N43" s="69">
        <f>VLOOKUP(A:A,'Seam Tariffs'!A:AB,28,FALSE)</f>
        <v>3</v>
      </c>
      <c r="O43" s="69">
        <f>COSTS!$W$6</f>
        <v>1.8958333333333335</v>
      </c>
      <c r="P43" s="69">
        <f>VLOOKUP(G43,COSTS!$V$11:$X$14,3,FALSE)</f>
        <v>0</v>
      </c>
      <c r="Q43" s="69">
        <f t="shared" si="0"/>
        <v>20.795833333333331</v>
      </c>
      <c r="R43" s="69">
        <f t="shared" si="1"/>
        <v>4.8958333333333339</v>
      </c>
      <c r="S43" s="87">
        <f>VLOOKUP(A:A,'Flat Bed &amp; Late Fees'!A:J,6,FALSE)</f>
        <v>0</v>
      </c>
      <c r="T43" s="87">
        <f>VLOOKUP(A:A,'Flat Bed &amp; Late Fees'!A:J,7,FALSE)</f>
        <v>0</v>
      </c>
      <c r="U43" s="68">
        <f>VLOOKUP(C43&amp;G43,OTR!E:J,6,FALSE)/88</f>
        <v>8.8352272727272734</v>
      </c>
      <c r="V43" s="87"/>
      <c r="W43" s="68">
        <f t="shared" si="2"/>
        <v>8.8352272727272734</v>
      </c>
      <c r="X43" s="69">
        <f>VLOOKUP(G43,COSTS!$Z$18:$AC$23,2,FALSE)</f>
        <v>2.5</v>
      </c>
      <c r="Y43" s="87">
        <f>VLOOKUP(G43,COSTS!$Z$18:$AC$23,4,FALSE)</f>
        <v>1.68</v>
      </c>
      <c r="Z43" s="69">
        <f>(COSTS!$W$3*COSTS!$W$4*500)/52*COSTS!$AE$17</f>
        <v>1.3125</v>
      </c>
      <c r="AB43" s="69">
        <f t="shared" si="3"/>
        <v>5.4924999999999997</v>
      </c>
      <c r="AC43" s="69">
        <f>VLOOKUP(G43,COSTS!$Z$11:$AE$14,5,FALSE)</f>
        <v>7.3011363636363633</v>
      </c>
      <c r="AD43" s="69">
        <f>VLOOKUP(G43,COSTS!$Z$4:$AD$7,4,FALSE)</f>
        <v>9.1363636363636367</v>
      </c>
      <c r="AE43" s="69"/>
      <c r="AF43" s="69">
        <f t="shared" si="4"/>
        <v>16.4375</v>
      </c>
      <c r="AG43" s="87">
        <f>((COSTS!$C$5*88)/20)/88</f>
        <v>1.4407150000000002</v>
      </c>
      <c r="AH43" s="69">
        <f>(COSTS!$X$38/88)*20</f>
        <v>0.34865702479338845</v>
      </c>
      <c r="AI43" s="87">
        <f>((COSTS!$E$5*88)/20)/88</f>
        <v>0.62936587135988387</v>
      </c>
      <c r="AJ43" s="87">
        <f>((COSTS!$D$5*88)/20)/88</f>
        <v>0.33676</v>
      </c>
      <c r="AL43" s="387">
        <f t="shared" si="5"/>
        <v>2.7554978961532726</v>
      </c>
      <c r="AM43" s="69">
        <f>(COSTS!$W$3+0.1)*500*0.01</f>
        <v>3.9999999999999996</v>
      </c>
      <c r="AN43" s="387">
        <f>((COSTS!$G$5/20)*88)/88</f>
        <v>1.308904109589041</v>
      </c>
      <c r="AR43" s="69">
        <f t="shared" si="6"/>
        <v>5.3089041095890401</v>
      </c>
      <c r="AT43" s="1" t="e">
        <f>VLOOKUP(C43&amp;$AT$1,OTR!E:J,6,FALSE)/88</f>
        <v>#N/A</v>
      </c>
      <c r="AU43" s="1">
        <f>VLOOKUP(C43&amp;$AU$1,OTR!E:J,6,FALSE)/88</f>
        <v>22.386363636363637</v>
      </c>
    </row>
    <row r="44" spans="1:47">
      <c r="A44" s="1">
        <v>225625</v>
      </c>
      <c r="B44" s="1" t="s">
        <v>154</v>
      </c>
      <c r="C44" s="1" t="s">
        <v>155</v>
      </c>
      <c r="D44" s="1" t="s">
        <v>76</v>
      </c>
      <c r="E44" s="1" t="str">
        <f>VLOOKUP(A:A,'Regions and Ports'!A:G,5,FALSE)</f>
        <v>GA 30 Day</v>
      </c>
      <c r="F44" s="1" t="str">
        <f>VLOOKUP(A:A,'Regions and Ports'!A:F,6,FALSE)</f>
        <v>ER5</v>
      </c>
      <c r="G44" s="1" t="str">
        <f>VLOOKUP(A:A,'Regions and Ports'!A:G,7,FALSE)</f>
        <v>Savannah</v>
      </c>
      <c r="H44" s="87">
        <v>4</v>
      </c>
      <c r="I44" s="69">
        <f>VLOOKUP(A:A,'Seam Tariffs'!A:AB,9,FALSE)</f>
        <v>4</v>
      </c>
      <c r="J44" s="69">
        <f>VLOOKUP(A:A,'Seam Tariffs'!A:AB,11,FALSE)</f>
        <v>6</v>
      </c>
      <c r="K44" s="69">
        <f>VLOOKUP(A:A,'Seam Tariffs'!A:AB,12,FALSE)</f>
        <v>0</v>
      </c>
      <c r="L44" s="69">
        <f>VLOOKUP(A:A,'Seam Tariffs'!A:AB,13,FALSE)</f>
        <v>0</v>
      </c>
      <c r="M44" s="69">
        <f>VLOOKUP(A:A,'Seam Tariffs'!A:AB,14,FALSE)</f>
        <v>1</v>
      </c>
      <c r="N44" s="69">
        <f>VLOOKUP(A:A,'Seam Tariffs'!A:AB,28,FALSE)</f>
        <v>2.5</v>
      </c>
      <c r="O44" s="69">
        <f>COSTS!$W$6</f>
        <v>1.8958333333333335</v>
      </c>
      <c r="P44" s="69">
        <f>VLOOKUP(G44,COSTS!$V$11:$X$14,3,FALSE)</f>
        <v>0</v>
      </c>
      <c r="Q44" s="69">
        <f t="shared" si="0"/>
        <v>15.395833333333334</v>
      </c>
      <c r="R44" s="69">
        <f t="shared" si="1"/>
        <v>1.8958333333333335</v>
      </c>
      <c r="S44" s="87">
        <f>VLOOKUP(A:A,'Flat Bed &amp; Late Fees'!A:J,6,FALSE)</f>
        <v>0</v>
      </c>
      <c r="T44" s="87">
        <f>VLOOKUP(A:A,'Flat Bed &amp; Late Fees'!A:J,7,FALSE)</f>
        <v>0</v>
      </c>
      <c r="U44" s="68">
        <f>VLOOKUP(C44&amp;G44,OTR!E:J,6,FALSE)/88</f>
        <v>11.269545454545455</v>
      </c>
      <c r="V44" s="87"/>
      <c r="W44" s="68">
        <f t="shared" si="2"/>
        <v>11.269545454545455</v>
      </c>
      <c r="X44" s="69">
        <f>VLOOKUP(G44,COSTS!$Z$18:$AC$23,2,FALSE)</f>
        <v>2.6</v>
      </c>
      <c r="Y44" s="87">
        <f>VLOOKUP(G44,COSTS!$Z$18:$AC$23,4,FALSE)</f>
        <v>2.52</v>
      </c>
      <c r="Z44" s="69">
        <f>(COSTS!$W$3*COSTS!$W$4*500)/52*COSTS!$AE$17</f>
        <v>1.3125</v>
      </c>
      <c r="AB44" s="69">
        <f t="shared" si="3"/>
        <v>6.4325000000000001</v>
      </c>
      <c r="AC44" s="69">
        <f>VLOOKUP(G44,COSTS!$Z$11:$AE$14,5,FALSE)</f>
        <v>5.5113636363636367</v>
      </c>
      <c r="AD44" s="69">
        <f>VLOOKUP(G44,COSTS!$Z$4:$AD$7,4,FALSE)</f>
        <v>5.3522727272727275</v>
      </c>
      <c r="AE44" s="69"/>
      <c r="AF44" s="69">
        <f t="shared" si="4"/>
        <v>10.863636363636363</v>
      </c>
      <c r="AG44" s="87">
        <f>((COSTS!$C$5*88)/20)/88</f>
        <v>1.4407150000000002</v>
      </c>
      <c r="AH44" s="69">
        <f>(COSTS!$X$38/88)*20</f>
        <v>0.34865702479338845</v>
      </c>
      <c r="AI44" s="87">
        <f>((COSTS!$E$5*88)/20)/88</f>
        <v>0.62936587135988387</v>
      </c>
      <c r="AJ44" s="87">
        <f>((COSTS!$D$5*88)/20)/88</f>
        <v>0.33676</v>
      </c>
      <c r="AL44" s="387">
        <f t="shared" si="5"/>
        <v>2.7554978961532726</v>
      </c>
      <c r="AM44" s="69">
        <f>(COSTS!$W$3+0.1)*500*0.01</f>
        <v>3.9999999999999996</v>
      </c>
      <c r="AN44" s="387">
        <f>((COSTS!$G$5/20)*88)/88</f>
        <v>1.308904109589041</v>
      </c>
      <c r="AR44" s="69">
        <f t="shared" si="6"/>
        <v>5.3089041095890401</v>
      </c>
      <c r="AT44" s="1">
        <f>VLOOKUP(C44&amp;$AT$1,OTR!E:J,6,FALSE)/88</f>
        <v>22.599431818181817</v>
      </c>
      <c r="AU44" s="1">
        <f>VLOOKUP(C44&amp;$AU$1,OTR!E:J,6,FALSE)/88</f>
        <v>17.1875</v>
      </c>
    </row>
    <row r="45" spans="1:47">
      <c r="A45" s="1">
        <v>227500</v>
      </c>
      <c r="B45" s="1" t="s">
        <v>157</v>
      </c>
      <c r="C45" s="1" t="s">
        <v>158</v>
      </c>
      <c r="D45" s="1" t="s">
        <v>76</v>
      </c>
      <c r="E45" s="1" t="str">
        <f>VLOOKUP(A:A,'Regions and Ports'!A:G,5,FALSE)</f>
        <v>GA 30 Day</v>
      </c>
      <c r="F45" s="1" t="str">
        <f>VLOOKUP(A:A,'Regions and Ports'!A:F,6,FALSE)</f>
        <v>ER5</v>
      </c>
      <c r="G45" s="1" t="str">
        <f>VLOOKUP(A:A,'Regions and Ports'!A:G,7,FALSE)</f>
        <v>Savannah</v>
      </c>
      <c r="H45" s="87">
        <v>4</v>
      </c>
      <c r="I45" s="69">
        <f>VLOOKUP(A:A,'Seam Tariffs'!A:AB,9,FALSE)</f>
        <v>3.5</v>
      </c>
      <c r="J45" s="69">
        <f>VLOOKUP(A:A,'Seam Tariffs'!A:AB,11,FALSE)</f>
        <v>6.5</v>
      </c>
      <c r="K45" s="69">
        <f>VLOOKUP(A:A,'Seam Tariffs'!A:AB,12,FALSE)</f>
        <v>0</v>
      </c>
      <c r="L45" s="69">
        <f>VLOOKUP(A:A,'Seam Tariffs'!A:AB,13,FALSE)</f>
        <v>0</v>
      </c>
      <c r="M45" s="69">
        <f>VLOOKUP(A:A,'Seam Tariffs'!A:AB,14,FALSE)</f>
        <v>0</v>
      </c>
      <c r="N45" s="69">
        <f>VLOOKUP(A:A,'Seam Tariffs'!A:AB,28,FALSE)</f>
        <v>2.75</v>
      </c>
      <c r="O45" s="69">
        <f>COSTS!$W$6</f>
        <v>1.8958333333333335</v>
      </c>
      <c r="P45" s="69">
        <f>VLOOKUP(G45,COSTS!$V$11:$X$14,3,FALSE)</f>
        <v>0</v>
      </c>
      <c r="Q45" s="69">
        <f t="shared" si="0"/>
        <v>14.645833333333334</v>
      </c>
      <c r="R45" s="69">
        <f t="shared" si="1"/>
        <v>1.8958333333333335</v>
      </c>
      <c r="S45" s="87">
        <f>VLOOKUP(A:A,'Flat Bed &amp; Late Fees'!A:J,6,FALSE)</f>
        <v>0</v>
      </c>
      <c r="T45" s="87">
        <f>VLOOKUP(A:A,'Flat Bed &amp; Late Fees'!A:J,7,FALSE)</f>
        <v>0</v>
      </c>
      <c r="U45" s="68">
        <f>VLOOKUP(C45&amp;G45,OTR!E:J,6,FALSE)/88</f>
        <v>9.2054545454545451</v>
      </c>
      <c r="V45" s="87"/>
      <c r="W45" s="68">
        <f t="shared" si="2"/>
        <v>9.2054545454545451</v>
      </c>
      <c r="X45" s="69">
        <f>VLOOKUP(G45,COSTS!$Z$18:$AC$23,2,FALSE)</f>
        <v>2.6</v>
      </c>
      <c r="Y45" s="87">
        <f>VLOOKUP(G45,COSTS!$Z$18:$AC$23,4,FALSE)</f>
        <v>2.52</v>
      </c>
      <c r="Z45" s="69">
        <f>(COSTS!$W$3*COSTS!$W$4*500)/52*COSTS!$AE$17</f>
        <v>1.3125</v>
      </c>
      <c r="AB45" s="69">
        <f t="shared" si="3"/>
        <v>6.4325000000000001</v>
      </c>
      <c r="AC45" s="69">
        <f>VLOOKUP(G45,COSTS!$Z$11:$AE$14,5,FALSE)</f>
        <v>5.5113636363636367</v>
      </c>
      <c r="AD45" s="69">
        <f>VLOOKUP(G45,COSTS!$Z$4:$AD$7,4,FALSE)</f>
        <v>5.3522727272727275</v>
      </c>
      <c r="AE45" s="69"/>
      <c r="AF45" s="69">
        <f t="shared" si="4"/>
        <v>10.863636363636363</v>
      </c>
      <c r="AG45" s="87">
        <f>((COSTS!$C$5*88)/20)/88</f>
        <v>1.4407150000000002</v>
      </c>
      <c r="AH45" s="69">
        <f>(COSTS!$X$38/88)*20</f>
        <v>0.34865702479338845</v>
      </c>
      <c r="AI45" s="87">
        <f>((COSTS!$E$5*88)/20)/88</f>
        <v>0.62936587135988387</v>
      </c>
      <c r="AJ45" s="87">
        <f>((COSTS!$D$5*88)/20)/88</f>
        <v>0.33676</v>
      </c>
      <c r="AL45" s="387">
        <f t="shared" si="5"/>
        <v>2.7554978961532726</v>
      </c>
      <c r="AM45" s="69">
        <f>(COSTS!$W$3+0.1)*500*0.01</f>
        <v>3.9999999999999996</v>
      </c>
      <c r="AN45" s="387">
        <f>((COSTS!$G$5/20)*88)/88</f>
        <v>1.308904109589041</v>
      </c>
      <c r="AR45" s="69">
        <f t="shared" si="6"/>
        <v>5.3089041095890401</v>
      </c>
      <c r="AT45" s="1">
        <f>VLOOKUP(C45&amp;$AT$1,OTR!E:J,6,FALSE)/88</f>
        <v>23.144204545454546</v>
      </c>
      <c r="AU45" s="1">
        <f>VLOOKUP(C45&amp;$AU$1,OTR!E:J,6,FALSE)/88</f>
        <v>14.818181818181818</v>
      </c>
    </row>
    <row r="46" spans="1:47">
      <c r="A46" s="1">
        <v>228002</v>
      </c>
      <c r="B46" s="1" t="s">
        <v>160</v>
      </c>
      <c r="C46" s="1" t="s">
        <v>161</v>
      </c>
      <c r="D46" s="1" t="s">
        <v>76</v>
      </c>
      <c r="E46" s="1" t="str">
        <f>VLOOKUP(A:A,'Regions and Ports'!A:G,5,FALSE)</f>
        <v>GA 30 Day</v>
      </c>
      <c r="F46" s="1" t="str">
        <f>VLOOKUP(A:A,'Regions and Ports'!A:F,6,FALSE)</f>
        <v>ER5</v>
      </c>
      <c r="G46" s="1" t="str">
        <f>VLOOKUP(A:A,'Regions and Ports'!A:G,7,FALSE)</f>
        <v>Savannah</v>
      </c>
      <c r="H46" s="87">
        <v>4</v>
      </c>
      <c r="I46" s="69">
        <f>VLOOKUP(A:A,'Seam Tariffs'!A:AB,9,FALSE)</f>
        <v>3.5</v>
      </c>
      <c r="J46" s="69">
        <f>VLOOKUP(A:A,'Seam Tariffs'!A:AB,11,FALSE)</f>
        <v>4.5</v>
      </c>
      <c r="K46" s="69">
        <f>VLOOKUP(A:A,'Seam Tariffs'!A:AB,12,FALSE)</f>
        <v>0</v>
      </c>
      <c r="L46" s="69">
        <f>VLOOKUP(A:A,'Seam Tariffs'!A:AB,13,FALSE)</f>
        <v>0</v>
      </c>
      <c r="M46" s="69">
        <f>VLOOKUP(A:A,'Seam Tariffs'!A:AB,14,FALSE)</f>
        <v>0.5</v>
      </c>
      <c r="N46" s="69">
        <f>VLOOKUP(A:A,'Seam Tariffs'!A:AB,28,FALSE)</f>
        <v>3</v>
      </c>
      <c r="O46" s="69">
        <f>COSTS!$W$6</f>
        <v>1.8958333333333335</v>
      </c>
      <c r="P46" s="69">
        <f>VLOOKUP(G46,COSTS!$V$11:$X$14,3,FALSE)</f>
        <v>0</v>
      </c>
      <c r="Q46" s="69">
        <f t="shared" si="0"/>
        <v>13.395833333333334</v>
      </c>
      <c r="R46" s="69">
        <f t="shared" si="1"/>
        <v>1.8958333333333335</v>
      </c>
      <c r="S46" s="87">
        <f>VLOOKUP(A:A,'Flat Bed &amp; Late Fees'!A:J,6,FALSE)</f>
        <v>0</v>
      </c>
      <c r="T46" s="87">
        <f>VLOOKUP(A:A,'Flat Bed &amp; Late Fees'!A:J,7,FALSE)</f>
        <v>0</v>
      </c>
      <c r="U46" s="68">
        <f>VLOOKUP(C46&amp;G46,OTR!E:J,6,FALSE)/88</f>
        <v>6.7649431818181824</v>
      </c>
      <c r="V46" s="87"/>
      <c r="W46" s="68">
        <f t="shared" si="2"/>
        <v>6.7649431818181824</v>
      </c>
      <c r="X46" s="69">
        <f>VLOOKUP(G46,COSTS!$Z$18:$AC$23,2,FALSE)</f>
        <v>2.6</v>
      </c>
      <c r="Y46" s="87">
        <f>VLOOKUP(G46,COSTS!$Z$18:$AC$23,4,FALSE)</f>
        <v>2.52</v>
      </c>
      <c r="Z46" s="69">
        <f>(COSTS!$W$3*COSTS!$W$4*500)/52*COSTS!$AE$17</f>
        <v>1.3125</v>
      </c>
      <c r="AB46" s="69">
        <f t="shared" si="3"/>
        <v>6.4325000000000001</v>
      </c>
      <c r="AC46" s="69">
        <f>VLOOKUP(G46,COSTS!$Z$11:$AE$14,5,FALSE)</f>
        <v>5.5113636363636367</v>
      </c>
      <c r="AD46" s="69">
        <f>VLOOKUP(G46,COSTS!$Z$4:$AD$7,4,FALSE)</f>
        <v>5.3522727272727275</v>
      </c>
      <c r="AE46" s="69"/>
      <c r="AF46" s="69">
        <f t="shared" si="4"/>
        <v>10.863636363636363</v>
      </c>
      <c r="AG46" s="87">
        <f>((COSTS!$C$5*88)/20)/88</f>
        <v>1.4407150000000002</v>
      </c>
      <c r="AH46" s="69">
        <f>(COSTS!$X$38/88)*20</f>
        <v>0.34865702479338845</v>
      </c>
      <c r="AI46" s="87">
        <f>((COSTS!$E$5*88)/20)/88</f>
        <v>0.62936587135988387</v>
      </c>
      <c r="AJ46" s="87">
        <f>((COSTS!$D$5*88)/20)/88</f>
        <v>0.33676</v>
      </c>
      <c r="AL46" s="387">
        <f t="shared" si="5"/>
        <v>2.7554978961532726</v>
      </c>
      <c r="AM46" s="69">
        <f>(COSTS!$W$3+0.1)*500*0.01</f>
        <v>3.9999999999999996</v>
      </c>
      <c r="AN46" s="387">
        <f>((COSTS!$G$5/20)*88)/88</f>
        <v>1.308904109589041</v>
      </c>
      <c r="AR46" s="69">
        <f t="shared" si="6"/>
        <v>5.3089041095890401</v>
      </c>
      <c r="AT46" s="1">
        <f>VLOOKUP(C46&amp;$AT$1,OTR!E:J,6,FALSE)/88</f>
        <v>27.149886363636359</v>
      </c>
      <c r="AU46" s="1">
        <f>VLOOKUP(C46&amp;$AU$1,OTR!E:J,6,FALSE)/88</f>
        <v>12.926136363636363</v>
      </c>
    </row>
    <row r="47" spans="1:47">
      <c r="A47" s="1">
        <v>828031</v>
      </c>
      <c r="B47" s="1" t="s">
        <v>163</v>
      </c>
      <c r="C47" s="1" t="s">
        <v>164</v>
      </c>
      <c r="D47" s="1" t="s">
        <v>71</v>
      </c>
      <c r="E47" s="1" t="str">
        <f>VLOOKUP(A:A,'Regions and Ports'!A:G,5,FALSE)</f>
        <v>WTX</v>
      </c>
      <c r="F47" s="1" t="str">
        <f>VLOOKUP(A:A,'Regions and Ports'!A:F,6,FALSE)</f>
        <v>WTX</v>
      </c>
      <c r="G47" s="1" t="str">
        <f>VLOOKUP(A:A,'Regions and Ports'!A:G,7,FALSE)</f>
        <v>Dallas</v>
      </c>
      <c r="H47" s="87">
        <v>2</v>
      </c>
      <c r="I47" s="69">
        <f>VLOOKUP(A:A,'Seam Tariffs'!A:AB,9,FALSE)</f>
        <v>4.75</v>
      </c>
      <c r="J47" s="69">
        <f>VLOOKUP(A:A,'Seam Tariffs'!A:AB,11,FALSE)</f>
        <v>5.45</v>
      </c>
      <c r="K47" s="69">
        <f>VLOOKUP(A:A,'Seam Tariffs'!A:AB,12,FALSE)</f>
        <v>9.75</v>
      </c>
      <c r="L47" s="69">
        <f>VLOOKUP(A:A,'Seam Tariffs'!A:AB,13,FALSE)</f>
        <v>0</v>
      </c>
      <c r="M47" s="69">
        <f>VLOOKUP(A:A,'Seam Tariffs'!A:AB,14,FALSE)</f>
        <v>1</v>
      </c>
      <c r="N47" s="69">
        <f>VLOOKUP(A:A,'Seam Tariffs'!A:AB,28,FALSE)</f>
        <v>2.4</v>
      </c>
      <c r="O47" s="69">
        <f>COSTS!$W$6</f>
        <v>1.8958333333333335</v>
      </c>
      <c r="P47" s="69">
        <f>VLOOKUP(G47,COSTS!$V$11:$X$14,3,FALSE)</f>
        <v>0</v>
      </c>
      <c r="Q47" s="69">
        <f t="shared" si="0"/>
        <v>25.24583333333333</v>
      </c>
      <c r="R47" s="69">
        <f t="shared" si="1"/>
        <v>14.045833333333334</v>
      </c>
      <c r="S47" s="87">
        <f>VLOOKUP(A:A,'Flat Bed &amp; Late Fees'!A:J,6,FALSE)</f>
        <v>0</v>
      </c>
      <c r="T47" s="87">
        <f>VLOOKUP(A:A,'Flat Bed &amp; Late Fees'!A:J,7,FALSE)</f>
        <v>0</v>
      </c>
      <c r="U47" s="68">
        <f>VLOOKUP(C47&amp;G47,OTR!E:J,6,FALSE)/88</f>
        <v>9.6022727272727266</v>
      </c>
      <c r="V47" s="87"/>
      <c r="W47" s="68">
        <f t="shared" si="2"/>
        <v>9.6022727272727266</v>
      </c>
      <c r="X47" s="69">
        <f>VLOOKUP(G47,COSTS!$Z$18:$AC$23,2,FALSE)</f>
        <v>2.7</v>
      </c>
      <c r="Y47" s="87">
        <f>VLOOKUP(G47,COSTS!$Z$18:$AC$23,4,FALSE)</f>
        <v>2.52</v>
      </c>
      <c r="Z47" s="69">
        <f>(COSTS!$W$3*COSTS!$W$4*500)/52*COSTS!$AE$17</f>
        <v>1.3125</v>
      </c>
      <c r="AB47" s="69">
        <f t="shared" si="3"/>
        <v>6.5325000000000006</v>
      </c>
      <c r="AC47" s="69">
        <f>VLOOKUP(G47,COSTS!$Z$11:$AE$14,5,FALSE)</f>
        <v>8.125</v>
      </c>
      <c r="AD47" s="69">
        <f>VLOOKUP(G47,COSTS!$Z$4:$AD$7,4,FALSE)</f>
        <v>13.409090909090908</v>
      </c>
      <c r="AE47" s="69"/>
      <c r="AF47" s="69">
        <f t="shared" si="4"/>
        <v>21.534090909090907</v>
      </c>
      <c r="AG47" s="87">
        <f>((COSTS!$C$5*88)/20)/88</f>
        <v>1.4407150000000002</v>
      </c>
      <c r="AH47" s="69">
        <f>(COSTS!$X$38/88)*20</f>
        <v>0.34865702479338845</v>
      </c>
      <c r="AI47" s="87">
        <f>((COSTS!$E$5*88)/20)/88</f>
        <v>0.62936587135988387</v>
      </c>
      <c r="AJ47" s="87">
        <f>((COSTS!$D$5*88)/20)/88</f>
        <v>0.33676</v>
      </c>
      <c r="AL47" s="387">
        <f t="shared" si="5"/>
        <v>2.7554978961532726</v>
      </c>
      <c r="AM47" s="69">
        <f>(COSTS!$W$3+0.1)*500*0.01</f>
        <v>3.9999999999999996</v>
      </c>
      <c r="AN47" s="387">
        <f>((COSTS!$G$5/20)*88)/88</f>
        <v>1.308904109589041</v>
      </c>
      <c r="AR47" s="69">
        <f t="shared" si="6"/>
        <v>5.3089041095890401</v>
      </c>
      <c r="AT47" s="1">
        <f>VLOOKUP(C47&amp;$AT$1,OTR!E:J,6,FALSE)/88</f>
        <v>17.392045454545453</v>
      </c>
      <c r="AU47" s="1" t="e">
        <f>VLOOKUP(C47&amp;$AU$1,OTR!E:J,6,FALSE)/88</f>
        <v>#N/A</v>
      </c>
    </row>
    <row r="48" spans="1:47">
      <c r="A48" s="125">
        <v>828031</v>
      </c>
      <c r="B48" s="1" t="s">
        <v>163</v>
      </c>
      <c r="C48" s="1" t="s">
        <v>164</v>
      </c>
      <c r="D48" s="1" t="s">
        <v>71</v>
      </c>
      <c r="E48" s="1" t="s">
        <v>2067</v>
      </c>
      <c r="F48" s="1" t="str">
        <f>VLOOKUP(A:A,'Regions and Ports'!A:F,6,FALSE)</f>
        <v>WTX</v>
      </c>
      <c r="G48" s="1" t="s">
        <v>439</v>
      </c>
      <c r="H48" s="87">
        <v>2</v>
      </c>
      <c r="I48" s="69">
        <f>VLOOKUP(A:A,'Seam Tariffs'!A:AB,9,FALSE)</f>
        <v>4.75</v>
      </c>
      <c r="J48" s="69">
        <f>VLOOKUP(A:A,'Seam Tariffs'!A:AB,11,FALSE)</f>
        <v>5.45</v>
      </c>
      <c r="K48" s="69">
        <f>VLOOKUP(A:A,'Seam Tariffs'!A:AB,12,FALSE)</f>
        <v>9.75</v>
      </c>
      <c r="L48" s="69">
        <f>VLOOKUP(A:A,'Seam Tariffs'!A:AB,13,FALSE)</f>
        <v>0</v>
      </c>
      <c r="M48" s="69">
        <f>VLOOKUP(A:A,'Seam Tariffs'!A:AB,14,FALSE)</f>
        <v>1</v>
      </c>
      <c r="N48" s="69">
        <f>VLOOKUP(A:A,'Seam Tariffs'!A:AB,28,FALSE)</f>
        <v>2.4</v>
      </c>
      <c r="O48" s="69">
        <f>COSTS!$W$6</f>
        <v>1.8958333333333335</v>
      </c>
      <c r="P48" s="69">
        <f>VLOOKUP(G48,COSTS!$V$11:$X$14,3,FALSE)</f>
        <v>0</v>
      </c>
      <c r="Q48" s="69">
        <f t="shared" si="0"/>
        <v>25.24583333333333</v>
      </c>
      <c r="R48" s="69">
        <f t="shared" si="1"/>
        <v>14.045833333333334</v>
      </c>
      <c r="S48" s="87">
        <f>VLOOKUP(A:A,'Flat Bed &amp; Late Fees'!A:J,6,FALSE)</f>
        <v>0</v>
      </c>
      <c r="T48" s="87">
        <f>VLOOKUP(A:A,'Flat Bed &amp; Late Fees'!A:J,7,FALSE)</f>
        <v>0</v>
      </c>
      <c r="U48" s="68">
        <f>VLOOKUP(C48&amp;G48,OTR!E:J,6,FALSE)/88</f>
        <v>13.352272727272727</v>
      </c>
      <c r="V48" s="87"/>
      <c r="W48" s="68">
        <f t="shared" si="2"/>
        <v>13.352272727272727</v>
      </c>
      <c r="X48" s="69">
        <f>VLOOKUP(G48,COSTS!$Z$18:$AC$23,2,FALSE)</f>
        <v>2.7</v>
      </c>
      <c r="Y48" s="87">
        <f>VLOOKUP(G48,COSTS!$Z$18:$AC$23,4,FALSE)</f>
        <v>2.52</v>
      </c>
      <c r="Z48" s="69">
        <f>(COSTS!$W$3*COSTS!$W$4*500)/52*COSTS!$AE$17</f>
        <v>1.3125</v>
      </c>
      <c r="AB48" s="69">
        <f t="shared" si="3"/>
        <v>6.5325000000000006</v>
      </c>
      <c r="AC48" s="69">
        <f>VLOOKUP(G48,COSTS!$Z$11:$AE$14,5,FALSE)</f>
        <v>6.6477272727272725</v>
      </c>
      <c r="AD48" s="69">
        <f>VLOOKUP(G48,COSTS!$Z$4:$AD$7,4,FALSE)</f>
        <v>9.8977272727272734</v>
      </c>
      <c r="AE48" s="69"/>
      <c r="AF48" s="69">
        <f t="shared" si="4"/>
        <v>16.545454545454547</v>
      </c>
      <c r="AG48" s="87">
        <f>((COSTS!$C$5*88)/20)/88</f>
        <v>1.4407150000000002</v>
      </c>
      <c r="AH48" s="69">
        <f>(COSTS!$X$38/88)*20</f>
        <v>0.34865702479338845</v>
      </c>
      <c r="AI48" s="87">
        <f>((COSTS!$E$5*88)/20)/88</f>
        <v>0.62936587135988387</v>
      </c>
      <c r="AJ48" s="87">
        <f>((COSTS!$D$5*88)/20)/88</f>
        <v>0.33676</v>
      </c>
      <c r="AL48" s="387">
        <f t="shared" si="5"/>
        <v>2.7554978961532726</v>
      </c>
      <c r="AM48" s="69">
        <f>(COSTS!$W$3+0.1)*500*0.01</f>
        <v>3.9999999999999996</v>
      </c>
      <c r="AN48" s="387">
        <f>((COSTS!$G$5/20)*88)/88</f>
        <v>1.308904109589041</v>
      </c>
      <c r="AR48" s="69">
        <f t="shared" si="6"/>
        <v>5.3089041095890401</v>
      </c>
      <c r="AT48" s="1">
        <f>VLOOKUP(C48&amp;$AT$1,OTR!E:J,6,FALSE)/88</f>
        <v>17.392045454545453</v>
      </c>
      <c r="AU48" s="1" t="e">
        <f>VLOOKUP(C48&amp;$AU$1,OTR!E:J,6,FALSE)/88</f>
        <v>#N/A</v>
      </c>
    </row>
    <row r="49" spans="1:47">
      <c r="A49" s="1">
        <v>787005</v>
      </c>
      <c r="B49" s="1" t="s">
        <v>166</v>
      </c>
      <c r="C49" s="1" t="s">
        <v>167</v>
      </c>
      <c r="D49" s="1" t="s">
        <v>168</v>
      </c>
      <c r="E49" s="1" t="str">
        <f>VLOOKUP(A:A,'Regions and Ports'!A:G,5,FALSE)</f>
        <v>Memphis Rule 5</v>
      </c>
      <c r="F49" s="1" t="str">
        <f>VLOOKUP(A:A,'Regions and Ports'!A:F,6,FALSE)</f>
        <v>MR5</v>
      </c>
      <c r="G49" s="1" t="str">
        <f>VLOOKUP(A:A,'Regions and Ports'!A:G,7,FALSE)</f>
        <v>Memphis</v>
      </c>
      <c r="H49" s="87">
        <v>1</v>
      </c>
      <c r="I49" s="69">
        <f>VLOOKUP(A:A,'Seam Tariffs'!A:AB,9,FALSE)</f>
        <v>2.5</v>
      </c>
      <c r="J49" s="69">
        <f>VLOOKUP(A:A,'Seam Tariffs'!A:AB,11,FALSE)</f>
        <v>12.5</v>
      </c>
      <c r="K49" s="69">
        <f>VLOOKUP(A:A,'Seam Tariffs'!A:AB,12,FALSE)</f>
        <v>0</v>
      </c>
      <c r="L49" s="69">
        <f>VLOOKUP(A:A,'Seam Tariffs'!A:AB,13,FALSE)</f>
        <v>3</v>
      </c>
      <c r="M49" s="69">
        <f>VLOOKUP(A:A,'Seam Tariffs'!A:AB,14,FALSE)</f>
        <v>0.5</v>
      </c>
      <c r="N49" s="69">
        <f>VLOOKUP(A:A,'Seam Tariffs'!A:AB,28,FALSE)</f>
        <v>3.9</v>
      </c>
      <c r="O49" s="69">
        <f>COSTS!$W$6</f>
        <v>1.8958333333333335</v>
      </c>
      <c r="P49" s="69">
        <f>VLOOKUP(G49,COSTS!$V$11:$X$14,3,FALSE)</f>
        <v>0</v>
      </c>
      <c r="Q49" s="69">
        <f t="shared" si="0"/>
        <v>24.295833333333331</v>
      </c>
      <c r="R49" s="69">
        <f t="shared" si="1"/>
        <v>5.7958333333333334</v>
      </c>
      <c r="S49" s="87">
        <f>VLOOKUP(A:A,'Flat Bed &amp; Late Fees'!A:J,6,FALSE)</f>
        <v>0</v>
      </c>
      <c r="T49" s="87">
        <f>VLOOKUP(A:A,'Flat Bed &amp; Late Fees'!A:J,7,FALSE)</f>
        <v>0</v>
      </c>
      <c r="U49" s="68">
        <f>VLOOKUP(C49&amp;G49,OTR!E:J,6,FALSE)/88</f>
        <v>8.4943181818181817</v>
      </c>
      <c r="V49" s="87"/>
      <c r="W49" s="68">
        <f t="shared" si="2"/>
        <v>8.4943181818181817</v>
      </c>
      <c r="X49" s="69">
        <f>VLOOKUP(G49,COSTS!$Z$18:$AC$23,2,FALSE)</f>
        <v>2.5</v>
      </c>
      <c r="Y49" s="87">
        <f>VLOOKUP(G49,COSTS!$Z$18:$AC$23,4,FALSE)</f>
        <v>1.68</v>
      </c>
      <c r="Z49" s="69">
        <f>(COSTS!$W$3*COSTS!$W$4*500)/52*COSTS!$AE$17</f>
        <v>1.3125</v>
      </c>
      <c r="AB49" s="69">
        <f t="shared" si="3"/>
        <v>5.4924999999999997</v>
      </c>
      <c r="AC49" s="69">
        <f>VLOOKUP(G49,COSTS!$Z$11:$AE$14,5,FALSE)</f>
        <v>7.3011363636363633</v>
      </c>
      <c r="AD49" s="69">
        <f>VLOOKUP(G49,COSTS!$Z$4:$AD$7,4,FALSE)</f>
        <v>9.1363636363636367</v>
      </c>
      <c r="AE49" s="69"/>
      <c r="AF49" s="69">
        <f t="shared" si="4"/>
        <v>16.4375</v>
      </c>
      <c r="AG49" s="87">
        <f>((COSTS!$C$5*88)/20)/88</f>
        <v>1.4407150000000002</v>
      </c>
      <c r="AH49" s="69">
        <f>(COSTS!$X$38/88)*20</f>
        <v>0.34865702479338845</v>
      </c>
      <c r="AI49" s="87">
        <f>((COSTS!$E$5*88)/20)/88</f>
        <v>0.62936587135988387</v>
      </c>
      <c r="AJ49" s="87">
        <f>((COSTS!$D$5*88)/20)/88</f>
        <v>0.33676</v>
      </c>
      <c r="AL49" s="387">
        <f t="shared" si="5"/>
        <v>2.7554978961532726</v>
      </c>
      <c r="AM49" s="69">
        <f>(COSTS!$W$3+0.1)*500*0.01</f>
        <v>3.9999999999999996</v>
      </c>
      <c r="AN49" s="387">
        <f>((COSTS!$G$5/20)*88)/88</f>
        <v>1.308904109589041</v>
      </c>
      <c r="AR49" s="69">
        <f t="shared" si="6"/>
        <v>5.3089041095890401</v>
      </c>
      <c r="AT49" s="1">
        <f>VLOOKUP(C49&amp;$AT$1,OTR!E:J,6,FALSE)/88</f>
        <v>27.053750000000001</v>
      </c>
      <c r="AU49" s="1">
        <f>VLOOKUP(C49&amp;$AU$1,OTR!E:J,6,FALSE)/88</f>
        <v>20.852272727272727</v>
      </c>
    </row>
    <row r="50" spans="1:47">
      <c r="A50" s="1">
        <v>787010</v>
      </c>
      <c r="B50" s="1" t="s">
        <v>170</v>
      </c>
      <c r="C50" s="1" t="s">
        <v>167</v>
      </c>
      <c r="D50" s="1" t="s">
        <v>168</v>
      </c>
      <c r="E50" s="1" t="str">
        <f>VLOOKUP(A:A,'Regions and Ports'!A:G,5,FALSE)</f>
        <v>Memphis Rule 5</v>
      </c>
      <c r="F50" s="1" t="str">
        <f>VLOOKUP(A:A,'Regions and Ports'!A:F,6,FALSE)</f>
        <v>MR5</v>
      </c>
      <c r="G50" s="1" t="str">
        <f>VLOOKUP(A:A,'Regions and Ports'!A:G,7,FALSE)</f>
        <v>Memphis</v>
      </c>
      <c r="H50" s="87">
        <v>1</v>
      </c>
      <c r="I50" s="69">
        <f>VLOOKUP(A:A,'Seam Tariffs'!A:AB,9,FALSE)</f>
        <v>2.1</v>
      </c>
      <c r="J50" s="69">
        <f>VLOOKUP(A:A,'Seam Tariffs'!A:AB,11,FALSE)</f>
        <v>5.25</v>
      </c>
      <c r="K50" s="69">
        <f>VLOOKUP(A:A,'Seam Tariffs'!A:AB,12,FALSE)</f>
        <v>8.35</v>
      </c>
      <c r="L50" s="69">
        <f>VLOOKUP(A:A,'Seam Tariffs'!A:AB,13,FALSE)</f>
        <v>3.05</v>
      </c>
      <c r="M50" s="69">
        <f>VLOOKUP(A:A,'Seam Tariffs'!A:AB,14,FALSE)</f>
        <v>0</v>
      </c>
      <c r="N50" s="69">
        <f>VLOOKUP(A:A,'Seam Tariffs'!A:AB,28,FALSE)</f>
        <v>3.65</v>
      </c>
      <c r="O50" s="69">
        <f>COSTS!$W$6</f>
        <v>1.8958333333333335</v>
      </c>
      <c r="P50" s="69">
        <f>VLOOKUP(G50,COSTS!$V$11:$X$14,3,FALSE)</f>
        <v>0</v>
      </c>
      <c r="Q50" s="69">
        <f t="shared" si="0"/>
        <v>24.295833333333331</v>
      </c>
      <c r="R50" s="69">
        <f t="shared" si="1"/>
        <v>5.5458333333333334</v>
      </c>
      <c r="S50" s="87">
        <f>VLOOKUP(A:A,'Flat Bed &amp; Late Fees'!A:J,6,FALSE)</f>
        <v>0</v>
      </c>
      <c r="T50" s="87">
        <f>VLOOKUP(A:A,'Flat Bed &amp; Late Fees'!A:J,7,FALSE)</f>
        <v>0</v>
      </c>
      <c r="U50" s="68">
        <f>VLOOKUP(C50&amp;G50,OTR!E:J,6,FALSE)/88</f>
        <v>8.4943181818181817</v>
      </c>
      <c r="V50" s="87"/>
      <c r="W50" s="68">
        <f t="shared" si="2"/>
        <v>8.4943181818181817</v>
      </c>
      <c r="X50" s="69">
        <f>VLOOKUP(G50,COSTS!$Z$18:$AC$23,2,FALSE)</f>
        <v>2.5</v>
      </c>
      <c r="Y50" s="87">
        <f>VLOOKUP(G50,COSTS!$Z$18:$AC$23,4,FALSE)</f>
        <v>1.68</v>
      </c>
      <c r="Z50" s="69">
        <f>(COSTS!$W$3*COSTS!$W$4*500)/52*COSTS!$AE$17</f>
        <v>1.3125</v>
      </c>
      <c r="AB50" s="69">
        <f t="shared" si="3"/>
        <v>5.4924999999999997</v>
      </c>
      <c r="AC50" s="69">
        <f>VLOOKUP(G50,COSTS!$Z$11:$AE$14,5,FALSE)</f>
        <v>7.3011363636363633</v>
      </c>
      <c r="AD50" s="69">
        <f>VLOOKUP(G50,COSTS!$Z$4:$AD$7,4,FALSE)</f>
        <v>9.1363636363636367</v>
      </c>
      <c r="AE50" s="69"/>
      <c r="AF50" s="69">
        <f t="shared" si="4"/>
        <v>16.4375</v>
      </c>
      <c r="AG50" s="87">
        <f>((COSTS!$C$5*88)/20)/88</f>
        <v>1.4407150000000002</v>
      </c>
      <c r="AH50" s="69">
        <f>(COSTS!$X$38/88)*20</f>
        <v>0.34865702479338845</v>
      </c>
      <c r="AI50" s="87">
        <f>((COSTS!$E$5*88)/20)/88</f>
        <v>0.62936587135988387</v>
      </c>
      <c r="AJ50" s="87">
        <f>((COSTS!$D$5*88)/20)/88</f>
        <v>0.33676</v>
      </c>
      <c r="AL50" s="387">
        <f t="shared" si="5"/>
        <v>2.7554978961532726</v>
      </c>
      <c r="AM50" s="69">
        <f>(COSTS!$W$3+0.1)*500*0.01</f>
        <v>3.9999999999999996</v>
      </c>
      <c r="AN50" s="387">
        <f>((COSTS!$G$5/20)*88)/88</f>
        <v>1.308904109589041</v>
      </c>
      <c r="AR50" s="69">
        <f t="shared" si="6"/>
        <v>5.3089041095890401</v>
      </c>
      <c r="AT50" s="1">
        <f>VLOOKUP(C50&amp;$AT$1,OTR!E:J,6,FALSE)/88</f>
        <v>27.053750000000001</v>
      </c>
      <c r="AU50" s="1">
        <f>VLOOKUP(C50&amp;$AU$1,OTR!E:J,6,FALSE)/88</f>
        <v>20.852272727272727</v>
      </c>
    </row>
    <row r="51" spans="1:47">
      <c r="A51" s="1">
        <v>787097</v>
      </c>
      <c r="B51" s="1" t="s">
        <v>171</v>
      </c>
      <c r="C51" s="1" t="s">
        <v>167</v>
      </c>
      <c r="D51" s="1" t="s">
        <v>168</v>
      </c>
      <c r="E51" s="1" t="str">
        <f>VLOOKUP(A:A,'Regions and Ports'!A:G,5,FALSE)</f>
        <v>Memphis Rule 5</v>
      </c>
      <c r="F51" s="1" t="str">
        <f>VLOOKUP(A:A,'Regions and Ports'!A:F,6,FALSE)</f>
        <v>MR5</v>
      </c>
      <c r="G51" s="1" t="str">
        <f>VLOOKUP(A:A,'Regions and Ports'!A:G,7,FALSE)</f>
        <v>Memphis</v>
      </c>
      <c r="H51" s="87">
        <v>1</v>
      </c>
      <c r="I51" s="69">
        <f>VLOOKUP(A:A,'Seam Tariffs'!A:AB,9,FALSE)</f>
        <v>2.75</v>
      </c>
      <c r="J51" s="69">
        <f>VLOOKUP(A:A,'Seam Tariffs'!A:AB,11,FALSE)</f>
        <v>11.2</v>
      </c>
      <c r="K51" s="69">
        <f>VLOOKUP(A:A,'Seam Tariffs'!A:AB,12,FALSE)</f>
        <v>0</v>
      </c>
      <c r="L51" s="69">
        <f>VLOOKUP(A:A,'Seam Tariffs'!A:AB,13,FALSE)</f>
        <v>3.05</v>
      </c>
      <c r="M51" s="69">
        <f>VLOOKUP(A:A,'Seam Tariffs'!A:AB,14,FALSE)</f>
        <v>0</v>
      </c>
      <c r="N51" s="69">
        <f>VLOOKUP(A:A,'Seam Tariffs'!A:AB,28,FALSE)</f>
        <v>3.7</v>
      </c>
      <c r="O51" s="69">
        <f>COSTS!$W$6</f>
        <v>1.8958333333333335</v>
      </c>
      <c r="P51" s="69">
        <f>VLOOKUP(G51,COSTS!$V$11:$X$14,3,FALSE)</f>
        <v>0</v>
      </c>
      <c r="Q51" s="69">
        <f t="shared" si="0"/>
        <v>22.595833333333331</v>
      </c>
      <c r="R51" s="69">
        <f t="shared" si="1"/>
        <v>5.5958333333333332</v>
      </c>
      <c r="S51" s="87">
        <f>VLOOKUP(A:A,'Flat Bed &amp; Late Fees'!A:J,6,FALSE)</f>
        <v>0</v>
      </c>
      <c r="T51" s="87">
        <f>VLOOKUP(A:A,'Flat Bed &amp; Late Fees'!A:J,7,FALSE)</f>
        <v>0</v>
      </c>
      <c r="U51" s="68">
        <f>VLOOKUP(C51&amp;G51,OTR!E:J,6,FALSE)/88</f>
        <v>8.4943181818181817</v>
      </c>
      <c r="V51" s="87"/>
      <c r="W51" s="68">
        <f t="shared" si="2"/>
        <v>8.4943181818181817</v>
      </c>
      <c r="X51" s="69">
        <f>VLOOKUP(G51,COSTS!$Z$18:$AC$23,2,FALSE)</f>
        <v>2.5</v>
      </c>
      <c r="Y51" s="87">
        <f>VLOOKUP(G51,COSTS!$Z$18:$AC$23,4,FALSE)</f>
        <v>1.68</v>
      </c>
      <c r="Z51" s="69">
        <f>(COSTS!$W$3*COSTS!$W$4*500)/52*COSTS!$AE$17</f>
        <v>1.3125</v>
      </c>
      <c r="AB51" s="69">
        <f t="shared" si="3"/>
        <v>5.4924999999999997</v>
      </c>
      <c r="AC51" s="69">
        <f>VLOOKUP(G51,COSTS!$Z$11:$AE$14,5,FALSE)</f>
        <v>7.3011363636363633</v>
      </c>
      <c r="AD51" s="69">
        <f>VLOOKUP(G51,COSTS!$Z$4:$AD$7,4,FALSE)</f>
        <v>9.1363636363636367</v>
      </c>
      <c r="AE51" s="69"/>
      <c r="AF51" s="69">
        <f t="shared" si="4"/>
        <v>16.4375</v>
      </c>
      <c r="AG51" s="87">
        <f>((COSTS!$C$5*88)/20)/88</f>
        <v>1.4407150000000002</v>
      </c>
      <c r="AH51" s="69">
        <f>(COSTS!$X$38/88)*20</f>
        <v>0.34865702479338845</v>
      </c>
      <c r="AI51" s="87">
        <f>((COSTS!$E$5*88)/20)/88</f>
        <v>0.62936587135988387</v>
      </c>
      <c r="AJ51" s="87">
        <f>((COSTS!$D$5*88)/20)/88</f>
        <v>0.33676</v>
      </c>
      <c r="AL51" s="387">
        <f t="shared" si="5"/>
        <v>2.7554978961532726</v>
      </c>
      <c r="AM51" s="69">
        <f>(COSTS!$W$3+0.1)*500*0.01</f>
        <v>3.9999999999999996</v>
      </c>
      <c r="AN51" s="387">
        <f>((COSTS!$G$5/20)*88)/88</f>
        <v>1.308904109589041</v>
      </c>
      <c r="AR51" s="69">
        <f t="shared" si="6"/>
        <v>5.3089041095890401</v>
      </c>
      <c r="AT51" s="1">
        <f>VLOOKUP(C51&amp;$AT$1,OTR!E:J,6,FALSE)/88</f>
        <v>27.053750000000001</v>
      </c>
      <c r="AU51" s="1">
        <f>VLOOKUP(C51&amp;$AU$1,OTR!E:J,6,FALSE)/88</f>
        <v>20.852272727272727</v>
      </c>
    </row>
    <row r="52" spans="1:47">
      <c r="A52" s="1">
        <v>829535</v>
      </c>
      <c r="B52" s="1" t="s">
        <v>172</v>
      </c>
      <c r="C52" s="1" t="s">
        <v>173</v>
      </c>
      <c r="D52" s="1" t="s">
        <v>71</v>
      </c>
      <c r="E52" s="1" t="str">
        <f>VLOOKUP(A:A,'Regions and Ports'!A:G,5,FALSE)</f>
        <v>STEX</v>
      </c>
      <c r="F52" s="1" t="str">
        <f>VLOOKUP(A:A,'Regions and Ports'!A:F,6,FALSE)</f>
        <v>STX</v>
      </c>
      <c r="G52" s="1" t="str">
        <f>VLOOKUP(A:A,'Regions and Ports'!A:G,7,FALSE)</f>
        <v>Houston</v>
      </c>
      <c r="H52" s="87">
        <v>3</v>
      </c>
      <c r="I52" s="69">
        <f>VLOOKUP(A:A,'Seam Tariffs'!A:AB,9,FALSE)</f>
        <v>4.5</v>
      </c>
      <c r="J52" s="69">
        <f>VLOOKUP(A:A,'Seam Tariffs'!A:AB,11,FALSE)</f>
        <v>6.75</v>
      </c>
      <c r="K52" s="69">
        <f>VLOOKUP(A:A,'Seam Tariffs'!A:AB,12,FALSE)</f>
        <v>12</v>
      </c>
      <c r="L52" s="69">
        <f>VLOOKUP(A:A,'Seam Tariffs'!A:AB,13,FALSE)</f>
        <v>0</v>
      </c>
      <c r="M52" s="69">
        <f>VLOOKUP(A:A,'Seam Tariffs'!A:AB,14,FALSE)</f>
        <v>0</v>
      </c>
      <c r="N52" s="69">
        <f>VLOOKUP(A:A,'Seam Tariffs'!A:AB,28,FALSE)</f>
        <v>3.5</v>
      </c>
      <c r="O52" s="69">
        <f>COSTS!$W$6</f>
        <v>1.8958333333333335</v>
      </c>
      <c r="P52" s="69">
        <f>VLOOKUP(G52,COSTS!$V$11:$X$14,3,FALSE)</f>
        <v>0</v>
      </c>
      <c r="Q52" s="69">
        <f t="shared" si="0"/>
        <v>28.645833333333332</v>
      </c>
      <c r="R52" s="69">
        <f t="shared" si="1"/>
        <v>24.145833333333332</v>
      </c>
      <c r="S52" s="87">
        <f>VLOOKUP(A:A,'Flat Bed &amp; Late Fees'!A:J,6,FALSE)</f>
        <v>0</v>
      </c>
      <c r="T52" s="87">
        <f>VLOOKUP(A:A,'Flat Bed &amp; Late Fees'!A:J,7,FALSE)</f>
        <v>0</v>
      </c>
      <c r="U52" s="68">
        <f>VLOOKUP(C52&amp;G52,OTR!E:J,6,FALSE)/88</f>
        <v>10.369318181818182</v>
      </c>
      <c r="V52" s="87"/>
      <c r="W52" s="68">
        <f t="shared" si="2"/>
        <v>10.369318181818182</v>
      </c>
      <c r="X52" s="69">
        <f>VLOOKUP(G52,COSTS!$Z$18:$AC$23,2,FALSE)</f>
        <v>2.7</v>
      </c>
      <c r="Y52" s="87">
        <f>VLOOKUP(G52,COSTS!$Z$18:$AC$23,4,FALSE)</f>
        <v>2.52</v>
      </c>
      <c r="Z52" s="69">
        <f>(COSTS!$W$3*COSTS!$W$4*500)/52*COSTS!$AE$17</f>
        <v>1.3125</v>
      </c>
      <c r="AB52" s="69">
        <f t="shared" si="3"/>
        <v>6.5325000000000006</v>
      </c>
      <c r="AC52" s="69">
        <f>VLOOKUP(G52,COSTS!$Z$11:$AE$14,5,FALSE)</f>
        <v>6.6477272727272725</v>
      </c>
      <c r="AD52" s="69">
        <f>VLOOKUP(G52,COSTS!$Z$4:$AD$7,4,FALSE)</f>
        <v>9.8977272727272734</v>
      </c>
      <c r="AE52" s="69"/>
      <c r="AF52" s="69">
        <f t="shared" si="4"/>
        <v>16.545454545454547</v>
      </c>
      <c r="AG52" s="87">
        <f>((COSTS!$C$5*88)/20)/88</f>
        <v>1.4407150000000002</v>
      </c>
      <c r="AH52" s="69">
        <f>(COSTS!$X$38/88)*20</f>
        <v>0.34865702479338845</v>
      </c>
      <c r="AI52" s="87">
        <f>((COSTS!$E$5*88)/20)/88</f>
        <v>0.62936587135988387</v>
      </c>
      <c r="AJ52" s="87">
        <f>((COSTS!$D$5*88)/20)/88</f>
        <v>0.33676</v>
      </c>
      <c r="AL52" s="387">
        <f t="shared" si="5"/>
        <v>2.7554978961532726</v>
      </c>
      <c r="AM52" s="69">
        <f>(COSTS!$W$3+0.1)*500*0.01</f>
        <v>3.9999999999999996</v>
      </c>
      <c r="AN52" s="387">
        <f>((COSTS!$G$5/20)*88)/88</f>
        <v>1.308904109589041</v>
      </c>
      <c r="AR52" s="69">
        <f t="shared" si="6"/>
        <v>5.3089041095890401</v>
      </c>
      <c r="AT52" s="1">
        <f>VLOOKUP(C52&amp;$AT$1,OTR!E:J,6,FALSE)/88</f>
        <v>11.623863636363636</v>
      </c>
      <c r="AU52" s="1" t="e">
        <f>VLOOKUP(C52&amp;$AU$1,OTR!E:J,6,FALSE)/88</f>
        <v>#N/A</v>
      </c>
    </row>
    <row r="53" spans="1:47">
      <c r="A53" s="1">
        <v>282100</v>
      </c>
      <c r="B53" s="1" t="s">
        <v>175</v>
      </c>
      <c r="C53" s="1" t="s">
        <v>176</v>
      </c>
      <c r="D53" s="1" t="s">
        <v>76</v>
      </c>
      <c r="E53" s="1" t="str">
        <f>VLOOKUP(A:A,'Regions and Ports'!A:G,5,FALSE)</f>
        <v>GA 30 Day</v>
      </c>
      <c r="F53" s="1" t="str">
        <f>VLOOKUP(A:A,'Regions and Ports'!A:F,6,FALSE)</f>
        <v>ER5</v>
      </c>
      <c r="G53" s="1" t="str">
        <f>VLOOKUP(A:A,'Regions and Ports'!A:G,7,FALSE)</f>
        <v>Savannah</v>
      </c>
      <c r="H53" s="87">
        <v>4</v>
      </c>
      <c r="I53" s="69">
        <f>VLOOKUP(A:A,'Seam Tariffs'!A:AB,9,FALSE)</f>
        <v>3</v>
      </c>
      <c r="J53" s="69">
        <f>VLOOKUP(A:A,'Seam Tariffs'!A:AB,11,FALSE)</f>
        <v>5.5</v>
      </c>
      <c r="K53" s="69">
        <f>VLOOKUP(A:A,'Seam Tariffs'!A:AB,12,FALSE)</f>
        <v>5</v>
      </c>
      <c r="L53" s="69">
        <f>VLOOKUP(A:A,'Seam Tariffs'!A:AB,13,FALSE)</f>
        <v>0</v>
      </c>
      <c r="M53" s="69">
        <f>VLOOKUP(A:A,'Seam Tariffs'!A:AB,14,FALSE)</f>
        <v>1.5</v>
      </c>
      <c r="N53" s="69">
        <f>VLOOKUP(A:A,'Seam Tariffs'!A:AB,28,FALSE)</f>
        <v>4</v>
      </c>
      <c r="O53" s="69">
        <f>COSTS!$W$6</f>
        <v>1.8958333333333335</v>
      </c>
      <c r="P53" s="69">
        <f>VLOOKUP(G53,COSTS!$V$11:$X$14,3,FALSE)</f>
        <v>0</v>
      </c>
      <c r="Q53" s="69">
        <f t="shared" si="0"/>
        <v>20.895833333333332</v>
      </c>
      <c r="R53" s="69">
        <f t="shared" si="1"/>
        <v>1.8958333333333335</v>
      </c>
      <c r="S53" s="87">
        <f>VLOOKUP(A:A,'Flat Bed &amp; Late Fees'!A:J,6,FALSE)</f>
        <v>0</v>
      </c>
      <c r="T53" s="87">
        <f>VLOOKUP(A:A,'Flat Bed &amp; Late Fees'!A:J,7,FALSE)</f>
        <v>0</v>
      </c>
      <c r="U53" s="68">
        <f>VLOOKUP(C53&amp;G53,OTR!E:J,6,FALSE)/88</f>
        <v>11.553636363636365</v>
      </c>
      <c r="V53" s="87"/>
      <c r="W53" s="68">
        <f t="shared" si="2"/>
        <v>11.553636363636365</v>
      </c>
      <c r="X53" s="69">
        <f>VLOOKUP(G53,COSTS!$Z$18:$AC$23,2,FALSE)</f>
        <v>2.6</v>
      </c>
      <c r="Y53" s="87">
        <f>VLOOKUP(G53,COSTS!$Z$18:$AC$23,4,FALSE)</f>
        <v>2.52</v>
      </c>
      <c r="Z53" s="69">
        <f>(COSTS!$W$3*COSTS!$W$4*500)/52*COSTS!$AE$17</f>
        <v>1.3125</v>
      </c>
      <c r="AB53" s="69">
        <f t="shared" si="3"/>
        <v>6.4325000000000001</v>
      </c>
      <c r="AC53" s="69">
        <f>VLOOKUP(G53,COSTS!$Z$11:$AE$14,5,FALSE)</f>
        <v>5.5113636363636367</v>
      </c>
      <c r="AD53" s="69">
        <f>VLOOKUP(G53,COSTS!$Z$4:$AD$7,4,FALSE)</f>
        <v>5.3522727272727275</v>
      </c>
      <c r="AE53" s="69"/>
      <c r="AF53" s="69">
        <f t="shared" si="4"/>
        <v>10.863636363636363</v>
      </c>
      <c r="AG53" s="87">
        <f>((COSTS!$C$5*88)/20)/88</f>
        <v>1.4407150000000002</v>
      </c>
      <c r="AH53" s="69">
        <f>(COSTS!$X$38/88)*20</f>
        <v>0.34865702479338845</v>
      </c>
      <c r="AI53" s="87">
        <f>((COSTS!$E$5*88)/20)/88</f>
        <v>0.62936587135988387</v>
      </c>
      <c r="AJ53" s="87">
        <f>((COSTS!$D$5*88)/20)/88</f>
        <v>0.33676</v>
      </c>
      <c r="AL53" s="387">
        <f t="shared" si="5"/>
        <v>2.7554978961532726</v>
      </c>
      <c r="AM53" s="69">
        <f>(COSTS!$W$3+0.1)*500*0.01</f>
        <v>3.9999999999999996</v>
      </c>
      <c r="AN53" s="387">
        <f>((COSTS!$G$5/20)*88)/88</f>
        <v>1.308904109589041</v>
      </c>
      <c r="AR53" s="69">
        <f t="shared" si="6"/>
        <v>5.3089041095890401</v>
      </c>
      <c r="AT53" s="1">
        <f>VLOOKUP(C53&amp;$AT$1,OTR!E:J,6,FALSE)/88</f>
        <v>23.464659090909091</v>
      </c>
      <c r="AU53" s="1">
        <f>VLOOKUP(C53&amp;$AU$1,OTR!E:J,6,FALSE)/88</f>
        <v>14.886363636363637</v>
      </c>
    </row>
    <row r="54" spans="1:47">
      <c r="A54" s="1">
        <v>349529</v>
      </c>
      <c r="B54" s="1" t="s">
        <v>178</v>
      </c>
      <c r="C54" s="1" t="s">
        <v>179</v>
      </c>
      <c r="D54" s="1" t="s">
        <v>76</v>
      </c>
      <c r="E54" s="1" t="str">
        <f>VLOOKUP(A:A,'Regions and Ports'!A:G,5,FALSE)</f>
        <v>GA 30 Day</v>
      </c>
      <c r="F54" s="1" t="str">
        <f>VLOOKUP(A:A,'Regions and Ports'!A:F,6,FALSE)</f>
        <v>ER5</v>
      </c>
      <c r="G54" s="1" t="str">
        <f>VLOOKUP(A:A,'Regions and Ports'!A:G,7,FALSE)</f>
        <v>Savannah</v>
      </c>
      <c r="H54" s="87">
        <v>4</v>
      </c>
      <c r="I54" s="69">
        <f>VLOOKUP(A:A,'Seam Tariffs'!A:AB,9,FALSE)</f>
        <v>3.5</v>
      </c>
      <c r="J54" s="69">
        <f>VLOOKUP(A:A,'Seam Tariffs'!A:AB,11,FALSE)</f>
        <v>5</v>
      </c>
      <c r="K54" s="69">
        <f>VLOOKUP(A:A,'Seam Tariffs'!A:AB,12,FALSE)</f>
        <v>0</v>
      </c>
      <c r="L54" s="69">
        <f>VLOOKUP(A:A,'Seam Tariffs'!A:AB,13,FALSE)</f>
        <v>0</v>
      </c>
      <c r="M54" s="69">
        <f>VLOOKUP(A:A,'Seam Tariffs'!A:AB,14,FALSE)</f>
        <v>2</v>
      </c>
      <c r="N54" s="69">
        <f>VLOOKUP(A:A,'Seam Tariffs'!A:AB,28,FALSE)</f>
        <v>2</v>
      </c>
      <c r="O54" s="69">
        <f>COSTS!$W$6</f>
        <v>1.8958333333333335</v>
      </c>
      <c r="P54" s="69">
        <f>VLOOKUP(G54,COSTS!$V$11:$X$14,3,FALSE)</f>
        <v>0</v>
      </c>
      <c r="Q54" s="69">
        <f t="shared" si="0"/>
        <v>14.395833333333334</v>
      </c>
      <c r="R54" s="69">
        <f t="shared" si="1"/>
        <v>1.8958333333333335</v>
      </c>
      <c r="S54" s="87">
        <f>VLOOKUP(A:A,'Flat Bed &amp; Late Fees'!A:J,6,FALSE)</f>
        <v>0</v>
      </c>
      <c r="T54" s="87">
        <f>VLOOKUP(A:A,'Flat Bed &amp; Late Fees'!A:J,7,FALSE)</f>
        <v>0</v>
      </c>
      <c r="U54" s="68">
        <f>VLOOKUP(C54&amp;G54,OTR!E:J,6,FALSE)/88</f>
        <v>10.084318181818182</v>
      </c>
      <c r="V54" s="87"/>
      <c r="W54" s="68">
        <f t="shared" si="2"/>
        <v>10.084318181818182</v>
      </c>
      <c r="X54" s="69">
        <f>VLOOKUP(G54,COSTS!$Z$18:$AC$23,2,FALSE)</f>
        <v>2.6</v>
      </c>
      <c r="Y54" s="87">
        <f>VLOOKUP(G54,COSTS!$Z$18:$AC$23,4,FALSE)</f>
        <v>2.52</v>
      </c>
      <c r="Z54" s="69">
        <f>(COSTS!$W$3*COSTS!$W$4*500)/52*COSTS!$AE$17</f>
        <v>1.3125</v>
      </c>
      <c r="AB54" s="69">
        <f t="shared" si="3"/>
        <v>6.4325000000000001</v>
      </c>
      <c r="AC54" s="69">
        <f>VLOOKUP(G54,COSTS!$Z$11:$AE$14,5,FALSE)</f>
        <v>5.5113636363636367</v>
      </c>
      <c r="AD54" s="69">
        <f>VLOOKUP(G54,COSTS!$Z$4:$AD$7,4,FALSE)</f>
        <v>5.3522727272727275</v>
      </c>
      <c r="AE54" s="69"/>
      <c r="AF54" s="69">
        <f t="shared" si="4"/>
        <v>10.863636363636363</v>
      </c>
      <c r="AG54" s="87">
        <f>((COSTS!$C$5*88)/20)/88</f>
        <v>1.4407150000000002</v>
      </c>
      <c r="AH54" s="69">
        <f>(COSTS!$X$38/88)*20</f>
        <v>0.34865702479338845</v>
      </c>
      <c r="AI54" s="87">
        <f>((COSTS!$E$5*88)/20)/88</f>
        <v>0.62936587135988387</v>
      </c>
      <c r="AJ54" s="87">
        <f>((COSTS!$D$5*88)/20)/88</f>
        <v>0.33676</v>
      </c>
      <c r="AL54" s="387">
        <f t="shared" si="5"/>
        <v>2.7554978961532726</v>
      </c>
      <c r="AM54" s="69">
        <f>(COSTS!$W$3+0.1)*500*0.01</f>
        <v>3.9999999999999996</v>
      </c>
      <c r="AN54" s="387">
        <f>((COSTS!$G$5/20)*88)/88</f>
        <v>1.308904109589041</v>
      </c>
      <c r="AR54" s="69">
        <f t="shared" si="6"/>
        <v>5.3089041095890401</v>
      </c>
      <c r="AT54" s="1" t="e">
        <f>VLOOKUP(C54&amp;$AT$1,OTR!E:J,6,FALSE)/88</f>
        <v>#N/A</v>
      </c>
      <c r="AU54" s="1" t="e">
        <f>VLOOKUP(C54&amp;$AU$1,OTR!E:J,6,FALSE)/88</f>
        <v>#N/A</v>
      </c>
    </row>
    <row r="55" spans="1:47">
      <c r="A55" s="1">
        <v>140300</v>
      </c>
      <c r="B55" s="1" t="s">
        <v>181</v>
      </c>
      <c r="C55" s="1" t="s">
        <v>182</v>
      </c>
      <c r="D55" s="1" t="s">
        <v>149</v>
      </c>
      <c r="E55" s="1" t="str">
        <f>VLOOKUP(A:A,'Regions and Ports'!A:G,5,FALSE)</f>
        <v>Memphis Rule 5</v>
      </c>
      <c r="F55" s="1" t="str">
        <f>VLOOKUP(A:A,'Regions and Ports'!A:F,6,FALSE)</f>
        <v>MR5</v>
      </c>
      <c r="G55" s="1" t="str">
        <f>VLOOKUP(A:A,'Regions and Ports'!A:G,7,FALSE)</f>
        <v>Memphis</v>
      </c>
      <c r="H55" s="87">
        <v>1</v>
      </c>
      <c r="I55" s="69">
        <f>VLOOKUP(A:A,'Seam Tariffs'!A:AB,9,FALSE)</f>
        <v>1.75</v>
      </c>
      <c r="J55" s="69">
        <f>VLOOKUP(A:A,'Seam Tariffs'!A:AB,11,FALSE)</f>
        <v>18.25</v>
      </c>
      <c r="K55" s="69">
        <f>VLOOKUP(A:A,'Seam Tariffs'!A:AB,12,FALSE)</f>
        <v>0</v>
      </c>
      <c r="L55" s="69">
        <f>VLOOKUP(A:A,'Seam Tariffs'!A:AB,13,FALSE)</f>
        <v>3.05</v>
      </c>
      <c r="M55" s="69">
        <f>VLOOKUP(A:A,'Seam Tariffs'!A:AB,14,FALSE)</f>
        <v>0</v>
      </c>
      <c r="N55" s="69">
        <f>VLOOKUP(A:A,'Seam Tariffs'!A:AB,28,FALSE)</f>
        <v>3.5</v>
      </c>
      <c r="O55" s="69">
        <f>COSTS!$W$6</f>
        <v>1.8958333333333335</v>
      </c>
      <c r="P55" s="69">
        <f>VLOOKUP(G55,COSTS!$V$11:$X$14,3,FALSE)</f>
        <v>0</v>
      </c>
      <c r="Q55" s="69">
        <f t="shared" si="0"/>
        <v>28.445833333333333</v>
      </c>
      <c r="R55" s="69">
        <f t="shared" si="1"/>
        <v>5.3958333333333339</v>
      </c>
      <c r="S55" s="87">
        <f>VLOOKUP(A:A,'Flat Bed &amp; Late Fees'!A:J,6,FALSE)</f>
        <v>0</v>
      </c>
      <c r="T55" s="87">
        <f>VLOOKUP(A:A,'Flat Bed &amp; Late Fees'!A:J,7,FALSE)</f>
        <v>0</v>
      </c>
      <c r="U55" s="68">
        <f>VLOOKUP(C55&amp;G55,OTR!E:J,6,FALSE)/88</f>
        <v>6.8579545454545459</v>
      </c>
      <c r="V55" s="87"/>
      <c r="W55" s="68">
        <f t="shared" si="2"/>
        <v>6.8579545454545459</v>
      </c>
      <c r="X55" s="69">
        <f>VLOOKUP(G55,COSTS!$Z$18:$AC$23,2,FALSE)</f>
        <v>2.5</v>
      </c>
      <c r="Y55" s="87">
        <f>VLOOKUP(G55,COSTS!$Z$18:$AC$23,4,FALSE)</f>
        <v>1.68</v>
      </c>
      <c r="Z55" s="69">
        <f>(COSTS!$W$3*COSTS!$W$4*500)/52*COSTS!$AE$17</f>
        <v>1.3125</v>
      </c>
      <c r="AB55" s="69">
        <f t="shared" si="3"/>
        <v>5.4924999999999997</v>
      </c>
      <c r="AC55" s="69">
        <f>VLOOKUP(G55,COSTS!$Z$11:$AE$14,5,FALSE)</f>
        <v>7.3011363636363633</v>
      </c>
      <c r="AD55" s="69">
        <f>VLOOKUP(G55,COSTS!$Z$4:$AD$7,4,FALSE)</f>
        <v>9.1363636363636367</v>
      </c>
      <c r="AE55" s="69"/>
      <c r="AF55" s="69">
        <f t="shared" si="4"/>
        <v>16.4375</v>
      </c>
      <c r="AG55" s="87">
        <f>((COSTS!$C$5*88)/20)/88</f>
        <v>1.4407150000000002</v>
      </c>
      <c r="AH55" s="69">
        <f>(COSTS!$X$38/88)*20</f>
        <v>0.34865702479338845</v>
      </c>
      <c r="AI55" s="87">
        <f>((COSTS!$E$5*88)/20)/88</f>
        <v>0.62936587135988387</v>
      </c>
      <c r="AJ55" s="87">
        <f>((COSTS!$D$5*88)/20)/88</f>
        <v>0.33676</v>
      </c>
      <c r="AL55" s="387">
        <f t="shared" si="5"/>
        <v>2.7554978961532726</v>
      </c>
      <c r="AM55" s="69">
        <f>(COSTS!$W$3+0.1)*500*0.01</f>
        <v>3.9999999999999996</v>
      </c>
      <c r="AN55" s="387">
        <f>((COSTS!$G$5/20)*88)/88</f>
        <v>1.308904109589041</v>
      </c>
      <c r="AR55" s="69">
        <f t="shared" si="6"/>
        <v>5.3089041095890401</v>
      </c>
      <c r="AT55" s="1" t="e">
        <f>VLOOKUP(C55&amp;$AT$1,OTR!E:J,6,FALSE)/88</f>
        <v>#N/A</v>
      </c>
      <c r="AU55" s="1" t="e">
        <f>VLOOKUP(C55&amp;$AU$1,OTR!E:J,6,FALSE)/88</f>
        <v>#N/A</v>
      </c>
    </row>
    <row r="56" spans="1:47">
      <c r="A56" s="1">
        <v>682505</v>
      </c>
      <c r="B56" s="1" t="s">
        <v>184</v>
      </c>
      <c r="C56" s="1" t="s">
        <v>2205</v>
      </c>
      <c r="D56" s="1" t="s">
        <v>132</v>
      </c>
      <c r="E56" s="1" t="str">
        <f>VLOOKUP(A:A,'Regions and Ports'!A:G,5,FALSE)</f>
        <v>Eastern Rule 5</v>
      </c>
      <c r="F56" s="1" t="str">
        <f>VLOOKUP(A:A,'Regions and Ports'!A:F,6,FALSE)</f>
        <v>ER5</v>
      </c>
      <c r="G56" s="1" t="str">
        <f>VLOOKUP(A:A,'Regions and Ports'!A:G,7,FALSE)</f>
        <v>Savannah</v>
      </c>
      <c r="H56" s="87">
        <v>1</v>
      </c>
      <c r="I56" s="69">
        <f>VLOOKUP(A:A,'Seam Tariffs'!A:AB,9,FALSE)</f>
        <v>3</v>
      </c>
      <c r="J56" s="69">
        <f>VLOOKUP(A:A,'Seam Tariffs'!A:AB,11,FALSE)</f>
        <v>5.5</v>
      </c>
      <c r="K56" s="69">
        <f>VLOOKUP(A:A,'Seam Tariffs'!A:AB,12,FALSE)</f>
        <v>0</v>
      </c>
      <c r="L56" s="69">
        <f>VLOOKUP(A:A,'Seam Tariffs'!A:AB,13,FALSE)</f>
        <v>0</v>
      </c>
      <c r="M56" s="69">
        <f>VLOOKUP(A:A,'Seam Tariffs'!A:AB,14,FALSE)</f>
        <v>0.6</v>
      </c>
      <c r="N56" s="69">
        <f>VLOOKUP(A:A,'Seam Tariffs'!A:AB,28,FALSE)</f>
        <v>3</v>
      </c>
      <c r="O56" s="69">
        <f>COSTS!$W$6</f>
        <v>1.8958333333333335</v>
      </c>
      <c r="P56" s="69">
        <f>VLOOKUP(G56,COSTS!$V$11:$X$14,3,FALSE)</f>
        <v>0</v>
      </c>
      <c r="Q56" s="69">
        <f t="shared" si="0"/>
        <v>13.995833333333334</v>
      </c>
      <c r="R56" s="69">
        <f t="shared" si="1"/>
        <v>4.8958333333333339</v>
      </c>
      <c r="S56" s="87">
        <f>VLOOKUP(A:A,'Flat Bed &amp; Late Fees'!A:J,6,FALSE)</f>
        <v>0</v>
      </c>
      <c r="T56" s="87">
        <f>VLOOKUP(A:A,'Flat Bed &amp; Late Fees'!A:J,7,FALSE)</f>
        <v>0</v>
      </c>
      <c r="U56" s="68">
        <f>VLOOKUP(C56&amp;G56,OTR!E:J,6,FALSE)/88</f>
        <v>8.8565340909090917</v>
      </c>
      <c r="V56" s="87"/>
      <c r="W56" s="68">
        <f t="shared" si="2"/>
        <v>8.8565340909090917</v>
      </c>
      <c r="X56" s="69">
        <f>VLOOKUP(G56,COSTS!$Z$18:$AC$23,2,FALSE)</f>
        <v>2.6</v>
      </c>
      <c r="Y56" s="87">
        <f>VLOOKUP(G56,COSTS!$Z$18:$AC$23,4,FALSE)</f>
        <v>2.52</v>
      </c>
      <c r="Z56" s="69">
        <f>(COSTS!$W$3*COSTS!$W$4*500)/52*COSTS!$AE$17</f>
        <v>1.3125</v>
      </c>
      <c r="AB56" s="69">
        <f t="shared" si="3"/>
        <v>6.4325000000000001</v>
      </c>
      <c r="AC56" s="69">
        <f>VLOOKUP(G56,COSTS!$Z$11:$AE$14,5,FALSE)</f>
        <v>5.5113636363636367</v>
      </c>
      <c r="AD56" s="69">
        <f>VLOOKUP(G56,COSTS!$Z$4:$AD$7,4,FALSE)</f>
        <v>5.3522727272727275</v>
      </c>
      <c r="AE56" s="69"/>
      <c r="AF56" s="69">
        <f t="shared" si="4"/>
        <v>10.863636363636363</v>
      </c>
      <c r="AG56" s="87">
        <f>((COSTS!$C$5*88)/20)/88</f>
        <v>1.4407150000000002</v>
      </c>
      <c r="AH56" s="69">
        <f>(COSTS!$X$38/88)*20</f>
        <v>0.34865702479338845</v>
      </c>
      <c r="AI56" s="87">
        <f>((COSTS!$E$5*88)/20)/88</f>
        <v>0.62936587135988387</v>
      </c>
      <c r="AJ56" s="87">
        <f>((COSTS!$D$5*88)/20)/88</f>
        <v>0.33676</v>
      </c>
      <c r="AL56" s="387">
        <f t="shared" si="5"/>
        <v>2.7554978961532726</v>
      </c>
      <c r="AM56" s="69">
        <f>(COSTS!$W$3+0.1)*500*0.01</f>
        <v>3.9999999999999996</v>
      </c>
      <c r="AN56" s="387">
        <f>((COSTS!$G$5/20)*88)/88</f>
        <v>1.308904109589041</v>
      </c>
      <c r="AR56" s="69">
        <f t="shared" si="6"/>
        <v>5.3089041095890401</v>
      </c>
      <c r="AT56" s="1" t="e">
        <f>VLOOKUP(C56&amp;$AT$1,OTR!E:J,6,FALSE)/88</f>
        <v>#N/A</v>
      </c>
      <c r="AU56" s="1">
        <f>VLOOKUP(C56&amp;$AU$1,OTR!E:J,6,FALSE)/88</f>
        <v>9.7727272727272734</v>
      </c>
    </row>
    <row r="57" spans="1:47">
      <c r="A57" s="1">
        <v>313010</v>
      </c>
      <c r="B57" s="1" t="s">
        <v>186</v>
      </c>
      <c r="C57" s="1" t="s">
        <v>187</v>
      </c>
      <c r="D57" s="1" t="s">
        <v>76</v>
      </c>
      <c r="E57" s="1" t="str">
        <f>VLOOKUP(A:A,'Regions and Ports'!A:G,5,FALSE)</f>
        <v>GA 30 Day</v>
      </c>
      <c r="F57" s="1" t="str">
        <f>VLOOKUP(A:A,'Regions and Ports'!A:F,6,FALSE)</f>
        <v>ER5</v>
      </c>
      <c r="G57" s="1" t="str">
        <f>VLOOKUP(A:A,'Regions and Ports'!A:G,7,FALSE)</f>
        <v>Savannah</v>
      </c>
      <c r="H57" s="87">
        <v>4</v>
      </c>
      <c r="I57" s="69">
        <f>VLOOKUP(A:A,'Seam Tariffs'!A:AB,9,FALSE)</f>
        <v>3.5</v>
      </c>
      <c r="J57" s="69">
        <f>VLOOKUP(A:A,'Seam Tariffs'!A:AB,11,FALSE)</f>
        <v>5.5</v>
      </c>
      <c r="K57" s="69">
        <f>VLOOKUP(A:A,'Seam Tariffs'!A:AB,12,FALSE)</f>
        <v>0</v>
      </c>
      <c r="L57" s="69">
        <f>VLOOKUP(A:A,'Seam Tariffs'!A:AB,13,FALSE)</f>
        <v>0</v>
      </c>
      <c r="M57" s="69">
        <f>VLOOKUP(A:A,'Seam Tariffs'!A:AB,14,FALSE)</f>
        <v>1</v>
      </c>
      <c r="N57" s="69">
        <f>VLOOKUP(A:A,'Seam Tariffs'!A:AB,28,FALSE)</f>
        <v>2.5</v>
      </c>
      <c r="O57" s="69">
        <f>COSTS!$W$6</f>
        <v>1.8958333333333335</v>
      </c>
      <c r="P57" s="69">
        <f>VLOOKUP(G57,COSTS!$V$11:$X$14,3,FALSE)</f>
        <v>0</v>
      </c>
      <c r="Q57" s="69">
        <f t="shared" si="0"/>
        <v>14.395833333333334</v>
      </c>
      <c r="R57" s="69">
        <f t="shared" si="1"/>
        <v>1.8958333333333335</v>
      </c>
      <c r="S57" s="87">
        <f>VLOOKUP(A:A,'Flat Bed &amp; Late Fees'!A:J,6,FALSE)</f>
        <v>0</v>
      </c>
      <c r="T57" s="87">
        <f>VLOOKUP(A:A,'Flat Bed &amp; Late Fees'!A:J,7,FALSE)</f>
        <v>0</v>
      </c>
      <c r="U57" s="68">
        <f>VLOOKUP(C57&amp;G57,OTR!E:J,6,FALSE)/88</f>
        <v>9.2054545454545451</v>
      </c>
      <c r="V57" s="87"/>
      <c r="W57" s="68">
        <f t="shared" si="2"/>
        <v>9.2054545454545451</v>
      </c>
      <c r="X57" s="69">
        <f>VLOOKUP(G57,COSTS!$Z$18:$AC$23,2,FALSE)</f>
        <v>2.6</v>
      </c>
      <c r="Y57" s="87">
        <f>VLOOKUP(G57,COSTS!$Z$18:$AC$23,4,FALSE)</f>
        <v>2.52</v>
      </c>
      <c r="Z57" s="69">
        <f>(COSTS!$W$3*COSTS!$W$4*500)/52*COSTS!$AE$17</f>
        <v>1.3125</v>
      </c>
      <c r="AB57" s="69">
        <f t="shared" si="3"/>
        <v>6.4325000000000001</v>
      </c>
      <c r="AC57" s="69">
        <f>VLOOKUP(G57,COSTS!$Z$11:$AE$14,5,FALSE)</f>
        <v>5.5113636363636367</v>
      </c>
      <c r="AD57" s="69">
        <f>VLOOKUP(G57,COSTS!$Z$4:$AD$7,4,FALSE)</f>
        <v>5.3522727272727275</v>
      </c>
      <c r="AE57" s="69"/>
      <c r="AF57" s="69">
        <f t="shared" si="4"/>
        <v>10.863636363636363</v>
      </c>
      <c r="AG57" s="87">
        <f>((COSTS!$C$5*88)/20)/88</f>
        <v>1.4407150000000002</v>
      </c>
      <c r="AH57" s="69">
        <f>(COSTS!$X$38/88)*20</f>
        <v>0.34865702479338845</v>
      </c>
      <c r="AI57" s="87">
        <f>((COSTS!$E$5*88)/20)/88</f>
        <v>0.62936587135988387</v>
      </c>
      <c r="AJ57" s="87">
        <f>((COSTS!$D$5*88)/20)/88</f>
        <v>0.33676</v>
      </c>
      <c r="AL57" s="387">
        <f t="shared" si="5"/>
        <v>2.7554978961532726</v>
      </c>
      <c r="AM57" s="69">
        <f>(COSTS!$W$3+0.1)*500*0.01</f>
        <v>3.9999999999999996</v>
      </c>
      <c r="AN57" s="387">
        <f>((COSTS!$G$5/20)*88)/88</f>
        <v>1.308904109589041</v>
      </c>
      <c r="AR57" s="69">
        <f t="shared" si="6"/>
        <v>5.3089041095890401</v>
      </c>
      <c r="AT57" s="1">
        <f>VLOOKUP(C57&amp;$AT$1,OTR!E:J,6,FALSE)/88</f>
        <v>22.839772727272727</v>
      </c>
      <c r="AU57" s="1" t="e">
        <f>VLOOKUP(C57&amp;$AU$1,OTR!E:J,6,FALSE)/88</f>
        <v>#N/A</v>
      </c>
    </row>
    <row r="58" spans="1:47">
      <c r="A58" s="1">
        <v>516004</v>
      </c>
      <c r="B58" s="1" t="s">
        <v>147</v>
      </c>
      <c r="C58" s="1" t="s">
        <v>189</v>
      </c>
      <c r="D58" s="1" t="s">
        <v>190</v>
      </c>
      <c r="E58" s="1" t="str">
        <f>VLOOKUP(A:A,'Regions and Ports'!A:G,5,FALSE)</f>
        <v>Memphis Rule 5</v>
      </c>
      <c r="F58" s="1" t="str">
        <f>VLOOKUP(A:A,'Regions and Ports'!A:F,6,FALSE)</f>
        <v>MR5</v>
      </c>
      <c r="G58" s="1" t="str">
        <f>VLOOKUP(A:A,'Regions and Ports'!A:G,7,FALSE)</f>
        <v>Memphis</v>
      </c>
      <c r="H58" s="87">
        <v>1</v>
      </c>
      <c r="I58" s="69">
        <f>VLOOKUP(A:A,'Seam Tariffs'!A:AB,9,FALSE)</f>
        <v>3</v>
      </c>
      <c r="J58" s="69">
        <f>VLOOKUP(A:A,'Seam Tariffs'!A:AB,11,FALSE)</f>
        <v>10.25</v>
      </c>
      <c r="K58" s="69">
        <f>VLOOKUP(A:A,'Seam Tariffs'!A:AB,12,FALSE)</f>
        <v>8</v>
      </c>
      <c r="L58" s="69">
        <f>VLOOKUP(A:A,'Seam Tariffs'!A:AB,13,FALSE)</f>
        <v>0</v>
      </c>
      <c r="M58" s="69">
        <f>VLOOKUP(A:A,'Seam Tariffs'!A:AB,14,FALSE)</f>
        <v>0</v>
      </c>
      <c r="N58" s="69">
        <f>VLOOKUP(A:A,'Seam Tariffs'!A:AB,28,FALSE)</f>
        <v>3.3</v>
      </c>
      <c r="O58" s="69">
        <f>COSTS!$W$6</f>
        <v>1.8958333333333335</v>
      </c>
      <c r="P58" s="69">
        <f>VLOOKUP(G58,COSTS!$V$11:$X$14,3,FALSE)</f>
        <v>0</v>
      </c>
      <c r="Q58" s="69">
        <f t="shared" si="0"/>
        <v>26.445833333333333</v>
      </c>
      <c r="R58" s="69">
        <f t="shared" si="1"/>
        <v>5.1958333333333329</v>
      </c>
      <c r="S58" s="87">
        <f>VLOOKUP(A:A,'Flat Bed &amp; Late Fees'!A:J,6,FALSE)</f>
        <v>0</v>
      </c>
      <c r="T58" s="87">
        <f>VLOOKUP(A:A,'Flat Bed &amp; Late Fees'!A:J,7,FALSE)</f>
        <v>0</v>
      </c>
      <c r="U58" s="68">
        <f>VLOOKUP(C58&amp;G58,OTR!E:J,6,FALSE)/88</f>
        <v>10.028409090909092</v>
      </c>
      <c r="V58" s="87"/>
      <c r="W58" s="68">
        <f t="shared" si="2"/>
        <v>10.028409090909092</v>
      </c>
      <c r="X58" s="69">
        <f>VLOOKUP(G58,COSTS!$Z$18:$AC$23,2,FALSE)</f>
        <v>2.5</v>
      </c>
      <c r="Y58" s="87">
        <f>VLOOKUP(G58,COSTS!$Z$18:$AC$23,4,FALSE)</f>
        <v>1.68</v>
      </c>
      <c r="Z58" s="69">
        <f>(COSTS!$W$3*COSTS!$W$4*500)/52*COSTS!$AE$17</f>
        <v>1.3125</v>
      </c>
      <c r="AB58" s="69">
        <f t="shared" si="3"/>
        <v>5.4924999999999997</v>
      </c>
      <c r="AC58" s="69">
        <f>VLOOKUP(G58,COSTS!$Z$11:$AE$14,5,FALSE)</f>
        <v>7.3011363636363633</v>
      </c>
      <c r="AD58" s="69">
        <f>VLOOKUP(G58,COSTS!$Z$4:$AD$7,4,FALSE)</f>
        <v>9.1363636363636367</v>
      </c>
      <c r="AE58" s="69"/>
      <c r="AF58" s="69">
        <f t="shared" si="4"/>
        <v>16.4375</v>
      </c>
      <c r="AG58" s="87">
        <f>((COSTS!$C$5*88)/20)/88</f>
        <v>1.4407150000000002</v>
      </c>
      <c r="AH58" s="69">
        <f>(COSTS!$X$38/88)*20</f>
        <v>0.34865702479338845</v>
      </c>
      <c r="AI58" s="87">
        <f>((COSTS!$E$5*88)/20)/88</f>
        <v>0.62936587135988387</v>
      </c>
      <c r="AJ58" s="87">
        <f>((COSTS!$D$5*88)/20)/88</f>
        <v>0.33676</v>
      </c>
      <c r="AL58" s="387">
        <f t="shared" si="5"/>
        <v>2.7554978961532726</v>
      </c>
      <c r="AM58" s="69">
        <f>(COSTS!$W$3+0.1)*500*0.01</f>
        <v>3.9999999999999996</v>
      </c>
      <c r="AN58" s="387">
        <f>((COSTS!$G$5/20)*88)/88</f>
        <v>1.308904109589041</v>
      </c>
      <c r="AR58" s="69">
        <f t="shared" si="6"/>
        <v>5.3089041095890401</v>
      </c>
      <c r="AT58" s="1">
        <f>VLOOKUP(C58&amp;$AT$1,OTR!E:J,6,FALSE)/88</f>
        <v>28.335568181818179</v>
      </c>
      <c r="AU58" s="1">
        <f>VLOOKUP(C58&amp;$AU$1,OTR!E:J,6,FALSE)/88</f>
        <v>25.113636363636363</v>
      </c>
    </row>
    <row r="59" spans="1:47">
      <c r="A59" s="1">
        <v>22715</v>
      </c>
      <c r="B59" s="1" t="s">
        <v>192</v>
      </c>
      <c r="C59" s="1" t="s">
        <v>193</v>
      </c>
      <c r="D59" s="1" t="s">
        <v>65</v>
      </c>
      <c r="E59" s="1" t="str">
        <f>VLOOKUP(A:A,'Regions and Ports'!A:G,5,FALSE)</f>
        <v>Eastern Rule 5</v>
      </c>
      <c r="F59" s="1" t="str">
        <f>VLOOKUP(A:A,'Regions and Ports'!A:F,6,FALSE)</f>
        <v>ER5</v>
      </c>
      <c r="G59" s="1" t="str">
        <f>VLOOKUP(A:A,'Regions and Ports'!A:G,7,FALSE)</f>
        <v>Savannah</v>
      </c>
      <c r="H59" s="87">
        <v>1</v>
      </c>
      <c r="I59" s="69">
        <f>VLOOKUP(A:A,'Seam Tariffs'!A:AB,9,FALSE)</f>
        <v>3.25</v>
      </c>
      <c r="J59" s="69">
        <f>VLOOKUP(A:A,'Seam Tariffs'!A:AB,11,FALSE)</f>
        <v>5</v>
      </c>
      <c r="K59" s="69">
        <f>VLOOKUP(A:A,'Seam Tariffs'!A:AB,12,FALSE)</f>
        <v>0</v>
      </c>
      <c r="L59" s="69">
        <f>VLOOKUP(A:A,'Seam Tariffs'!A:AB,13,FALSE)</f>
        <v>0</v>
      </c>
      <c r="M59" s="69">
        <f>VLOOKUP(A:A,'Seam Tariffs'!A:AB,14,FALSE)</f>
        <v>1</v>
      </c>
      <c r="N59" s="69">
        <f>VLOOKUP(A:A,'Seam Tariffs'!A:AB,28,FALSE)</f>
        <v>2.7</v>
      </c>
      <c r="O59" s="69">
        <f>COSTS!$W$6</f>
        <v>1.8958333333333335</v>
      </c>
      <c r="P59" s="69">
        <f>VLOOKUP(G59,COSTS!$V$11:$X$14,3,FALSE)</f>
        <v>0</v>
      </c>
      <c r="Q59" s="69">
        <f t="shared" si="0"/>
        <v>13.845833333333333</v>
      </c>
      <c r="R59" s="69">
        <f t="shared" si="1"/>
        <v>4.5958333333333332</v>
      </c>
      <c r="S59" s="87">
        <f>VLOOKUP(A:A,'Flat Bed &amp; Late Fees'!A:J,6,FALSE)</f>
        <v>0</v>
      </c>
      <c r="T59" s="87">
        <f>VLOOKUP(A:A,'Flat Bed &amp; Late Fees'!A:J,7,FALSE)</f>
        <v>0</v>
      </c>
      <c r="U59" s="68">
        <f>VLOOKUP(C59&amp;G59,OTR!E:J,6,FALSE)/88</f>
        <v>14.56940340909091</v>
      </c>
      <c r="V59" s="87"/>
      <c r="W59" s="68">
        <f t="shared" si="2"/>
        <v>14.56940340909091</v>
      </c>
      <c r="X59" s="69">
        <f>VLOOKUP(G59,COSTS!$Z$18:$AC$23,2,FALSE)</f>
        <v>2.6</v>
      </c>
      <c r="Y59" s="87">
        <f>VLOOKUP(G59,COSTS!$Z$18:$AC$23,4,FALSE)</f>
        <v>2.52</v>
      </c>
      <c r="Z59" s="69">
        <f>(COSTS!$W$3*COSTS!$W$4*500)/52*COSTS!$AE$17</f>
        <v>1.3125</v>
      </c>
      <c r="AB59" s="69">
        <f t="shared" si="3"/>
        <v>6.4325000000000001</v>
      </c>
      <c r="AC59" s="69">
        <f>VLOOKUP(G59,COSTS!$Z$11:$AE$14,5,FALSE)</f>
        <v>5.5113636363636367</v>
      </c>
      <c r="AD59" s="69">
        <f>VLOOKUP(G59,COSTS!$Z$4:$AD$7,4,FALSE)</f>
        <v>5.3522727272727275</v>
      </c>
      <c r="AE59" s="69"/>
      <c r="AF59" s="69">
        <f t="shared" si="4"/>
        <v>10.863636363636363</v>
      </c>
      <c r="AG59" s="87">
        <f>((COSTS!$C$5*88)/20)/88</f>
        <v>1.4407150000000002</v>
      </c>
      <c r="AH59" s="69">
        <f>(COSTS!$X$38/88)*20</f>
        <v>0.34865702479338845</v>
      </c>
      <c r="AI59" s="87">
        <f>((COSTS!$E$5*88)/20)/88</f>
        <v>0.62936587135988387</v>
      </c>
      <c r="AJ59" s="87">
        <f>((COSTS!$D$5*88)/20)/88</f>
        <v>0.33676</v>
      </c>
      <c r="AL59" s="387">
        <f t="shared" si="5"/>
        <v>2.7554978961532726</v>
      </c>
      <c r="AM59" s="69">
        <f>(COSTS!$W$3+0.1)*500*0.01</f>
        <v>3.9999999999999996</v>
      </c>
      <c r="AN59" s="387">
        <f>((COSTS!$G$5/20)*88)/88</f>
        <v>1.308904109589041</v>
      </c>
      <c r="AR59" s="69">
        <f t="shared" si="6"/>
        <v>5.3089041095890401</v>
      </c>
      <c r="AT59" s="1" t="e">
        <f>VLOOKUP(C59&amp;$AT$1,OTR!E:J,6,FALSE)/88</f>
        <v>#N/A</v>
      </c>
      <c r="AU59" s="1">
        <f>VLOOKUP(C59&amp;$AU$1,OTR!E:J,6,FALSE)/88</f>
        <v>13.863636363636363</v>
      </c>
    </row>
    <row r="60" spans="1:47">
      <c r="A60" s="1">
        <v>562665</v>
      </c>
      <c r="B60" s="1" t="s">
        <v>195</v>
      </c>
      <c r="C60" s="1" t="s">
        <v>196</v>
      </c>
      <c r="D60" s="1" t="s">
        <v>136</v>
      </c>
      <c r="E60" s="1" t="str">
        <f>VLOOKUP(A:A,'Regions and Ports'!A:G,5,FALSE)</f>
        <v>Eastern Rule 5</v>
      </c>
      <c r="F60" s="1" t="str">
        <f>VLOOKUP(A:A,'Regions and Ports'!A:F,6,FALSE)</f>
        <v>ER5</v>
      </c>
      <c r="G60" s="1" t="str">
        <f>VLOOKUP(A:A,'Regions and Ports'!A:G,7,FALSE)</f>
        <v>Savannah</v>
      </c>
      <c r="H60" s="87">
        <v>1</v>
      </c>
      <c r="I60" s="69">
        <f>VLOOKUP(A:A,'Seam Tariffs'!A:AB,9,FALSE)</f>
        <v>3.75</v>
      </c>
      <c r="J60" s="69">
        <f>VLOOKUP(A:A,'Seam Tariffs'!A:AB,11,FALSE)</f>
        <v>4.25</v>
      </c>
      <c r="K60" s="69">
        <f>VLOOKUP(A:A,'Seam Tariffs'!A:AB,12,FALSE)</f>
        <v>0</v>
      </c>
      <c r="L60" s="69">
        <f>VLOOKUP(A:A,'Seam Tariffs'!A:AB,13,FALSE)</f>
        <v>0</v>
      </c>
      <c r="M60" s="69">
        <f>VLOOKUP(A:A,'Seam Tariffs'!A:AB,14,FALSE)</f>
        <v>0.25</v>
      </c>
      <c r="N60" s="69">
        <f>VLOOKUP(A:A,'Seam Tariffs'!A:AB,28,FALSE)</f>
        <v>2.5</v>
      </c>
      <c r="O60" s="69">
        <f>COSTS!$W$6</f>
        <v>1.8958333333333335</v>
      </c>
      <c r="P60" s="69">
        <f>VLOOKUP(G60,COSTS!$V$11:$X$14,3,FALSE)</f>
        <v>0</v>
      </c>
      <c r="Q60" s="69">
        <f t="shared" si="0"/>
        <v>12.645833333333334</v>
      </c>
      <c r="R60" s="69">
        <f t="shared" si="1"/>
        <v>4.3958333333333339</v>
      </c>
      <c r="S60" s="87">
        <f>VLOOKUP(A:A,'Flat Bed &amp; Late Fees'!A:J,6,FALSE)</f>
        <v>0</v>
      </c>
      <c r="T60" s="87">
        <f>VLOOKUP(A:A,'Flat Bed &amp; Late Fees'!A:J,7,FALSE)</f>
        <v>0</v>
      </c>
      <c r="U60" s="68">
        <f>VLOOKUP(C60&amp;G60,OTR!E:J,6,FALSE)/88</f>
        <v>13.213778409090908</v>
      </c>
      <c r="V60" s="87"/>
      <c r="W60" s="68">
        <f t="shared" si="2"/>
        <v>13.213778409090908</v>
      </c>
      <c r="X60" s="69">
        <f>VLOOKUP(G60,COSTS!$Z$18:$AC$23,2,FALSE)</f>
        <v>2.6</v>
      </c>
      <c r="Y60" s="87">
        <f>VLOOKUP(G60,COSTS!$Z$18:$AC$23,4,FALSE)</f>
        <v>2.52</v>
      </c>
      <c r="Z60" s="69">
        <f>(COSTS!$W$3*COSTS!$W$4*500)/52*COSTS!$AE$17</f>
        <v>1.3125</v>
      </c>
      <c r="AB60" s="69">
        <f t="shared" si="3"/>
        <v>6.4325000000000001</v>
      </c>
      <c r="AC60" s="69">
        <f>VLOOKUP(G60,COSTS!$Z$11:$AE$14,5,FALSE)</f>
        <v>5.5113636363636367</v>
      </c>
      <c r="AD60" s="69">
        <f>VLOOKUP(G60,COSTS!$Z$4:$AD$7,4,FALSE)</f>
        <v>5.3522727272727275</v>
      </c>
      <c r="AE60" s="69"/>
      <c r="AF60" s="69">
        <f t="shared" si="4"/>
        <v>10.863636363636363</v>
      </c>
      <c r="AG60" s="87">
        <f>((COSTS!$C$5*88)/20)/88</f>
        <v>1.4407150000000002</v>
      </c>
      <c r="AH60" s="69">
        <f>(COSTS!$X$38/88)*20</f>
        <v>0.34865702479338845</v>
      </c>
      <c r="AI60" s="87">
        <f>((COSTS!$E$5*88)/20)/88</f>
        <v>0.62936587135988387</v>
      </c>
      <c r="AJ60" s="87">
        <f>((COSTS!$D$5*88)/20)/88</f>
        <v>0.33676</v>
      </c>
      <c r="AL60" s="387">
        <f t="shared" si="5"/>
        <v>2.7554978961532726</v>
      </c>
      <c r="AM60" s="69">
        <f>(COSTS!$W$3+0.1)*500*0.01</f>
        <v>3.9999999999999996</v>
      </c>
      <c r="AN60" s="387">
        <f>((COSTS!$G$5/20)*88)/88</f>
        <v>1.308904109589041</v>
      </c>
      <c r="AR60" s="69">
        <f t="shared" si="6"/>
        <v>5.3089041095890401</v>
      </c>
      <c r="AT60" s="1" t="e">
        <f>VLOOKUP(C60&amp;$AT$1,OTR!E:J,6,FALSE)/88</f>
        <v>#N/A</v>
      </c>
      <c r="AU60" s="1">
        <f>VLOOKUP(C60&amp;$AU$1,OTR!E:J,6,FALSE)/88</f>
        <v>13.522727272727273</v>
      </c>
    </row>
    <row r="61" spans="1:47">
      <c r="A61" s="1">
        <v>470012</v>
      </c>
      <c r="B61" s="1" t="s">
        <v>198</v>
      </c>
      <c r="C61" s="1" t="s">
        <v>199</v>
      </c>
      <c r="D61" s="1" t="s">
        <v>128</v>
      </c>
      <c r="E61" s="1" t="str">
        <f>VLOOKUP(A:A,'Regions and Ports'!A:G,5,FALSE)</f>
        <v>Memphis Rule 5</v>
      </c>
      <c r="F61" s="1" t="str">
        <f>VLOOKUP(A:A,'Regions and Ports'!A:F,6,FALSE)</f>
        <v>MR5</v>
      </c>
      <c r="G61" s="1" t="str">
        <f>VLOOKUP(A:A,'Regions and Ports'!A:G,7,FALSE)</f>
        <v>Memphis</v>
      </c>
      <c r="H61" s="87">
        <v>1</v>
      </c>
      <c r="I61" s="69">
        <f>VLOOKUP(A:A,'Seam Tariffs'!A:AB,9,FALSE)</f>
        <v>1.85</v>
      </c>
      <c r="J61" s="69">
        <f>VLOOKUP(A:A,'Seam Tariffs'!A:AB,11,FALSE)</f>
        <v>7.8</v>
      </c>
      <c r="K61" s="69">
        <f>VLOOKUP(A:A,'Seam Tariffs'!A:AB,12,FALSE)</f>
        <v>8</v>
      </c>
      <c r="L61" s="69">
        <f>VLOOKUP(A:A,'Seam Tariffs'!A:AB,13,FALSE)</f>
        <v>3.05</v>
      </c>
      <c r="M61" s="69">
        <f>VLOOKUP(A:A,'Seam Tariffs'!A:AB,14,FALSE)</f>
        <v>0</v>
      </c>
      <c r="N61" s="69">
        <f>VLOOKUP(A:A,'Seam Tariffs'!A:AB,28,FALSE)</f>
        <v>3.2</v>
      </c>
      <c r="O61" s="69">
        <f>COSTS!$W$6</f>
        <v>1.8958333333333335</v>
      </c>
      <c r="P61" s="69">
        <f>VLOOKUP(G61,COSTS!$V$11:$X$14,3,FALSE)</f>
        <v>0</v>
      </c>
      <c r="Q61" s="69">
        <f t="shared" si="0"/>
        <v>25.795833333333331</v>
      </c>
      <c r="R61" s="69">
        <f t="shared" si="1"/>
        <v>5.0958333333333332</v>
      </c>
      <c r="S61" s="87">
        <f>VLOOKUP(A:A,'Flat Bed &amp; Late Fees'!A:J,6,FALSE)</f>
        <v>0</v>
      </c>
      <c r="T61" s="87">
        <f>VLOOKUP(A:A,'Flat Bed &amp; Late Fees'!A:J,7,FALSE)</f>
        <v>0</v>
      </c>
      <c r="U61" s="68">
        <f>VLOOKUP(C61&amp;G61,OTR!E:J,6,FALSE)/88</f>
        <v>9.1761363636363633</v>
      </c>
      <c r="V61" s="87"/>
      <c r="W61" s="68">
        <f t="shared" si="2"/>
        <v>9.1761363636363633</v>
      </c>
      <c r="X61" s="69">
        <f>VLOOKUP(G61,COSTS!$Z$18:$AC$23,2,FALSE)</f>
        <v>2.5</v>
      </c>
      <c r="Y61" s="87">
        <f>VLOOKUP(G61,COSTS!$Z$18:$AC$23,4,FALSE)</f>
        <v>1.68</v>
      </c>
      <c r="Z61" s="69">
        <f>(COSTS!$W$3*COSTS!$W$4*500)/52*COSTS!$AE$17</f>
        <v>1.3125</v>
      </c>
      <c r="AB61" s="69">
        <f t="shared" si="3"/>
        <v>5.4924999999999997</v>
      </c>
      <c r="AC61" s="69">
        <f>VLOOKUP(G61,COSTS!$Z$11:$AE$14,5,FALSE)</f>
        <v>7.3011363636363633</v>
      </c>
      <c r="AD61" s="69">
        <f>VLOOKUP(G61,COSTS!$Z$4:$AD$7,4,FALSE)</f>
        <v>9.1363636363636367</v>
      </c>
      <c r="AE61" s="69"/>
      <c r="AF61" s="69">
        <f t="shared" si="4"/>
        <v>16.4375</v>
      </c>
      <c r="AG61" s="87">
        <f>((COSTS!$C$5*88)/20)/88</f>
        <v>1.4407150000000002</v>
      </c>
      <c r="AH61" s="69">
        <f>(COSTS!$X$38/88)*20</f>
        <v>0.34865702479338845</v>
      </c>
      <c r="AI61" s="87">
        <f>((COSTS!$E$5*88)/20)/88</f>
        <v>0.62936587135988387</v>
      </c>
      <c r="AJ61" s="87">
        <f>((COSTS!$D$5*88)/20)/88</f>
        <v>0.33676</v>
      </c>
      <c r="AL61" s="387">
        <f t="shared" si="5"/>
        <v>2.7554978961532726</v>
      </c>
      <c r="AM61" s="69">
        <f>(COSTS!$W$3+0.1)*500*0.01</f>
        <v>3.9999999999999996</v>
      </c>
      <c r="AN61" s="387">
        <f>((COSTS!$G$5/20)*88)/88</f>
        <v>1.308904109589041</v>
      </c>
      <c r="AR61" s="69">
        <f t="shared" si="6"/>
        <v>5.3089041095890401</v>
      </c>
      <c r="AT61" s="1">
        <f>VLOOKUP(C61&amp;$AT$1,OTR!E:J,6,FALSE)/88</f>
        <v>22.887840909090905</v>
      </c>
      <c r="AU61" s="1">
        <f>VLOOKUP(C61&amp;$AU$1,OTR!E:J,6,FALSE)/88</f>
        <v>24.431818181818183</v>
      </c>
    </row>
    <row r="62" spans="1:47">
      <c r="A62" s="1">
        <v>562865</v>
      </c>
      <c r="B62" s="1" t="s">
        <v>201</v>
      </c>
      <c r="C62" s="1" t="s">
        <v>202</v>
      </c>
      <c r="D62" s="1" t="s">
        <v>136</v>
      </c>
      <c r="E62" s="1" t="str">
        <f>VLOOKUP(A:A,'Regions and Ports'!A:G,5,FALSE)</f>
        <v>Eastern Rule 5</v>
      </c>
      <c r="F62" s="1" t="str">
        <f>VLOOKUP(A:A,'Regions and Ports'!A:F,6,FALSE)</f>
        <v>ER5</v>
      </c>
      <c r="G62" s="1" t="str">
        <f>VLOOKUP(A:A,'Regions and Ports'!A:G,7,FALSE)</f>
        <v>Savannah</v>
      </c>
      <c r="H62" s="87">
        <v>1</v>
      </c>
      <c r="I62" s="69">
        <f>VLOOKUP(A:A,'Seam Tariffs'!A:AB,9,FALSE)</f>
        <v>5</v>
      </c>
      <c r="J62" s="69">
        <f>VLOOKUP(A:A,'Seam Tariffs'!A:AB,11,FALSE)</f>
        <v>5</v>
      </c>
      <c r="K62" s="69">
        <f>VLOOKUP(A:A,'Seam Tariffs'!A:AB,12,FALSE)</f>
        <v>0</v>
      </c>
      <c r="L62" s="69">
        <f>VLOOKUP(A:A,'Seam Tariffs'!A:AB,13,FALSE)</f>
        <v>3</v>
      </c>
      <c r="M62" s="69">
        <f>VLOOKUP(A:A,'Seam Tariffs'!A:AB,14,FALSE)</f>
        <v>1</v>
      </c>
      <c r="N62" s="69">
        <f>VLOOKUP(A:A,'Seam Tariffs'!A:AB,28,FALSE)</f>
        <v>3</v>
      </c>
      <c r="O62" s="69">
        <f>COSTS!$W$6</f>
        <v>1.8958333333333335</v>
      </c>
      <c r="P62" s="69">
        <f>VLOOKUP(G62,COSTS!$V$11:$X$14,3,FALSE)</f>
        <v>0</v>
      </c>
      <c r="Q62" s="69">
        <f t="shared" si="0"/>
        <v>18.895833333333332</v>
      </c>
      <c r="R62" s="69">
        <f t="shared" si="1"/>
        <v>4.8958333333333339</v>
      </c>
      <c r="S62" s="87">
        <f>VLOOKUP(A:A,'Flat Bed &amp; Late Fees'!A:J,6,FALSE)</f>
        <v>0</v>
      </c>
      <c r="T62" s="87">
        <f>VLOOKUP(A:A,'Flat Bed &amp; Late Fees'!A:J,7,FALSE)</f>
        <v>0</v>
      </c>
      <c r="U62" s="68">
        <f>VLOOKUP(C62&amp;G62,OTR!E:J,6,FALSE)/88</f>
        <v>11.064431818181818</v>
      </c>
      <c r="V62" s="87"/>
      <c r="W62" s="68">
        <f t="shared" si="2"/>
        <v>11.064431818181818</v>
      </c>
      <c r="X62" s="69">
        <f>VLOOKUP(G62,COSTS!$Z$18:$AC$23,2,FALSE)</f>
        <v>2.6</v>
      </c>
      <c r="Y62" s="87">
        <f>VLOOKUP(G62,COSTS!$Z$18:$AC$23,4,FALSE)</f>
        <v>2.52</v>
      </c>
      <c r="Z62" s="69">
        <f>(COSTS!$W$3*COSTS!$W$4*500)/52*COSTS!$AE$17</f>
        <v>1.3125</v>
      </c>
      <c r="AB62" s="69">
        <f t="shared" si="3"/>
        <v>6.4325000000000001</v>
      </c>
      <c r="AC62" s="69">
        <f>VLOOKUP(G62,COSTS!$Z$11:$AE$14,5,FALSE)</f>
        <v>5.5113636363636367</v>
      </c>
      <c r="AD62" s="69">
        <f>VLOOKUP(G62,COSTS!$Z$4:$AD$7,4,FALSE)</f>
        <v>5.3522727272727275</v>
      </c>
      <c r="AE62" s="69"/>
      <c r="AF62" s="69">
        <f t="shared" si="4"/>
        <v>10.863636363636363</v>
      </c>
      <c r="AG62" s="87">
        <f>((COSTS!$C$5*88)/20)/88</f>
        <v>1.4407150000000002</v>
      </c>
      <c r="AH62" s="69">
        <f>(COSTS!$X$38/88)*20</f>
        <v>0.34865702479338845</v>
      </c>
      <c r="AI62" s="87">
        <f>((COSTS!$E$5*88)/20)/88</f>
        <v>0.62936587135988387</v>
      </c>
      <c r="AJ62" s="87">
        <f>((COSTS!$D$5*88)/20)/88</f>
        <v>0.33676</v>
      </c>
      <c r="AL62" s="387">
        <f t="shared" si="5"/>
        <v>2.7554978961532726</v>
      </c>
      <c r="AM62" s="69">
        <f>(COSTS!$W$3+0.1)*500*0.01</f>
        <v>3.9999999999999996</v>
      </c>
      <c r="AN62" s="387">
        <f>((COSTS!$G$5/20)*88)/88</f>
        <v>1.308904109589041</v>
      </c>
      <c r="AR62" s="69">
        <f t="shared" si="6"/>
        <v>5.3089041095890401</v>
      </c>
      <c r="AT62" s="1" t="e">
        <f>VLOOKUP(C62&amp;$AT$1,OTR!E:J,6,FALSE)/88</f>
        <v>#N/A</v>
      </c>
      <c r="AU62" s="1">
        <f>VLOOKUP(C62&amp;$AU$1,OTR!E:J,6,FALSE)/88</f>
        <v>10.795454545454545</v>
      </c>
    </row>
    <row r="63" spans="1:47">
      <c r="A63" s="1">
        <v>385001</v>
      </c>
      <c r="B63" s="1" t="s">
        <v>83</v>
      </c>
      <c r="C63" s="1" t="s">
        <v>204</v>
      </c>
      <c r="D63" s="1" t="s">
        <v>205</v>
      </c>
      <c r="E63" s="1" t="str">
        <f>VLOOKUP(A:A,'Regions and Ports'!A:G,5,FALSE)</f>
        <v>WTX</v>
      </c>
      <c r="F63" s="1" t="str">
        <f>VLOOKUP(A:A,'Regions and Ports'!A:F,6,FALSE)</f>
        <v>WTX</v>
      </c>
      <c r="G63" s="1" t="str">
        <f>VLOOKUP(A:A,'Regions and Ports'!A:G,7,FALSE)</f>
        <v>Dallas</v>
      </c>
      <c r="H63" s="87">
        <v>2</v>
      </c>
      <c r="I63" s="69">
        <f>VLOOKUP(A:A,'Seam Tariffs'!A:AB,9,FALSE)</f>
        <v>5.15</v>
      </c>
      <c r="J63" s="69">
        <f>VLOOKUP(A:A,'Seam Tariffs'!A:AB,11,FALSE)</f>
        <v>6.25</v>
      </c>
      <c r="K63" s="69">
        <f>VLOOKUP(A:A,'Seam Tariffs'!A:AB,12,FALSE)</f>
        <v>12</v>
      </c>
      <c r="L63" s="69">
        <f>VLOOKUP(A:A,'Seam Tariffs'!A:AB,13,FALSE)</f>
        <v>0</v>
      </c>
      <c r="M63" s="69">
        <f>VLOOKUP(A:A,'Seam Tariffs'!A:AB,14,FALSE)</f>
        <v>0</v>
      </c>
      <c r="N63" s="69">
        <f>VLOOKUP(A:A,'Seam Tariffs'!A:AB,28,FALSE)</f>
        <v>1.9500000000000002</v>
      </c>
      <c r="O63" s="69">
        <f>COSTS!$W$6</f>
        <v>1.8958333333333335</v>
      </c>
      <c r="P63" s="69">
        <f>VLOOKUP(G63,COSTS!$V$11:$X$14,3,FALSE)</f>
        <v>0</v>
      </c>
      <c r="Q63" s="69">
        <f t="shared" si="0"/>
        <v>27.24583333333333</v>
      </c>
      <c r="R63" s="69">
        <f t="shared" si="1"/>
        <v>15.845833333333333</v>
      </c>
      <c r="S63" s="87">
        <f>VLOOKUP(A:A,'Flat Bed &amp; Late Fees'!A:J,6,FALSE)</f>
        <v>1</v>
      </c>
      <c r="T63" s="87">
        <f>VLOOKUP(A:A,'Flat Bed &amp; Late Fees'!A:J,7,FALSE)</f>
        <v>0.25</v>
      </c>
      <c r="U63" s="68">
        <f>VLOOKUP(C63&amp;G63,OTR!E:J,6,FALSE)/88</f>
        <v>14.204545454545455</v>
      </c>
      <c r="V63" s="87"/>
      <c r="W63" s="68">
        <f t="shared" si="2"/>
        <v>15.454545454545455</v>
      </c>
      <c r="X63" s="69">
        <f>VLOOKUP(G63,COSTS!$Z$18:$AC$23,2,FALSE)</f>
        <v>2.7</v>
      </c>
      <c r="Y63" s="87">
        <f>VLOOKUP(G63,COSTS!$Z$18:$AC$23,4,FALSE)</f>
        <v>2.52</v>
      </c>
      <c r="Z63" s="69">
        <f>(COSTS!$W$3*COSTS!$W$4*500)/52*COSTS!$AE$17</f>
        <v>1.3125</v>
      </c>
      <c r="AB63" s="69">
        <f t="shared" si="3"/>
        <v>6.5325000000000006</v>
      </c>
      <c r="AC63" s="69">
        <f>VLOOKUP(G63,COSTS!$Z$11:$AE$14,5,FALSE)</f>
        <v>8.125</v>
      </c>
      <c r="AD63" s="69">
        <f>VLOOKUP(G63,COSTS!$Z$4:$AD$7,4,FALSE)</f>
        <v>13.409090909090908</v>
      </c>
      <c r="AE63" s="69"/>
      <c r="AF63" s="69">
        <f t="shared" si="4"/>
        <v>21.534090909090907</v>
      </c>
      <c r="AG63" s="87">
        <f>((COSTS!$C$5*88)/20)/88</f>
        <v>1.4407150000000002</v>
      </c>
      <c r="AH63" s="69">
        <f>(COSTS!$X$38/88)*20</f>
        <v>0.34865702479338845</v>
      </c>
      <c r="AI63" s="87">
        <f>((COSTS!$E$5*88)/20)/88</f>
        <v>0.62936587135988387</v>
      </c>
      <c r="AJ63" s="87">
        <f>((COSTS!$D$5*88)/20)/88</f>
        <v>0.33676</v>
      </c>
      <c r="AL63" s="387">
        <f t="shared" si="5"/>
        <v>2.7554978961532726</v>
      </c>
      <c r="AM63" s="69">
        <f>(COSTS!$W$3+0.1)*500*0.01</f>
        <v>3.9999999999999996</v>
      </c>
      <c r="AN63" s="387">
        <f>((COSTS!$G$5/20)*88)/88</f>
        <v>1.308904109589041</v>
      </c>
      <c r="AR63" s="69">
        <f t="shared" si="6"/>
        <v>5.3089041095890401</v>
      </c>
      <c r="AT63" s="1" t="e">
        <f>VLOOKUP(C63&amp;$AT$1,OTR!E:J,6,FALSE)/88</f>
        <v>#N/A</v>
      </c>
      <c r="AU63" s="1" t="e">
        <f>VLOOKUP(C63&amp;$AU$1,OTR!E:J,6,FALSE)/88</f>
        <v>#N/A</v>
      </c>
    </row>
    <row r="64" spans="1:47">
      <c r="A64" s="125">
        <v>385001</v>
      </c>
      <c r="B64" s="1" t="s">
        <v>83</v>
      </c>
      <c r="C64" s="1" t="s">
        <v>204</v>
      </c>
      <c r="D64" s="1" t="s">
        <v>205</v>
      </c>
      <c r="E64" s="1" t="s">
        <v>2067</v>
      </c>
      <c r="F64" s="1" t="str">
        <f>VLOOKUP(A:A,'Regions and Ports'!A:F,6,FALSE)</f>
        <v>WTX</v>
      </c>
      <c r="G64" s="1" t="s">
        <v>439</v>
      </c>
      <c r="H64" s="87">
        <v>2</v>
      </c>
      <c r="I64" s="69">
        <f>VLOOKUP(A:A,'Seam Tariffs'!A:AB,9,FALSE)</f>
        <v>5.15</v>
      </c>
      <c r="J64" s="69">
        <f>VLOOKUP(A:A,'Seam Tariffs'!A:AB,11,FALSE)</f>
        <v>6.25</v>
      </c>
      <c r="K64" s="69">
        <f>VLOOKUP(A:A,'Seam Tariffs'!A:AB,12,FALSE)</f>
        <v>12</v>
      </c>
      <c r="L64" s="69">
        <f>VLOOKUP(A:A,'Seam Tariffs'!A:AB,13,FALSE)</f>
        <v>0</v>
      </c>
      <c r="M64" s="69">
        <f>VLOOKUP(A:A,'Seam Tariffs'!A:AB,14,FALSE)</f>
        <v>0</v>
      </c>
      <c r="N64" s="69">
        <f>VLOOKUP(A:A,'Seam Tariffs'!A:AB,28,FALSE)</f>
        <v>1.9500000000000002</v>
      </c>
      <c r="O64" s="69">
        <f>COSTS!$W$6</f>
        <v>1.8958333333333335</v>
      </c>
      <c r="P64" s="69">
        <f>VLOOKUP(G64,COSTS!$V$11:$X$14,3,FALSE)</f>
        <v>0</v>
      </c>
      <c r="Q64" s="69">
        <f t="shared" si="0"/>
        <v>27.24583333333333</v>
      </c>
      <c r="R64" s="69">
        <f t="shared" si="1"/>
        <v>15.845833333333333</v>
      </c>
      <c r="S64" s="87">
        <f>VLOOKUP(A:A,'Flat Bed &amp; Late Fees'!A:J,6,FALSE)</f>
        <v>1</v>
      </c>
      <c r="T64" s="87">
        <f>VLOOKUP(A:A,'Flat Bed &amp; Late Fees'!A:J,7,FALSE)</f>
        <v>0.25</v>
      </c>
      <c r="U64" s="68">
        <f>VLOOKUP(C64&amp;G64,OTR!E:J,6,FALSE)/88</f>
        <v>19.318181818181817</v>
      </c>
      <c r="V64" s="87"/>
      <c r="W64" s="68">
        <f t="shared" si="2"/>
        <v>20.568181818181817</v>
      </c>
      <c r="X64" s="69">
        <f>VLOOKUP(G64,COSTS!$Z$18:$AC$23,2,FALSE)</f>
        <v>2.7</v>
      </c>
      <c r="Y64" s="87">
        <f>VLOOKUP(G64,COSTS!$Z$18:$AC$23,4,FALSE)</f>
        <v>2.52</v>
      </c>
      <c r="Z64" s="69">
        <f>(COSTS!$W$3*COSTS!$W$4*500)/52*COSTS!$AE$17</f>
        <v>1.3125</v>
      </c>
      <c r="AB64" s="69">
        <f t="shared" si="3"/>
        <v>6.5325000000000006</v>
      </c>
      <c r="AC64" s="69">
        <f>VLOOKUP(G64,COSTS!$Z$11:$AE$14,5,FALSE)</f>
        <v>6.6477272727272725</v>
      </c>
      <c r="AD64" s="69">
        <f>VLOOKUP(G64,COSTS!$Z$4:$AD$7,4,FALSE)</f>
        <v>9.8977272727272734</v>
      </c>
      <c r="AE64" s="69"/>
      <c r="AF64" s="69">
        <f t="shared" si="4"/>
        <v>16.545454545454547</v>
      </c>
      <c r="AG64" s="87">
        <f>((COSTS!$C$5*88)/20)/88</f>
        <v>1.4407150000000002</v>
      </c>
      <c r="AH64" s="69">
        <f>(COSTS!$X$38/88)*20</f>
        <v>0.34865702479338845</v>
      </c>
      <c r="AI64" s="87">
        <f>((COSTS!$E$5*88)/20)/88</f>
        <v>0.62936587135988387</v>
      </c>
      <c r="AJ64" s="87">
        <f>((COSTS!$D$5*88)/20)/88</f>
        <v>0.33676</v>
      </c>
      <c r="AL64" s="387">
        <f t="shared" si="5"/>
        <v>2.7554978961532726</v>
      </c>
      <c r="AM64" s="69">
        <f>(COSTS!$W$3+0.1)*500*0.01</f>
        <v>3.9999999999999996</v>
      </c>
      <c r="AN64" s="387">
        <f>((COSTS!$G$5/20)*88)/88</f>
        <v>1.308904109589041</v>
      </c>
      <c r="AR64" s="69">
        <f t="shared" si="6"/>
        <v>5.3089041095890401</v>
      </c>
      <c r="AT64" s="1" t="e">
        <f>VLOOKUP(C64&amp;$AT$1,OTR!E:J,6,FALSE)/88</f>
        <v>#N/A</v>
      </c>
      <c r="AU64" s="1" t="e">
        <f>VLOOKUP(C64&amp;$AU$1,OTR!E:J,6,FALSE)/88</f>
        <v>#N/A</v>
      </c>
    </row>
    <row r="65" spans="1:47">
      <c r="A65" s="1">
        <v>240124</v>
      </c>
      <c r="B65" s="1" t="s">
        <v>207</v>
      </c>
      <c r="C65" s="1" t="s">
        <v>208</v>
      </c>
      <c r="D65" s="1" t="s">
        <v>76</v>
      </c>
      <c r="E65" s="1" t="str">
        <f>VLOOKUP(A:A,'Regions and Ports'!A:G,5,FALSE)</f>
        <v>GA 30 Day</v>
      </c>
      <c r="F65" s="1" t="str">
        <f>VLOOKUP(A:A,'Regions and Ports'!A:F,6,FALSE)</f>
        <v>ER5</v>
      </c>
      <c r="G65" s="1" t="str">
        <f>VLOOKUP(A:A,'Regions and Ports'!A:G,7,FALSE)</f>
        <v>Savannah</v>
      </c>
      <c r="H65" s="87">
        <v>4</v>
      </c>
      <c r="I65" s="69">
        <f>VLOOKUP(A:A,'Seam Tariffs'!A:AB,9,FALSE)</f>
        <v>0</v>
      </c>
      <c r="J65" s="69">
        <f>VLOOKUP(A:A,'Seam Tariffs'!A:AB,11,FALSE)</f>
        <v>0</v>
      </c>
      <c r="K65" s="69">
        <f>VLOOKUP(A:A,'Seam Tariffs'!A:AB,12,FALSE)</f>
        <v>0</v>
      </c>
      <c r="L65" s="69">
        <f>VLOOKUP(A:A,'Seam Tariffs'!A:AB,13,FALSE)</f>
        <v>0</v>
      </c>
      <c r="M65" s="69">
        <f>VLOOKUP(A:A,'Seam Tariffs'!A:AB,14,FALSE)</f>
        <v>0</v>
      </c>
      <c r="N65" s="69">
        <f>VLOOKUP(A:A,'Seam Tariffs'!A:AB,28,FALSE)</f>
        <v>3</v>
      </c>
      <c r="O65" s="69">
        <f>COSTS!$W$6</f>
        <v>1.8958333333333335</v>
      </c>
      <c r="P65" s="69">
        <f>VLOOKUP(G65,COSTS!$V$11:$X$14,3,FALSE)</f>
        <v>0</v>
      </c>
      <c r="Q65" s="69">
        <f t="shared" si="0"/>
        <v>4.8958333333333339</v>
      </c>
      <c r="R65" s="69">
        <f t="shared" si="1"/>
        <v>1.8958333333333335</v>
      </c>
      <c r="S65" s="87">
        <f>VLOOKUP(A:A,'Flat Bed &amp; Late Fees'!A:J,6,FALSE)</f>
        <v>0</v>
      </c>
      <c r="T65" s="87">
        <f>VLOOKUP(A:A,'Flat Bed &amp; Late Fees'!A:J,7,FALSE)</f>
        <v>0</v>
      </c>
      <c r="U65" s="68">
        <f>VLOOKUP(C65&amp;G65,OTR!E:J,6,FALSE)/88</f>
        <v>12.649318181818181</v>
      </c>
      <c r="V65" s="87"/>
      <c r="W65" s="68">
        <f t="shared" si="2"/>
        <v>12.649318181818181</v>
      </c>
      <c r="X65" s="69">
        <f>VLOOKUP(G65,COSTS!$Z$18:$AC$23,2,FALSE)</f>
        <v>2.6</v>
      </c>
      <c r="Y65" s="87">
        <f>VLOOKUP(G65,COSTS!$Z$18:$AC$23,4,FALSE)</f>
        <v>2.52</v>
      </c>
      <c r="Z65" s="69">
        <f>(COSTS!$W$3*COSTS!$W$4*500)/52*COSTS!$AE$17</f>
        <v>1.3125</v>
      </c>
      <c r="AB65" s="69">
        <f t="shared" si="3"/>
        <v>6.4325000000000001</v>
      </c>
      <c r="AC65" s="69">
        <f>VLOOKUP(G65,COSTS!$Z$11:$AE$14,5,FALSE)</f>
        <v>5.5113636363636367</v>
      </c>
      <c r="AD65" s="69">
        <f>VLOOKUP(G65,COSTS!$Z$4:$AD$7,4,FALSE)</f>
        <v>5.3522727272727275</v>
      </c>
      <c r="AE65" s="69"/>
      <c r="AF65" s="69">
        <f t="shared" si="4"/>
        <v>10.863636363636363</v>
      </c>
      <c r="AG65" s="87">
        <f>((COSTS!$C$5*88)/20)/88</f>
        <v>1.4407150000000002</v>
      </c>
      <c r="AH65" s="69">
        <f>(COSTS!$X$38/88)*20</f>
        <v>0.34865702479338845</v>
      </c>
      <c r="AI65" s="87">
        <f>((COSTS!$E$5*88)/20)/88</f>
        <v>0.62936587135988387</v>
      </c>
      <c r="AJ65" s="87">
        <f>((COSTS!$D$5*88)/20)/88</f>
        <v>0.33676</v>
      </c>
      <c r="AL65" s="387">
        <f t="shared" si="5"/>
        <v>2.7554978961532726</v>
      </c>
      <c r="AM65" s="69">
        <f>(COSTS!$W$3+0.1)*500*0.01</f>
        <v>3.9999999999999996</v>
      </c>
      <c r="AN65" s="387">
        <f>((COSTS!$G$5/20)*88)/88</f>
        <v>1.308904109589041</v>
      </c>
      <c r="AR65" s="69">
        <f t="shared" si="6"/>
        <v>5.3089041095890401</v>
      </c>
      <c r="AT65" s="1">
        <f>VLOOKUP(C65&amp;$AT$1,OTR!E:J,6,FALSE)/88</f>
        <v>22.439204545454544</v>
      </c>
      <c r="AU65" s="1">
        <f>VLOOKUP(C65&amp;$AU$1,OTR!E:J,6,FALSE)/88</f>
        <v>18.039772727272727</v>
      </c>
    </row>
    <row r="66" spans="1:47">
      <c r="A66" s="1">
        <v>689560</v>
      </c>
      <c r="B66" s="1" t="s">
        <v>209</v>
      </c>
      <c r="C66" s="1" t="s">
        <v>210</v>
      </c>
      <c r="D66" s="1" t="s">
        <v>132</v>
      </c>
      <c r="E66" s="1" t="str">
        <f>VLOOKUP(A:A,'Regions and Ports'!A:G,5,FALSE)</f>
        <v>Eastern Rule 5</v>
      </c>
      <c r="F66" s="1" t="str">
        <f>VLOOKUP(A:A,'Regions and Ports'!A:F,6,FALSE)</f>
        <v>ER5</v>
      </c>
      <c r="G66" s="1" t="str">
        <f>VLOOKUP(A:A,'Regions and Ports'!A:G,7,FALSE)</f>
        <v>Savannah</v>
      </c>
      <c r="H66" s="87">
        <v>1</v>
      </c>
      <c r="I66" s="69">
        <f>VLOOKUP(A:A,'Seam Tariffs'!A:AB,9,FALSE)</f>
        <v>5</v>
      </c>
      <c r="J66" s="69">
        <f>VLOOKUP(A:A,'Seam Tariffs'!A:AB,11,FALSE)</f>
        <v>5.75</v>
      </c>
      <c r="K66" s="69">
        <f>VLOOKUP(A:A,'Seam Tariffs'!A:AB,12,FALSE)</f>
        <v>0</v>
      </c>
      <c r="L66" s="69">
        <f>VLOOKUP(A:A,'Seam Tariffs'!A:AB,13,FALSE)</f>
        <v>0</v>
      </c>
      <c r="M66" s="69">
        <f>VLOOKUP(A:A,'Seam Tariffs'!A:AB,14,FALSE)</f>
        <v>0</v>
      </c>
      <c r="N66" s="69">
        <f>VLOOKUP(A:A,'Seam Tariffs'!A:AB,28,FALSE)</f>
        <v>2.5</v>
      </c>
      <c r="O66" s="69">
        <f>COSTS!$W$6</f>
        <v>1.8958333333333335</v>
      </c>
      <c r="P66" s="69">
        <f>VLOOKUP(G66,COSTS!$V$11:$X$14,3,FALSE)</f>
        <v>0</v>
      </c>
      <c r="Q66" s="69">
        <f t="shared" si="0"/>
        <v>15.145833333333334</v>
      </c>
      <c r="R66" s="69">
        <f t="shared" si="1"/>
        <v>4.3958333333333339</v>
      </c>
      <c r="S66" s="87">
        <f>VLOOKUP(A:A,'Flat Bed &amp; Late Fees'!A:J,6,FALSE)</f>
        <v>0</v>
      </c>
      <c r="T66" s="87">
        <f>VLOOKUP(A:A,'Flat Bed &amp; Late Fees'!A:J,7,FALSE)</f>
        <v>0</v>
      </c>
      <c r="U66" s="68">
        <f>VLOOKUP(C66&amp;G66,OTR!E:J,6,FALSE)/88</f>
        <v>12.111136363636364</v>
      </c>
      <c r="V66" s="87"/>
      <c r="W66" s="68">
        <f t="shared" si="2"/>
        <v>12.111136363636364</v>
      </c>
      <c r="X66" s="69">
        <f>VLOOKUP(G66,COSTS!$Z$18:$AC$23,2,FALSE)</f>
        <v>2.6</v>
      </c>
      <c r="Y66" s="87">
        <f>VLOOKUP(G66,COSTS!$Z$18:$AC$23,4,FALSE)</f>
        <v>2.52</v>
      </c>
      <c r="Z66" s="69">
        <f>(COSTS!$W$3*COSTS!$W$4*500)/52*COSTS!$AE$17</f>
        <v>1.3125</v>
      </c>
      <c r="AB66" s="69">
        <f t="shared" si="3"/>
        <v>6.4325000000000001</v>
      </c>
      <c r="AC66" s="69">
        <f>VLOOKUP(G66,COSTS!$Z$11:$AE$14,5,FALSE)</f>
        <v>5.5113636363636367</v>
      </c>
      <c r="AD66" s="69">
        <f>VLOOKUP(G66,COSTS!$Z$4:$AD$7,4,FALSE)</f>
        <v>5.3522727272727275</v>
      </c>
      <c r="AE66" s="69"/>
      <c r="AF66" s="69">
        <f t="shared" si="4"/>
        <v>10.863636363636363</v>
      </c>
      <c r="AG66" s="87">
        <f>((COSTS!$C$5*88)/20)/88</f>
        <v>1.4407150000000002</v>
      </c>
      <c r="AH66" s="69">
        <f>(COSTS!$X$38/88)*20</f>
        <v>0.34865702479338845</v>
      </c>
      <c r="AI66" s="87">
        <f>((COSTS!$E$5*88)/20)/88</f>
        <v>0.62936587135988387</v>
      </c>
      <c r="AJ66" s="87">
        <f>((COSTS!$D$5*88)/20)/88</f>
        <v>0.33676</v>
      </c>
      <c r="AL66" s="387">
        <f t="shared" si="5"/>
        <v>2.7554978961532726</v>
      </c>
      <c r="AM66" s="69">
        <f>(COSTS!$W$3+0.1)*500*0.01</f>
        <v>3.9999999999999996</v>
      </c>
      <c r="AN66" s="387">
        <f>((COSTS!$G$5/20)*88)/88</f>
        <v>1.308904109589041</v>
      </c>
      <c r="AR66" s="69">
        <f t="shared" si="6"/>
        <v>5.3089041095890401</v>
      </c>
      <c r="AT66" s="1" t="e">
        <f>VLOOKUP(C66&amp;$AT$1,OTR!E:J,6,FALSE)/88</f>
        <v>#N/A</v>
      </c>
      <c r="AU66" s="1">
        <f>VLOOKUP(C66&amp;$AU$1,OTR!E:J,6,FALSE)/88</f>
        <v>9.1761363636363633</v>
      </c>
    </row>
    <row r="67" spans="1:47">
      <c r="A67" s="1">
        <v>242020</v>
      </c>
      <c r="B67" s="1" t="s">
        <v>211</v>
      </c>
      <c r="C67" s="1" t="s">
        <v>212</v>
      </c>
      <c r="D67" s="1" t="s">
        <v>76</v>
      </c>
      <c r="E67" s="1" t="str">
        <f>VLOOKUP(A:A,'Regions and Ports'!A:G,5,FALSE)</f>
        <v>GA 30 Day</v>
      </c>
      <c r="F67" s="1" t="str">
        <f>VLOOKUP(A:A,'Regions and Ports'!A:F,6,FALSE)</f>
        <v>ER5</v>
      </c>
      <c r="G67" s="1" t="str">
        <f>VLOOKUP(A:A,'Regions and Ports'!A:G,7,FALSE)</f>
        <v>Savannah</v>
      </c>
      <c r="H67" s="87">
        <v>4</v>
      </c>
      <c r="I67" s="69">
        <f>VLOOKUP(A:A,'Seam Tariffs'!A:AB,9,FALSE)</f>
        <v>0</v>
      </c>
      <c r="J67" s="69">
        <f>VLOOKUP(A:A,'Seam Tariffs'!A:AB,11,FALSE)</f>
        <v>0</v>
      </c>
      <c r="K67" s="69">
        <f>VLOOKUP(A:A,'Seam Tariffs'!A:AB,12,FALSE)</f>
        <v>0</v>
      </c>
      <c r="L67" s="69">
        <f>VLOOKUP(A:A,'Seam Tariffs'!A:AB,13,FALSE)</f>
        <v>0</v>
      </c>
      <c r="M67" s="69">
        <f>VLOOKUP(A:A,'Seam Tariffs'!A:AB,14,FALSE)</f>
        <v>0</v>
      </c>
      <c r="N67" s="69">
        <f>VLOOKUP(A:A,'Seam Tariffs'!A:AB,28,FALSE)</f>
        <v>2.65</v>
      </c>
      <c r="O67" s="69">
        <f>COSTS!$W$6</f>
        <v>1.8958333333333335</v>
      </c>
      <c r="P67" s="69">
        <f>VLOOKUP(G67,COSTS!$V$11:$X$14,3,FALSE)</f>
        <v>0</v>
      </c>
      <c r="Q67" s="69">
        <f t="shared" ref="Q67:Q130" si="7">I67+J67+K67+L67+M67+N67+O67+P67</f>
        <v>4.5458333333333334</v>
      </c>
      <c r="R67" s="69">
        <f t="shared" ref="R67:R130" si="8">IF(H67=1,SUM(N67),IF(H67=2,SUM(K67,N67),IF(H67=3,SUM(J67,K67,L67,N67),IF(H67=4,SUM(L67),"ERROR"))))+O67+P67</f>
        <v>1.8958333333333335</v>
      </c>
      <c r="S67" s="87">
        <f>VLOOKUP(A:A,'Flat Bed &amp; Late Fees'!A:J,6,FALSE)</f>
        <v>0</v>
      </c>
      <c r="T67" s="87">
        <f>VLOOKUP(A:A,'Flat Bed &amp; Late Fees'!A:J,7,FALSE)</f>
        <v>0</v>
      </c>
      <c r="U67" s="68">
        <f>VLOOKUP(C67&amp;G67,OTR!E:J,6,FALSE)/88</f>
        <v>13.254602272727272</v>
      </c>
      <c r="V67" s="87"/>
      <c r="W67" s="68">
        <f t="shared" ref="W67:W130" si="9">S67+T67+U67+V67</f>
        <v>13.254602272727272</v>
      </c>
      <c r="X67" s="69">
        <f>VLOOKUP(G67,COSTS!$Z$18:$AC$23,2,FALSE)</f>
        <v>2.6</v>
      </c>
      <c r="Y67" s="87">
        <f>VLOOKUP(G67,COSTS!$Z$18:$AC$23,4,FALSE)</f>
        <v>2.52</v>
      </c>
      <c r="Z67" s="69">
        <f>(COSTS!$W$3*COSTS!$W$4*500)/52*COSTS!$AE$17</f>
        <v>1.3125</v>
      </c>
      <c r="AB67" s="69">
        <f t="shared" ref="AB67:AB130" si="10">X67+Y67+Z67+AA67</f>
        <v>6.4325000000000001</v>
      </c>
      <c r="AC67" s="69">
        <f>VLOOKUP(G67,COSTS!$Z$11:$AE$14,5,FALSE)</f>
        <v>5.5113636363636367</v>
      </c>
      <c r="AD67" s="69">
        <f>VLOOKUP(G67,COSTS!$Z$4:$AD$7,4,FALSE)</f>
        <v>5.3522727272727275</v>
      </c>
      <c r="AE67" s="69"/>
      <c r="AF67" s="69">
        <f t="shared" ref="AF67:AF130" si="11">AC67+AD67+AE67</f>
        <v>10.863636363636363</v>
      </c>
      <c r="AG67" s="87">
        <f>((COSTS!$C$5*88)/20)/88</f>
        <v>1.4407150000000002</v>
      </c>
      <c r="AH67" s="69">
        <f>(COSTS!$X$38/88)*20</f>
        <v>0.34865702479338845</v>
      </c>
      <c r="AI67" s="87">
        <f>((COSTS!$E$5*88)/20)/88</f>
        <v>0.62936587135988387</v>
      </c>
      <c r="AJ67" s="87">
        <f>((COSTS!$D$5*88)/20)/88</f>
        <v>0.33676</v>
      </c>
      <c r="AL67" s="387">
        <f t="shared" ref="AL67:AL130" si="12">AG67+AH67+AI67+AJ67+AK67</f>
        <v>2.7554978961532726</v>
      </c>
      <c r="AM67" s="69">
        <f>(COSTS!$W$3+0.1)*500*0.01</f>
        <v>3.9999999999999996</v>
      </c>
      <c r="AN67" s="387">
        <f>((COSTS!$G$5/20)*88)/88</f>
        <v>1.308904109589041</v>
      </c>
      <c r="AR67" s="69">
        <f t="shared" ref="AR67:AR130" si="13">AM67+AN67+AO67+AP67+AQ67</f>
        <v>5.3089041095890401</v>
      </c>
      <c r="AT67" s="1">
        <f>VLOOKUP(C67&amp;$AT$1,OTR!E:J,6,FALSE)/88</f>
        <v>22.278977272727271</v>
      </c>
      <c r="AU67" s="1">
        <f>VLOOKUP(C67&amp;$AU$1,OTR!E:J,6,FALSE)/88</f>
        <v>16.761363636363637</v>
      </c>
    </row>
    <row r="68" spans="1:47">
      <c r="A68" s="1">
        <v>840515</v>
      </c>
      <c r="B68" s="1" t="s">
        <v>214</v>
      </c>
      <c r="C68" s="1" t="s">
        <v>215</v>
      </c>
      <c r="D68" s="1" t="s">
        <v>71</v>
      </c>
      <c r="E68" s="1" t="str">
        <f>VLOOKUP(A:A,'Regions and Ports'!A:G,5,FALSE)</f>
        <v>WTX</v>
      </c>
      <c r="F68" s="1" t="str">
        <f>VLOOKUP(A:A,'Regions and Ports'!A:F,6,FALSE)</f>
        <v>WTX</v>
      </c>
      <c r="G68" s="1" t="str">
        <f>VLOOKUP(A:A,'Regions and Ports'!A:G,7,FALSE)</f>
        <v>Dallas</v>
      </c>
      <c r="H68" s="87">
        <v>3</v>
      </c>
      <c r="I68" s="69">
        <f>VLOOKUP(A:A,'Seam Tariffs'!A:AB,9,FALSE)</f>
        <v>4.75</v>
      </c>
      <c r="J68" s="69">
        <f>VLOOKUP(A:A,'Seam Tariffs'!A:AB,11,FALSE)</f>
        <v>7</v>
      </c>
      <c r="K68" s="69">
        <f>VLOOKUP(A:A,'Seam Tariffs'!A:AB,12,FALSE)</f>
        <v>9.9499999999999993</v>
      </c>
      <c r="L68" s="69">
        <f>VLOOKUP(A:A,'Seam Tariffs'!A:AB,13,FALSE)</f>
        <v>0</v>
      </c>
      <c r="M68" s="69">
        <f>VLOOKUP(A:A,'Seam Tariffs'!A:AB,14,FALSE)</f>
        <v>1.3</v>
      </c>
      <c r="N68" s="69">
        <f>VLOOKUP(A:A,'Seam Tariffs'!A:AB,28,FALSE)</f>
        <v>3.75</v>
      </c>
      <c r="O68" s="69">
        <f>COSTS!$W$6</f>
        <v>1.8958333333333335</v>
      </c>
      <c r="P68" s="69">
        <f>VLOOKUP(G68,COSTS!$V$11:$X$14,3,FALSE)</f>
        <v>0</v>
      </c>
      <c r="Q68" s="69">
        <f t="shared" si="7"/>
        <v>28.645833333333332</v>
      </c>
      <c r="R68" s="69">
        <f t="shared" si="8"/>
        <v>22.595833333333331</v>
      </c>
      <c r="S68" s="87">
        <f>VLOOKUP(A:A,'Flat Bed &amp; Late Fees'!A:J,6,FALSE)</f>
        <v>0</v>
      </c>
      <c r="T68" s="87">
        <f>VLOOKUP(A:A,'Flat Bed &amp; Late Fees'!A:J,7,FALSE)</f>
        <v>0</v>
      </c>
      <c r="U68" s="68">
        <f>VLOOKUP(C68&amp;G68,OTR!E:J,6,FALSE)/88</f>
        <v>6.5340909090909092</v>
      </c>
      <c r="V68" s="87"/>
      <c r="W68" s="68">
        <f t="shared" si="9"/>
        <v>6.5340909090909092</v>
      </c>
      <c r="X68" s="69">
        <f>VLOOKUP(G68,COSTS!$Z$18:$AC$23,2,FALSE)</f>
        <v>2.7</v>
      </c>
      <c r="Y68" s="87">
        <f>VLOOKUP(G68,COSTS!$Z$18:$AC$23,4,FALSE)</f>
        <v>2.52</v>
      </c>
      <c r="Z68" s="69">
        <f>(COSTS!$W$3*COSTS!$W$4*500)/52*COSTS!$AE$17</f>
        <v>1.3125</v>
      </c>
      <c r="AB68" s="69">
        <f t="shared" si="10"/>
        <v>6.5325000000000006</v>
      </c>
      <c r="AC68" s="69">
        <f>VLOOKUP(G68,COSTS!$Z$11:$AE$14,5,FALSE)</f>
        <v>8.125</v>
      </c>
      <c r="AD68" s="69">
        <f>VLOOKUP(G68,COSTS!$Z$4:$AD$7,4,FALSE)</f>
        <v>13.409090909090908</v>
      </c>
      <c r="AE68" s="69"/>
      <c r="AF68" s="69">
        <f t="shared" si="11"/>
        <v>21.534090909090907</v>
      </c>
      <c r="AG68" s="87">
        <f>((COSTS!$C$5*88)/20)/88</f>
        <v>1.4407150000000002</v>
      </c>
      <c r="AH68" s="69">
        <f>(COSTS!$X$38/88)*20</f>
        <v>0.34865702479338845</v>
      </c>
      <c r="AI68" s="87">
        <f>((COSTS!$E$5*88)/20)/88</f>
        <v>0.62936587135988387</v>
      </c>
      <c r="AJ68" s="87">
        <f>((COSTS!$D$5*88)/20)/88</f>
        <v>0.33676</v>
      </c>
      <c r="AL68" s="387">
        <f t="shared" si="12"/>
        <v>2.7554978961532726</v>
      </c>
      <c r="AM68" s="69">
        <f>(COSTS!$W$3+0.1)*500*0.01</f>
        <v>3.9999999999999996</v>
      </c>
      <c r="AN68" s="387">
        <f>((COSTS!$G$5/20)*88)/88</f>
        <v>1.308904109589041</v>
      </c>
      <c r="AR68" s="69">
        <f t="shared" si="13"/>
        <v>5.3089041095890401</v>
      </c>
      <c r="AT68" s="1" t="e">
        <f>VLOOKUP(C68&amp;$AT$1,OTR!E:J,6,FALSE)/88</f>
        <v>#N/A</v>
      </c>
      <c r="AU68" s="1" t="e">
        <f>VLOOKUP(C68&amp;$AU$1,OTR!E:J,6,FALSE)/88</f>
        <v>#N/A</v>
      </c>
    </row>
    <row r="69" spans="1:47">
      <c r="A69" s="125">
        <v>840515</v>
      </c>
      <c r="B69" s="1" t="s">
        <v>214</v>
      </c>
      <c r="C69" s="1" t="s">
        <v>215</v>
      </c>
      <c r="D69" s="1" t="s">
        <v>71</v>
      </c>
      <c r="E69" s="1" t="s">
        <v>2067</v>
      </c>
      <c r="F69" s="1" t="str">
        <f>VLOOKUP(A:A,'Regions and Ports'!A:F,6,FALSE)</f>
        <v>WTX</v>
      </c>
      <c r="G69" s="1" t="s">
        <v>439</v>
      </c>
      <c r="H69" s="87">
        <v>2</v>
      </c>
      <c r="I69" s="69">
        <f>VLOOKUP(A:A,'Seam Tariffs'!A:AB,9,FALSE)</f>
        <v>4.75</v>
      </c>
      <c r="J69" s="69">
        <f>VLOOKUP(A:A,'Seam Tariffs'!A:AB,11,FALSE)</f>
        <v>7</v>
      </c>
      <c r="K69" s="69">
        <f>VLOOKUP(A:A,'Seam Tariffs'!A:AB,12,FALSE)</f>
        <v>9.9499999999999993</v>
      </c>
      <c r="L69" s="69">
        <f>VLOOKUP(A:A,'Seam Tariffs'!A:AB,13,FALSE)</f>
        <v>0</v>
      </c>
      <c r="M69" s="69">
        <f>VLOOKUP(A:A,'Seam Tariffs'!A:AB,14,FALSE)</f>
        <v>1.3</v>
      </c>
      <c r="N69" s="69">
        <f>VLOOKUP(A:A,'Seam Tariffs'!A:AB,28,FALSE)</f>
        <v>3.75</v>
      </c>
      <c r="O69" s="69">
        <f>COSTS!$W$6</f>
        <v>1.8958333333333335</v>
      </c>
      <c r="P69" s="69">
        <f>VLOOKUP(G69,COSTS!$V$11:$X$14,3,FALSE)</f>
        <v>0</v>
      </c>
      <c r="Q69" s="69">
        <f t="shared" si="7"/>
        <v>28.645833333333332</v>
      </c>
      <c r="R69" s="69">
        <f t="shared" si="8"/>
        <v>15.595833333333333</v>
      </c>
      <c r="S69" s="87">
        <f>VLOOKUP(A:A,'Flat Bed &amp; Late Fees'!A:J,6,FALSE)</f>
        <v>0</v>
      </c>
      <c r="T69" s="87">
        <f>VLOOKUP(A:A,'Flat Bed &amp; Late Fees'!A:J,7,FALSE)</f>
        <v>0</v>
      </c>
      <c r="U69" s="68" t="e">
        <f>VLOOKUP(C69&amp;G69,OTR!E:J,6,FALSE)/88</f>
        <v>#N/A</v>
      </c>
      <c r="V69" s="87"/>
      <c r="W69" s="68" t="e">
        <f t="shared" si="9"/>
        <v>#N/A</v>
      </c>
      <c r="X69" s="69">
        <f>VLOOKUP(G69,COSTS!$Z$18:$AC$23,2,FALSE)</f>
        <v>2.7</v>
      </c>
      <c r="Y69" s="87">
        <f>VLOOKUP(G69,COSTS!$Z$18:$AC$23,4,FALSE)</f>
        <v>2.52</v>
      </c>
      <c r="Z69" s="69">
        <f>(COSTS!$W$3*COSTS!$W$4*500)/52*COSTS!$AE$17</f>
        <v>1.3125</v>
      </c>
      <c r="AB69" s="69">
        <f t="shared" si="10"/>
        <v>6.5325000000000006</v>
      </c>
      <c r="AC69" s="69">
        <f>VLOOKUP(G69,COSTS!$Z$11:$AE$14,5,FALSE)</f>
        <v>6.6477272727272725</v>
      </c>
      <c r="AD69" s="69">
        <f>VLOOKUP(G69,COSTS!$Z$4:$AD$7,4,FALSE)</f>
        <v>9.8977272727272734</v>
      </c>
      <c r="AE69" s="69"/>
      <c r="AF69" s="69">
        <f t="shared" si="11"/>
        <v>16.545454545454547</v>
      </c>
      <c r="AG69" s="87">
        <f>((COSTS!$C$5*88)/20)/88</f>
        <v>1.4407150000000002</v>
      </c>
      <c r="AH69" s="69">
        <f>(COSTS!$X$38/88)*20</f>
        <v>0.34865702479338845</v>
      </c>
      <c r="AI69" s="87">
        <f>((COSTS!$E$5*88)/20)/88</f>
        <v>0.62936587135988387</v>
      </c>
      <c r="AJ69" s="87">
        <f>((COSTS!$D$5*88)/20)/88</f>
        <v>0.33676</v>
      </c>
      <c r="AL69" s="387">
        <f t="shared" si="12"/>
        <v>2.7554978961532726</v>
      </c>
      <c r="AM69" s="69">
        <f>(COSTS!$W$3+0.1)*500*0.01</f>
        <v>3.9999999999999996</v>
      </c>
      <c r="AN69" s="387">
        <f>((COSTS!$G$5/20)*88)/88</f>
        <v>1.308904109589041</v>
      </c>
      <c r="AR69" s="69">
        <f t="shared" si="13"/>
        <v>5.3089041095890401</v>
      </c>
      <c r="AT69" s="1" t="e">
        <f>VLOOKUP(C69&amp;$AT$1,OTR!E:J,6,FALSE)/88</f>
        <v>#N/A</v>
      </c>
      <c r="AU69" s="1" t="e">
        <f>VLOOKUP(C69&amp;$AU$1,OTR!E:J,6,FALSE)/88</f>
        <v>#N/A</v>
      </c>
    </row>
    <row r="70" spans="1:47">
      <c r="A70" s="1">
        <v>245509</v>
      </c>
      <c r="B70" s="1" t="s">
        <v>217</v>
      </c>
      <c r="C70" s="1" t="s">
        <v>218</v>
      </c>
      <c r="D70" s="1" t="s">
        <v>76</v>
      </c>
      <c r="E70" s="1" t="str">
        <f>VLOOKUP(A:A,'Regions and Ports'!A:G,5,FALSE)</f>
        <v>GA 30 Day</v>
      </c>
      <c r="F70" s="1" t="str">
        <f>VLOOKUP(A:A,'Regions and Ports'!A:F,6,FALSE)</f>
        <v>ER5</v>
      </c>
      <c r="G70" s="1" t="str">
        <f>VLOOKUP(A:A,'Regions and Ports'!A:G,7,FALSE)</f>
        <v>Savannah</v>
      </c>
      <c r="H70" s="87">
        <v>4</v>
      </c>
      <c r="I70" s="69">
        <f>VLOOKUP(A:A,'Seam Tariffs'!A:AB,9,FALSE)</f>
        <v>3</v>
      </c>
      <c r="J70" s="69">
        <f>VLOOKUP(A:A,'Seam Tariffs'!A:AB,11,FALSE)</f>
        <v>5</v>
      </c>
      <c r="K70" s="69">
        <f>VLOOKUP(A:A,'Seam Tariffs'!A:AB,12,FALSE)</f>
        <v>8</v>
      </c>
      <c r="L70" s="69">
        <f>VLOOKUP(A:A,'Seam Tariffs'!A:AB,13,FALSE)</f>
        <v>0</v>
      </c>
      <c r="M70" s="69">
        <f>VLOOKUP(A:A,'Seam Tariffs'!A:AB,14,FALSE)</f>
        <v>1</v>
      </c>
      <c r="N70" s="69">
        <f>VLOOKUP(A:A,'Seam Tariffs'!A:AB,28,FALSE)</f>
        <v>2.5</v>
      </c>
      <c r="O70" s="69">
        <f>COSTS!$W$6</f>
        <v>1.8958333333333335</v>
      </c>
      <c r="P70" s="69">
        <f>VLOOKUP(G70,COSTS!$V$11:$X$14,3,FALSE)</f>
        <v>0</v>
      </c>
      <c r="Q70" s="69">
        <f t="shared" si="7"/>
        <v>21.395833333333332</v>
      </c>
      <c r="R70" s="69">
        <f t="shared" si="8"/>
        <v>1.8958333333333335</v>
      </c>
      <c r="S70" s="87">
        <f>VLOOKUP(A:A,'Flat Bed &amp; Late Fees'!A:J,6,FALSE)</f>
        <v>0</v>
      </c>
      <c r="T70" s="87">
        <f>VLOOKUP(A:A,'Flat Bed &amp; Late Fees'!A:J,7,FALSE)</f>
        <v>0</v>
      </c>
      <c r="U70" s="68">
        <f>VLOOKUP(C70&amp;G70,OTR!E:J,6,FALSE)/88</f>
        <v>11.429318181818182</v>
      </c>
      <c r="V70" s="87"/>
      <c r="W70" s="68">
        <f t="shared" si="9"/>
        <v>11.429318181818182</v>
      </c>
      <c r="X70" s="69">
        <f>VLOOKUP(G70,COSTS!$Z$18:$AC$23,2,FALSE)</f>
        <v>2.6</v>
      </c>
      <c r="Y70" s="87">
        <f>VLOOKUP(G70,COSTS!$Z$18:$AC$23,4,FALSE)</f>
        <v>2.52</v>
      </c>
      <c r="Z70" s="69">
        <f>(COSTS!$W$3*COSTS!$W$4*500)/52*COSTS!$AE$17</f>
        <v>1.3125</v>
      </c>
      <c r="AB70" s="69">
        <f t="shared" si="10"/>
        <v>6.4325000000000001</v>
      </c>
      <c r="AC70" s="69">
        <f>VLOOKUP(G70,COSTS!$Z$11:$AE$14,5,FALSE)</f>
        <v>5.5113636363636367</v>
      </c>
      <c r="AD70" s="69">
        <f>VLOOKUP(G70,COSTS!$Z$4:$AD$7,4,FALSE)</f>
        <v>5.3522727272727275</v>
      </c>
      <c r="AE70" s="69"/>
      <c r="AF70" s="69">
        <f t="shared" si="11"/>
        <v>10.863636363636363</v>
      </c>
      <c r="AG70" s="87">
        <f>((COSTS!$C$5*88)/20)/88</f>
        <v>1.4407150000000002</v>
      </c>
      <c r="AH70" s="69">
        <f>(COSTS!$X$38/88)*20</f>
        <v>0.34865702479338845</v>
      </c>
      <c r="AI70" s="87">
        <f>((COSTS!$E$5*88)/20)/88</f>
        <v>0.62936587135988387</v>
      </c>
      <c r="AJ70" s="87">
        <f>((COSTS!$D$5*88)/20)/88</f>
        <v>0.33676</v>
      </c>
      <c r="AL70" s="387">
        <f t="shared" si="12"/>
        <v>2.7554978961532726</v>
      </c>
      <c r="AM70" s="69">
        <f>(COSTS!$W$3+0.1)*500*0.01</f>
        <v>3.9999999999999996</v>
      </c>
      <c r="AN70" s="387">
        <f>((COSTS!$G$5/20)*88)/88</f>
        <v>1.308904109589041</v>
      </c>
      <c r="AR70" s="69">
        <f t="shared" si="13"/>
        <v>5.3089041095890401</v>
      </c>
      <c r="AT70" s="1">
        <f>VLOOKUP(C70&amp;$AT$1,OTR!E:J,6,FALSE)/88</f>
        <v>26.092386363636361</v>
      </c>
      <c r="AU70" s="1">
        <f>VLOOKUP(C70&amp;$AU$1,OTR!E:J,6,FALSE)/88</f>
        <v>15.909090909090908</v>
      </c>
    </row>
    <row r="71" spans="1:47">
      <c r="A71" s="1">
        <v>245545</v>
      </c>
      <c r="B71" s="1" t="s">
        <v>220</v>
      </c>
      <c r="C71" s="1" t="s">
        <v>218</v>
      </c>
      <c r="D71" s="1" t="s">
        <v>76</v>
      </c>
      <c r="E71" s="1" t="str">
        <f>VLOOKUP(A:A,'Regions and Ports'!A:G,5,FALSE)</f>
        <v>GA 30 Day</v>
      </c>
      <c r="F71" s="1" t="str">
        <f>VLOOKUP(A:A,'Regions and Ports'!A:F,6,FALSE)</f>
        <v>ER5</v>
      </c>
      <c r="G71" s="1" t="str">
        <f>VLOOKUP(A:A,'Regions and Ports'!A:G,7,FALSE)</f>
        <v>Savannah</v>
      </c>
      <c r="H71" s="87">
        <v>4</v>
      </c>
      <c r="I71" s="69">
        <f>VLOOKUP(A:A,'Seam Tariffs'!A:AB,9,FALSE)</f>
        <v>3.85</v>
      </c>
      <c r="J71" s="69">
        <f>VLOOKUP(A:A,'Seam Tariffs'!A:AB,11,FALSE)</f>
        <v>5</v>
      </c>
      <c r="K71" s="69">
        <f>VLOOKUP(A:A,'Seam Tariffs'!A:AB,12,FALSE)</f>
        <v>0</v>
      </c>
      <c r="L71" s="69">
        <f>VLOOKUP(A:A,'Seam Tariffs'!A:AB,13,FALSE)</f>
        <v>0</v>
      </c>
      <c r="M71" s="69">
        <f>VLOOKUP(A:A,'Seam Tariffs'!A:AB,14,FALSE)</f>
        <v>1</v>
      </c>
      <c r="N71" s="69">
        <f>VLOOKUP(A:A,'Seam Tariffs'!A:AB,28,FALSE)</f>
        <v>3.75</v>
      </c>
      <c r="O71" s="69">
        <f>COSTS!$W$6</f>
        <v>1.8958333333333335</v>
      </c>
      <c r="P71" s="69">
        <f>VLOOKUP(G71,COSTS!$V$11:$X$14,3,FALSE)</f>
        <v>0</v>
      </c>
      <c r="Q71" s="69">
        <f t="shared" si="7"/>
        <v>15.495833333333334</v>
      </c>
      <c r="R71" s="69">
        <f t="shared" si="8"/>
        <v>1.8958333333333335</v>
      </c>
      <c r="S71" s="87">
        <f>VLOOKUP(A:A,'Flat Bed &amp; Late Fees'!A:J,6,FALSE)</f>
        <v>0</v>
      </c>
      <c r="T71" s="87">
        <f>VLOOKUP(A:A,'Flat Bed &amp; Late Fees'!A:J,7,FALSE)</f>
        <v>0</v>
      </c>
      <c r="U71" s="68">
        <f>VLOOKUP(C71&amp;G71,OTR!E:J,6,FALSE)/88</f>
        <v>11.429318181818182</v>
      </c>
      <c r="V71" s="87"/>
      <c r="W71" s="68">
        <f t="shared" si="9"/>
        <v>11.429318181818182</v>
      </c>
      <c r="X71" s="69">
        <f>VLOOKUP(G71,COSTS!$Z$18:$AC$23,2,FALSE)</f>
        <v>2.6</v>
      </c>
      <c r="Y71" s="87">
        <f>VLOOKUP(G71,COSTS!$Z$18:$AC$23,4,FALSE)</f>
        <v>2.52</v>
      </c>
      <c r="Z71" s="69">
        <f>(COSTS!$W$3*COSTS!$W$4*500)/52*COSTS!$AE$17</f>
        <v>1.3125</v>
      </c>
      <c r="AB71" s="69">
        <f t="shared" si="10"/>
        <v>6.4325000000000001</v>
      </c>
      <c r="AC71" s="69">
        <f>VLOOKUP(G71,COSTS!$Z$11:$AE$14,5,FALSE)</f>
        <v>5.5113636363636367</v>
      </c>
      <c r="AD71" s="69">
        <f>VLOOKUP(G71,COSTS!$Z$4:$AD$7,4,FALSE)</f>
        <v>5.3522727272727275</v>
      </c>
      <c r="AE71" s="69"/>
      <c r="AF71" s="69">
        <f t="shared" si="11"/>
        <v>10.863636363636363</v>
      </c>
      <c r="AG71" s="87">
        <f>((COSTS!$C$5*88)/20)/88</f>
        <v>1.4407150000000002</v>
      </c>
      <c r="AH71" s="69">
        <f>(COSTS!$X$38/88)*20</f>
        <v>0.34865702479338845</v>
      </c>
      <c r="AI71" s="87">
        <f>((COSTS!$E$5*88)/20)/88</f>
        <v>0.62936587135988387</v>
      </c>
      <c r="AJ71" s="87">
        <f>((COSTS!$D$5*88)/20)/88</f>
        <v>0.33676</v>
      </c>
      <c r="AL71" s="387">
        <f t="shared" si="12"/>
        <v>2.7554978961532726</v>
      </c>
      <c r="AM71" s="69">
        <f>(COSTS!$W$3+0.1)*500*0.01</f>
        <v>3.9999999999999996</v>
      </c>
      <c r="AN71" s="387">
        <f>((COSTS!$G$5/20)*88)/88</f>
        <v>1.308904109589041</v>
      </c>
      <c r="AR71" s="69">
        <f t="shared" si="13"/>
        <v>5.3089041095890401</v>
      </c>
      <c r="AT71" s="1">
        <f>VLOOKUP(C71&amp;$AT$1,OTR!E:J,6,FALSE)/88</f>
        <v>26.092386363636361</v>
      </c>
      <c r="AU71" s="1">
        <f>VLOOKUP(C71&amp;$AU$1,OTR!E:J,6,FALSE)/88</f>
        <v>15.909090909090908</v>
      </c>
    </row>
    <row r="72" spans="1:47">
      <c r="A72" s="1">
        <v>840512</v>
      </c>
      <c r="B72" s="1" t="s">
        <v>221</v>
      </c>
      <c r="C72" s="1" t="s">
        <v>222</v>
      </c>
      <c r="D72" s="1" t="s">
        <v>71</v>
      </c>
      <c r="E72" s="1" t="str">
        <f>VLOOKUP(A:A,'Regions and Ports'!A:G,5,FALSE)</f>
        <v>STEX</v>
      </c>
      <c r="F72" s="1" t="str">
        <f>VLOOKUP(A:A,'Regions and Ports'!A:F,6,FALSE)</f>
        <v>STX</v>
      </c>
      <c r="G72" s="1" t="str">
        <f>VLOOKUP(A:A,'Regions and Ports'!A:G,7,FALSE)</f>
        <v>Houston</v>
      </c>
      <c r="H72" s="87">
        <v>3</v>
      </c>
      <c r="I72" s="69">
        <f>VLOOKUP(A:A,'Seam Tariffs'!A:AB,9,FALSE)</f>
        <v>5.5</v>
      </c>
      <c r="J72" s="69">
        <f>VLOOKUP(A:A,'Seam Tariffs'!A:AB,11,FALSE)</f>
        <v>17.5</v>
      </c>
      <c r="K72" s="69">
        <f>VLOOKUP(A:A,'Seam Tariffs'!A:AB,12,FALSE)</f>
        <v>0</v>
      </c>
      <c r="L72" s="69">
        <f>VLOOKUP(A:A,'Seam Tariffs'!A:AB,13,FALSE)</f>
        <v>0</v>
      </c>
      <c r="M72" s="69">
        <f>VLOOKUP(A:A,'Seam Tariffs'!A:AB,14,FALSE)</f>
        <v>0</v>
      </c>
      <c r="N72" s="69">
        <f>VLOOKUP(A:A,'Seam Tariffs'!A:AB,28,FALSE)</f>
        <v>4</v>
      </c>
      <c r="O72" s="69">
        <f>COSTS!$W$6</f>
        <v>1.8958333333333335</v>
      </c>
      <c r="P72" s="69">
        <f>VLOOKUP(G72,COSTS!$V$11:$X$14,3,FALSE)</f>
        <v>0</v>
      </c>
      <c r="Q72" s="69">
        <f t="shared" si="7"/>
        <v>28.895833333333332</v>
      </c>
      <c r="R72" s="69">
        <f t="shared" si="8"/>
        <v>23.395833333333332</v>
      </c>
      <c r="S72" s="87">
        <f>VLOOKUP(A:A,'Flat Bed &amp; Late Fees'!A:J,6,FALSE)</f>
        <v>1</v>
      </c>
      <c r="T72" s="87">
        <f>VLOOKUP(A:A,'Flat Bed &amp; Late Fees'!A:J,7,FALSE)</f>
        <v>0</v>
      </c>
      <c r="U72" s="68">
        <f>VLOOKUP(C72&amp;G72,OTR!E:J,6,FALSE)/88</f>
        <v>10.369318181818182</v>
      </c>
      <c r="V72" s="87"/>
      <c r="W72" s="68">
        <f t="shared" si="9"/>
        <v>11.369318181818182</v>
      </c>
      <c r="X72" s="69">
        <f>VLOOKUP(G72,COSTS!$Z$18:$AC$23,2,FALSE)</f>
        <v>2.7</v>
      </c>
      <c r="Y72" s="87">
        <f>VLOOKUP(G72,COSTS!$Z$18:$AC$23,4,FALSE)</f>
        <v>2.52</v>
      </c>
      <c r="Z72" s="69">
        <f>(COSTS!$W$3*COSTS!$W$4*500)/52*COSTS!$AE$17</f>
        <v>1.3125</v>
      </c>
      <c r="AB72" s="69">
        <f t="shared" si="10"/>
        <v>6.5325000000000006</v>
      </c>
      <c r="AC72" s="69">
        <f>VLOOKUP(G72,COSTS!$Z$11:$AE$14,5,FALSE)</f>
        <v>6.6477272727272725</v>
      </c>
      <c r="AD72" s="69">
        <f>VLOOKUP(G72,COSTS!$Z$4:$AD$7,4,FALSE)</f>
        <v>9.8977272727272734</v>
      </c>
      <c r="AE72" s="69"/>
      <c r="AF72" s="69">
        <f t="shared" si="11"/>
        <v>16.545454545454547</v>
      </c>
      <c r="AG72" s="87">
        <f>((COSTS!$C$5*88)/20)/88</f>
        <v>1.4407150000000002</v>
      </c>
      <c r="AH72" s="69">
        <f>(COSTS!$X$38/88)*20</f>
        <v>0.34865702479338845</v>
      </c>
      <c r="AI72" s="87">
        <f>((COSTS!$E$5*88)/20)/88</f>
        <v>0.62936587135988387</v>
      </c>
      <c r="AJ72" s="87">
        <f>((COSTS!$D$5*88)/20)/88</f>
        <v>0.33676</v>
      </c>
      <c r="AL72" s="387">
        <f t="shared" si="12"/>
        <v>2.7554978961532726</v>
      </c>
      <c r="AM72" s="69">
        <f>(COSTS!$W$3+0.1)*500*0.01</f>
        <v>3.9999999999999996</v>
      </c>
      <c r="AN72" s="387">
        <f>((COSTS!$G$5/20)*88)/88</f>
        <v>1.308904109589041</v>
      </c>
      <c r="AR72" s="69">
        <f t="shared" si="13"/>
        <v>5.3089041095890401</v>
      </c>
      <c r="AT72" s="1">
        <f>VLOOKUP(C72&amp;$AT$1,OTR!E:J,6,FALSE)/88</f>
        <v>11.864204545454545</v>
      </c>
      <c r="AU72" s="1" t="e">
        <f>VLOOKUP(C72&amp;$AU$1,OTR!E:J,6,FALSE)/88</f>
        <v>#N/A</v>
      </c>
    </row>
    <row r="73" spans="1:47">
      <c r="A73" s="1">
        <v>840513</v>
      </c>
      <c r="B73" s="1" t="s">
        <v>224</v>
      </c>
      <c r="C73" s="1" t="s">
        <v>222</v>
      </c>
      <c r="D73" s="1" t="s">
        <v>71</v>
      </c>
      <c r="E73" s="1" t="str">
        <f>VLOOKUP(A:A,'Regions and Ports'!A:G,5,FALSE)</f>
        <v>STEX</v>
      </c>
      <c r="F73" s="1" t="str">
        <f>VLOOKUP(A:A,'Regions and Ports'!A:F,6,FALSE)</f>
        <v>STX</v>
      </c>
      <c r="G73" s="1" t="str">
        <f>VLOOKUP(A:A,'Regions and Ports'!A:G,7,FALSE)</f>
        <v>Houston</v>
      </c>
      <c r="H73" s="87">
        <v>3</v>
      </c>
      <c r="I73" s="69">
        <f>VLOOKUP(A:A,'Seam Tariffs'!A:AB,9,FALSE)</f>
        <v>5.5</v>
      </c>
      <c r="J73" s="69">
        <f>VLOOKUP(A:A,'Seam Tariffs'!A:AB,11,FALSE)</f>
        <v>17.5</v>
      </c>
      <c r="K73" s="69">
        <f>VLOOKUP(A:A,'Seam Tariffs'!A:AB,12,FALSE)</f>
        <v>0</v>
      </c>
      <c r="L73" s="69">
        <f>VLOOKUP(A:A,'Seam Tariffs'!A:AB,13,FALSE)</f>
        <v>0</v>
      </c>
      <c r="M73" s="69">
        <f>VLOOKUP(A:A,'Seam Tariffs'!A:AB,14,FALSE)</f>
        <v>0</v>
      </c>
      <c r="N73" s="69">
        <f>VLOOKUP(A:A,'Seam Tariffs'!A:AB,28,FALSE)</f>
        <v>4</v>
      </c>
      <c r="O73" s="69">
        <f>COSTS!$W$6</f>
        <v>1.8958333333333335</v>
      </c>
      <c r="P73" s="69">
        <f>VLOOKUP(G73,COSTS!$V$11:$X$14,3,FALSE)</f>
        <v>0</v>
      </c>
      <c r="Q73" s="69">
        <f t="shared" si="7"/>
        <v>28.895833333333332</v>
      </c>
      <c r="R73" s="69">
        <f t="shared" si="8"/>
        <v>23.395833333333332</v>
      </c>
      <c r="S73" s="87">
        <f>VLOOKUP(A:A,'Flat Bed &amp; Late Fees'!A:J,6,FALSE)</f>
        <v>1</v>
      </c>
      <c r="T73" s="87">
        <f>VLOOKUP(A:A,'Flat Bed &amp; Late Fees'!A:J,7,FALSE)</f>
        <v>0</v>
      </c>
      <c r="U73" s="68">
        <f>VLOOKUP(C73&amp;G73,OTR!E:J,6,FALSE)/88</f>
        <v>10.369318181818182</v>
      </c>
      <c r="V73" s="87"/>
      <c r="W73" s="68">
        <f t="shared" si="9"/>
        <v>11.369318181818182</v>
      </c>
      <c r="X73" s="69">
        <f>VLOOKUP(G73,COSTS!$Z$18:$AC$23,2,FALSE)</f>
        <v>2.7</v>
      </c>
      <c r="Y73" s="87">
        <f>VLOOKUP(G73,COSTS!$Z$18:$AC$23,4,FALSE)</f>
        <v>2.52</v>
      </c>
      <c r="Z73" s="69">
        <f>(COSTS!$W$3*COSTS!$W$4*500)/52*COSTS!$AE$17</f>
        <v>1.3125</v>
      </c>
      <c r="AB73" s="69">
        <f t="shared" si="10"/>
        <v>6.5325000000000006</v>
      </c>
      <c r="AC73" s="69">
        <f>VLOOKUP(G73,COSTS!$Z$11:$AE$14,5,FALSE)</f>
        <v>6.6477272727272725</v>
      </c>
      <c r="AD73" s="69">
        <f>VLOOKUP(G73,COSTS!$Z$4:$AD$7,4,FALSE)</f>
        <v>9.8977272727272734</v>
      </c>
      <c r="AE73" s="69"/>
      <c r="AF73" s="69">
        <f t="shared" si="11"/>
        <v>16.545454545454547</v>
      </c>
      <c r="AG73" s="87">
        <f>((COSTS!$C$5*88)/20)/88</f>
        <v>1.4407150000000002</v>
      </c>
      <c r="AH73" s="69">
        <f>(COSTS!$X$38/88)*20</f>
        <v>0.34865702479338845</v>
      </c>
      <c r="AI73" s="87">
        <f>((COSTS!$E$5*88)/20)/88</f>
        <v>0.62936587135988387</v>
      </c>
      <c r="AJ73" s="87">
        <f>((COSTS!$D$5*88)/20)/88</f>
        <v>0.33676</v>
      </c>
      <c r="AL73" s="387">
        <f t="shared" si="12"/>
        <v>2.7554978961532726</v>
      </c>
      <c r="AM73" s="69">
        <f>(COSTS!$W$3+0.1)*500*0.01</f>
        <v>3.9999999999999996</v>
      </c>
      <c r="AN73" s="387">
        <f>((COSTS!$G$5/20)*88)/88</f>
        <v>1.308904109589041</v>
      </c>
      <c r="AR73" s="69">
        <f t="shared" si="13"/>
        <v>5.3089041095890401</v>
      </c>
      <c r="AT73" s="1">
        <f>VLOOKUP(C73&amp;$AT$1,OTR!E:J,6,FALSE)/88</f>
        <v>11.864204545454545</v>
      </c>
      <c r="AU73" s="1" t="e">
        <f>VLOOKUP(C73&amp;$AU$1,OTR!E:J,6,FALSE)/88</f>
        <v>#N/A</v>
      </c>
    </row>
    <row r="74" spans="1:47">
      <c r="A74" s="1">
        <v>29010</v>
      </c>
      <c r="B74" s="1" t="s">
        <v>225</v>
      </c>
      <c r="C74" s="1" t="s">
        <v>226</v>
      </c>
      <c r="D74" s="1" t="s">
        <v>65</v>
      </c>
      <c r="E74" s="1" t="str">
        <f>VLOOKUP(A:A,'Regions and Ports'!A:G,5,FALSE)</f>
        <v>Eastern Rule 5</v>
      </c>
      <c r="F74" s="1" t="str">
        <f>VLOOKUP(A:A,'Regions and Ports'!A:F,6,FALSE)</f>
        <v>ER5</v>
      </c>
      <c r="G74" s="1" t="str">
        <f>VLOOKUP(A:A,'Regions and Ports'!A:G,7,FALSE)</f>
        <v>Memphis</v>
      </c>
      <c r="H74" s="87">
        <v>1</v>
      </c>
      <c r="I74" s="69">
        <f>VLOOKUP(A:A,'Seam Tariffs'!A:AB,9,FALSE)</f>
        <v>4</v>
      </c>
      <c r="J74" s="69">
        <f>VLOOKUP(A:A,'Seam Tariffs'!A:AB,11,FALSE)</f>
        <v>6.7</v>
      </c>
      <c r="K74" s="69">
        <f>VLOOKUP(A:A,'Seam Tariffs'!A:AB,12,FALSE)</f>
        <v>7.5</v>
      </c>
      <c r="L74" s="69">
        <f>VLOOKUP(A:A,'Seam Tariffs'!A:AB,13,FALSE)</f>
        <v>0</v>
      </c>
      <c r="M74" s="69">
        <f>VLOOKUP(A:A,'Seam Tariffs'!A:AB,14,FALSE)</f>
        <v>0.5</v>
      </c>
      <c r="N74" s="69">
        <f>VLOOKUP(A:A,'Seam Tariffs'!A:AB,28,FALSE)</f>
        <v>2.5</v>
      </c>
      <c r="O74" s="69">
        <f>COSTS!$W$6</f>
        <v>1.8958333333333335</v>
      </c>
      <c r="P74" s="69">
        <f>VLOOKUP(G74,COSTS!$V$11:$X$14,3,FALSE)</f>
        <v>0</v>
      </c>
      <c r="Q74" s="69">
        <f t="shared" si="7"/>
        <v>23.095833333333331</v>
      </c>
      <c r="R74" s="69">
        <f t="shared" si="8"/>
        <v>4.3958333333333339</v>
      </c>
      <c r="S74" s="87">
        <f>VLOOKUP(A:A,'Flat Bed &amp; Late Fees'!A:J,6,FALSE)</f>
        <v>0</v>
      </c>
      <c r="T74" s="87">
        <f>VLOOKUP(A:A,'Flat Bed &amp; Late Fees'!A:J,7,FALSE)</f>
        <v>0</v>
      </c>
      <c r="U74" s="68">
        <f>VLOOKUP(C74&amp;G74,OTR!E:J,6,FALSE)/88</f>
        <v>11.234204545454546</v>
      </c>
      <c r="V74" s="87"/>
      <c r="W74" s="68">
        <f t="shared" si="9"/>
        <v>11.234204545454546</v>
      </c>
      <c r="X74" s="69">
        <f>VLOOKUP(G74,COSTS!$Z$18:$AC$23,2,FALSE)</f>
        <v>2.5</v>
      </c>
      <c r="Y74" s="87">
        <f>VLOOKUP(G74,COSTS!$Z$18:$AC$23,4,FALSE)</f>
        <v>1.68</v>
      </c>
      <c r="Z74" s="69">
        <f>(COSTS!$W$3*COSTS!$W$4*500)/52*COSTS!$AE$17</f>
        <v>1.3125</v>
      </c>
      <c r="AB74" s="69">
        <f t="shared" si="10"/>
        <v>5.4924999999999997</v>
      </c>
      <c r="AC74" s="69">
        <f>VLOOKUP(G74,COSTS!$Z$11:$AE$14,5,FALSE)</f>
        <v>7.3011363636363633</v>
      </c>
      <c r="AD74" s="69">
        <f>VLOOKUP(G74,COSTS!$Z$4:$AD$7,4,FALSE)</f>
        <v>9.1363636363636367</v>
      </c>
      <c r="AE74" s="69"/>
      <c r="AF74" s="69">
        <f t="shared" si="11"/>
        <v>16.4375</v>
      </c>
      <c r="AG74" s="87">
        <f>((COSTS!$C$5*88)/20)/88</f>
        <v>1.4407150000000002</v>
      </c>
      <c r="AH74" s="69">
        <f>(COSTS!$X$38/88)*20</f>
        <v>0.34865702479338845</v>
      </c>
      <c r="AI74" s="87">
        <f>((COSTS!$E$5*88)/20)/88</f>
        <v>0.62936587135988387</v>
      </c>
      <c r="AJ74" s="87">
        <f>((COSTS!$D$5*88)/20)/88</f>
        <v>0.33676</v>
      </c>
      <c r="AL74" s="387">
        <f t="shared" si="12"/>
        <v>2.7554978961532726</v>
      </c>
      <c r="AM74" s="69">
        <f>(COSTS!$W$3+0.1)*500*0.01</f>
        <v>3.9999999999999996</v>
      </c>
      <c r="AN74" s="387">
        <f>((COSTS!$G$5/20)*88)/88</f>
        <v>1.308904109589041</v>
      </c>
      <c r="AR74" s="69">
        <f t="shared" si="13"/>
        <v>5.3089041095890401</v>
      </c>
      <c r="AT74" s="1" t="e">
        <f>VLOOKUP(C74&amp;$AT$1,OTR!E:J,6,FALSE)/88</f>
        <v>#N/A</v>
      </c>
      <c r="AU74" s="1">
        <f>VLOOKUP(C74&amp;$AU$1,OTR!E:J,6,FALSE)/88</f>
        <v>18.039772727272727</v>
      </c>
    </row>
    <row r="75" spans="1:47">
      <c r="A75" s="1">
        <v>788008</v>
      </c>
      <c r="B75" s="1" t="s">
        <v>228</v>
      </c>
      <c r="C75" s="1" t="s">
        <v>229</v>
      </c>
      <c r="D75" s="1" t="s">
        <v>168</v>
      </c>
      <c r="E75" s="1" t="str">
        <f>VLOOKUP(A:A,'Regions and Ports'!A:G,5,FALSE)</f>
        <v>Memphis Rule 5</v>
      </c>
      <c r="F75" s="1" t="str">
        <f>VLOOKUP(A:A,'Regions and Ports'!A:F,6,FALSE)</f>
        <v>MR5</v>
      </c>
      <c r="G75" s="1" t="str">
        <f>VLOOKUP(A:A,'Regions and Ports'!A:G,7,FALSE)</f>
        <v>Memphis</v>
      </c>
      <c r="H75" s="87">
        <v>1</v>
      </c>
      <c r="I75" s="69">
        <f>VLOOKUP(A:A,'Seam Tariffs'!A:AB,9,FALSE)</f>
        <v>3.05</v>
      </c>
      <c r="J75" s="69">
        <f>VLOOKUP(A:A,'Seam Tariffs'!A:AB,11,FALSE)</f>
        <v>8.5</v>
      </c>
      <c r="K75" s="69">
        <f>VLOOKUP(A:A,'Seam Tariffs'!A:AB,12,FALSE)</f>
        <v>6</v>
      </c>
      <c r="L75" s="69">
        <f>VLOOKUP(A:A,'Seam Tariffs'!A:AB,13,FALSE)</f>
        <v>0</v>
      </c>
      <c r="M75" s="69">
        <f>VLOOKUP(A:A,'Seam Tariffs'!A:AB,14,FALSE)</f>
        <v>0</v>
      </c>
      <c r="N75" s="69">
        <f>VLOOKUP(A:A,'Seam Tariffs'!A:AB,28,FALSE)</f>
        <v>3.55</v>
      </c>
      <c r="O75" s="69">
        <f>COSTS!$W$6</f>
        <v>1.8958333333333335</v>
      </c>
      <c r="P75" s="69">
        <f>VLOOKUP(G75,COSTS!$V$11:$X$14,3,FALSE)</f>
        <v>0</v>
      </c>
      <c r="Q75" s="69">
        <f t="shared" si="7"/>
        <v>22.995833333333334</v>
      </c>
      <c r="R75" s="69">
        <f t="shared" si="8"/>
        <v>5.4458333333333329</v>
      </c>
      <c r="S75" s="87">
        <f>VLOOKUP(A:A,'Flat Bed &amp; Late Fees'!A:J,6,FALSE)</f>
        <v>0</v>
      </c>
      <c r="T75" s="87">
        <f>VLOOKUP(A:A,'Flat Bed &amp; Late Fees'!A:J,7,FALSE)</f>
        <v>0</v>
      </c>
      <c r="U75" s="68">
        <f>VLOOKUP(C75&amp;G75,OTR!E:J,6,FALSE)/88</f>
        <v>9.5</v>
      </c>
      <c r="V75" s="87"/>
      <c r="W75" s="68">
        <f t="shared" si="9"/>
        <v>9.5</v>
      </c>
      <c r="X75" s="69">
        <f>VLOOKUP(G75,COSTS!$Z$18:$AC$23,2,FALSE)</f>
        <v>2.5</v>
      </c>
      <c r="Y75" s="87">
        <f>VLOOKUP(G75,COSTS!$Z$18:$AC$23,4,FALSE)</f>
        <v>1.68</v>
      </c>
      <c r="Z75" s="69">
        <f>(COSTS!$W$3*COSTS!$W$4*500)/52*COSTS!$AE$17</f>
        <v>1.3125</v>
      </c>
      <c r="AB75" s="69">
        <f t="shared" si="10"/>
        <v>5.4924999999999997</v>
      </c>
      <c r="AC75" s="69">
        <f>VLOOKUP(G75,COSTS!$Z$11:$AE$14,5,FALSE)</f>
        <v>7.3011363636363633</v>
      </c>
      <c r="AD75" s="69">
        <f>VLOOKUP(G75,COSTS!$Z$4:$AD$7,4,FALSE)</f>
        <v>9.1363636363636367</v>
      </c>
      <c r="AE75" s="69"/>
      <c r="AF75" s="69">
        <f t="shared" si="11"/>
        <v>16.4375</v>
      </c>
      <c r="AG75" s="87">
        <f>((COSTS!$C$5*88)/20)/88</f>
        <v>1.4407150000000002</v>
      </c>
      <c r="AH75" s="69">
        <f>(COSTS!$X$38/88)*20</f>
        <v>0.34865702479338845</v>
      </c>
      <c r="AI75" s="87">
        <f>((COSTS!$E$5*88)/20)/88</f>
        <v>0.62936587135988387</v>
      </c>
      <c r="AJ75" s="87">
        <f>((COSTS!$D$5*88)/20)/88</f>
        <v>0.33676</v>
      </c>
      <c r="AL75" s="387">
        <f t="shared" si="12"/>
        <v>2.7554978961532726</v>
      </c>
      <c r="AM75" s="69">
        <f>(COSTS!$W$3+0.1)*500*0.01</f>
        <v>3.9999999999999996</v>
      </c>
      <c r="AN75" s="387">
        <f>((COSTS!$G$5/20)*88)/88</f>
        <v>1.308904109589041</v>
      </c>
      <c r="AR75" s="69">
        <f t="shared" si="13"/>
        <v>5.3089041095890401</v>
      </c>
      <c r="AT75" s="1">
        <f>VLOOKUP(C75&amp;$AT$1,OTR!E:J,6,FALSE)/88</f>
        <v>27.03772727272727</v>
      </c>
      <c r="AU75" s="1">
        <f>VLOOKUP(C75&amp;$AU$1,OTR!E:J,6,FALSE)/88</f>
        <v>21.005681818181817</v>
      </c>
    </row>
    <row r="76" spans="1:47">
      <c r="A76" s="1">
        <v>788020</v>
      </c>
      <c r="B76" s="1" t="s">
        <v>231</v>
      </c>
      <c r="C76" s="1" t="s">
        <v>229</v>
      </c>
      <c r="D76" s="1" t="s">
        <v>168</v>
      </c>
      <c r="E76" s="1" t="str">
        <f>VLOOKUP(A:A,'Regions and Ports'!A:G,5,FALSE)</f>
        <v>Memphis Rule 5</v>
      </c>
      <c r="F76" s="1" t="str">
        <f>VLOOKUP(A:A,'Regions and Ports'!A:F,6,FALSE)</f>
        <v>MR5</v>
      </c>
      <c r="G76" s="1" t="str">
        <f>VLOOKUP(A:A,'Regions and Ports'!A:G,7,FALSE)</f>
        <v>Memphis</v>
      </c>
      <c r="H76" s="87">
        <v>1</v>
      </c>
      <c r="I76" s="69">
        <f>VLOOKUP(A:A,'Seam Tariffs'!A:AB,9,FALSE)</f>
        <v>2</v>
      </c>
      <c r="J76" s="69">
        <f>VLOOKUP(A:A,'Seam Tariffs'!A:AB,11,FALSE)</f>
        <v>14</v>
      </c>
      <c r="K76" s="69">
        <f>VLOOKUP(A:A,'Seam Tariffs'!A:AB,12,FALSE)</f>
        <v>0</v>
      </c>
      <c r="L76" s="69">
        <f>VLOOKUP(A:A,'Seam Tariffs'!A:AB,13,FALSE)</f>
        <v>0.3</v>
      </c>
      <c r="M76" s="69">
        <f>VLOOKUP(A:A,'Seam Tariffs'!A:AB,14,FALSE)</f>
        <v>0</v>
      </c>
      <c r="N76" s="69">
        <f>VLOOKUP(A:A,'Seam Tariffs'!A:AB,28,FALSE)</f>
        <v>3.25</v>
      </c>
      <c r="O76" s="69">
        <f>COSTS!$W$6</f>
        <v>1.8958333333333335</v>
      </c>
      <c r="P76" s="69">
        <f>VLOOKUP(G76,COSTS!$V$11:$X$14,3,FALSE)</f>
        <v>0</v>
      </c>
      <c r="Q76" s="69">
        <f t="shared" si="7"/>
        <v>21.445833333333333</v>
      </c>
      <c r="R76" s="69">
        <f t="shared" si="8"/>
        <v>5.1458333333333339</v>
      </c>
      <c r="S76" s="87">
        <f>VLOOKUP(A:A,'Flat Bed &amp; Late Fees'!A:J,6,FALSE)</f>
        <v>0</v>
      </c>
      <c r="T76" s="87">
        <f>VLOOKUP(A:A,'Flat Bed &amp; Late Fees'!A:J,7,FALSE)</f>
        <v>0</v>
      </c>
      <c r="U76" s="68">
        <f>VLOOKUP(C76&amp;G76,OTR!E:J,6,FALSE)/88</f>
        <v>9.5</v>
      </c>
      <c r="V76" s="87"/>
      <c r="W76" s="68">
        <f t="shared" si="9"/>
        <v>9.5</v>
      </c>
      <c r="X76" s="69">
        <f>VLOOKUP(G76,COSTS!$Z$18:$AC$23,2,FALSE)</f>
        <v>2.5</v>
      </c>
      <c r="Y76" s="87">
        <f>VLOOKUP(G76,COSTS!$Z$18:$AC$23,4,FALSE)</f>
        <v>1.68</v>
      </c>
      <c r="Z76" s="69">
        <f>(COSTS!$W$3*COSTS!$W$4*500)/52*COSTS!$AE$17</f>
        <v>1.3125</v>
      </c>
      <c r="AB76" s="69">
        <f t="shared" si="10"/>
        <v>5.4924999999999997</v>
      </c>
      <c r="AC76" s="69">
        <f>VLOOKUP(G76,COSTS!$Z$11:$AE$14,5,FALSE)</f>
        <v>7.3011363636363633</v>
      </c>
      <c r="AD76" s="69">
        <f>VLOOKUP(G76,COSTS!$Z$4:$AD$7,4,FALSE)</f>
        <v>9.1363636363636367</v>
      </c>
      <c r="AE76" s="69"/>
      <c r="AF76" s="69">
        <f t="shared" si="11"/>
        <v>16.4375</v>
      </c>
      <c r="AG76" s="87">
        <f>((COSTS!$C$5*88)/20)/88</f>
        <v>1.4407150000000002</v>
      </c>
      <c r="AH76" s="69">
        <f>(COSTS!$X$38/88)*20</f>
        <v>0.34865702479338845</v>
      </c>
      <c r="AI76" s="87">
        <f>((COSTS!$E$5*88)/20)/88</f>
        <v>0.62936587135988387</v>
      </c>
      <c r="AJ76" s="87">
        <f>((COSTS!$D$5*88)/20)/88</f>
        <v>0.33676</v>
      </c>
      <c r="AL76" s="387">
        <f t="shared" si="12"/>
        <v>2.7554978961532726</v>
      </c>
      <c r="AM76" s="69">
        <f>(COSTS!$W$3+0.1)*500*0.01</f>
        <v>3.9999999999999996</v>
      </c>
      <c r="AN76" s="387">
        <f>((COSTS!$G$5/20)*88)/88</f>
        <v>1.308904109589041</v>
      </c>
      <c r="AR76" s="69">
        <f t="shared" si="13"/>
        <v>5.3089041095890401</v>
      </c>
      <c r="AT76" s="1">
        <f>VLOOKUP(C76&amp;$AT$1,OTR!E:J,6,FALSE)/88</f>
        <v>27.03772727272727</v>
      </c>
      <c r="AU76" s="1">
        <f>VLOOKUP(C76&amp;$AU$1,OTR!E:J,6,FALSE)/88</f>
        <v>21.005681818181817</v>
      </c>
    </row>
    <row r="77" spans="1:47">
      <c r="A77" s="1">
        <v>153505</v>
      </c>
      <c r="B77" s="1" t="s">
        <v>232</v>
      </c>
      <c r="C77" s="1" t="s">
        <v>233</v>
      </c>
      <c r="D77" s="1" t="s">
        <v>149</v>
      </c>
      <c r="E77" s="1" t="str">
        <f>VLOOKUP(A:A,'Regions and Ports'!A:G,5,FALSE)</f>
        <v>Memphis Rule 5</v>
      </c>
      <c r="F77" s="1" t="str">
        <f>VLOOKUP(A:A,'Regions and Ports'!A:F,6,FALSE)</f>
        <v>MR5</v>
      </c>
      <c r="G77" s="1" t="str">
        <f>VLOOKUP(A:A,'Regions and Ports'!A:G,7,FALSE)</f>
        <v>Memphis</v>
      </c>
      <c r="H77" s="87">
        <v>1</v>
      </c>
      <c r="I77" s="69">
        <f>VLOOKUP(A:A,'Seam Tariffs'!A:AB,9,FALSE)</f>
        <v>5.05</v>
      </c>
      <c r="J77" s="69">
        <f>VLOOKUP(A:A,'Seam Tariffs'!A:AB,11,FALSE)</f>
        <v>10</v>
      </c>
      <c r="K77" s="69">
        <f>VLOOKUP(A:A,'Seam Tariffs'!A:AB,12,FALSE)</f>
        <v>8</v>
      </c>
      <c r="L77" s="69">
        <f>VLOOKUP(A:A,'Seam Tariffs'!A:AB,13,FALSE)</f>
        <v>0</v>
      </c>
      <c r="M77" s="69">
        <f>VLOOKUP(A:A,'Seam Tariffs'!A:AB,14,FALSE)</f>
        <v>0</v>
      </c>
      <c r="N77" s="69">
        <f>VLOOKUP(A:A,'Seam Tariffs'!A:AB,28,FALSE)</f>
        <v>4</v>
      </c>
      <c r="O77" s="69">
        <f>COSTS!$W$6</f>
        <v>1.8958333333333335</v>
      </c>
      <c r="P77" s="69">
        <f>VLOOKUP(G77,COSTS!$V$11:$X$14,3,FALSE)</f>
        <v>0</v>
      </c>
      <c r="Q77" s="69">
        <f t="shared" si="7"/>
        <v>28.945833333333333</v>
      </c>
      <c r="R77" s="69">
        <f t="shared" si="8"/>
        <v>5.8958333333333339</v>
      </c>
      <c r="S77" s="87">
        <f>VLOOKUP(A:A,'Flat Bed &amp; Late Fees'!A:J,6,FALSE)</f>
        <v>0</v>
      </c>
      <c r="T77" s="87">
        <f>VLOOKUP(A:A,'Flat Bed &amp; Late Fees'!A:J,7,FALSE)</f>
        <v>0</v>
      </c>
      <c r="U77" s="68">
        <f>VLOOKUP(C77&amp;G77,OTR!E:J,6,FALSE)/88</f>
        <v>7.0795454545454541</v>
      </c>
      <c r="V77" s="87"/>
      <c r="W77" s="68">
        <f t="shared" si="9"/>
        <v>7.0795454545454541</v>
      </c>
      <c r="X77" s="69">
        <f>VLOOKUP(G77,COSTS!$Z$18:$AC$23,2,FALSE)</f>
        <v>2.5</v>
      </c>
      <c r="Y77" s="87">
        <f>VLOOKUP(G77,COSTS!$Z$18:$AC$23,4,FALSE)</f>
        <v>1.68</v>
      </c>
      <c r="Z77" s="69">
        <f>(COSTS!$W$3*COSTS!$W$4*500)/52*COSTS!$AE$17</f>
        <v>1.3125</v>
      </c>
      <c r="AB77" s="69">
        <f t="shared" si="10"/>
        <v>5.4924999999999997</v>
      </c>
      <c r="AC77" s="69">
        <f>VLOOKUP(G77,COSTS!$Z$11:$AE$14,5,FALSE)</f>
        <v>7.3011363636363633</v>
      </c>
      <c r="AD77" s="69">
        <f>VLOOKUP(G77,COSTS!$Z$4:$AD$7,4,FALSE)</f>
        <v>9.1363636363636367</v>
      </c>
      <c r="AE77" s="69"/>
      <c r="AF77" s="69">
        <f t="shared" si="11"/>
        <v>16.4375</v>
      </c>
      <c r="AG77" s="87">
        <f>((COSTS!$C$5*88)/20)/88</f>
        <v>1.4407150000000002</v>
      </c>
      <c r="AH77" s="69">
        <f>(COSTS!$X$38/88)*20</f>
        <v>0.34865702479338845</v>
      </c>
      <c r="AI77" s="87">
        <f>((COSTS!$E$5*88)/20)/88</f>
        <v>0.62936587135988387</v>
      </c>
      <c r="AJ77" s="87">
        <f>((COSTS!$D$5*88)/20)/88</f>
        <v>0.33676</v>
      </c>
      <c r="AL77" s="387">
        <f t="shared" si="12"/>
        <v>2.7554978961532726</v>
      </c>
      <c r="AM77" s="69">
        <f>(COSTS!$W$3+0.1)*500*0.01</f>
        <v>3.9999999999999996</v>
      </c>
      <c r="AN77" s="387">
        <f>((COSTS!$G$5/20)*88)/88</f>
        <v>1.308904109589041</v>
      </c>
      <c r="AR77" s="69">
        <f t="shared" si="13"/>
        <v>5.3089041095890401</v>
      </c>
      <c r="AT77" s="1" t="e">
        <f>VLOOKUP(C77&amp;$AT$1,OTR!E:J,6,FALSE)/88</f>
        <v>#N/A</v>
      </c>
      <c r="AU77" s="1">
        <f>VLOOKUP(C77&amp;$AU$1,OTR!E:J,6,FALSE)/88</f>
        <v>23.068181818181817</v>
      </c>
    </row>
    <row r="78" spans="1:47">
      <c r="A78" s="1">
        <v>232400</v>
      </c>
      <c r="B78" s="1" t="s">
        <v>236</v>
      </c>
      <c r="C78" s="1" t="s">
        <v>237</v>
      </c>
      <c r="D78" s="1" t="s">
        <v>76</v>
      </c>
      <c r="E78" s="1" t="str">
        <f>VLOOKUP(A:A,'Regions and Ports'!A:G,5,FALSE)</f>
        <v>GA 30 Day</v>
      </c>
      <c r="F78" s="1" t="str">
        <f>VLOOKUP(A:A,'Regions and Ports'!A:F,6,FALSE)</f>
        <v>ER5</v>
      </c>
      <c r="G78" s="1" t="str">
        <f>VLOOKUP(A:A,'Regions and Ports'!A:G,7,FALSE)</f>
        <v>Savannah</v>
      </c>
      <c r="H78" s="87">
        <v>4</v>
      </c>
      <c r="I78" s="69">
        <f>VLOOKUP(A:A,'Seam Tariffs'!A:AB,9,FALSE)</f>
        <v>4</v>
      </c>
      <c r="J78" s="69">
        <f>VLOOKUP(A:A,'Seam Tariffs'!A:AB,11,FALSE)</f>
        <v>6</v>
      </c>
      <c r="K78" s="69">
        <f>VLOOKUP(A:A,'Seam Tariffs'!A:AB,12,FALSE)</f>
        <v>0</v>
      </c>
      <c r="L78" s="69">
        <f>VLOOKUP(A:A,'Seam Tariffs'!A:AB,13,FALSE)</f>
        <v>0</v>
      </c>
      <c r="M78" s="69">
        <f>VLOOKUP(A:A,'Seam Tariffs'!A:AB,14,FALSE)</f>
        <v>1</v>
      </c>
      <c r="N78" s="69">
        <f>VLOOKUP(A:A,'Seam Tariffs'!A:AB,28,FALSE)</f>
        <v>3</v>
      </c>
      <c r="O78" s="69">
        <f>COSTS!$W$6</f>
        <v>1.8958333333333335</v>
      </c>
      <c r="P78" s="69">
        <f>VLOOKUP(G78,COSTS!$V$11:$X$14,3,FALSE)</f>
        <v>0</v>
      </c>
      <c r="Q78" s="69">
        <f t="shared" si="7"/>
        <v>15.895833333333334</v>
      </c>
      <c r="R78" s="69">
        <f t="shared" si="8"/>
        <v>1.8958333333333335</v>
      </c>
      <c r="S78" s="87">
        <f>VLOOKUP(A:A,'Flat Bed &amp; Late Fees'!A:J,6,FALSE)</f>
        <v>0</v>
      </c>
      <c r="T78" s="87">
        <f>VLOOKUP(A:A,'Flat Bed &amp; Late Fees'!A:J,7,FALSE)</f>
        <v>0</v>
      </c>
      <c r="U78" s="68">
        <f>VLOOKUP(C78&amp;G78,OTR!E:J,6,FALSE)/88</f>
        <v>10.113125</v>
      </c>
      <c r="V78" s="87"/>
      <c r="W78" s="68">
        <f t="shared" si="9"/>
        <v>10.113125</v>
      </c>
      <c r="X78" s="69">
        <f>VLOOKUP(G78,COSTS!$Z$18:$AC$23,2,FALSE)</f>
        <v>2.6</v>
      </c>
      <c r="Y78" s="87">
        <f>VLOOKUP(G78,COSTS!$Z$18:$AC$23,4,FALSE)</f>
        <v>2.52</v>
      </c>
      <c r="Z78" s="69">
        <f>(COSTS!$W$3*COSTS!$W$4*500)/52*COSTS!$AE$17</f>
        <v>1.3125</v>
      </c>
      <c r="AB78" s="69">
        <f t="shared" si="10"/>
        <v>6.4325000000000001</v>
      </c>
      <c r="AC78" s="69">
        <f>VLOOKUP(G78,COSTS!$Z$11:$AE$14,5,FALSE)</f>
        <v>5.5113636363636367</v>
      </c>
      <c r="AD78" s="69">
        <f>VLOOKUP(G78,COSTS!$Z$4:$AD$7,4,FALSE)</f>
        <v>5.3522727272727275</v>
      </c>
      <c r="AE78" s="69"/>
      <c r="AF78" s="69">
        <f t="shared" si="11"/>
        <v>10.863636363636363</v>
      </c>
      <c r="AG78" s="87">
        <f>((COSTS!$C$5*88)/20)/88</f>
        <v>1.4407150000000002</v>
      </c>
      <c r="AH78" s="69">
        <f>(COSTS!$X$38/88)*20</f>
        <v>0.34865702479338845</v>
      </c>
      <c r="AI78" s="87">
        <f>((COSTS!$E$5*88)/20)/88</f>
        <v>0.62936587135988387</v>
      </c>
      <c r="AJ78" s="87">
        <f>((COSTS!$D$5*88)/20)/88</f>
        <v>0.33676</v>
      </c>
      <c r="AL78" s="387">
        <f t="shared" si="12"/>
        <v>2.7554978961532726</v>
      </c>
      <c r="AM78" s="69">
        <f>(COSTS!$W$3+0.1)*500*0.01</f>
        <v>3.9999999999999996</v>
      </c>
      <c r="AN78" s="387">
        <f>((COSTS!$G$5/20)*88)/88</f>
        <v>1.308904109589041</v>
      </c>
      <c r="AR78" s="69">
        <f t="shared" si="13"/>
        <v>5.3089041095890401</v>
      </c>
      <c r="AT78" s="1" t="e">
        <f>VLOOKUP(C78&amp;$AT$1,OTR!E:J,6,FALSE)/88</f>
        <v>#N/A</v>
      </c>
      <c r="AU78" s="1">
        <f>VLOOKUP(C78&amp;$AU$1,OTR!E:J,6,FALSE)/88</f>
        <v>16.130681818181817</v>
      </c>
    </row>
    <row r="79" spans="1:47">
      <c r="A79" s="1">
        <v>232401</v>
      </c>
      <c r="B79" s="1" t="s">
        <v>239</v>
      </c>
      <c r="C79" s="1" t="s">
        <v>237</v>
      </c>
      <c r="D79" s="1" t="s">
        <v>76</v>
      </c>
      <c r="E79" s="1" t="str">
        <f>VLOOKUP(A:A,'Regions and Ports'!A:G,5,FALSE)</f>
        <v>GA 30 Day</v>
      </c>
      <c r="F79" s="1" t="str">
        <f>VLOOKUP(A:A,'Regions and Ports'!A:F,6,FALSE)</f>
        <v>ER5</v>
      </c>
      <c r="G79" s="1" t="str">
        <f>VLOOKUP(A:A,'Regions and Ports'!A:G,7,FALSE)</f>
        <v>Savannah</v>
      </c>
      <c r="H79" s="87">
        <v>4</v>
      </c>
      <c r="I79" s="69">
        <f>VLOOKUP(A:A,'Seam Tariffs'!A:AB,9,FALSE)</f>
        <v>5</v>
      </c>
      <c r="J79" s="69">
        <f>VLOOKUP(A:A,'Seam Tariffs'!A:AB,11,FALSE)</f>
        <v>5</v>
      </c>
      <c r="K79" s="69">
        <f>VLOOKUP(A:A,'Seam Tariffs'!A:AB,12,FALSE)</f>
        <v>0</v>
      </c>
      <c r="L79" s="69">
        <f>VLOOKUP(A:A,'Seam Tariffs'!A:AB,13,FALSE)</f>
        <v>0</v>
      </c>
      <c r="M79" s="69">
        <f>VLOOKUP(A:A,'Seam Tariffs'!A:AB,14,FALSE)</f>
        <v>0</v>
      </c>
      <c r="N79" s="69">
        <f>VLOOKUP(A:A,'Seam Tariffs'!A:AB,28,FALSE)</f>
        <v>2.5</v>
      </c>
      <c r="O79" s="69">
        <f>COSTS!$W$6</f>
        <v>1.8958333333333335</v>
      </c>
      <c r="P79" s="69">
        <f>VLOOKUP(G79,COSTS!$V$11:$X$14,3,FALSE)</f>
        <v>0</v>
      </c>
      <c r="Q79" s="69">
        <f t="shared" si="7"/>
        <v>14.395833333333334</v>
      </c>
      <c r="R79" s="69">
        <f t="shared" si="8"/>
        <v>1.8958333333333335</v>
      </c>
      <c r="S79" s="87">
        <f>VLOOKUP(A:A,'Flat Bed &amp; Late Fees'!A:J,6,FALSE)</f>
        <v>0</v>
      </c>
      <c r="T79" s="87">
        <f>VLOOKUP(A:A,'Flat Bed &amp; Late Fees'!A:J,7,FALSE)</f>
        <v>0</v>
      </c>
      <c r="U79" s="68">
        <f>VLOOKUP(C79&amp;G79,OTR!E:J,6,FALSE)/88</f>
        <v>10.113125</v>
      </c>
      <c r="V79" s="87"/>
      <c r="W79" s="68">
        <f t="shared" si="9"/>
        <v>10.113125</v>
      </c>
      <c r="X79" s="69">
        <f>VLOOKUP(G79,COSTS!$Z$18:$AC$23,2,FALSE)</f>
        <v>2.6</v>
      </c>
      <c r="Y79" s="87">
        <f>VLOOKUP(G79,COSTS!$Z$18:$AC$23,4,FALSE)</f>
        <v>2.52</v>
      </c>
      <c r="Z79" s="69">
        <f>(COSTS!$W$3*COSTS!$W$4*500)/52*COSTS!$AE$17</f>
        <v>1.3125</v>
      </c>
      <c r="AB79" s="69">
        <f t="shared" si="10"/>
        <v>6.4325000000000001</v>
      </c>
      <c r="AC79" s="69">
        <f>VLOOKUP(G79,COSTS!$Z$11:$AE$14,5,FALSE)</f>
        <v>5.5113636363636367</v>
      </c>
      <c r="AD79" s="69">
        <f>VLOOKUP(G79,COSTS!$Z$4:$AD$7,4,FALSE)</f>
        <v>5.3522727272727275</v>
      </c>
      <c r="AE79" s="69"/>
      <c r="AF79" s="69">
        <f t="shared" si="11"/>
        <v>10.863636363636363</v>
      </c>
      <c r="AG79" s="87">
        <f>((COSTS!$C$5*88)/20)/88</f>
        <v>1.4407150000000002</v>
      </c>
      <c r="AH79" s="69">
        <f>(COSTS!$X$38/88)*20</f>
        <v>0.34865702479338845</v>
      </c>
      <c r="AI79" s="87">
        <f>((COSTS!$E$5*88)/20)/88</f>
        <v>0.62936587135988387</v>
      </c>
      <c r="AJ79" s="87">
        <f>((COSTS!$D$5*88)/20)/88</f>
        <v>0.33676</v>
      </c>
      <c r="AL79" s="387">
        <f t="shared" si="12"/>
        <v>2.7554978961532726</v>
      </c>
      <c r="AM79" s="69">
        <f>(COSTS!$W$3+0.1)*500*0.01</f>
        <v>3.9999999999999996</v>
      </c>
      <c r="AN79" s="387">
        <f>((COSTS!$G$5/20)*88)/88</f>
        <v>1.308904109589041</v>
      </c>
      <c r="AR79" s="69">
        <f t="shared" si="13"/>
        <v>5.3089041095890401</v>
      </c>
      <c r="AT79" s="1" t="e">
        <f>VLOOKUP(C79&amp;$AT$1,OTR!E:J,6,FALSE)/88</f>
        <v>#N/A</v>
      </c>
      <c r="AU79" s="1">
        <f>VLOOKUP(C79&amp;$AU$1,OTR!E:J,6,FALSE)/88</f>
        <v>16.130681818181817</v>
      </c>
    </row>
    <row r="80" spans="1:47">
      <c r="A80" s="1">
        <v>846847</v>
      </c>
      <c r="B80" s="1" t="s">
        <v>240</v>
      </c>
      <c r="C80" s="1" t="s">
        <v>241</v>
      </c>
      <c r="D80" s="1" t="s">
        <v>71</v>
      </c>
      <c r="E80" s="1" t="str">
        <f>VLOOKUP(A:A,'Regions and Ports'!A:G,5,FALSE)</f>
        <v>WTX</v>
      </c>
      <c r="F80" s="1" t="str">
        <f>VLOOKUP(A:A,'Regions and Ports'!A:F,6,FALSE)</f>
        <v>WTX</v>
      </c>
      <c r="G80" s="1" t="str">
        <f>VLOOKUP(A:A,'Regions and Ports'!A:G,7,FALSE)</f>
        <v>Dallas</v>
      </c>
      <c r="H80" s="87">
        <v>3</v>
      </c>
      <c r="I80" s="69">
        <f>VLOOKUP(A:A,'Seam Tariffs'!A:AB,9,FALSE)</f>
        <v>7</v>
      </c>
      <c r="J80" s="69">
        <f>VLOOKUP(A:A,'Seam Tariffs'!A:AB,11,FALSE)</f>
        <v>8</v>
      </c>
      <c r="K80" s="69">
        <f>VLOOKUP(A:A,'Seam Tariffs'!A:AB,12,FALSE)</f>
        <v>8</v>
      </c>
      <c r="L80" s="69">
        <f>VLOOKUP(A:A,'Seam Tariffs'!A:AB,13,FALSE)</f>
        <v>0</v>
      </c>
      <c r="M80" s="69">
        <f>VLOOKUP(A:A,'Seam Tariffs'!A:AB,14,FALSE)</f>
        <v>0</v>
      </c>
      <c r="N80" s="69">
        <f>VLOOKUP(A:A,'Seam Tariffs'!A:AB,28,FALSE)</f>
        <v>4</v>
      </c>
      <c r="O80" s="69">
        <f>COSTS!$W$6</f>
        <v>1.8958333333333335</v>
      </c>
      <c r="P80" s="69">
        <f>VLOOKUP(G80,COSTS!$V$11:$X$14,3,FALSE)</f>
        <v>0</v>
      </c>
      <c r="Q80" s="69">
        <f t="shared" si="7"/>
        <v>28.895833333333332</v>
      </c>
      <c r="R80" s="69">
        <f t="shared" si="8"/>
        <v>21.895833333333332</v>
      </c>
      <c r="S80" s="87">
        <f>VLOOKUP(A:A,'Flat Bed &amp; Late Fees'!A:J,6,FALSE)</f>
        <v>0</v>
      </c>
      <c r="T80" s="87">
        <f>VLOOKUP(A:A,'Flat Bed &amp; Late Fees'!A:J,7,FALSE)</f>
        <v>0</v>
      </c>
      <c r="U80" s="68">
        <f>VLOOKUP(C80&amp;G80,OTR!E:J,6,FALSE)/88</f>
        <v>4.9147727272727275</v>
      </c>
      <c r="V80" s="87"/>
      <c r="W80" s="68">
        <f t="shared" si="9"/>
        <v>4.9147727272727275</v>
      </c>
      <c r="X80" s="69">
        <f>VLOOKUP(G80,COSTS!$Z$18:$AC$23,2,FALSE)</f>
        <v>2.7</v>
      </c>
      <c r="Y80" s="87">
        <f>VLOOKUP(G80,COSTS!$Z$18:$AC$23,4,FALSE)</f>
        <v>2.52</v>
      </c>
      <c r="Z80" s="69">
        <f>(COSTS!$W$3*COSTS!$W$4*500)/52*COSTS!$AE$17</f>
        <v>1.3125</v>
      </c>
      <c r="AB80" s="69">
        <f t="shared" si="10"/>
        <v>6.5325000000000006</v>
      </c>
      <c r="AC80" s="69">
        <f>VLOOKUP(G80,COSTS!$Z$11:$AE$14,5,FALSE)</f>
        <v>8.125</v>
      </c>
      <c r="AD80" s="69">
        <f>VLOOKUP(G80,COSTS!$Z$4:$AD$7,4,FALSE)</f>
        <v>13.409090909090908</v>
      </c>
      <c r="AE80" s="69"/>
      <c r="AF80" s="69">
        <f t="shared" si="11"/>
        <v>21.534090909090907</v>
      </c>
      <c r="AG80" s="87">
        <f>((COSTS!$C$5*88)/20)/88</f>
        <v>1.4407150000000002</v>
      </c>
      <c r="AH80" s="69">
        <f>(COSTS!$X$38/88)*20</f>
        <v>0.34865702479338845</v>
      </c>
      <c r="AI80" s="87">
        <f>((COSTS!$E$5*88)/20)/88</f>
        <v>0.62936587135988387</v>
      </c>
      <c r="AJ80" s="87">
        <f>((COSTS!$D$5*88)/20)/88</f>
        <v>0.33676</v>
      </c>
      <c r="AL80" s="387">
        <f t="shared" si="12"/>
        <v>2.7554978961532726</v>
      </c>
      <c r="AM80" s="69">
        <f>(COSTS!$W$3+0.1)*500*0.01</f>
        <v>3.9999999999999996</v>
      </c>
      <c r="AN80" s="387">
        <f>((COSTS!$G$5/20)*88)/88</f>
        <v>1.308904109589041</v>
      </c>
      <c r="AR80" s="69">
        <f t="shared" si="13"/>
        <v>5.3089041095890401</v>
      </c>
      <c r="AT80" s="1">
        <f>VLOOKUP(C80&amp;$AT$1,OTR!E:J,6,FALSE)/88</f>
        <v>14.972613636363635</v>
      </c>
      <c r="AU80" s="1" t="e">
        <f>VLOOKUP(C80&amp;$AU$1,OTR!E:J,6,FALSE)/88</f>
        <v>#N/A</v>
      </c>
    </row>
    <row r="81" spans="1:47">
      <c r="A81" s="125">
        <v>846847</v>
      </c>
      <c r="B81" s="1" t="s">
        <v>240</v>
      </c>
      <c r="C81" s="1" t="s">
        <v>241</v>
      </c>
      <c r="D81" s="1" t="s">
        <v>71</v>
      </c>
      <c r="E81" s="1" t="s">
        <v>2067</v>
      </c>
      <c r="F81" s="1" t="str">
        <f>VLOOKUP(A:A,'Regions and Ports'!A:F,6,FALSE)</f>
        <v>WTX</v>
      </c>
      <c r="G81" s="1" t="s">
        <v>439</v>
      </c>
      <c r="H81" s="87">
        <v>2</v>
      </c>
      <c r="I81" s="69">
        <f>VLOOKUP(A:A,'Seam Tariffs'!A:AB,9,FALSE)</f>
        <v>7</v>
      </c>
      <c r="J81" s="69">
        <f>VLOOKUP(A:A,'Seam Tariffs'!A:AB,11,FALSE)</f>
        <v>8</v>
      </c>
      <c r="K81" s="69">
        <f>VLOOKUP(A:A,'Seam Tariffs'!A:AB,12,FALSE)</f>
        <v>8</v>
      </c>
      <c r="L81" s="69">
        <f>VLOOKUP(A:A,'Seam Tariffs'!A:AB,13,FALSE)</f>
        <v>0</v>
      </c>
      <c r="M81" s="69">
        <f>VLOOKUP(A:A,'Seam Tariffs'!A:AB,14,FALSE)</f>
        <v>0</v>
      </c>
      <c r="N81" s="69">
        <f>VLOOKUP(A:A,'Seam Tariffs'!A:AB,28,FALSE)</f>
        <v>4</v>
      </c>
      <c r="O81" s="69">
        <f>COSTS!$W$6</f>
        <v>1.8958333333333335</v>
      </c>
      <c r="P81" s="69">
        <f>VLOOKUP(G81,COSTS!$V$11:$X$14,3,FALSE)</f>
        <v>0</v>
      </c>
      <c r="Q81" s="69">
        <f t="shared" si="7"/>
        <v>28.895833333333332</v>
      </c>
      <c r="R81" s="69">
        <f t="shared" si="8"/>
        <v>13.895833333333334</v>
      </c>
      <c r="S81" s="87">
        <f>VLOOKUP(A:A,'Flat Bed &amp; Late Fees'!A:J,6,FALSE)</f>
        <v>0</v>
      </c>
      <c r="T81" s="87">
        <f>VLOOKUP(A:A,'Flat Bed &amp; Late Fees'!A:J,7,FALSE)</f>
        <v>0</v>
      </c>
      <c r="U81" s="68">
        <f>VLOOKUP(C81&amp;G81,OTR!E:J,6,FALSE)/88</f>
        <v>10.369318181818182</v>
      </c>
      <c r="V81" s="87"/>
      <c r="W81" s="68">
        <f t="shared" si="9"/>
        <v>10.369318181818182</v>
      </c>
      <c r="X81" s="69">
        <f>VLOOKUP(G81,COSTS!$Z$18:$AC$23,2,FALSE)</f>
        <v>2.7</v>
      </c>
      <c r="Y81" s="87">
        <f>VLOOKUP(G81,COSTS!$Z$18:$AC$23,4,FALSE)</f>
        <v>2.52</v>
      </c>
      <c r="Z81" s="69">
        <f>(COSTS!$W$3*COSTS!$W$4*500)/52*COSTS!$AE$17</f>
        <v>1.3125</v>
      </c>
      <c r="AB81" s="69">
        <f t="shared" si="10"/>
        <v>6.5325000000000006</v>
      </c>
      <c r="AC81" s="69">
        <f>VLOOKUP(G81,COSTS!$Z$11:$AE$14,5,FALSE)</f>
        <v>6.6477272727272725</v>
      </c>
      <c r="AD81" s="69">
        <f>VLOOKUP(G81,COSTS!$Z$4:$AD$7,4,FALSE)</f>
        <v>9.8977272727272734</v>
      </c>
      <c r="AE81" s="69"/>
      <c r="AF81" s="69">
        <f t="shared" si="11"/>
        <v>16.545454545454547</v>
      </c>
      <c r="AG81" s="87">
        <f>((COSTS!$C$5*88)/20)/88</f>
        <v>1.4407150000000002</v>
      </c>
      <c r="AH81" s="69">
        <f>(COSTS!$X$38/88)*20</f>
        <v>0.34865702479338845</v>
      </c>
      <c r="AI81" s="87">
        <f>((COSTS!$E$5*88)/20)/88</f>
        <v>0.62936587135988387</v>
      </c>
      <c r="AJ81" s="87">
        <f>((COSTS!$D$5*88)/20)/88</f>
        <v>0.33676</v>
      </c>
      <c r="AL81" s="387">
        <f t="shared" si="12"/>
        <v>2.7554978961532726</v>
      </c>
      <c r="AM81" s="69">
        <f>(COSTS!$W$3+0.1)*500*0.01</f>
        <v>3.9999999999999996</v>
      </c>
      <c r="AN81" s="387">
        <f>((COSTS!$G$5/20)*88)/88</f>
        <v>1.308904109589041</v>
      </c>
      <c r="AR81" s="69">
        <f t="shared" si="13"/>
        <v>5.3089041095890401</v>
      </c>
      <c r="AT81" s="1">
        <f>VLOOKUP(C81&amp;$AT$1,OTR!E:J,6,FALSE)/88</f>
        <v>14.972613636363635</v>
      </c>
      <c r="AU81" s="1" t="e">
        <f>VLOOKUP(C81&amp;$AU$1,OTR!E:J,6,FALSE)/88</f>
        <v>#N/A</v>
      </c>
    </row>
    <row r="82" spans="1:47">
      <c r="A82" s="1">
        <v>54205</v>
      </c>
      <c r="B82" s="1" t="s">
        <v>243</v>
      </c>
      <c r="C82" s="1" t="s">
        <v>244</v>
      </c>
      <c r="D82" s="1" t="s">
        <v>65</v>
      </c>
      <c r="E82" s="1" t="str">
        <f>VLOOKUP(A:A,'Regions and Ports'!A:G,5,FALSE)</f>
        <v>Eastern Rule 5</v>
      </c>
      <c r="F82" s="1" t="str">
        <f>VLOOKUP(A:A,'Regions and Ports'!A:F,6,FALSE)</f>
        <v>ER5</v>
      </c>
      <c r="G82" s="1" t="str">
        <f>VLOOKUP(A:A,'Regions and Ports'!A:G,7,FALSE)</f>
        <v>Savannah</v>
      </c>
      <c r="H82" s="87">
        <v>1</v>
      </c>
      <c r="I82" s="69">
        <f>VLOOKUP(A:A,'Seam Tariffs'!A:AB,9,FALSE)</f>
        <v>3</v>
      </c>
      <c r="J82" s="69">
        <f>VLOOKUP(A:A,'Seam Tariffs'!A:AB,11,FALSE)</f>
        <v>6</v>
      </c>
      <c r="K82" s="69">
        <f>VLOOKUP(A:A,'Seam Tariffs'!A:AB,12,FALSE)</f>
        <v>0</v>
      </c>
      <c r="L82" s="69">
        <f>VLOOKUP(A:A,'Seam Tariffs'!A:AB,13,FALSE)</f>
        <v>0</v>
      </c>
      <c r="M82" s="69">
        <f>VLOOKUP(A:A,'Seam Tariffs'!A:AB,14,FALSE)</f>
        <v>0</v>
      </c>
      <c r="N82" s="69">
        <f>VLOOKUP(A:A,'Seam Tariffs'!A:AB,28,FALSE)</f>
        <v>2</v>
      </c>
      <c r="O82" s="69">
        <f>COSTS!$W$6</f>
        <v>1.8958333333333335</v>
      </c>
      <c r="P82" s="69">
        <f>VLOOKUP(G82,COSTS!$V$11:$X$14,3,FALSE)</f>
        <v>0</v>
      </c>
      <c r="Q82" s="69">
        <f t="shared" si="7"/>
        <v>12.895833333333334</v>
      </c>
      <c r="R82" s="69">
        <f t="shared" si="8"/>
        <v>3.8958333333333335</v>
      </c>
      <c r="S82" s="87">
        <f>VLOOKUP(A:A,'Flat Bed &amp; Late Fees'!A:J,6,FALSE)</f>
        <v>0</v>
      </c>
      <c r="T82" s="87">
        <f>VLOOKUP(A:A,'Flat Bed &amp; Late Fees'!A:J,7,FALSE)</f>
        <v>0</v>
      </c>
      <c r="U82" s="68">
        <f>VLOOKUP(C82&amp;G82,OTR!E:J,6,FALSE)/88</f>
        <v>15.834517045454545</v>
      </c>
      <c r="V82" s="87"/>
      <c r="W82" s="68">
        <f t="shared" si="9"/>
        <v>15.834517045454545</v>
      </c>
      <c r="X82" s="69">
        <f>VLOOKUP(G82,COSTS!$Z$18:$AC$23,2,FALSE)</f>
        <v>2.6</v>
      </c>
      <c r="Y82" s="87">
        <f>VLOOKUP(G82,COSTS!$Z$18:$AC$23,4,FALSE)</f>
        <v>2.52</v>
      </c>
      <c r="Z82" s="69">
        <f>(COSTS!$W$3*COSTS!$W$4*500)/52*COSTS!$AE$17</f>
        <v>1.3125</v>
      </c>
      <c r="AB82" s="69">
        <f t="shared" si="10"/>
        <v>6.4325000000000001</v>
      </c>
      <c r="AC82" s="69">
        <f>VLOOKUP(G82,COSTS!$Z$11:$AE$14,5,FALSE)</f>
        <v>5.5113636363636367</v>
      </c>
      <c r="AD82" s="69">
        <f>VLOOKUP(G82,COSTS!$Z$4:$AD$7,4,FALSE)</f>
        <v>5.3522727272727275</v>
      </c>
      <c r="AE82" s="69"/>
      <c r="AF82" s="69">
        <f t="shared" si="11"/>
        <v>10.863636363636363</v>
      </c>
      <c r="AG82" s="87">
        <f>((COSTS!$C$5*88)/20)/88</f>
        <v>1.4407150000000002</v>
      </c>
      <c r="AH82" s="69">
        <f>(COSTS!$X$38/88)*20</f>
        <v>0.34865702479338845</v>
      </c>
      <c r="AI82" s="87">
        <f>((COSTS!$E$5*88)/20)/88</f>
        <v>0.62936587135988387</v>
      </c>
      <c r="AJ82" s="87">
        <f>((COSTS!$D$5*88)/20)/88</f>
        <v>0.33676</v>
      </c>
      <c r="AL82" s="387">
        <f t="shared" si="12"/>
        <v>2.7554978961532726</v>
      </c>
      <c r="AM82" s="69">
        <f>(COSTS!$W$3+0.1)*500*0.01</f>
        <v>3.9999999999999996</v>
      </c>
      <c r="AN82" s="387">
        <f>((COSTS!$G$5/20)*88)/88</f>
        <v>1.308904109589041</v>
      </c>
      <c r="AR82" s="69">
        <f t="shared" si="13"/>
        <v>5.3089041095890401</v>
      </c>
      <c r="AT82" s="1" t="e">
        <f>VLOOKUP(C82&amp;$AT$1,OTR!E:J,6,FALSE)/88</f>
        <v>#N/A</v>
      </c>
      <c r="AU82" s="1">
        <f>VLOOKUP(C82&amp;$AU$1,OTR!E:J,6,FALSE)/88</f>
        <v>15.823863636363637</v>
      </c>
    </row>
    <row r="83" spans="1:47">
      <c r="A83" s="1">
        <v>32035</v>
      </c>
      <c r="B83" s="1" t="s">
        <v>246</v>
      </c>
      <c r="C83" s="1" t="s">
        <v>247</v>
      </c>
      <c r="D83" s="1" t="s">
        <v>65</v>
      </c>
      <c r="E83" s="1" t="str">
        <f>VLOOKUP(A:A,'Regions and Ports'!A:G,5,FALSE)</f>
        <v>Eastern Rule 5</v>
      </c>
      <c r="F83" s="1" t="str">
        <f>VLOOKUP(A:A,'Regions and Ports'!A:F,6,FALSE)</f>
        <v>ER5</v>
      </c>
      <c r="G83" s="1" t="str">
        <f>VLOOKUP(A:A,'Regions and Ports'!A:G,7,FALSE)</f>
        <v>Memphis</v>
      </c>
      <c r="H83" s="87">
        <v>1</v>
      </c>
      <c r="I83" s="69">
        <f>VLOOKUP(A:A,'Seam Tariffs'!A:AB,9,FALSE)</f>
        <v>2.15</v>
      </c>
      <c r="J83" s="69">
        <f>VLOOKUP(A:A,'Seam Tariffs'!A:AB,11,FALSE)</f>
        <v>6</v>
      </c>
      <c r="K83" s="69">
        <f>VLOOKUP(A:A,'Seam Tariffs'!A:AB,12,FALSE)</f>
        <v>7.5</v>
      </c>
      <c r="L83" s="69">
        <f>VLOOKUP(A:A,'Seam Tariffs'!A:AB,13,FALSE)</f>
        <v>0</v>
      </c>
      <c r="M83" s="69">
        <f>VLOOKUP(A:A,'Seam Tariffs'!A:AB,14,FALSE)</f>
        <v>0.5</v>
      </c>
      <c r="N83" s="69">
        <f>VLOOKUP(A:A,'Seam Tariffs'!A:AB,28,FALSE)</f>
        <v>3</v>
      </c>
      <c r="O83" s="69">
        <f>COSTS!$W$6</f>
        <v>1.8958333333333335</v>
      </c>
      <c r="P83" s="69">
        <f>VLOOKUP(G83,COSTS!$V$11:$X$14,3,FALSE)</f>
        <v>0</v>
      </c>
      <c r="Q83" s="69">
        <f t="shared" si="7"/>
        <v>21.045833333333331</v>
      </c>
      <c r="R83" s="69">
        <f t="shared" si="8"/>
        <v>4.8958333333333339</v>
      </c>
      <c r="S83" s="87">
        <f>VLOOKUP(A:A,'Flat Bed &amp; Late Fees'!A:J,6,FALSE)</f>
        <v>0</v>
      </c>
      <c r="T83" s="87">
        <f>VLOOKUP(A:A,'Flat Bed &amp; Late Fees'!A:J,7,FALSE)</f>
        <v>0</v>
      </c>
      <c r="U83" s="68">
        <f>VLOOKUP(C83&amp;G83,OTR!E:J,6,FALSE)/88</f>
        <v>11.356590909090908</v>
      </c>
      <c r="V83" s="87"/>
      <c r="W83" s="68">
        <f t="shared" si="9"/>
        <v>11.356590909090908</v>
      </c>
      <c r="X83" s="69">
        <f>VLOOKUP(G83,COSTS!$Z$18:$AC$23,2,FALSE)</f>
        <v>2.5</v>
      </c>
      <c r="Y83" s="87">
        <f>VLOOKUP(G83,COSTS!$Z$18:$AC$23,4,FALSE)</f>
        <v>1.68</v>
      </c>
      <c r="Z83" s="69">
        <f>(COSTS!$W$3*COSTS!$W$4*500)/52*COSTS!$AE$17</f>
        <v>1.3125</v>
      </c>
      <c r="AB83" s="69">
        <f t="shared" si="10"/>
        <v>5.4924999999999997</v>
      </c>
      <c r="AC83" s="69">
        <f>VLOOKUP(G83,COSTS!$Z$11:$AE$14,5,FALSE)</f>
        <v>7.3011363636363633</v>
      </c>
      <c r="AD83" s="69">
        <f>VLOOKUP(G83,COSTS!$Z$4:$AD$7,4,FALSE)</f>
        <v>9.1363636363636367</v>
      </c>
      <c r="AE83" s="69"/>
      <c r="AF83" s="69">
        <f t="shared" si="11"/>
        <v>16.4375</v>
      </c>
      <c r="AG83" s="87">
        <f>((COSTS!$C$5*88)/20)/88</f>
        <v>1.4407150000000002</v>
      </c>
      <c r="AH83" s="69">
        <f>(COSTS!$X$38/88)*20</f>
        <v>0.34865702479338845</v>
      </c>
      <c r="AI83" s="87">
        <f>((COSTS!$E$5*88)/20)/88</f>
        <v>0.62936587135988387</v>
      </c>
      <c r="AJ83" s="87">
        <f>((COSTS!$D$5*88)/20)/88</f>
        <v>0.33676</v>
      </c>
      <c r="AL83" s="387">
        <f t="shared" si="12"/>
        <v>2.7554978961532726</v>
      </c>
      <c r="AM83" s="69">
        <f>(COSTS!$W$3+0.1)*500*0.01</f>
        <v>3.9999999999999996</v>
      </c>
      <c r="AN83" s="387">
        <f>((COSTS!$G$5/20)*88)/88</f>
        <v>1.308904109589041</v>
      </c>
      <c r="AR83" s="69">
        <f t="shared" si="13"/>
        <v>5.3089041095890401</v>
      </c>
      <c r="AT83" s="1" t="e">
        <f>VLOOKUP(C83&amp;$AT$1,OTR!E:J,6,FALSE)/88</f>
        <v>#N/A</v>
      </c>
      <c r="AU83" s="1">
        <f>VLOOKUP(C83&amp;$AU$1,OTR!E:J,6,FALSE)/88</f>
        <v>17.954545454545453</v>
      </c>
    </row>
    <row r="84" spans="1:47">
      <c r="A84" s="1">
        <v>136015</v>
      </c>
      <c r="B84" s="1" t="s">
        <v>249</v>
      </c>
      <c r="C84" s="1" t="s">
        <v>250</v>
      </c>
      <c r="D84" s="1" t="s">
        <v>149</v>
      </c>
      <c r="E84" s="1" t="str">
        <f>VLOOKUP(A:A,'Regions and Ports'!A:G,5,FALSE)</f>
        <v>Memphis Rule 5</v>
      </c>
      <c r="F84" s="1" t="str">
        <f>VLOOKUP(A:A,'Regions and Ports'!A:F,6,FALSE)</f>
        <v>MR5</v>
      </c>
      <c r="G84" s="1" t="str">
        <f>VLOOKUP(A:A,'Regions and Ports'!A:G,7,FALSE)</f>
        <v>Memphis</v>
      </c>
      <c r="H84" s="87">
        <v>1</v>
      </c>
      <c r="I84" s="69">
        <f>VLOOKUP(A:A,'Seam Tariffs'!A:AB,9,FALSE)</f>
        <v>3.25</v>
      </c>
      <c r="J84" s="69">
        <f>VLOOKUP(A:A,'Seam Tariffs'!A:AB,11,FALSE)</f>
        <v>18.25</v>
      </c>
      <c r="K84" s="69">
        <f>VLOOKUP(A:A,'Seam Tariffs'!A:AB,12,FALSE)</f>
        <v>0</v>
      </c>
      <c r="L84" s="69">
        <f>VLOOKUP(A:A,'Seam Tariffs'!A:AB,13,FALSE)</f>
        <v>0</v>
      </c>
      <c r="M84" s="69">
        <f>VLOOKUP(A:A,'Seam Tariffs'!A:AB,14,FALSE)</f>
        <v>0</v>
      </c>
      <c r="N84" s="69">
        <f>VLOOKUP(A:A,'Seam Tariffs'!A:AB,28,FALSE)</f>
        <v>3.25</v>
      </c>
      <c r="O84" s="69">
        <f>COSTS!$W$6</f>
        <v>1.8958333333333335</v>
      </c>
      <c r="P84" s="69">
        <f>VLOOKUP(G84,COSTS!$V$11:$X$14,3,FALSE)</f>
        <v>0</v>
      </c>
      <c r="Q84" s="69">
        <f t="shared" si="7"/>
        <v>26.645833333333332</v>
      </c>
      <c r="R84" s="69">
        <f t="shared" si="8"/>
        <v>5.1458333333333339</v>
      </c>
      <c r="S84" s="87">
        <f>VLOOKUP(A:A,'Flat Bed &amp; Late Fees'!A:J,6,FALSE)</f>
        <v>1</v>
      </c>
      <c r="T84" s="87">
        <f>VLOOKUP(A:A,'Flat Bed &amp; Late Fees'!A:J,7,FALSE)</f>
        <v>0.25</v>
      </c>
      <c r="U84" s="68">
        <f>VLOOKUP(C84&amp;G84,OTR!E:J,6,FALSE)/88</f>
        <v>8.4943181818181817</v>
      </c>
      <c r="V84" s="87"/>
      <c r="W84" s="68">
        <f t="shared" si="9"/>
        <v>9.7443181818181817</v>
      </c>
      <c r="X84" s="69">
        <f>VLOOKUP(G84,COSTS!$Z$18:$AC$23,2,FALSE)</f>
        <v>2.5</v>
      </c>
      <c r="Y84" s="87">
        <f>VLOOKUP(G84,COSTS!$Z$18:$AC$23,4,FALSE)</f>
        <v>1.68</v>
      </c>
      <c r="Z84" s="69">
        <f>(COSTS!$W$3*COSTS!$W$4*500)/52*COSTS!$AE$17</f>
        <v>1.3125</v>
      </c>
      <c r="AB84" s="69">
        <f t="shared" si="10"/>
        <v>5.4924999999999997</v>
      </c>
      <c r="AC84" s="69">
        <f>VLOOKUP(G84,COSTS!$Z$11:$AE$14,5,FALSE)</f>
        <v>7.3011363636363633</v>
      </c>
      <c r="AD84" s="69">
        <f>VLOOKUP(G84,COSTS!$Z$4:$AD$7,4,FALSE)</f>
        <v>9.1363636363636367</v>
      </c>
      <c r="AE84" s="69"/>
      <c r="AF84" s="69">
        <f t="shared" si="11"/>
        <v>16.4375</v>
      </c>
      <c r="AG84" s="87">
        <f>((COSTS!$C$5*88)/20)/88</f>
        <v>1.4407150000000002</v>
      </c>
      <c r="AH84" s="69">
        <f>(COSTS!$X$38/88)*20</f>
        <v>0.34865702479338845</v>
      </c>
      <c r="AI84" s="87">
        <f>((COSTS!$E$5*88)/20)/88</f>
        <v>0.62936587135988387</v>
      </c>
      <c r="AJ84" s="87">
        <f>((COSTS!$D$5*88)/20)/88</f>
        <v>0.33676</v>
      </c>
      <c r="AL84" s="387">
        <f t="shared" si="12"/>
        <v>2.7554978961532726</v>
      </c>
      <c r="AM84" s="69">
        <f>(COSTS!$W$3+0.1)*500*0.01</f>
        <v>3.9999999999999996</v>
      </c>
      <c r="AN84" s="387">
        <f>((COSTS!$G$5/20)*88)/88</f>
        <v>1.308904109589041</v>
      </c>
      <c r="AR84" s="69">
        <f t="shared" si="13"/>
        <v>5.3089041095890401</v>
      </c>
      <c r="AT84" s="1" t="e">
        <f>VLOOKUP(C84&amp;$AT$1,OTR!E:J,6,FALSE)/88</f>
        <v>#N/A</v>
      </c>
      <c r="AU84" s="1">
        <f>VLOOKUP(C84&amp;$AU$1,OTR!E:J,6,FALSE)/88</f>
        <v>23.085227272727273</v>
      </c>
    </row>
    <row r="85" spans="1:47">
      <c r="A85" s="1">
        <v>536304</v>
      </c>
      <c r="B85" s="1" t="s">
        <v>251</v>
      </c>
      <c r="C85" s="1" t="s">
        <v>252</v>
      </c>
      <c r="D85" s="1" t="s">
        <v>253</v>
      </c>
      <c r="E85" s="1" t="str">
        <f>VLOOKUP(A:A,'Regions and Ports'!A:G,5,FALSE)</f>
        <v>WTX</v>
      </c>
      <c r="F85" s="1" t="str">
        <f>VLOOKUP(A:A,'Regions and Ports'!A:F,6,FALSE)</f>
        <v>WTX</v>
      </c>
      <c r="G85" s="1" t="str">
        <f>VLOOKUP(A:A,'Regions and Ports'!A:G,7,FALSE)</f>
        <v>Los Angeles</v>
      </c>
      <c r="H85" s="87">
        <v>1</v>
      </c>
      <c r="I85" s="69">
        <f>VLOOKUP(A:A,'Seam Tariffs'!A:AB,9,FALSE)</f>
        <v>3.5</v>
      </c>
      <c r="J85" s="69">
        <f>VLOOKUP(A:A,'Seam Tariffs'!A:AB,11,FALSE)</f>
        <v>6.5</v>
      </c>
      <c r="K85" s="69">
        <f>VLOOKUP(A:A,'Seam Tariffs'!A:AB,12,FALSE)</f>
        <v>10</v>
      </c>
      <c r="L85" s="69">
        <f>VLOOKUP(A:A,'Seam Tariffs'!A:AB,13,FALSE)</f>
        <v>0</v>
      </c>
      <c r="M85" s="69">
        <f>VLOOKUP(A:A,'Seam Tariffs'!A:AB,14,FALSE)</f>
        <v>0</v>
      </c>
      <c r="N85" s="69">
        <f>VLOOKUP(A:A,'Seam Tariffs'!A:AB,28,FALSE)</f>
        <v>3.3</v>
      </c>
      <c r="O85" s="69">
        <f>COSTS!$W$6</f>
        <v>1.8958333333333335</v>
      </c>
      <c r="P85" s="69" t="e">
        <f>VLOOKUP(G85,COSTS!$V$11:$X$14,3,FALSE)</f>
        <v>#N/A</v>
      </c>
      <c r="Q85" s="69" t="e">
        <f t="shared" si="7"/>
        <v>#N/A</v>
      </c>
      <c r="R85" s="69" t="e">
        <f t="shared" si="8"/>
        <v>#N/A</v>
      </c>
      <c r="S85" s="87">
        <f>VLOOKUP(A:A,'Flat Bed &amp; Late Fees'!A:J,6,FALSE)</f>
        <v>0</v>
      </c>
      <c r="T85" s="87">
        <f>VLOOKUP(A:A,'Flat Bed &amp; Late Fees'!A:J,7,FALSE)</f>
        <v>0</v>
      </c>
      <c r="U85" s="68" t="e">
        <f>VLOOKUP(C85&amp;G85,OTR!E:J,6,FALSE)/88</f>
        <v>#N/A</v>
      </c>
      <c r="V85" s="87"/>
      <c r="W85" s="68" t="e">
        <f t="shared" si="9"/>
        <v>#N/A</v>
      </c>
      <c r="X85" s="69" t="e">
        <f>VLOOKUP(G85,COSTS!$Z$18:$AC$23,2,FALSE)</f>
        <v>#N/A</v>
      </c>
      <c r="Y85" s="87" t="e">
        <f>VLOOKUP(G85,COSTS!$Z$18:$AC$23,4,FALSE)</f>
        <v>#N/A</v>
      </c>
      <c r="Z85" s="69">
        <f>(COSTS!$W$3*COSTS!$W$4*500)/52*COSTS!$AE$17</f>
        <v>1.3125</v>
      </c>
      <c r="AB85" s="69" t="e">
        <f t="shared" si="10"/>
        <v>#N/A</v>
      </c>
      <c r="AC85" s="69" t="e">
        <f>VLOOKUP(G85,COSTS!$Z$11:$AE$14,5,FALSE)</f>
        <v>#N/A</v>
      </c>
      <c r="AD85" s="69" t="e">
        <f>VLOOKUP(G85,COSTS!$Z$4:$AD$7,4,FALSE)</f>
        <v>#N/A</v>
      </c>
      <c r="AE85" s="69"/>
      <c r="AF85" s="69" t="e">
        <f t="shared" si="11"/>
        <v>#N/A</v>
      </c>
      <c r="AG85" s="87">
        <f>((COSTS!$C$5*88)/20)/88</f>
        <v>1.4407150000000002</v>
      </c>
      <c r="AH85" s="69">
        <f>(COSTS!$X$38/88)*20</f>
        <v>0.34865702479338845</v>
      </c>
      <c r="AI85" s="87">
        <f>((COSTS!$E$5*88)/20)/88</f>
        <v>0.62936587135988387</v>
      </c>
      <c r="AJ85" s="87">
        <f>((COSTS!$D$5*88)/20)/88</f>
        <v>0.33676</v>
      </c>
      <c r="AL85" s="387">
        <f t="shared" si="12"/>
        <v>2.7554978961532726</v>
      </c>
      <c r="AM85" s="69">
        <f>(COSTS!$W$3+0.1)*500*0.01</f>
        <v>3.9999999999999996</v>
      </c>
      <c r="AN85" s="387">
        <f>((COSTS!$G$5/20)*88)/88</f>
        <v>1.308904109589041</v>
      </c>
      <c r="AR85" s="69">
        <f t="shared" si="13"/>
        <v>5.3089041095890401</v>
      </c>
      <c r="AT85" s="1" t="e">
        <f>VLOOKUP(C85&amp;$AT$1,OTR!E:J,6,FALSE)/88</f>
        <v>#N/A</v>
      </c>
      <c r="AU85" s="1" t="e">
        <f>VLOOKUP(C85&amp;$AU$1,OTR!E:J,6,FALSE)/88</f>
        <v>#N/A</v>
      </c>
    </row>
    <row r="86" spans="1:47">
      <c r="A86" s="1">
        <v>843000</v>
      </c>
      <c r="B86" s="1" t="s">
        <v>255</v>
      </c>
      <c r="C86" s="1" t="s">
        <v>256</v>
      </c>
      <c r="D86" s="1" t="s">
        <v>71</v>
      </c>
      <c r="E86" s="1" t="str">
        <f>VLOOKUP(A:A,'Regions and Ports'!A:G,5,FALSE)</f>
        <v>WTX</v>
      </c>
      <c r="F86" s="1" t="str">
        <f>VLOOKUP(A:A,'Regions and Ports'!A:F,6,FALSE)</f>
        <v>WTX</v>
      </c>
      <c r="G86" s="1" t="str">
        <f>VLOOKUP(A:A,'Regions and Ports'!A:G,7,FALSE)</f>
        <v>Dallas</v>
      </c>
      <c r="H86" s="87">
        <v>2</v>
      </c>
      <c r="I86" s="69">
        <f>VLOOKUP(A:A,'Seam Tariffs'!A:AB,9,FALSE)</f>
        <v>4.74</v>
      </c>
      <c r="J86" s="69">
        <f>VLOOKUP(A:A,'Seam Tariffs'!A:AB,11,FALSE)</f>
        <v>5.7</v>
      </c>
      <c r="K86" s="69">
        <f>VLOOKUP(A:A,'Seam Tariffs'!A:AB,12,FALSE)</f>
        <v>9.74</v>
      </c>
      <c r="L86" s="69">
        <f>VLOOKUP(A:A,'Seam Tariffs'!A:AB,13,FALSE)</f>
        <v>0</v>
      </c>
      <c r="M86" s="69">
        <f>VLOOKUP(A:A,'Seam Tariffs'!A:AB,14,FALSE)</f>
        <v>0</v>
      </c>
      <c r="N86" s="69">
        <f>VLOOKUP(A:A,'Seam Tariffs'!A:AB,28,FALSE)</f>
        <v>6.9</v>
      </c>
      <c r="O86" s="69">
        <f>COSTS!$W$6</f>
        <v>1.8958333333333335</v>
      </c>
      <c r="P86" s="69">
        <f>VLOOKUP(G86,COSTS!$V$11:$X$14,3,FALSE)</f>
        <v>0</v>
      </c>
      <c r="Q86" s="69">
        <f t="shared" si="7"/>
        <v>28.97583333333333</v>
      </c>
      <c r="R86" s="69">
        <f t="shared" si="8"/>
        <v>18.535833333333333</v>
      </c>
      <c r="S86" s="87">
        <f>VLOOKUP(A:A,'Flat Bed &amp; Late Fees'!A:J,6,FALSE)</f>
        <v>0</v>
      </c>
      <c r="T86" s="87">
        <f>VLOOKUP(A:A,'Flat Bed &amp; Late Fees'!A:J,7,FALSE)</f>
        <v>0</v>
      </c>
      <c r="U86" s="68">
        <f>VLOOKUP(C86&amp;G86,OTR!E:J,6,FALSE)/88</f>
        <v>11.375</v>
      </c>
      <c r="V86" s="87"/>
      <c r="W86" s="68">
        <f t="shared" si="9"/>
        <v>11.375</v>
      </c>
      <c r="X86" s="69">
        <f>VLOOKUP(G86,COSTS!$Z$18:$AC$23,2,FALSE)</f>
        <v>2.7</v>
      </c>
      <c r="Y86" s="87">
        <f>VLOOKUP(G86,COSTS!$Z$18:$AC$23,4,FALSE)</f>
        <v>2.52</v>
      </c>
      <c r="Z86" s="69">
        <f>(COSTS!$W$3*COSTS!$W$4*500)/52*COSTS!$AE$17</f>
        <v>1.3125</v>
      </c>
      <c r="AB86" s="69">
        <f t="shared" si="10"/>
        <v>6.5325000000000006</v>
      </c>
      <c r="AC86" s="69">
        <f>VLOOKUP(G86,COSTS!$Z$11:$AE$14,5,FALSE)</f>
        <v>8.125</v>
      </c>
      <c r="AD86" s="69">
        <f>VLOOKUP(G86,COSTS!$Z$4:$AD$7,4,FALSE)</f>
        <v>13.409090909090908</v>
      </c>
      <c r="AE86" s="69"/>
      <c r="AF86" s="69">
        <f t="shared" si="11"/>
        <v>21.534090909090907</v>
      </c>
      <c r="AG86" s="87">
        <f>((COSTS!$C$5*88)/20)/88</f>
        <v>1.4407150000000002</v>
      </c>
      <c r="AH86" s="69">
        <f>(COSTS!$X$38/88)*20</f>
        <v>0.34865702479338845</v>
      </c>
      <c r="AI86" s="87">
        <f>((COSTS!$E$5*88)/20)/88</f>
        <v>0.62936587135988387</v>
      </c>
      <c r="AJ86" s="87">
        <f>((COSTS!$D$5*88)/20)/88</f>
        <v>0.33676</v>
      </c>
      <c r="AL86" s="387">
        <f t="shared" si="12"/>
        <v>2.7554978961532726</v>
      </c>
      <c r="AM86" s="69">
        <f>(COSTS!$W$3+0.1)*500*0.01</f>
        <v>3.9999999999999996</v>
      </c>
      <c r="AN86" s="387">
        <f>((COSTS!$G$5/20)*88)/88</f>
        <v>1.308904109589041</v>
      </c>
      <c r="AR86" s="69">
        <f t="shared" si="13"/>
        <v>5.3089041095890401</v>
      </c>
      <c r="AT86" s="1" t="e">
        <f>VLOOKUP(C86&amp;$AT$1,OTR!E:J,6,FALSE)/88</f>
        <v>#N/A</v>
      </c>
      <c r="AU86" s="1" t="e">
        <f>VLOOKUP(C86&amp;$AU$1,OTR!E:J,6,FALSE)/88</f>
        <v>#N/A</v>
      </c>
    </row>
    <row r="87" spans="1:47">
      <c r="A87" s="125">
        <v>843000</v>
      </c>
      <c r="B87" s="1" t="s">
        <v>255</v>
      </c>
      <c r="C87" s="1" t="s">
        <v>256</v>
      </c>
      <c r="D87" s="1" t="s">
        <v>71</v>
      </c>
      <c r="E87" s="1" t="s">
        <v>2067</v>
      </c>
      <c r="F87" s="1" t="str">
        <f>VLOOKUP(A:A,'Regions and Ports'!A:F,6,FALSE)</f>
        <v>WTX</v>
      </c>
      <c r="G87" s="1" t="s">
        <v>439</v>
      </c>
      <c r="H87" s="87">
        <v>2</v>
      </c>
      <c r="I87" s="69">
        <f>VLOOKUP(A:A,'Seam Tariffs'!A:AB,9,FALSE)</f>
        <v>4.74</v>
      </c>
      <c r="J87" s="69">
        <f>VLOOKUP(A:A,'Seam Tariffs'!A:AB,11,FALSE)</f>
        <v>5.7</v>
      </c>
      <c r="K87" s="69">
        <f>VLOOKUP(A:A,'Seam Tariffs'!A:AB,12,FALSE)</f>
        <v>9.74</v>
      </c>
      <c r="L87" s="69">
        <f>VLOOKUP(A:A,'Seam Tariffs'!A:AB,13,FALSE)</f>
        <v>0</v>
      </c>
      <c r="M87" s="69">
        <f>VLOOKUP(A:A,'Seam Tariffs'!A:AB,14,FALSE)</f>
        <v>0</v>
      </c>
      <c r="N87" s="69">
        <f>VLOOKUP(A:A,'Seam Tariffs'!A:AB,28,FALSE)</f>
        <v>6.9</v>
      </c>
      <c r="O87" s="69">
        <f>COSTS!$W$6</f>
        <v>1.8958333333333335</v>
      </c>
      <c r="P87" s="69">
        <f>VLOOKUP(G87,COSTS!$V$11:$X$14,3,FALSE)</f>
        <v>0</v>
      </c>
      <c r="Q87" s="69">
        <f t="shared" si="7"/>
        <v>28.97583333333333</v>
      </c>
      <c r="R87" s="69">
        <f t="shared" si="8"/>
        <v>18.535833333333333</v>
      </c>
      <c r="S87" s="87">
        <f>VLOOKUP(A:A,'Flat Bed &amp; Late Fees'!A:J,6,FALSE)</f>
        <v>0</v>
      </c>
      <c r="T87" s="87">
        <f>VLOOKUP(A:A,'Flat Bed &amp; Late Fees'!A:J,7,FALSE)</f>
        <v>0</v>
      </c>
      <c r="U87" s="68">
        <f>VLOOKUP(C87&amp;G87,OTR!E:J,6,FALSE)/88</f>
        <v>19.761363636363637</v>
      </c>
      <c r="V87" s="87"/>
      <c r="W87" s="68">
        <f t="shared" si="9"/>
        <v>19.761363636363637</v>
      </c>
      <c r="X87" s="69">
        <f>VLOOKUP(G87,COSTS!$Z$18:$AC$23,2,FALSE)</f>
        <v>2.7</v>
      </c>
      <c r="Y87" s="87">
        <f>VLOOKUP(G87,COSTS!$Z$18:$AC$23,4,FALSE)</f>
        <v>2.52</v>
      </c>
      <c r="Z87" s="69">
        <f>(COSTS!$W$3*COSTS!$W$4*500)/52*COSTS!$AE$17</f>
        <v>1.3125</v>
      </c>
      <c r="AB87" s="69">
        <f t="shared" si="10"/>
        <v>6.5325000000000006</v>
      </c>
      <c r="AC87" s="69">
        <f>VLOOKUP(G87,COSTS!$Z$11:$AE$14,5,FALSE)</f>
        <v>6.6477272727272725</v>
      </c>
      <c r="AD87" s="69">
        <f>VLOOKUP(G87,COSTS!$Z$4:$AD$7,4,FALSE)</f>
        <v>9.8977272727272734</v>
      </c>
      <c r="AE87" s="69"/>
      <c r="AF87" s="69">
        <f t="shared" si="11"/>
        <v>16.545454545454547</v>
      </c>
      <c r="AG87" s="87">
        <f>((COSTS!$C$5*88)/20)/88</f>
        <v>1.4407150000000002</v>
      </c>
      <c r="AH87" s="69">
        <f>(COSTS!$X$38/88)*20</f>
        <v>0.34865702479338845</v>
      </c>
      <c r="AI87" s="87">
        <f>((COSTS!$E$5*88)/20)/88</f>
        <v>0.62936587135988387</v>
      </c>
      <c r="AJ87" s="87">
        <f>((COSTS!$D$5*88)/20)/88</f>
        <v>0.33676</v>
      </c>
      <c r="AL87" s="387">
        <f t="shared" si="12"/>
        <v>2.7554978961532726</v>
      </c>
      <c r="AM87" s="69">
        <f>(COSTS!$W$3+0.1)*500*0.01</f>
        <v>3.9999999999999996</v>
      </c>
      <c r="AN87" s="387">
        <f>((COSTS!$G$5/20)*88)/88</f>
        <v>1.308904109589041</v>
      </c>
      <c r="AR87" s="69">
        <f t="shared" si="13"/>
        <v>5.3089041095890401</v>
      </c>
      <c r="AT87" s="1" t="e">
        <f>VLOOKUP(C87&amp;$AT$1,OTR!E:J,6,FALSE)/88</f>
        <v>#N/A</v>
      </c>
      <c r="AU87" s="1" t="e">
        <f>VLOOKUP(C87&amp;$AU$1,OTR!E:J,6,FALSE)/88</f>
        <v>#N/A</v>
      </c>
    </row>
    <row r="88" spans="1:47">
      <c r="A88" s="1">
        <v>846006</v>
      </c>
      <c r="B88" s="1" t="s">
        <v>258</v>
      </c>
      <c r="C88" s="1" t="s">
        <v>259</v>
      </c>
      <c r="D88" s="1" t="s">
        <v>71</v>
      </c>
      <c r="E88" s="1" t="str">
        <f>VLOOKUP(A:A,'Regions and Ports'!A:G,5,FALSE)</f>
        <v>STEX</v>
      </c>
      <c r="F88" s="1" t="str">
        <f>VLOOKUP(A:A,'Regions and Ports'!A:F,6,FALSE)</f>
        <v>STX</v>
      </c>
      <c r="G88" s="1" t="s">
        <v>241</v>
      </c>
      <c r="H88" s="87">
        <v>3</v>
      </c>
      <c r="I88" s="69">
        <f>VLOOKUP(A:A,'Seam Tariffs'!A:AB,9,FALSE)</f>
        <v>4.75</v>
      </c>
      <c r="J88" s="69">
        <f>VLOOKUP(A:A,'Seam Tariffs'!A:AB,11,FALSE)</f>
        <v>7</v>
      </c>
      <c r="K88" s="69">
        <f>VLOOKUP(A:A,'Seam Tariffs'!A:AB,12,FALSE)</f>
        <v>9.9499999999999993</v>
      </c>
      <c r="L88" s="69">
        <f>VLOOKUP(A:A,'Seam Tariffs'!A:AB,13,FALSE)</f>
        <v>0</v>
      </c>
      <c r="M88" s="69">
        <f>VLOOKUP(A:A,'Seam Tariffs'!A:AB,14,FALSE)</f>
        <v>1.3</v>
      </c>
      <c r="N88" s="69">
        <f>VLOOKUP(A:A,'Seam Tariffs'!A:AB,28,FALSE)</f>
        <v>3.75</v>
      </c>
      <c r="O88" s="69">
        <f>COSTS!$W$6</f>
        <v>1.8958333333333335</v>
      </c>
      <c r="P88" s="69">
        <f>VLOOKUP(G88,COSTS!$V$11:$X$14,3,FALSE)</f>
        <v>0</v>
      </c>
      <c r="Q88" s="69">
        <f t="shared" si="7"/>
        <v>28.645833333333332</v>
      </c>
      <c r="R88" s="69">
        <f t="shared" si="8"/>
        <v>22.595833333333331</v>
      </c>
      <c r="S88" s="87">
        <f>VLOOKUP(A:A,'Flat Bed &amp; Late Fees'!A:J,6,FALSE)</f>
        <v>0</v>
      </c>
      <c r="T88" s="87">
        <f>VLOOKUP(A:A,'Flat Bed &amp; Late Fees'!A:J,7,FALSE)</f>
        <v>0</v>
      </c>
      <c r="U88" s="68">
        <f>VLOOKUP(C88&amp;G88,OTR!E:J,6,FALSE)/88</f>
        <v>6.5340909090909092</v>
      </c>
      <c r="V88" s="87"/>
      <c r="W88" s="68">
        <f t="shared" si="9"/>
        <v>6.5340909090909092</v>
      </c>
      <c r="X88" s="69">
        <f>VLOOKUP(G88,COSTS!$Z$18:$AC$23,2,FALSE)</f>
        <v>2.7</v>
      </c>
      <c r="Y88" s="87">
        <f>VLOOKUP(G88,COSTS!$Z$18:$AC$23,4,FALSE)</f>
        <v>2.52</v>
      </c>
      <c r="Z88" s="69">
        <f>(COSTS!$W$3*COSTS!$W$4*500)/52*COSTS!$AE$17</f>
        <v>1.3125</v>
      </c>
      <c r="AB88" s="69">
        <f t="shared" si="10"/>
        <v>6.5325000000000006</v>
      </c>
      <c r="AC88" s="69">
        <f>VLOOKUP(G88,COSTS!$Z$11:$AE$14,5,FALSE)</f>
        <v>8.125</v>
      </c>
      <c r="AD88" s="69">
        <f>VLOOKUP(G88,COSTS!$Z$4:$AD$7,4,FALSE)</f>
        <v>13.409090909090908</v>
      </c>
      <c r="AE88" s="69"/>
      <c r="AF88" s="69">
        <f t="shared" si="11"/>
        <v>21.534090909090907</v>
      </c>
      <c r="AG88" s="87">
        <f>((COSTS!$C$5*88)/20)/88</f>
        <v>1.4407150000000002</v>
      </c>
      <c r="AH88" s="69">
        <f>(COSTS!$X$38/88)*20</f>
        <v>0.34865702479338845</v>
      </c>
      <c r="AI88" s="87">
        <f>((COSTS!$E$5*88)/20)/88</f>
        <v>0.62936587135988387</v>
      </c>
      <c r="AJ88" s="87">
        <f>((COSTS!$D$5*88)/20)/88</f>
        <v>0.33676</v>
      </c>
      <c r="AL88" s="387">
        <f t="shared" si="12"/>
        <v>2.7554978961532726</v>
      </c>
      <c r="AM88" s="69">
        <f>(COSTS!$W$3+0.1)*500*0.01</f>
        <v>3.9999999999999996</v>
      </c>
      <c r="AN88" s="387">
        <f>((COSTS!$G$5/20)*88)/88</f>
        <v>1.308904109589041</v>
      </c>
      <c r="AR88" s="69">
        <f t="shared" si="13"/>
        <v>5.3089041095890401</v>
      </c>
      <c r="AT88" s="1" t="e">
        <f>VLOOKUP(C88&amp;$AT$1,OTR!E:J,6,FALSE)/88</f>
        <v>#N/A</v>
      </c>
      <c r="AU88" s="1" t="e">
        <f>VLOOKUP(C88&amp;$AU$1,OTR!E:J,6,FALSE)/88</f>
        <v>#N/A</v>
      </c>
    </row>
    <row r="89" spans="1:47">
      <c r="A89" s="1">
        <v>134900</v>
      </c>
      <c r="B89" s="1" t="s">
        <v>261</v>
      </c>
      <c r="C89" s="1" t="s">
        <v>262</v>
      </c>
      <c r="D89" s="1" t="s">
        <v>149</v>
      </c>
      <c r="E89" s="1" t="str">
        <f>VLOOKUP(A:A,'Regions and Ports'!A:G,5,FALSE)</f>
        <v>Memphis Rule 5</v>
      </c>
      <c r="F89" s="1" t="str">
        <f>VLOOKUP(A:A,'Regions and Ports'!A:F,6,FALSE)</f>
        <v>MR5</v>
      </c>
      <c r="G89" s="1" t="str">
        <f>VLOOKUP(A:A,'Regions and Ports'!A:G,7,FALSE)</f>
        <v>Memphis</v>
      </c>
      <c r="H89" s="87">
        <v>1</v>
      </c>
      <c r="I89" s="69">
        <f>VLOOKUP(A:A,'Seam Tariffs'!A:AB,9,FALSE)</f>
        <v>4</v>
      </c>
      <c r="J89" s="69">
        <f>VLOOKUP(A:A,'Seam Tariffs'!A:AB,11,FALSE)</f>
        <v>10.25</v>
      </c>
      <c r="K89" s="69">
        <f>VLOOKUP(A:A,'Seam Tariffs'!A:AB,12,FALSE)</f>
        <v>8</v>
      </c>
      <c r="L89" s="69">
        <f>VLOOKUP(A:A,'Seam Tariffs'!A:AB,13,FALSE)</f>
        <v>0</v>
      </c>
      <c r="M89" s="69">
        <f>VLOOKUP(A:A,'Seam Tariffs'!A:AB,14,FALSE)</f>
        <v>0</v>
      </c>
      <c r="N89" s="69">
        <f>VLOOKUP(A:A,'Seam Tariffs'!A:AB,28,FALSE)</f>
        <v>3.25</v>
      </c>
      <c r="O89" s="69">
        <f>COSTS!$W$6</f>
        <v>1.8958333333333335</v>
      </c>
      <c r="P89" s="69">
        <f>VLOOKUP(G89,COSTS!$V$11:$X$14,3,FALSE)</f>
        <v>0</v>
      </c>
      <c r="Q89" s="69">
        <f t="shared" si="7"/>
        <v>27.395833333333332</v>
      </c>
      <c r="R89" s="69">
        <f t="shared" si="8"/>
        <v>5.1458333333333339</v>
      </c>
      <c r="S89" s="87">
        <f>VLOOKUP(A:A,'Flat Bed &amp; Late Fees'!A:J,6,FALSE)</f>
        <v>0</v>
      </c>
      <c r="T89" s="87">
        <f>VLOOKUP(A:A,'Flat Bed &amp; Late Fees'!A:J,7,FALSE)</f>
        <v>0</v>
      </c>
      <c r="U89" s="68">
        <f>VLOOKUP(C89&amp;G89,OTR!E:J,6,FALSE)/88</f>
        <v>14.886363636363637</v>
      </c>
      <c r="V89" s="87"/>
      <c r="W89" s="68">
        <f t="shared" si="9"/>
        <v>14.886363636363637</v>
      </c>
      <c r="X89" s="69">
        <f>VLOOKUP(G89,COSTS!$Z$18:$AC$23,2,FALSE)</f>
        <v>2.5</v>
      </c>
      <c r="Y89" s="87">
        <f>VLOOKUP(G89,COSTS!$Z$18:$AC$23,4,FALSE)</f>
        <v>1.68</v>
      </c>
      <c r="Z89" s="69">
        <f>(COSTS!$W$3*COSTS!$W$4*500)/52*COSTS!$AE$17</f>
        <v>1.3125</v>
      </c>
      <c r="AB89" s="69">
        <f t="shared" si="10"/>
        <v>5.4924999999999997</v>
      </c>
      <c r="AC89" s="69">
        <f>VLOOKUP(G89,COSTS!$Z$11:$AE$14,5,FALSE)</f>
        <v>7.3011363636363633</v>
      </c>
      <c r="AD89" s="69">
        <f>VLOOKUP(G89,COSTS!$Z$4:$AD$7,4,FALSE)</f>
        <v>9.1363636363636367</v>
      </c>
      <c r="AE89" s="69"/>
      <c r="AF89" s="69">
        <f t="shared" si="11"/>
        <v>16.4375</v>
      </c>
      <c r="AG89" s="87">
        <f>((COSTS!$C$5*88)/20)/88</f>
        <v>1.4407150000000002</v>
      </c>
      <c r="AH89" s="69">
        <f>(COSTS!$X$38/88)*20</f>
        <v>0.34865702479338845</v>
      </c>
      <c r="AI89" s="87">
        <f>((COSTS!$E$5*88)/20)/88</f>
        <v>0.62936587135988387</v>
      </c>
      <c r="AJ89" s="87">
        <f>((COSTS!$D$5*88)/20)/88</f>
        <v>0.33676</v>
      </c>
      <c r="AL89" s="387">
        <f t="shared" si="12"/>
        <v>2.7554978961532726</v>
      </c>
      <c r="AM89" s="69">
        <f>(COSTS!$W$3+0.1)*500*0.01</f>
        <v>3.9999999999999996</v>
      </c>
      <c r="AN89" s="387">
        <f>((COSTS!$G$5/20)*88)/88</f>
        <v>1.308904109589041</v>
      </c>
      <c r="AR89" s="69">
        <f t="shared" si="13"/>
        <v>5.3089041095890401</v>
      </c>
      <c r="AT89" s="1" t="e">
        <f>VLOOKUP(C89&amp;$AT$1,OTR!E:J,6,FALSE)/88</f>
        <v>#N/A</v>
      </c>
      <c r="AU89" s="1">
        <f>VLOOKUP(C89&amp;$AU$1,OTR!E:J,6,FALSE)/88</f>
        <v>25.96590909090909</v>
      </c>
    </row>
    <row r="90" spans="1:47">
      <c r="A90" s="1">
        <v>843002</v>
      </c>
      <c r="B90" s="1" t="s">
        <v>266</v>
      </c>
      <c r="C90" s="1" t="s">
        <v>265</v>
      </c>
      <c r="D90" s="1" t="s">
        <v>71</v>
      </c>
      <c r="E90" s="1" t="str">
        <f>VLOOKUP(A:A,'Regions and Ports'!A:G,5,FALSE)</f>
        <v>WTX</v>
      </c>
      <c r="F90" s="1" t="str">
        <f>VLOOKUP(A:A,'Regions and Ports'!A:F,6,FALSE)</f>
        <v>WTX</v>
      </c>
      <c r="G90" s="1" t="str">
        <f>VLOOKUP(A:A,'Regions and Ports'!A:G,7,FALSE)</f>
        <v>Dallas</v>
      </c>
      <c r="H90" s="87">
        <v>3</v>
      </c>
      <c r="I90" s="69">
        <f>VLOOKUP(A:A,'Seam Tariffs'!A:AB,9,FALSE)</f>
        <v>2.75</v>
      </c>
      <c r="J90" s="69">
        <f>VLOOKUP(A:A,'Seam Tariffs'!A:AB,11,FALSE)</f>
        <v>6.5</v>
      </c>
      <c r="K90" s="69">
        <f>VLOOKUP(A:A,'Seam Tariffs'!A:AB,12,FALSE)</f>
        <v>0</v>
      </c>
      <c r="L90" s="69">
        <f>VLOOKUP(A:A,'Seam Tariffs'!A:AB,13,FALSE)</f>
        <v>0</v>
      </c>
      <c r="M90" s="69">
        <f>VLOOKUP(A:A,'Seam Tariffs'!A:AB,14,FALSE)</f>
        <v>0</v>
      </c>
      <c r="N90" s="69">
        <f>VLOOKUP(A:A,'Seam Tariffs'!A:AB,28,FALSE)</f>
        <v>5.25</v>
      </c>
      <c r="O90" s="69">
        <f>COSTS!$W$6</f>
        <v>1.8958333333333335</v>
      </c>
      <c r="P90" s="69">
        <f>VLOOKUP(G90,COSTS!$V$11:$X$14,3,FALSE)</f>
        <v>0</v>
      </c>
      <c r="Q90" s="69">
        <f t="shared" si="7"/>
        <v>16.395833333333332</v>
      </c>
      <c r="R90" s="69">
        <f t="shared" si="8"/>
        <v>13.645833333333334</v>
      </c>
      <c r="S90" s="87">
        <f>VLOOKUP(A:A,'Flat Bed &amp; Late Fees'!A:J,6,FALSE)</f>
        <v>0</v>
      </c>
      <c r="T90" s="87">
        <f>VLOOKUP(A:A,'Flat Bed &amp; Late Fees'!A:J,7,FALSE)</f>
        <v>0</v>
      </c>
      <c r="U90" s="68" t="e">
        <f>VLOOKUP(C90&amp;G90,OTR!E:J,6,FALSE)/88</f>
        <v>#N/A</v>
      </c>
      <c r="V90" s="87"/>
      <c r="W90" s="68" t="e">
        <f t="shared" si="9"/>
        <v>#N/A</v>
      </c>
      <c r="X90" s="69">
        <f>VLOOKUP(G90,COSTS!$Z$18:$AC$23,2,FALSE)</f>
        <v>2.7</v>
      </c>
      <c r="Y90" s="87">
        <f>VLOOKUP(G90,COSTS!$Z$18:$AC$23,4,FALSE)</f>
        <v>2.52</v>
      </c>
      <c r="Z90" s="69">
        <f>(COSTS!$W$3*COSTS!$W$4*500)/52*COSTS!$AE$17</f>
        <v>1.3125</v>
      </c>
      <c r="AB90" s="69">
        <f t="shared" si="10"/>
        <v>6.5325000000000006</v>
      </c>
      <c r="AC90" s="69">
        <f>VLOOKUP(G90,COSTS!$Z$11:$AE$14,5,FALSE)</f>
        <v>8.125</v>
      </c>
      <c r="AD90" s="69">
        <f>VLOOKUP(G90,COSTS!$Z$4:$AD$7,4,FALSE)</f>
        <v>13.409090909090908</v>
      </c>
      <c r="AE90" s="69"/>
      <c r="AF90" s="69">
        <f t="shared" si="11"/>
        <v>21.534090909090907</v>
      </c>
      <c r="AG90" s="87">
        <f>((COSTS!$C$5*88)/20)/88</f>
        <v>1.4407150000000002</v>
      </c>
      <c r="AH90" s="69">
        <f>(COSTS!$X$38/88)*20</f>
        <v>0.34865702479338845</v>
      </c>
      <c r="AI90" s="87">
        <f>((COSTS!$E$5*88)/20)/88</f>
        <v>0.62936587135988387</v>
      </c>
      <c r="AJ90" s="87">
        <f>((COSTS!$D$5*88)/20)/88</f>
        <v>0.33676</v>
      </c>
      <c r="AL90" s="387">
        <f t="shared" si="12"/>
        <v>2.7554978961532726</v>
      </c>
      <c r="AM90" s="69">
        <f>(COSTS!$W$3+0.1)*500*0.01</f>
        <v>3.9999999999999996</v>
      </c>
      <c r="AN90" s="387">
        <f>((COSTS!$G$5/20)*88)/88</f>
        <v>1.308904109589041</v>
      </c>
      <c r="AR90" s="69">
        <f t="shared" si="13"/>
        <v>5.3089041095890401</v>
      </c>
      <c r="AT90" s="1" t="e">
        <f>VLOOKUP(C90&amp;$AT$1,OTR!E:J,6,FALSE)/88</f>
        <v>#N/A</v>
      </c>
      <c r="AU90" s="1" t="e">
        <f>VLOOKUP(C90&amp;$AU$1,OTR!E:J,6,FALSE)/88</f>
        <v>#N/A</v>
      </c>
    </row>
    <row r="91" spans="1:47">
      <c r="A91" s="1">
        <v>875260</v>
      </c>
      <c r="B91" s="1" t="s">
        <v>264</v>
      </c>
      <c r="C91" s="1" t="s">
        <v>265</v>
      </c>
      <c r="D91" s="1" t="s">
        <v>71</v>
      </c>
      <c r="E91" s="1" t="str">
        <f>VLOOKUP(A:A,'Regions and Ports'!A:G,5,FALSE)</f>
        <v>WTX</v>
      </c>
      <c r="F91" s="1" t="str">
        <f>VLOOKUP(A:A,'Regions and Ports'!A:F,6,FALSE)</f>
        <v>WTX</v>
      </c>
      <c r="G91" s="1" t="str">
        <f>VLOOKUP(A:A,'Regions and Ports'!A:G,7,FALSE)</f>
        <v>Dallas</v>
      </c>
      <c r="H91" s="87">
        <v>2</v>
      </c>
      <c r="I91" s="69">
        <f>VLOOKUP(A:A,'Seam Tariffs'!A:AB,9,FALSE)</f>
        <v>3</v>
      </c>
      <c r="J91" s="69">
        <f>VLOOKUP(A:A,'Seam Tariffs'!A:AB,11,FALSE)</f>
        <v>4</v>
      </c>
      <c r="K91" s="69">
        <f>VLOOKUP(A:A,'Seam Tariffs'!A:AB,12,FALSE)</f>
        <v>0</v>
      </c>
      <c r="L91" s="69">
        <f>VLOOKUP(A:A,'Seam Tariffs'!A:AB,13,FALSE)</f>
        <v>0</v>
      </c>
      <c r="M91" s="69">
        <f>VLOOKUP(A:A,'Seam Tariffs'!A:AB,14,FALSE)</f>
        <v>0</v>
      </c>
      <c r="N91" s="69">
        <f>VLOOKUP(A:A,'Seam Tariffs'!A:AB,28,FALSE)</f>
        <v>3.5999999999999996</v>
      </c>
      <c r="O91" s="69">
        <f>COSTS!$W$6</f>
        <v>1.8958333333333335</v>
      </c>
      <c r="P91" s="69">
        <f>VLOOKUP(G91,COSTS!$V$11:$X$14,3,FALSE)</f>
        <v>0</v>
      </c>
      <c r="Q91" s="69">
        <f t="shared" si="7"/>
        <v>12.495833333333334</v>
      </c>
      <c r="R91" s="69">
        <f t="shared" si="8"/>
        <v>5.4958333333333336</v>
      </c>
      <c r="S91" s="87">
        <f>VLOOKUP(A:A,'Flat Bed &amp; Late Fees'!A:J,6,FALSE)</f>
        <v>0</v>
      </c>
      <c r="T91" s="87">
        <f>VLOOKUP(A:A,'Flat Bed &amp; Late Fees'!A:J,7,FALSE)</f>
        <v>0</v>
      </c>
      <c r="U91" s="68" t="e">
        <f>VLOOKUP(C91&amp;G91,OTR!E:J,6,FALSE)/88</f>
        <v>#N/A</v>
      </c>
      <c r="V91" s="87"/>
      <c r="W91" s="68" t="e">
        <f t="shared" si="9"/>
        <v>#N/A</v>
      </c>
      <c r="X91" s="69">
        <f>VLOOKUP(G91,COSTS!$Z$18:$AC$23,2,FALSE)</f>
        <v>2.7</v>
      </c>
      <c r="Y91" s="87">
        <f>VLOOKUP(G91,COSTS!$Z$18:$AC$23,4,FALSE)</f>
        <v>2.52</v>
      </c>
      <c r="Z91" s="69">
        <f>(COSTS!$W$3*COSTS!$W$4*500)/52*COSTS!$AE$17</f>
        <v>1.3125</v>
      </c>
      <c r="AB91" s="69">
        <f t="shared" si="10"/>
        <v>6.5325000000000006</v>
      </c>
      <c r="AC91" s="69">
        <f>VLOOKUP(G91,COSTS!$Z$11:$AE$14,5,FALSE)</f>
        <v>8.125</v>
      </c>
      <c r="AD91" s="69">
        <f>VLOOKUP(G91,COSTS!$Z$4:$AD$7,4,FALSE)</f>
        <v>13.409090909090908</v>
      </c>
      <c r="AE91" s="69"/>
      <c r="AF91" s="69">
        <f t="shared" si="11"/>
        <v>21.534090909090907</v>
      </c>
      <c r="AG91" s="87">
        <f>((COSTS!$C$5*88)/20)/88</f>
        <v>1.4407150000000002</v>
      </c>
      <c r="AH91" s="69">
        <f>(COSTS!$X$38/88)*20</f>
        <v>0.34865702479338845</v>
      </c>
      <c r="AI91" s="87">
        <f>((COSTS!$E$5*88)/20)/88</f>
        <v>0.62936587135988387</v>
      </c>
      <c r="AJ91" s="87">
        <f>((COSTS!$D$5*88)/20)/88</f>
        <v>0.33676</v>
      </c>
      <c r="AL91" s="387">
        <f t="shared" si="12"/>
        <v>2.7554978961532726</v>
      </c>
      <c r="AM91" s="69">
        <f>(COSTS!$W$3+0.1)*500*0.01</f>
        <v>3.9999999999999996</v>
      </c>
      <c r="AN91" s="387">
        <f>((COSTS!$G$5/20)*88)/88</f>
        <v>1.308904109589041</v>
      </c>
      <c r="AR91" s="69">
        <f t="shared" si="13"/>
        <v>5.3089041095890401</v>
      </c>
      <c r="AT91" s="1" t="e">
        <f>VLOOKUP(C91&amp;$AT$1,OTR!E:J,6,FALSE)/88</f>
        <v>#N/A</v>
      </c>
      <c r="AU91" s="1" t="e">
        <f>VLOOKUP(C91&amp;$AU$1,OTR!E:J,6,FALSE)/88</f>
        <v>#N/A</v>
      </c>
    </row>
    <row r="92" spans="1:47">
      <c r="A92" s="125">
        <v>843002</v>
      </c>
      <c r="B92" s="1" t="s">
        <v>266</v>
      </c>
      <c r="C92" s="1" t="s">
        <v>265</v>
      </c>
      <c r="D92" s="1" t="s">
        <v>71</v>
      </c>
      <c r="E92" s="1" t="s">
        <v>2067</v>
      </c>
      <c r="F92" s="1" t="str">
        <f>VLOOKUP(A:A,'Regions and Ports'!A:F,6,FALSE)</f>
        <v>WTX</v>
      </c>
      <c r="G92" s="1" t="s">
        <v>439</v>
      </c>
      <c r="H92" s="87">
        <v>2</v>
      </c>
      <c r="I92" s="69">
        <f>VLOOKUP(A:A,'Seam Tariffs'!A:AB,9,FALSE)</f>
        <v>2.75</v>
      </c>
      <c r="J92" s="69">
        <f>VLOOKUP(A:A,'Seam Tariffs'!A:AB,11,FALSE)</f>
        <v>6.5</v>
      </c>
      <c r="K92" s="69">
        <f>VLOOKUP(A:A,'Seam Tariffs'!A:AB,12,FALSE)</f>
        <v>0</v>
      </c>
      <c r="L92" s="69">
        <f>VLOOKUP(A:A,'Seam Tariffs'!A:AB,13,FALSE)</f>
        <v>0</v>
      </c>
      <c r="M92" s="69">
        <f>VLOOKUP(A:A,'Seam Tariffs'!A:AB,14,FALSE)</f>
        <v>0</v>
      </c>
      <c r="N92" s="69">
        <f>VLOOKUP(A:A,'Seam Tariffs'!A:AB,28,FALSE)</f>
        <v>5.25</v>
      </c>
      <c r="O92" s="69">
        <f>COSTS!$W$6</f>
        <v>1.8958333333333335</v>
      </c>
      <c r="P92" s="69">
        <f>VLOOKUP(G92,COSTS!$V$11:$X$14,3,FALSE)</f>
        <v>0</v>
      </c>
      <c r="Q92" s="69">
        <f t="shared" si="7"/>
        <v>16.395833333333332</v>
      </c>
      <c r="R92" s="69">
        <f t="shared" si="8"/>
        <v>7.1458333333333339</v>
      </c>
      <c r="S92" s="87">
        <f>VLOOKUP(A:A,'Flat Bed &amp; Late Fees'!A:J,6,FALSE)</f>
        <v>0</v>
      </c>
      <c r="T92" s="87">
        <f>VLOOKUP(A:A,'Flat Bed &amp; Late Fees'!A:J,7,FALSE)</f>
        <v>0</v>
      </c>
      <c r="U92" s="68">
        <f>VLOOKUP(C92&amp;G92,OTR!E:J,6,FALSE)/88</f>
        <v>10.369318181818182</v>
      </c>
      <c r="V92" s="87"/>
      <c r="W92" s="68">
        <f t="shared" si="9"/>
        <v>10.369318181818182</v>
      </c>
      <c r="X92" s="69">
        <f>VLOOKUP(G92,COSTS!$Z$18:$AC$23,2,FALSE)</f>
        <v>2.7</v>
      </c>
      <c r="Y92" s="87">
        <f>VLOOKUP(G92,COSTS!$Z$18:$AC$23,4,FALSE)</f>
        <v>2.52</v>
      </c>
      <c r="Z92" s="69">
        <f>(COSTS!$W$3*COSTS!$W$4*500)/52*COSTS!$AE$17</f>
        <v>1.3125</v>
      </c>
      <c r="AB92" s="69">
        <f t="shared" si="10"/>
        <v>6.5325000000000006</v>
      </c>
      <c r="AC92" s="69">
        <f>VLOOKUP(G92,COSTS!$Z$11:$AE$14,5,FALSE)</f>
        <v>6.6477272727272725</v>
      </c>
      <c r="AD92" s="69">
        <f>VLOOKUP(G92,COSTS!$Z$4:$AD$7,4,FALSE)</f>
        <v>9.8977272727272734</v>
      </c>
      <c r="AE92" s="69"/>
      <c r="AF92" s="69">
        <f t="shared" si="11"/>
        <v>16.545454545454547</v>
      </c>
      <c r="AG92" s="87">
        <f>((COSTS!$C$5*88)/20)/88</f>
        <v>1.4407150000000002</v>
      </c>
      <c r="AH92" s="69">
        <f>(COSTS!$X$38/88)*20</f>
        <v>0.34865702479338845</v>
      </c>
      <c r="AI92" s="87">
        <f>((COSTS!$E$5*88)/20)/88</f>
        <v>0.62936587135988387</v>
      </c>
      <c r="AJ92" s="87">
        <f>((COSTS!$D$5*88)/20)/88</f>
        <v>0.33676</v>
      </c>
      <c r="AL92" s="387">
        <f t="shared" si="12"/>
        <v>2.7554978961532726</v>
      </c>
      <c r="AM92" s="69">
        <f>(COSTS!$W$3+0.1)*500*0.01</f>
        <v>3.9999999999999996</v>
      </c>
      <c r="AN92" s="387">
        <f>((COSTS!$G$5/20)*88)/88</f>
        <v>1.308904109589041</v>
      </c>
      <c r="AR92" s="69">
        <f t="shared" si="13"/>
        <v>5.3089041095890401</v>
      </c>
      <c r="AT92" s="1" t="e">
        <f>VLOOKUP(C92&amp;$AT$1,OTR!E:J,6,FALSE)/88</f>
        <v>#N/A</v>
      </c>
      <c r="AU92" s="1" t="e">
        <f>VLOOKUP(C92&amp;$AU$1,OTR!E:J,6,FALSE)/88</f>
        <v>#N/A</v>
      </c>
    </row>
    <row r="93" spans="1:47">
      <c r="A93" s="125">
        <v>875260</v>
      </c>
      <c r="B93" s="1" t="s">
        <v>264</v>
      </c>
      <c r="C93" s="1" t="s">
        <v>265</v>
      </c>
      <c r="D93" s="1" t="s">
        <v>71</v>
      </c>
      <c r="E93" s="1" t="s">
        <v>2067</v>
      </c>
      <c r="F93" s="1" t="str">
        <f>VLOOKUP(A:A,'Regions and Ports'!A:F,6,FALSE)</f>
        <v>WTX</v>
      </c>
      <c r="G93" s="1" t="s">
        <v>439</v>
      </c>
      <c r="H93" s="87">
        <v>2</v>
      </c>
      <c r="I93" s="69">
        <f>VLOOKUP(A:A,'Seam Tariffs'!A:AB,9,FALSE)</f>
        <v>3</v>
      </c>
      <c r="J93" s="69">
        <f>VLOOKUP(A:A,'Seam Tariffs'!A:AB,11,FALSE)</f>
        <v>4</v>
      </c>
      <c r="K93" s="69">
        <f>VLOOKUP(A:A,'Seam Tariffs'!A:AB,12,FALSE)</f>
        <v>0</v>
      </c>
      <c r="L93" s="69">
        <f>VLOOKUP(A:A,'Seam Tariffs'!A:AB,13,FALSE)</f>
        <v>0</v>
      </c>
      <c r="M93" s="69">
        <f>VLOOKUP(A:A,'Seam Tariffs'!A:AB,14,FALSE)</f>
        <v>0</v>
      </c>
      <c r="N93" s="69">
        <f>VLOOKUP(A:A,'Seam Tariffs'!A:AB,28,FALSE)</f>
        <v>3.5999999999999996</v>
      </c>
      <c r="O93" s="69">
        <f>COSTS!$W$6</f>
        <v>1.8958333333333335</v>
      </c>
      <c r="P93" s="69">
        <f>VLOOKUP(G93,COSTS!$V$11:$X$14,3,FALSE)</f>
        <v>0</v>
      </c>
      <c r="Q93" s="69">
        <f t="shared" si="7"/>
        <v>12.495833333333334</v>
      </c>
      <c r="R93" s="69">
        <f t="shared" si="8"/>
        <v>5.4958333333333336</v>
      </c>
      <c r="S93" s="87">
        <f>VLOOKUP(A:A,'Flat Bed &amp; Late Fees'!A:J,6,FALSE)</f>
        <v>0</v>
      </c>
      <c r="T93" s="87">
        <f>VLOOKUP(A:A,'Flat Bed &amp; Late Fees'!A:J,7,FALSE)</f>
        <v>0</v>
      </c>
      <c r="U93" s="68">
        <f>VLOOKUP(C93&amp;G93,OTR!E:J,6,FALSE)/88</f>
        <v>10.369318181818182</v>
      </c>
      <c r="V93" s="87"/>
      <c r="W93" s="68">
        <f t="shared" si="9"/>
        <v>10.369318181818182</v>
      </c>
      <c r="X93" s="69">
        <f>VLOOKUP(G93,COSTS!$Z$18:$AC$23,2,FALSE)</f>
        <v>2.7</v>
      </c>
      <c r="Y93" s="87">
        <f>VLOOKUP(G93,COSTS!$Z$18:$AC$23,4,FALSE)</f>
        <v>2.52</v>
      </c>
      <c r="Z93" s="69">
        <f>(COSTS!$W$3*COSTS!$W$4*500)/52*COSTS!$AE$17</f>
        <v>1.3125</v>
      </c>
      <c r="AB93" s="69">
        <f t="shared" si="10"/>
        <v>6.5325000000000006</v>
      </c>
      <c r="AC93" s="69">
        <f>VLOOKUP(G93,COSTS!$Z$11:$AE$14,5,FALSE)</f>
        <v>6.6477272727272725</v>
      </c>
      <c r="AD93" s="69">
        <f>VLOOKUP(G93,COSTS!$Z$4:$AD$7,4,FALSE)</f>
        <v>9.8977272727272734</v>
      </c>
      <c r="AE93" s="69"/>
      <c r="AF93" s="69">
        <f t="shared" si="11"/>
        <v>16.545454545454547</v>
      </c>
      <c r="AG93" s="87">
        <f>((COSTS!$C$5*88)/20)/88</f>
        <v>1.4407150000000002</v>
      </c>
      <c r="AH93" s="69">
        <f>(COSTS!$X$38/88)*20</f>
        <v>0.34865702479338845</v>
      </c>
      <c r="AI93" s="87">
        <f>((COSTS!$E$5*88)/20)/88</f>
        <v>0.62936587135988387</v>
      </c>
      <c r="AJ93" s="87">
        <f>((COSTS!$D$5*88)/20)/88</f>
        <v>0.33676</v>
      </c>
      <c r="AL93" s="387">
        <f t="shared" si="12"/>
        <v>2.7554978961532726</v>
      </c>
      <c r="AM93" s="69">
        <f>(COSTS!$W$3+0.1)*500*0.01</f>
        <v>3.9999999999999996</v>
      </c>
      <c r="AN93" s="387">
        <f>((COSTS!$G$5/20)*88)/88</f>
        <v>1.308904109589041</v>
      </c>
      <c r="AR93" s="69">
        <f t="shared" si="13"/>
        <v>5.3089041095890401</v>
      </c>
      <c r="AT93" s="1" t="e">
        <f>VLOOKUP(C93&amp;$AT$1,OTR!E:J,6,FALSE)/88</f>
        <v>#N/A</v>
      </c>
      <c r="AU93" s="1" t="e">
        <f>VLOOKUP(C93&amp;$AU$1,OTR!E:J,6,FALSE)/88</f>
        <v>#N/A</v>
      </c>
    </row>
    <row r="94" spans="1:47">
      <c r="A94" s="1">
        <v>253005</v>
      </c>
      <c r="B94" s="1" t="s">
        <v>267</v>
      </c>
      <c r="C94" s="1" t="s">
        <v>268</v>
      </c>
      <c r="D94" s="1" t="s">
        <v>76</v>
      </c>
      <c r="E94" s="1" t="str">
        <f>VLOOKUP(A:A,'Regions and Ports'!A:G,5,FALSE)</f>
        <v>GA 30 Day</v>
      </c>
      <c r="F94" s="1" t="str">
        <f>VLOOKUP(A:A,'Regions and Ports'!A:F,6,FALSE)</f>
        <v>ER5</v>
      </c>
      <c r="G94" s="1" t="str">
        <f>VLOOKUP(A:A,'Regions and Ports'!A:G,7,FALSE)</f>
        <v>Savannah</v>
      </c>
      <c r="H94" s="87">
        <v>4</v>
      </c>
      <c r="I94" s="69">
        <f>VLOOKUP(A:A,'Seam Tariffs'!A:AB,9,FALSE)</f>
        <v>4</v>
      </c>
      <c r="J94" s="69">
        <f>VLOOKUP(A:A,'Seam Tariffs'!A:AB,11,FALSE)</f>
        <v>5</v>
      </c>
      <c r="K94" s="69">
        <f>VLOOKUP(A:A,'Seam Tariffs'!A:AB,12,FALSE)</f>
        <v>8</v>
      </c>
      <c r="L94" s="69">
        <f>VLOOKUP(A:A,'Seam Tariffs'!A:AB,13,FALSE)</f>
        <v>0</v>
      </c>
      <c r="M94" s="69">
        <f>VLOOKUP(A:A,'Seam Tariffs'!A:AB,14,FALSE)</f>
        <v>0.5</v>
      </c>
      <c r="N94" s="69">
        <f>VLOOKUP(A:A,'Seam Tariffs'!A:AB,28,FALSE)</f>
        <v>2.75</v>
      </c>
      <c r="O94" s="69">
        <f>COSTS!$W$6</f>
        <v>1.8958333333333335</v>
      </c>
      <c r="P94" s="69">
        <f>VLOOKUP(G94,COSTS!$V$11:$X$14,3,FALSE)</f>
        <v>0</v>
      </c>
      <c r="Q94" s="69">
        <f t="shared" si="7"/>
        <v>22.145833333333332</v>
      </c>
      <c r="R94" s="69">
        <f t="shared" si="8"/>
        <v>1.8958333333333335</v>
      </c>
      <c r="S94" s="87">
        <f>VLOOKUP(A:A,'Flat Bed &amp; Late Fees'!A:J,6,FALSE)</f>
        <v>0</v>
      </c>
      <c r="T94" s="87">
        <f>VLOOKUP(A:A,'Flat Bed &amp; Late Fees'!A:J,7,FALSE)</f>
        <v>0</v>
      </c>
      <c r="U94" s="68">
        <f>VLOOKUP(C94&amp;G94,OTR!E:J,6,FALSE)/88</f>
        <v>9.84375</v>
      </c>
      <c r="V94" s="87"/>
      <c r="W94" s="68">
        <f t="shared" si="9"/>
        <v>9.84375</v>
      </c>
      <c r="X94" s="69">
        <f>VLOOKUP(G94,COSTS!$Z$18:$AC$23,2,FALSE)</f>
        <v>2.6</v>
      </c>
      <c r="Y94" s="87">
        <f>VLOOKUP(G94,COSTS!$Z$18:$AC$23,4,FALSE)</f>
        <v>2.52</v>
      </c>
      <c r="Z94" s="69">
        <f>(COSTS!$W$3*COSTS!$W$4*500)/52*COSTS!$AE$17</f>
        <v>1.3125</v>
      </c>
      <c r="AB94" s="69">
        <f t="shared" si="10"/>
        <v>6.4325000000000001</v>
      </c>
      <c r="AC94" s="69">
        <f>VLOOKUP(G94,COSTS!$Z$11:$AE$14,5,FALSE)</f>
        <v>5.5113636363636367</v>
      </c>
      <c r="AD94" s="69">
        <f>VLOOKUP(G94,COSTS!$Z$4:$AD$7,4,FALSE)</f>
        <v>5.3522727272727275</v>
      </c>
      <c r="AE94" s="69"/>
      <c r="AF94" s="69">
        <f t="shared" si="11"/>
        <v>10.863636363636363</v>
      </c>
      <c r="AG94" s="87">
        <f>((COSTS!$C$5*88)/20)/88</f>
        <v>1.4407150000000002</v>
      </c>
      <c r="AH94" s="69">
        <f>(COSTS!$X$38/88)*20</f>
        <v>0.34865702479338845</v>
      </c>
      <c r="AI94" s="87">
        <f>((COSTS!$E$5*88)/20)/88</f>
        <v>0.62936587135988387</v>
      </c>
      <c r="AJ94" s="87">
        <f>((COSTS!$D$5*88)/20)/88</f>
        <v>0.33676</v>
      </c>
      <c r="AL94" s="387">
        <f t="shared" si="12"/>
        <v>2.7554978961532726</v>
      </c>
      <c r="AM94" s="69">
        <f>(COSTS!$W$3+0.1)*500*0.01</f>
        <v>3.9999999999999996</v>
      </c>
      <c r="AN94" s="387">
        <f>((COSTS!$G$5/20)*88)/88</f>
        <v>1.308904109589041</v>
      </c>
      <c r="AR94" s="69">
        <f t="shared" si="13"/>
        <v>5.3089041095890401</v>
      </c>
      <c r="AT94" s="1">
        <f>VLOOKUP(C94&amp;$AT$1,OTR!E:J,6,FALSE)/88</f>
        <v>26.412840909090907</v>
      </c>
      <c r="AU94" s="1">
        <f>VLOOKUP(C94&amp;$AU$1,OTR!E:J,6,FALSE)/88</f>
        <v>12.585227272727273</v>
      </c>
    </row>
    <row r="95" spans="1:47">
      <c r="A95" s="1">
        <v>731205</v>
      </c>
      <c r="B95" s="1" t="s">
        <v>270</v>
      </c>
      <c r="C95" s="1" t="s">
        <v>271</v>
      </c>
      <c r="D95" s="1" t="s">
        <v>132</v>
      </c>
      <c r="E95" s="1" t="str">
        <f>VLOOKUP(A:A,'Regions and Ports'!A:G,5,FALSE)</f>
        <v>Eastern Rule 5</v>
      </c>
      <c r="F95" s="1" t="str">
        <f>VLOOKUP(A:A,'Regions and Ports'!A:F,6,FALSE)</f>
        <v>ER5</v>
      </c>
      <c r="G95" s="1" t="str">
        <f>VLOOKUP(A:A,'Regions and Ports'!A:G,7,FALSE)</f>
        <v>Savannah</v>
      </c>
      <c r="H95" s="87">
        <v>1</v>
      </c>
      <c r="I95" s="69">
        <f>VLOOKUP(A:A,'Seam Tariffs'!A:AB,9,FALSE)</f>
        <v>4</v>
      </c>
      <c r="J95" s="69">
        <f>VLOOKUP(A:A,'Seam Tariffs'!A:AB,11,FALSE)</f>
        <v>4.75</v>
      </c>
      <c r="K95" s="69">
        <f>VLOOKUP(A:A,'Seam Tariffs'!A:AB,12,FALSE)</f>
        <v>0</v>
      </c>
      <c r="L95" s="69">
        <f>VLOOKUP(A:A,'Seam Tariffs'!A:AB,13,FALSE)</f>
        <v>0</v>
      </c>
      <c r="M95" s="69">
        <f>VLOOKUP(A:A,'Seam Tariffs'!A:AB,14,FALSE)</f>
        <v>0</v>
      </c>
      <c r="N95" s="69">
        <f>VLOOKUP(A:A,'Seam Tariffs'!A:AB,28,FALSE)</f>
        <v>2</v>
      </c>
      <c r="O95" s="69">
        <f>COSTS!$W$6</f>
        <v>1.8958333333333335</v>
      </c>
      <c r="P95" s="69">
        <f>VLOOKUP(G95,COSTS!$V$11:$X$14,3,FALSE)</f>
        <v>0</v>
      </c>
      <c r="Q95" s="69">
        <f t="shared" si="7"/>
        <v>12.645833333333334</v>
      </c>
      <c r="R95" s="69">
        <f t="shared" si="8"/>
        <v>3.8958333333333335</v>
      </c>
      <c r="S95" s="87">
        <f>VLOOKUP(A:A,'Flat Bed &amp; Late Fees'!A:J,6,FALSE)</f>
        <v>0</v>
      </c>
      <c r="T95" s="87">
        <f>VLOOKUP(A:A,'Flat Bed &amp; Late Fees'!A:J,7,FALSE)</f>
        <v>0</v>
      </c>
      <c r="U95" s="68" t="e">
        <f>VLOOKUP(C95&amp;G95,OTR!E:J,6,FALSE)/88</f>
        <v>#N/A</v>
      </c>
      <c r="V95" s="87"/>
      <c r="W95" s="68" t="e">
        <f t="shared" si="9"/>
        <v>#N/A</v>
      </c>
      <c r="X95" s="69">
        <f>VLOOKUP(G95,COSTS!$Z$18:$AC$23,2,FALSE)</f>
        <v>2.6</v>
      </c>
      <c r="Y95" s="87">
        <f>VLOOKUP(G95,COSTS!$Z$18:$AC$23,4,FALSE)</f>
        <v>2.52</v>
      </c>
      <c r="Z95" s="69">
        <f>(COSTS!$W$3*COSTS!$W$4*500)/52*COSTS!$AE$17</f>
        <v>1.3125</v>
      </c>
      <c r="AB95" s="69">
        <f t="shared" si="10"/>
        <v>6.4325000000000001</v>
      </c>
      <c r="AC95" s="69">
        <f>VLOOKUP(G95,COSTS!$Z$11:$AE$14,5,FALSE)</f>
        <v>5.5113636363636367</v>
      </c>
      <c r="AD95" s="69">
        <f>VLOOKUP(G95,COSTS!$Z$4:$AD$7,4,FALSE)</f>
        <v>5.3522727272727275</v>
      </c>
      <c r="AE95" s="69"/>
      <c r="AF95" s="69">
        <f t="shared" si="11"/>
        <v>10.863636363636363</v>
      </c>
      <c r="AG95" s="87">
        <f>((COSTS!$C$5*88)/20)/88</f>
        <v>1.4407150000000002</v>
      </c>
      <c r="AH95" s="69">
        <f>(COSTS!$X$38/88)*20</f>
        <v>0.34865702479338845</v>
      </c>
      <c r="AI95" s="87">
        <f>((COSTS!$E$5*88)/20)/88</f>
        <v>0.62936587135988387</v>
      </c>
      <c r="AJ95" s="87">
        <f>((COSTS!$D$5*88)/20)/88</f>
        <v>0.33676</v>
      </c>
      <c r="AL95" s="387">
        <f t="shared" si="12"/>
        <v>2.7554978961532726</v>
      </c>
      <c r="AM95" s="69">
        <f>(COSTS!$W$3+0.1)*500*0.01</f>
        <v>3.9999999999999996</v>
      </c>
      <c r="AN95" s="387">
        <f>((COSTS!$G$5/20)*88)/88</f>
        <v>1.308904109589041</v>
      </c>
      <c r="AR95" s="69">
        <f t="shared" si="13"/>
        <v>5.3089041095890401</v>
      </c>
      <c r="AT95" s="1" t="e">
        <f>VLOOKUP(C95&amp;$AT$1,OTR!E:J,6,FALSE)/88</f>
        <v>#N/A</v>
      </c>
      <c r="AU95" s="1" t="e">
        <f>VLOOKUP(C95&amp;$AU$1,OTR!E:J,6,FALSE)/88</f>
        <v>#N/A</v>
      </c>
    </row>
    <row r="96" spans="1:47">
      <c r="A96" s="1">
        <v>253506</v>
      </c>
      <c r="B96" s="1" t="s">
        <v>273</v>
      </c>
      <c r="C96" s="1" t="s">
        <v>274</v>
      </c>
      <c r="D96" s="1" t="s">
        <v>76</v>
      </c>
      <c r="E96" s="1" t="str">
        <f>VLOOKUP(A:A,'Regions and Ports'!A:G,5,FALSE)</f>
        <v>GA 30 Day</v>
      </c>
      <c r="F96" s="1" t="str">
        <f>VLOOKUP(A:A,'Regions and Ports'!A:F,6,FALSE)</f>
        <v>ER5</v>
      </c>
      <c r="G96" s="1" t="str">
        <f>VLOOKUP(A:A,'Regions and Ports'!A:G,7,FALSE)</f>
        <v>Savannah</v>
      </c>
      <c r="H96" s="87">
        <v>4</v>
      </c>
      <c r="I96" s="69">
        <f>VLOOKUP(A:A,'Seam Tariffs'!A:AB,9,FALSE)</f>
        <v>3</v>
      </c>
      <c r="J96" s="69">
        <f>VLOOKUP(A:A,'Seam Tariffs'!A:AB,11,FALSE)</f>
        <v>5</v>
      </c>
      <c r="K96" s="69">
        <f>VLOOKUP(A:A,'Seam Tariffs'!A:AB,12,FALSE)</f>
        <v>0</v>
      </c>
      <c r="L96" s="69">
        <f>VLOOKUP(A:A,'Seam Tariffs'!A:AB,13,FALSE)</f>
        <v>0</v>
      </c>
      <c r="M96" s="69">
        <f>VLOOKUP(A:A,'Seam Tariffs'!A:AB,14,FALSE)</f>
        <v>1</v>
      </c>
      <c r="N96" s="69">
        <f>VLOOKUP(A:A,'Seam Tariffs'!A:AB,28,FALSE)</f>
        <v>2.75</v>
      </c>
      <c r="O96" s="69">
        <f>COSTS!$W$6</f>
        <v>1.8958333333333335</v>
      </c>
      <c r="P96" s="69">
        <f>VLOOKUP(G96,COSTS!$V$11:$X$14,3,FALSE)</f>
        <v>0</v>
      </c>
      <c r="Q96" s="69">
        <f t="shared" si="7"/>
        <v>13.645833333333334</v>
      </c>
      <c r="R96" s="69">
        <f t="shared" si="8"/>
        <v>1.8958333333333335</v>
      </c>
      <c r="S96" s="87">
        <f>VLOOKUP(A:A,'Flat Bed &amp; Late Fees'!A:J,6,FALSE)</f>
        <v>0</v>
      </c>
      <c r="T96" s="87">
        <f>VLOOKUP(A:A,'Flat Bed &amp; Late Fees'!A:J,7,FALSE)</f>
        <v>0</v>
      </c>
      <c r="U96" s="68">
        <f>VLOOKUP(C96&amp;G96,OTR!E:J,6,FALSE)/88</f>
        <v>11.326363636363636</v>
      </c>
      <c r="V96" s="87"/>
      <c r="W96" s="68">
        <f t="shared" si="9"/>
        <v>11.326363636363636</v>
      </c>
      <c r="X96" s="69">
        <f>VLOOKUP(G96,COSTS!$Z$18:$AC$23,2,FALSE)</f>
        <v>2.6</v>
      </c>
      <c r="Y96" s="87">
        <f>VLOOKUP(G96,COSTS!$Z$18:$AC$23,4,FALSE)</f>
        <v>2.52</v>
      </c>
      <c r="Z96" s="69">
        <f>(COSTS!$W$3*COSTS!$W$4*500)/52*COSTS!$AE$17</f>
        <v>1.3125</v>
      </c>
      <c r="AB96" s="69">
        <f t="shared" si="10"/>
        <v>6.4325000000000001</v>
      </c>
      <c r="AC96" s="69">
        <f>VLOOKUP(G96,COSTS!$Z$11:$AE$14,5,FALSE)</f>
        <v>5.5113636363636367</v>
      </c>
      <c r="AD96" s="69">
        <f>VLOOKUP(G96,COSTS!$Z$4:$AD$7,4,FALSE)</f>
        <v>5.3522727272727275</v>
      </c>
      <c r="AE96" s="69"/>
      <c r="AF96" s="69">
        <f t="shared" si="11"/>
        <v>10.863636363636363</v>
      </c>
      <c r="AG96" s="87">
        <f>((COSTS!$C$5*88)/20)/88</f>
        <v>1.4407150000000002</v>
      </c>
      <c r="AH96" s="69">
        <f>(COSTS!$X$38/88)*20</f>
        <v>0.34865702479338845</v>
      </c>
      <c r="AI96" s="87">
        <f>((COSTS!$E$5*88)/20)/88</f>
        <v>0.62936587135988387</v>
      </c>
      <c r="AJ96" s="87">
        <f>((COSTS!$D$5*88)/20)/88</f>
        <v>0.33676</v>
      </c>
      <c r="AL96" s="387">
        <f t="shared" si="12"/>
        <v>2.7554978961532726</v>
      </c>
      <c r="AM96" s="69">
        <f>(COSTS!$W$3+0.1)*500*0.01</f>
        <v>3.9999999999999996</v>
      </c>
      <c r="AN96" s="387">
        <f>((COSTS!$G$5/20)*88)/88</f>
        <v>1.308904109589041</v>
      </c>
      <c r="AR96" s="69">
        <f t="shared" si="13"/>
        <v>5.3089041095890401</v>
      </c>
      <c r="AT96" s="1">
        <f>VLOOKUP(C96&amp;$AT$1,OTR!E:J,6,FALSE)/88</f>
        <v>23.320454545454542</v>
      </c>
      <c r="AU96" s="1">
        <f>VLOOKUP(C96&amp;$AU$1,OTR!E:J,6,FALSE)/88</f>
        <v>16.335227272727273</v>
      </c>
    </row>
    <row r="97" spans="1:47">
      <c r="A97" s="1">
        <v>304500</v>
      </c>
      <c r="B97" s="1" t="s">
        <v>276</v>
      </c>
      <c r="C97" s="1" t="s">
        <v>274</v>
      </c>
      <c r="D97" s="1" t="s">
        <v>76</v>
      </c>
      <c r="E97" s="1" t="str">
        <f>VLOOKUP(A:A,'Regions and Ports'!A:G,5,FALSE)</f>
        <v>GA 30 Day</v>
      </c>
      <c r="F97" s="1" t="str">
        <f>VLOOKUP(A:A,'Regions and Ports'!A:F,6,FALSE)</f>
        <v>ER5</v>
      </c>
      <c r="G97" s="1" t="str">
        <f>VLOOKUP(A:A,'Regions and Ports'!A:G,7,FALSE)</f>
        <v>Savannah</v>
      </c>
      <c r="H97" s="87">
        <v>4</v>
      </c>
      <c r="I97" s="69">
        <f>VLOOKUP(A:A,'Seam Tariffs'!A:AB,9,FALSE)</f>
        <v>3</v>
      </c>
      <c r="J97" s="69">
        <f>VLOOKUP(A:A,'Seam Tariffs'!A:AB,11,FALSE)</f>
        <v>5</v>
      </c>
      <c r="K97" s="69">
        <f>VLOOKUP(A:A,'Seam Tariffs'!A:AB,12,FALSE)</f>
        <v>0</v>
      </c>
      <c r="L97" s="69">
        <f>VLOOKUP(A:A,'Seam Tariffs'!A:AB,13,FALSE)</f>
        <v>0</v>
      </c>
      <c r="M97" s="69">
        <f>VLOOKUP(A:A,'Seam Tariffs'!A:AB,14,FALSE)</f>
        <v>2</v>
      </c>
      <c r="N97" s="69">
        <f>VLOOKUP(A:A,'Seam Tariffs'!A:AB,28,FALSE)</f>
        <v>2.6</v>
      </c>
      <c r="O97" s="69">
        <f>COSTS!$W$6</f>
        <v>1.8958333333333335</v>
      </c>
      <c r="P97" s="69">
        <f>VLOOKUP(G97,COSTS!$V$11:$X$14,3,FALSE)</f>
        <v>0</v>
      </c>
      <c r="Q97" s="69">
        <f t="shared" si="7"/>
        <v>14.495833333333334</v>
      </c>
      <c r="R97" s="69">
        <f t="shared" si="8"/>
        <v>1.8958333333333335</v>
      </c>
      <c r="S97" s="87">
        <f>VLOOKUP(A:A,'Flat Bed &amp; Late Fees'!A:J,6,FALSE)</f>
        <v>0</v>
      </c>
      <c r="T97" s="87">
        <f>VLOOKUP(A:A,'Flat Bed &amp; Late Fees'!A:J,7,FALSE)</f>
        <v>0</v>
      </c>
      <c r="U97" s="68">
        <f>VLOOKUP(C97&amp;G97,OTR!E:J,6,FALSE)/88</f>
        <v>11.326363636363636</v>
      </c>
      <c r="V97" s="87"/>
      <c r="W97" s="68">
        <f t="shared" si="9"/>
        <v>11.326363636363636</v>
      </c>
      <c r="X97" s="69">
        <f>VLOOKUP(G97,COSTS!$Z$18:$AC$23,2,FALSE)</f>
        <v>2.6</v>
      </c>
      <c r="Y97" s="87">
        <f>VLOOKUP(G97,COSTS!$Z$18:$AC$23,4,FALSE)</f>
        <v>2.52</v>
      </c>
      <c r="Z97" s="69">
        <f>(COSTS!$W$3*COSTS!$W$4*500)/52*COSTS!$AE$17</f>
        <v>1.3125</v>
      </c>
      <c r="AB97" s="69">
        <f t="shared" si="10"/>
        <v>6.4325000000000001</v>
      </c>
      <c r="AC97" s="69">
        <f>VLOOKUP(G97,COSTS!$Z$11:$AE$14,5,FALSE)</f>
        <v>5.5113636363636367</v>
      </c>
      <c r="AD97" s="69">
        <f>VLOOKUP(G97,COSTS!$Z$4:$AD$7,4,FALSE)</f>
        <v>5.3522727272727275</v>
      </c>
      <c r="AE97" s="69"/>
      <c r="AF97" s="69">
        <f t="shared" si="11"/>
        <v>10.863636363636363</v>
      </c>
      <c r="AG97" s="87">
        <f>((COSTS!$C$5*88)/20)/88</f>
        <v>1.4407150000000002</v>
      </c>
      <c r="AH97" s="69">
        <f>(COSTS!$X$38/88)*20</f>
        <v>0.34865702479338845</v>
      </c>
      <c r="AI97" s="87">
        <f>((COSTS!$E$5*88)/20)/88</f>
        <v>0.62936587135988387</v>
      </c>
      <c r="AJ97" s="87">
        <f>((COSTS!$D$5*88)/20)/88</f>
        <v>0.33676</v>
      </c>
      <c r="AL97" s="387">
        <f t="shared" si="12"/>
        <v>2.7554978961532726</v>
      </c>
      <c r="AM97" s="69">
        <f>(COSTS!$W$3+0.1)*500*0.01</f>
        <v>3.9999999999999996</v>
      </c>
      <c r="AN97" s="387">
        <f>((COSTS!$G$5/20)*88)/88</f>
        <v>1.308904109589041</v>
      </c>
      <c r="AR97" s="69">
        <f t="shared" si="13"/>
        <v>5.3089041095890401</v>
      </c>
      <c r="AT97" s="1">
        <f>VLOOKUP(C97&amp;$AT$1,OTR!E:J,6,FALSE)/88</f>
        <v>23.320454545454542</v>
      </c>
      <c r="AU97" s="1">
        <f>VLOOKUP(C97&amp;$AU$1,OTR!E:J,6,FALSE)/88</f>
        <v>16.335227272727273</v>
      </c>
    </row>
    <row r="98" spans="1:47">
      <c r="A98" s="1">
        <v>254002</v>
      </c>
      <c r="B98" s="1" t="s">
        <v>277</v>
      </c>
      <c r="C98" s="1" t="s">
        <v>278</v>
      </c>
      <c r="D98" s="1" t="s">
        <v>76</v>
      </c>
      <c r="E98" s="1" t="str">
        <f>VLOOKUP(A:A,'Regions and Ports'!A:G,5,FALSE)</f>
        <v>GA 30 Day</v>
      </c>
      <c r="F98" s="1" t="str">
        <f>VLOOKUP(A:A,'Regions and Ports'!A:F,6,FALSE)</f>
        <v>ER5</v>
      </c>
      <c r="G98" s="1" t="str">
        <f>VLOOKUP(A:A,'Regions and Ports'!A:G,7,FALSE)</f>
        <v>Savannah</v>
      </c>
      <c r="H98" s="87">
        <v>1</v>
      </c>
      <c r="I98" s="69">
        <f>VLOOKUP(A:A,'Seam Tariffs'!A:AB,9,FALSE)</f>
        <v>0</v>
      </c>
      <c r="J98" s="69">
        <f>VLOOKUP(A:A,'Seam Tariffs'!A:AB,11,FALSE)</f>
        <v>0</v>
      </c>
      <c r="K98" s="69">
        <f>VLOOKUP(A:A,'Seam Tariffs'!A:AB,12,FALSE)</f>
        <v>0</v>
      </c>
      <c r="L98" s="69">
        <f>VLOOKUP(A:A,'Seam Tariffs'!A:AB,13,FALSE)</f>
        <v>0</v>
      </c>
      <c r="M98" s="69">
        <f>VLOOKUP(A:A,'Seam Tariffs'!A:AB,14,FALSE)</f>
        <v>0</v>
      </c>
      <c r="N98" s="69">
        <f>VLOOKUP(A:A,'Seam Tariffs'!A:AB,28,FALSE)</f>
        <v>2.65</v>
      </c>
      <c r="O98" s="69">
        <f>COSTS!$W$6</f>
        <v>1.8958333333333335</v>
      </c>
      <c r="P98" s="69">
        <f>VLOOKUP(G98,COSTS!$V$11:$X$14,3,FALSE)</f>
        <v>0</v>
      </c>
      <c r="Q98" s="69">
        <f t="shared" si="7"/>
        <v>4.5458333333333334</v>
      </c>
      <c r="R98" s="69">
        <f t="shared" si="8"/>
        <v>4.5458333333333334</v>
      </c>
      <c r="S98" s="87">
        <f>VLOOKUP(A:A,'Flat Bed &amp; Late Fees'!A:J,6,FALSE)</f>
        <v>0</v>
      </c>
      <c r="T98" s="87">
        <f>VLOOKUP(A:A,'Flat Bed &amp; Late Fees'!A:J,7,FALSE)</f>
        <v>0</v>
      </c>
      <c r="U98" s="68">
        <f>VLOOKUP(C98&amp;G98,OTR!E:J,6,FALSE)/88</f>
        <v>13.524886363636364</v>
      </c>
      <c r="V98" s="87"/>
      <c r="W98" s="68">
        <f t="shared" si="9"/>
        <v>13.524886363636364</v>
      </c>
      <c r="X98" s="69">
        <f>VLOOKUP(G98,COSTS!$Z$18:$AC$23,2,FALSE)</f>
        <v>2.6</v>
      </c>
      <c r="Y98" s="87">
        <f>VLOOKUP(G98,COSTS!$Z$18:$AC$23,4,FALSE)</f>
        <v>2.52</v>
      </c>
      <c r="Z98" s="69">
        <f>(COSTS!$W$3*COSTS!$W$4*500)/52*COSTS!$AE$17</f>
        <v>1.3125</v>
      </c>
      <c r="AB98" s="69">
        <f t="shared" si="10"/>
        <v>6.4325000000000001</v>
      </c>
      <c r="AC98" s="69">
        <f>VLOOKUP(G98,COSTS!$Z$11:$AE$14,5,FALSE)</f>
        <v>5.5113636363636367</v>
      </c>
      <c r="AD98" s="69">
        <f>VLOOKUP(G98,COSTS!$Z$4:$AD$7,4,FALSE)</f>
        <v>5.3522727272727275</v>
      </c>
      <c r="AE98" s="69"/>
      <c r="AF98" s="69">
        <f t="shared" si="11"/>
        <v>10.863636363636363</v>
      </c>
      <c r="AG98" s="87">
        <f>((COSTS!$C$5*88)/20)/88</f>
        <v>1.4407150000000002</v>
      </c>
      <c r="AH98" s="69">
        <f>(COSTS!$X$38/88)*20</f>
        <v>0.34865702479338845</v>
      </c>
      <c r="AI98" s="87">
        <f>((COSTS!$E$5*88)/20)/88</f>
        <v>0.62936587135988387</v>
      </c>
      <c r="AJ98" s="87">
        <f>((COSTS!$D$5*88)/20)/88</f>
        <v>0.33676</v>
      </c>
      <c r="AL98" s="387">
        <f t="shared" si="12"/>
        <v>2.7554978961532726</v>
      </c>
      <c r="AM98" s="69">
        <f>(COSTS!$W$3+0.1)*500*0.01</f>
        <v>3.9999999999999996</v>
      </c>
      <c r="AN98" s="387">
        <f>((COSTS!$G$5/20)*88)/88</f>
        <v>1.308904109589041</v>
      </c>
      <c r="AR98" s="69">
        <f t="shared" si="13"/>
        <v>5.3089041095890401</v>
      </c>
      <c r="AT98" s="1">
        <f>VLOOKUP(C98&amp;$AT$1,OTR!E:J,6,FALSE)/88</f>
        <v>22.262954545454544</v>
      </c>
      <c r="AU98" s="1">
        <f>VLOOKUP(C98&amp;$AU$1,OTR!E:J,6,FALSE)/88</f>
        <v>16.84659090909091</v>
      </c>
    </row>
    <row r="99" spans="1:47">
      <c r="A99" s="1">
        <v>31400</v>
      </c>
      <c r="B99" s="1" t="s">
        <v>280</v>
      </c>
      <c r="C99" s="1" t="s">
        <v>281</v>
      </c>
      <c r="D99" s="1" t="s">
        <v>65</v>
      </c>
      <c r="E99" s="1" t="str">
        <f>VLOOKUP(A:A,'Regions and Ports'!A:G,5,FALSE)</f>
        <v>Eastern Rule 5</v>
      </c>
      <c r="F99" s="1" t="str">
        <f>VLOOKUP(A:A,'Regions and Ports'!A:F,6,FALSE)</f>
        <v>ER5</v>
      </c>
      <c r="G99" s="1" t="str">
        <f>VLOOKUP(A:A,'Regions and Ports'!A:G,7,FALSE)</f>
        <v>Savannah</v>
      </c>
      <c r="H99" s="87">
        <v>1</v>
      </c>
      <c r="I99" s="69">
        <f>VLOOKUP(A:A,'Seam Tariffs'!A:AB,9,FALSE)</f>
        <v>4.5</v>
      </c>
      <c r="J99" s="69">
        <f>VLOOKUP(A:A,'Seam Tariffs'!A:AB,11,FALSE)</f>
        <v>6.5</v>
      </c>
      <c r="K99" s="69">
        <f>VLOOKUP(A:A,'Seam Tariffs'!A:AB,12,FALSE)</f>
        <v>0</v>
      </c>
      <c r="L99" s="69">
        <f>VLOOKUP(A:A,'Seam Tariffs'!A:AB,13,FALSE)</f>
        <v>0</v>
      </c>
      <c r="M99" s="69">
        <f>VLOOKUP(A:A,'Seam Tariffs'!A:AB,14,FALSE)</f>
        <v>0.5</v>
      </c>
      <c r="N99" s="69">
        <f>VLOOKUP(A:A,'Seam Tariffs'!A:AB,28,FALSE)</f>
        <v>3.5</v>
      </c>
      <c r="O99" s="69">
        <f>COSTS!$W$6</f>
        <v>1.8958333333333335</v>
      </c>
      <c r="P99" s="69">
        <f>VLOOKUP(G99,COSTS!$V$11:$X$14,3,FALSE)</f>
        <v>0</v>
      </c>
      <c r="Q99" s="69">
        <f t="shared" si="7"/>
        <v>16.895833333333332</v>
      </c>
      <c r="R99" s="69">
        <f t="shared" si="8"/>
        <v>5.3958333333333339</v>
      </c>
      <c r="S99" s="87">
        <f>VLOOKUP(A:A,'Flat Bed &amp; Late Fees'!A:J,6,FALSE)</f>
        <v>0</v>
      </c>
      <c r="T99" s="87">
        <f>VLOOKUP(A:A,'Flat Bed &amp; Late Fees'!A:J,7,FALSE)</f>
        <v>0</v>
      </c>
      <c r="U99" s="68">
        <f>VLOOKUP(C99&amp;G99,OTR!E:J,6,FALSE)/88</f>
        <v>14.524147727272727</v>
      </c>
      <c r="V99" s="87"/>
      <c r="W99" s="68">
        <f t="shared" si="9"/>
        <v>14.524147727272727</v>
      </c>
      <c r="X99" s="69">
        <f>VLOOKUP(G99,COSTS!$Z$18:$AC$23,2,FALSE)</f>
        <v>2.6</v>
      </c>
      <c r="Y99" s="87">
        <f>VLOOKUP(G99,COSTS!$Z$18:$AC$23,4,FALSE)</f>
        <v>2.52</v>
      </c>
      <c r="Z99" s="69">
        <f>(COSTS!$W$3*COSTS!$W$4*500)/52*COSTS!$AE$17</f>
        <v>1.3125</v>
      </c>
      <c r="AB99" s="69">
        <f t="shared" si="10"/>
        <v>6.4325000000000001</v>
      </c>
      <c r="AC99" s="69">
        <f>VLOOKUP(G99,COSTS!$Z$11:$AE$14,5,FALSE)</f>
        <v>5.5113636363636367</v>
      </c>
      <c r="AD99" s="69">
        <f>VLOOKUP(G99,COSTS!$Z$4:$AD$7,4,FALSE)</f>
        <v>5.3522727272727275</v>
      </c>
      <c r="AE99" s="69"/>
      <c r="AF99" s="69">
        <f t="shared" si="11"/>
        <v>10.863636363636363</v>
      </c>
      <c r="AG99" s="87">
        <f>((COSTS!$C$5*88)/20)/88</f>
        <v>1.4407150000000002</v>
      </c>
      <c r="AH99" s="69">
        <f>(COSTS!$X$38/88)*20</f>
        <v>0.34865702479338845</v>
      </c>
      <c r="AI99" s="87">
        <f>((COSTS!$E$5*88)/20)/88</f>
        <v>0.62936587135988387</v>
      </c>
      <c r="AJ99" s="87">
        <f>((COSTS!$D$5*88)/20)/88</f>
        <v>0.33676</v>
      </c>
      <c r="AL99" s="387">
        <f t="shared" si="12"/>
        <v>2.7554978961532726</v>
      </c>
      <c r="AM99" s="69">
        <f>(COSTS!$W$3+0.1)*500*0.01</f>
        <v>3.9999999999999996</v>
      </c>
      <c r="AN99" s="387">
        <f>((COSTS!$G$5/20)*88)/88</f>
        <v>1.308904109589041</v>
      </c>
      <c r="AR99" s="69">
        <f t="shared" si="13"/>
        <v>5.3089041095890401</v>
      </c>
      <c r="AT99" s="1" t="e">
        <f>VLOOKUP(C99&amp;$AT$1,OTR!E:J,6,FALSE)/88</f>
        <v>#N/A</v>
      </c>
      <c r="AU99" s="1">
        <f>VLOOKUP(C99&amp;$AU$1,OTR!E:J,6,FALSE)/88</f>
        <v>17.1875</v>
      </c>
    </row>
    <row r="100" spans="1:47">
      <c r="A100" s="1">
        <v>255005</v>
      </c>
      <c r="B100" s="1" t="s">
        <v>286</v>
      </c>
      <c r="C100" s="1" t="s">
        <v>284</v>
      </c>
      <c r="D100" s="1" t="s">
        <v>76</v>
      </c>
      <c r="E100" s="1" t="str">
        <f>VLOOKUP(A:A,'Regions and Ports'!A:G,5,FALSE)</f>
        <v>GA 30 Day</v>
      </c>
      <c r="F100" s="1" t="str">
        <f>VLOOKUP(A:A,'Regions and Ports'!A:F,6,FALSE)</f>
        <v>ER5</v>
      </c>
      <c r="G100" s="1" t="str">
        <f>VLOOKUP(A:A,'Regions and Ports'!A:G,7,FALSE)</f>
        <v>Savannah</v>
      </c>
      <c r="H100" s="87">
        <v>4</v>
      </c>
      <c r="I100" s="69">
        <f>VLOOKUP(A:A,'Seam Tariffs'!A:AB,9,FALSE)</f>
        <v>3</v>
      </c>
      <c r="J100" s="69">
        <f>VLOOKUP(A:A,'Seam Tariffs'!A:AB,11,FALSE)</f>
        <v>5</v>
      </c>
      <c r="K100" s="69">
        <f>VLOOKUP(A:A,'Seam Tariffs'!A:AB,12,FALSE)</f>
        <v>7.5</v>
      </c>
      <c r="L100" s="69">
        <f>VLOOKUP(A:A,'Seam Tariffs'!A:AB,13,FALSE)</f>
        <v>0</v>
      </c>
      <c r="M100" s="69">
        <f>VLOOKUP(A:A,'Seam Tariffs'!A:AB,14,FALSE)</f>
        <v>1</v>
      </c>
      <c r="N100" s="69">
        <f>VLOOKUP(A:A,'Seam Tariffs'!A:AB,28,FALSE)</f>
        <v>3</v>
      </c>
      <c r="O100" s="69">
        <f>COSTS!$W$6</f>
        <v>1.8958333333333335</v>
      </c>
      <c r="P100" s="69">
        <f>VLOOKUP(G100,COSTS!$V$11:$X$14,3,FALSE)</f>
        <v>0</v>
      </c>
      <c r="Q100" s="69">
        <f t="shared" si="7"/>
        <v>21.395833333333332</v>
      </c>
      <c r="R100" s="69">
        <f t="shared" si="8"/>
        <v>1.8958333333333335</v>
      </c>
      <c r="S100" s="87">
        <f>VLOOKUP(A:A,'Flat Bed &amp; Late Fees'!A:J,6,FALSE)</f>
        <v>0</v>
      </c>
      <c r="T100" s="87">
        <f>VLOOKUP(A:A,'Flat Bed &amp; Late Fees'!A:J,7,FALSE)</f>
        <v>0</v>
      </c>
      <c r="U100" s="68">
        <f>VLOOKUP(C100&amp;G100,OTR!E:J,6,FALSE)/88</f>
        <v>9.5348295454545458</v>
      </c>
      <c r="V100" s="87"/>
      <c r="W100" s="68">
        <f t="shared" si="9"/>
        <v>9.5348295454545458</v>
      </c>
      <c r="X100" s="69">
        <f>VLOOKUP(G100,COSTS!$Z$18:$AC$23,2,FALSE)</f>
        <v>2.6</v>
      </c>
      <c r="Y100" s="87">
        <f>VLOOKUP(G100,COSTS!$Z$18:$AC$23,4,FALSE)</f>
        <v>2.52</v>
      </c>
      <c r="Z100" s="69">
        <f>(COSTS!$W$3*COSTS!$W$4*500)/52*COSTS!$AE$17</f>
        <v>1.3125</v>
      </c>
      <c r="AB100" s="69">
        <f t="shared" si="10"/>
        <v>6.4325000000000001</v>
      </c>
      <c r="AC100" s="69">
        <f>VLOOKUP(G100,COSTS!$Z$11:$AE$14,5,FALSE)</f>
        <v>5.5113636363636367</v>
      </c>
      <c r="AD100" s="69">
        <f>VLOOKUP(G100,COSTS!$Z$4:$AD$7,4,FALSE)</f>
        <v>5.3522727272727275</v>
      </c>
      <c r="AE100" s="69"/>
      <c r="AF100" s="69">
        <f t="shared" si="11"/>
        <v>10.863636363636363</v>
      </c>
      <c r="AG100" s="87">
        <f>((COSTS!$C$5*88)/20)/88</f>
        <v>1.4407150000000002</v>
      </c>
      <c r="AH100" s="69">
        <f>(COSTS!$X$38/88)*20</f>
        <v>0.34865702479338845</v>
      </c>
      <c r="AI100" s="87">
        <f>((COSTS!$E$5*88)/20)/88</f>
        <v>0.62936587135988387</v>
      </c>
      <c r="AJ100" s="87">
        <f>((COSTS!$D$5*88)/20)/88</f>
        <v>0.33676</v>
      </c>
      <c r="AL100" s="387">
        <f t="shared" si="12"/>
        <v>2.7554978961532726</v>
      </c>
      <c r="AM100" s="69">
        <f>(COSTS!$W$3+0.1)*500*0.01</f>
        <v>3.9999999999999996</v>
      </c>
      <c r="AN100" s="387">
        <f>((COSTS!$G$5/20)*88)/88</f>
        <v>1.308904109589041</v>
      </c>
      <c r="AR100" s="69">
        <f t="shared" si="13"/>
        <v>5.3089041095890401</v>
      </c>
      <c r="AT100" s="1">
        <f>VLOOKUP(C100&amp;$AT$1,OTR!E:J,6,FALSE)/88</f>
        <v>25.884090909090904</v>
      </c>
      <c r="AU100" s="1">
        <f>VLOOKUP(C100&amp;$AU$1,OTR!E:J,6,FALSE)/88</f>
        <v>16.164772727272727</v>
      </c>
    </row>
    <row r="101" spans="1:47">
      <c r="A101" s="1">
        <v>255025</v>
      </c>
      <c r="B101" s="1" t="s">
        <v>283</v>
      </c>
      <c r="C101" s="1" t="s">
        <v>284</v>
      </c>
      <c r="D101" s="1" t="s">
        <v>76</v>
      </c>
      <c r="E101" s="1" t="str">
        <f>VLOOKUP(A:A,'Regions and Ports'!A:G,5,FALSE)</f>
        <v>GA 30 Day</v>
      </c>
      <c r="F101" s="1" t="str">
        <f>VLOOKUP(A:A,'Regions and Ports'!A:F,6,FALSE)</f>
        <v>ER5</v>
      </c>
      <c r="G101" s="1" t="str">
        <f>VLOOKUP(A:A,'Regions and Ports'!A:G,7,FALSE)</f>
        <v>Savannah</v>
      </c>
      <c r="H101" s="87">
        <v>4</v>
      </c>
      <c r="I101" s="69">
        <f>VLOOKUP(A:A,'Seam Tariffs'!A:AB,9,FALSE)</f>
        <v>4</v>
      </c>
      <c r="J101" s="69">
        <f>VLOOKUP(A:A,'Seam Tariffs'!A:AB,11,FALSE)</f>
        <v>6</v>
      </c>
      <c r="K101" s="69">
        <f>VLOOKUP(A:A,'Seam Tariffs'!A:AB,12,FALSE)</f>
        <v>7.5</v>
      </c>
      <c r="L101" s="69">
        <f>VLOOKUP(A:A,'Seam Tariffs'!A:AB,13,FALSE)</f>
        <v>0</v>
      </c>
      <c r="M101" s="69">
        <f>VLOOKUP(A:A,'Seam Tariffs'!A:AB,14,FALSE)</f>
        <v>1</v>
      </c>
      <c r="N101" s="69">
        <f>VLOOKUP(A:A,'Seam Tariffs'!A:AB,28,FALSE)</f>
        <v>3</v>
      </c>
      <c r="O101" s="69">
        <f>COSTS!$W$6</f>
        <v>1.8958333333333335</v>
      </c>
      <c r="P101" s="69">
        <f>VLOOKUP(G101,COSTS!$V$11:$X$14,3,FALSE)</f>
        <v>0</v>
      </c>
      <c r="Q101" s="69">
        <f t="shared" si="7"/>
        <v>23.395833333333332</v>
      </c>
      <c r="R101" s="69">
        <f t="shared" si="8"/>
        <v>1.8958333333333335</v>
      </c>
      <c r="S101" s="87">
        <f>VLOOKUP(A:A,'Flat Bed &amp; Late Fees'!A:J,6,FALSE)</f>
        <v>0</v>
      </c>
      <c r="T101" s="87">
        <f>VLOOKUP(A:A,'Flat Bed &amp; Late Fees'!A:J,7,FALSE)</f>
        <v>0</v>
      </c>
      <c r="U101" s="68">
        <f>VLOOKUP(C101&amp;G101,OTR!E:J,6,FALSE)/88</f>
        <v>9.5348295454545458</v>
      </c>
      <c r="V101" s="87"/>
      <c r="W101" s="68">
        <f t="shared" si="9"/>
        <v>9.5348295454545458</v>
      </c>
      <c r="X101" s="69">
        <f>VLOOKUP(G101,COSTS!$Z$18:$AC$23,2,FALSE)</f>
        <v>2.6</v>
      </c>
      <c r="Y101" s="87">
        <f>VLOOKUP(G101,COSTS!$Z$18:$AC$23,4,FALSE)</f>
        <v>2.52</v>
      </c>
      <c r="Z101" s="69">
        <f>(COSTS!$W$3*COSTS!$W$4*500)/52*COSTS!$AE$17</f>
        <v>1.3125</v>
      </c>
      <c r="AB101" s="69">
        <f t="shared" si="10"/>
        <v>6.4325000000000001</v>
      </c>
      <c r="AC101" s="69">
        <f>VLOOKUP(G101,COSTS!$Z$11:$AE$14,5,FALSE)</f>
        <v>5.5113636363636367</v>
      </c>
      <c r="AD101" s="69">
        <f>VLOOKUP(G101,COSTS!$Z$4:$AD$7,4,FALSE)</f>
        <v>5.3522727272727275</v>
      </c>
      <c r="AE101" s="69"/>
      <c r="AF101" s="69">
        <f t="shared" si="11"/>
        <v>10.863636363636363</v>
      </c>
      <c r="AG101" s="87">
        <f>((COSTS!$C$5*88)/20)/88</f>
        <v>1.4407150000000002</v>
      </c>
      <c r="AH101" s="69">
        <f>(COSTS!$X$38/88)*20</f>
        <v>0.34865702479338845</v>
      </c>
      <c r="AI101" s="87">
        <f>((COSTS!$E$5*88)/20)/88</f>
        <v>0.62936587135988387</v>
      </c>
      <c r="AJ101" s="87">
        <f>((COSTS!$D$5*88)/20)/88</f>
        <v>0.33676</v>
      </c>
      <c r="AL101" s="387">
        <f t="shared" si="12"/>
        <v>2.7554978961532726</v>
      </c>
      <c r="AM101" s="69">
        <f>(COSTS!$W$3+0.1)*500*0.01</f>
        <v>3.9999999999999996</v>
      </c>
      <c r="AN101" s="387">
        <f>((COSTS!$G$5/20)*88)/88</f>
        <v>1.308904109589041</v>
      </c>
      <c r="AR101" s="69">
        <f t="shared" si="13"/>
        <v>5.3089041095890401</v>
      </c>
      <c r="AT101" s="1">
        <f>VLOOKUP(C101&amp;$AT$1,OTR!E:J,6,FALSE)/88</f>
        <v>25.884090909090904</v>
      </c>
      <c r="AU101" s="1">
        <f>VLOOKUP(C101&amp;$AU$1,OTR!E:J,6,FALSE)/88</f>
        <v>16.164772727272727</v>
      </c>
    </row>
    <row r="102" spans="1:47">
      <c r="A102" s="1">
        <v>256030</v>
      </c>
      <c r="B102" s="1" t="s">
        <v>288</v>
      </c>
      <c r="C102" s="1" t="s">
        <v>289</v>
      </c>
      <c r="D102" s="1" t="s">
        <v>76</v>
      </c>
      <c r="E102" s="1" t="str">
        <f>VLOOKUP(A:A,'Regions and Ports'!A:G,5,FALSE)</f>
        <v>GA 30 Day</v>
      </c>
      <c r="F102" s="1" t="str">
        <f>VLOOKUP(A:A,'Regions and Ports'!A:F,6,FALSE)</f>
        <v>ER5</v>
      </c>
      <c r="G102" s="1" t="str">
        <f>VLOOKUP(A:A,'Regions and Ports'!A:G,7,FALSE)</f>
        <v>Savannah</v>
      </c>
      <c r="H102" s="87">
        <v>4</v>
      </c>
      <c r="I102" s="69">
        <f>VLOOKUP(A:A,'Seam Tariffs'!A:AB,9,FALSE)</f>
        <v>4</v>
      </c>
      <c r="J102" s="69">
        <f>VLOOKUP(A:A,'Seam Tariffs'!A:AB,11,FALSE)</f>
        <v>5</v>
      </c>
      <c r="K102" s="69">
        <f>VLOOKUP(A:A,'Seam Tariffs'!A:AB,12,FALSE)</f>
        <v>0</v>
      </c>
      <c r="L102" s="69">
        <f>VLOOKUP(A:A,'Seam Tariffs'!A:AB,13,FALSE)</f>
        <v>0</v>
      </c>
      <c r="M102" s="69">
        <f>VLOOKUP(A:A,'Seam Tariffs'!A:AB,14,FALSE)</f>
        <v>1.5</v>
      </c>
      <c r="N102" s="69">
        <f>VLOOKUP(A:A,'Seam Tariffs'!A:AB,28,FALSE)</f>
        <v>3.2</v>
      </c>
      <c r="O102" s="69">
        <f>COSTS!$W$6</f>
        <v>1.8958333333333335</v>
      </c>
      <c r="P102" s="69">
        <f>VLOOKUP(G102,COSTS!$V$11:$X$14,3,FALSE)</f>
        <v>0</v>
      </c>
      <c r="Q102" s="69">
        <f t="shared" si="7"/>
        <v>15.595833333333333</v>
      </c>
      <c r="R102" s="69">
        <f t="shared" si="8"/>
        <v>1.8958333333333335</v>
      </c>
      <c r="S102" s="87">
        <f>VLOOKUP(A:A,'Flat Bed &amp; Late Fees'!A:J,6,FALSE)</f>
        <v>0</v>
      </c>
      <c r="T102" s="87">
        <f>VLOOKUP(A:A,'Flat Bed &amp; Late Fees'!A:J,7,FALSE)</f>
        <v>0</v>
      </c>
      <c r="U102" s="68">
        <f>VLOOKUP(C102&amp;G102,OTR!E:J,6,FALSE)/88</f>
        <v>9.7301136363636367</v>
      </c>
      <c r="V102" s="87"/>
      <c r="W102" s="68">
        <f t="shared" si="9"/>
        <v>9.7301136363636367</v>
      </c>
      <c r="X102" s="69">
        <f>VLOOKUP(G102,COSTS!$Z$18:$AC$23,2,FALSE)</f>
        <v>2.6</v>
      </c>
      <c r="Y102" s="87">
        <f>VLOOKUP(G102,COSTS!$Z$18:$AC$23,4,FALSE)</f>
        <v>2.52</v>
      </c>
      <c r="Z102" s="69">
        <f>(COSTS!$W$3*COSTS!$W$4*500)/52*COSTS!$AE$17</f>
        <v>1.3125</v>
      </c>
      <c r="AB102" s="69">
        <f t="shared" si="10"/>
        <v>6.4325000000000001</v>
      </c>
      <c r="AC102" s="69">
        <f>VLOOKUP(G102,COSTS!$Z$11:$AE$14,5,FALSE)</f>
        <v>5.5113636363636367</v>
      </c>
      <c r="AD102" s="69">
        <f>VLOOKUP(G102,COSTS!$Z$4:$AD$7,4,FALSE)</f>
        <v>5.3522727272727275</v>
      </c>
      <c r="AE102" s="69"/>
      <c r="AF102" s="69">
        <f t="shared" si="11"/>
        <v>10.863636363636363</v>
      </c>
      <c r="AG102" s="87">
        <f>((COSTS!$C$5*88)/20)/88</f>
        <v>1.4407150000000002</v>
      </c>
      <c r="AH102" s="69">
        <f>(COSTS!$X$38/88)*20</f>
        <v>0.34865702479338845</v>
      </c>
      <c r="AI102" s="87">
        <f>((COSTS!$E$5*88)/20)/88</f>
        <v>0.62936587135988387</v>
      </c>
      <c r="AJ102" s="87">
        <f>((COSTS!$D$5*88)/20)/88</f>
        <v>0.33676</v>
      </c>
      <c r="AL102" s="387">
        <f t="shared" si="12"/>
        <v>2.7554978961532726</v>
      </c>
      <c r="AM102" s="69">
        <f>(COSTS!$W$3+0.1)*500*0.01</f>
        <v>3.9999999999999996</v>
      </c>
      <c r="AN102" s="387">
        <f>((COSTS!$G$5/20)*88)/88</f>
        <v>1.308904109589041</v>
      </c>
      <c r="AR102" s="69">
        <f t="shared" si="13"/>
        <v>5.3089041095890401</v>
      </c>
      <c r="AT102" s="1">
        <f>VLOOKUP(C102&amp;$AT$1,OTR!E:J,6,FALSE)/88</f>
        <v>27.133863636363632</v>
      </c>
      <c r="AU102" s="1">
        <f>VLOOKUP(C102&amp;$AU$1,OTR!E:J,6,FALSE)/88</f>
        <v>12.755681818181818</v>
      </c>
    </row>
    <row r="103" spans="1:47">
      <c r="A103" s="1">
        <v>137001</v>
      </c>
      <c r="B103" s="1" t="s">
        <v>290</v>
      </c>
      <c r="C103" s="1" t="s">
        <v>291</v>
      </c>
      <c r="D103" s="1" t="s">
        <v>149</v>
      </c>
      <c r="E103" s="1" t="str">
        <f>VLOOKUP(A:A,'Regions and Ports'!A:G,5,FALSE)</f>
        <v>Memphis Rule 5</v>
      </c>
      <c r="F103" s="1" t="str">
        <f>VLOOKUP(A:A,'Regions and Ports'!A:F,6,FALSE)</f>
        <v>MR5</v>
      </c>
      <c r="G103" s="1" t="str">
        <f>VLOOKUP(A:A,'Regions and Ports'!A:G,7,FALSE)</f>
        <v>Memphis</v>
      </c>
      <c r="H103" s="87">
        <v>1</v>
      </c>
      <c r="I103" s="69">
        <f>VLOOKUP(A:A,'Seam Tariffs'!A:AB,9,FALSE)</f>
        <v>0.65</v>
      </c>
      <c r="J103" s="69">
        <f>VLOOKUP(A:A,'Seam Tariffs'!A:AB,11,FALSE)</f>
        <v>19</v>
      </c>
      <c r="K103" s="69">
        <f>VLOOKUP(A:A,'Seam Tariffs'!A:AB,12,FALSE)</f>
        <v>0</v>
      </c>
      <c r="L103" s="69">
        <f>VLOOKUP(A:A,'Seam Tariffs'!A:AB,13,FALSE)</f>
        <v>3.05</v>
      </c>
      <c r="M103" s="69">
        <f>VLOOKUP(A:A,'Seam Tariffs'!A:AB,14,FALSE)</f>
        <v>0.5</v>
      </c>
      <c r="N103" s="69">
        <f>VLOOKUP(A:A,'Seam Tariffs'!A:AB,28,FALSE)</f>
        <v>6.7</v>
      </c>
      <c r="O103" s="69">
        <f>COSTS!$W$6</f>
        <v>1.8958333333333335</v>
      </c>
      <c r="P103" s="69">
        <f>VLOOKUP(G103,COSTS!$V$11:$X$14,3,FALSE)</f>
        <v>0</v>
      </c>
      <c r="Q103" s="69">
        <f t="shared" si="7"/>
        <v>31.795833333333331</v>
      </c>
      <c r="R103" s="69">
        <f t="shared" si="8"/>
        <v>8.5958333333333332</v>
      </c>
      <c r="S103" s="87">
        <f>VLOOKUP(A:A,'Flat Bed &amp; Late Fees'!A:J,6,FALSE)</f>
        <v>0</v>
      </c>
      <c r="T103" s="87">
        <f>VLOOKUP(A:A,'Flat Bed &amp; Late Fees'!A:J,7,FALSE)</f>
        <v>2.5</v>
      </c>
      <c r="U103" s="68">
        <f>VLOOKUP(C103&amp;G103,OTR!E:J,6,FALSE)/88</f>
        <v>12.755681818181818</v>
      </c>
      <c r="V103" s="87"/>
      <c r="W103" s="68">
        <f t="shared" si="9"/>
        <v>15.255681818181818</v>
      </c>
      <c r="X103" s="69">
        <f>VLOOKUP(G103,COSTS!$Z$18:$AC$23,2,FALSE)</f>
        <v>2.5</v>
      </c>
      <c r="Y103" s="87">
        <f>VLOOKUP(G103,COSTS!$Z$18:$AC$23,4,FALSE)</f>
        <v>1.68</v>
      </c>
      <c r="Z103" s="69">
        <f>(COSTS!$W$3*COSTS!$W$4*500)/52*COSTS!$AE$17</f>
        <v>1.3125</v>
      </c>
      <c r="AB103" s="69">
        <f t="shared" si="10"/>
        <v>5.4924999999999997</v>
      </c>
      <c r="AC103" s="69">
        <f>VLOOKUP(G103,COSTS!$Z$11:$AE$14,5,FALSE)</f>
        <v>7.3011363636363633</v>
      </c>
      <c r="AD103" s="69">
        <f>VLOOKUP(G103,COSTS!$Z$4:$AD$7,4,FALSE)</f>
        <v>9.1363636363636367</v>
      </c>
      <c r="AE103" s="69"/>
      <c r="AF103" s="69">
        <f t="shared" si="11"/>
        <v>16.4375</v>
      </c>
      <c r="AG103" s="87">
        <f>((COSTS!$C$5*88)/20)/88</f>
        <v>1.4407150000000002</v>
      </c>
      <c r="AH103" s="69">
        <f>(COSTS!$X$38/88)*20</f>
        <v>0.34865702479338845</v>
      </c>
      <c r="AI103" s="87">
        <f>((COSTS!$E$5*88)/20)/88</f>
        <v>0.62936587135988387</v>
      </c>
      <c r="AJ103" s="87">
        <f>((COSTS!$D$5*88)/20)/88</f>
        <v>0.33676</v>
      </c>
      <c r="AL103" s="387">
        <f t="shared" si="12"/>
        <v>2.7554978961532726</v>
      </c>
      <c r="AM103" s="69">
        <f>(COSTS!$W$3+0.1)*500*0.01</f>
        <v>3.9999999999999996</v>
      </c>
      <c r="AN103" s="387">
        <f>((COSTS!$G$5/20)*88)/88</f>
        <v>1.308904109589041</v>
      </c>
      <c r="AR103" s="69">
        <f t="shared" si="13"/>
        <v>5.3089041095890401</v>
      </c>
      <c r="AT103" s="1" t="e">
        <f>VLOOKUP(C103&amp;$AT$1,OTR!E:J,6,FALSE)/88</f>
        <v>#N/A</v>
      </c>
      <c r="AU103" s="1">
        <f>VLOOKUP(C103&amp;$AU$1,OTR!E:J,6,FALSE)/88</f>
        <v>30.823863636363637</v>
      </c>
    </row>
    <row r="104" spans="1:47">
      <c r="A104" s="1">
        <v>565545</v>
      </c>
      <c r="B104" s="1" t="s">
        <v>293</v>
      </c>
      <c r="C104" s="1" t="s">
        <v>294</v>
      </c>
      <c r="D104" s="1" t="s">
        <v>136</v>
      </c>
      <c r="E104" s="1" t="str">
        <f>VLOOKUP(A:A,'Regions and Ports'!A:G,5,FALSE)</f>
        <v>Eastern Rule 5</v>
      </c>
      <c r="F104" s="1" t="str">
        <f>VLOOKUP(A:A,'Regions and Ports'!A:F,6,FALSE)</f>
        <v>ER5</v>
      </c>
      <c r="G104" s="1" t="str">
        <f>VLOOKUP(A:A,'Regions and Ports'!A:G,7,FALSE)</f>
        <v>Savannah</v>
      </c>
      <c r="H104" s="87">
        <v>1</v>
      </c>
      <c r="I104" s="69">
        <f>VLOOKUP(A:A,'Seam Tariffs'!A:AB,9,FALSE)</f>
        <v>3</v>
      </c>
      <c r="J104" s="69">
        <f>VLOOKUP(A:A,'Seam Tariffs'!A:AB,11,FALSE)</f>
        <v>3.5</v>
      </c>
      <c r="K104" s="69">
        <f>VLOOKUP(A:A,'Seam Tariffs'!A:AB,12,FALSE)</f>
        <v>0</v>
      </c>
      <c r="L104" s="69">
        <f>VLOOKUP(A:A,'Seam Tariffs'!A:AB,13,FALSE)</f>
        <v>0</v>
      </c>
      <c r="M104" s="69">
        <f>VLOOKUP(A:A,'Seam Tariffs'!A:AB,14,FALSE)</f>
        <v>0</v>
      </c>
      <c r="N104" s="69">
        <f>VLOOKUP(A:A,'Seam Tariffs'!A:AB,28,FALSE)</f>
        <v>1.6</v>
      </c>
      <c r="O104" s="69">
        <f>COSTS!$W$6</f>
        <v>1.8958333333333335</v>
      </c>
      <c r="P104" s="69">
        <f>VLOOKUP(G104,COSTS!$V$11:$X$14,3,FALSE)</f>
        <v>0</v>
      </c>
      <c r="Q104" s="69">
        <f t="shared" si="7"/>
        <v>9.9958333333333336</v>
      </c>
      <c r="R104" s="69">
        <f t="shared" si="8"/>
        <v>3.4958333333333336</v>
      </c>
      <c r="S104" s="87">
        <f>VLOOKUP(A:A,'Flat Bed &amp; Late Fees'!A:J,6,FALSE)</f>
        <v>0</v>
      </c>
      <c r="T104" s="87">
        <f>VLOOKUP(A:A,'Flat Bed &amp; Late Fees'!A:J,7,FALSE)</f>
        <v>0</v>
      </c>
      <c r="U104" s="68">
        <f>VLOOKUP(C104&amp;G104,OTR!E:J,6,FALSE)/88</f>
        <v>11.500710227272727</v>
      </c>
      <c r="V104" s="87"/>
      <c r="W104" s="68">
        <f t="shared" si="9"/>
        <v>11.500710227272727</v>
      </c>
      <c r="X104" s="69">
        <f>VLOOKUP(G104,COSTS!$Z$18:$AC$23,2,FALSE)</f>
        <v>2.6</v>
      </c>
      <c r="Y104" s="87">
        <f>VLOOKUP(G104,COSTS!$Z$18:$AC$23,4,FALSE)</f>
        <v>2.52</v>
      </c>
      <c r="Z104" s="69">
        <f>(COSTS!$W$3*COSTS!$W$4*500)/52*COSTS!$AE$17</f>
        <v>1.3125</v>
      </c>
      <c r="AB104" s="69">
        <f t="shared" si="10"/>
        <v>6.4325000000000001</v>
      </c>
      <c r="AC104" s="69">
        <f>VLOOKUP(G104,COSTS!$Z$11:$AE$14,5,FALSE)</f>
        <v>5.5113636363636367</v>
      </c>
      <c r="AD104" s="69">
        <f>VLOOKUP(G104,COSTS!$Z$4:$AD$7,4,FALSE)</f>
        <v>5.3522727272727275</v>
      </c>
      <c r="AE104" s="69"/>
      <c r="AF104" s="69">
        <f t="shared" si="11"/>
        <v>10.863636363636363</v>
      </c>
      <c r="AG104" s="87">
        <f>((COSTS!$C$5*88)/20)/88</f>
        <v>1.4407150000000002</v>
      </c>
      <c r="AH104" s="69">
        <f>(COSTS!$X$38/88)*20</f>
        <v>0.34865702479338845</v>
      </c>
      <c r="AI104" s="87">
        <f>((COSTS!$E$5*88)/20)/88</f>
        <v>0.62936587135988387</v>
      </c>
      <c r="AJ104" s="87">
        <f>((COSTS!$D$5*88)/20)/88</f>
        <v>0.33676</v>
      </c>
      <c r="AL104" s="387">
        <f t="shared" si="12"/>
        <v>2.7554978961532726</v>
      </c>
      <c r="AM104" s="69">
        <f>(COSTS!$W$3+0.1)*500*0.01</f>
        <v>3.9999999999999996</v>
      </c>
      <c r="AN104" s="387">
        <f>((COSTS!$G$5/20)*88)/88</f>
        <v>1.308904109589041</v>
      </c>
      <c r="AR104" s="69">
        <f t="shared" si="13"/>
        <v>5.3089041095890401</v>
      </c>
      <c r="AT104" s="1" t="e">
        <f>VLOOKUP(C104&amp;$AT$1,OTR!E:J,6,FALSE)/88</f>
        <v>#N/A</v>
      </c>
      <c r="AU104" s="1">
        <f>VLOOKUP(C104&amp;$AU$1,OTR!E:J,6,FALSE)/88</f>
        <v>11.136363636363637</v>
      </c>
    </row>
    <row r="105" spans="1:47">
      <c r="A105" s="1">
        <v>149500</v>
      </c>
      <c r="B105" s="1" t="s">
        <v>296</v>
      </c>
      <c r="C105" s="1" t="s">
        <v>297</v>
      </c>
      <c r="D105" s="1" t="s">
        <v>149</v>
      </c>
      <c r="E105" s="1" t="str">
        <f>VLOOKUP(A:A,'Regions and Ports'!A:G,5,FALSE)</f>
        <v>Memphis Rule 5</v>
      </c>
      <c r="F105" s="1" t="str">
        <f>VLOOKUP(A:A,'Regions and Ports'!A:F,6,FALSE)</f>
        <v>MR5</v>
      </c>
      <c r="G105" s="1" t="str">
        <f>VLOOKUP(A:A,'Regions and Ports'!A:G,7,FALSE)</f>
        <v>Memphis</v>
      </c>
      <c r="H105" s="87">
        <v>1</v>
      </c>
      <c r="I105" s="69">
        <f>VLOOKUP(A:A,'Seam Tariffs'!A:AB,9,FALSE)</f>
        <v>1.5</v>
      </c>
      <c r="J105" s="69">
        <f>VLOOKUP(A:A,'Seam Tariffs'!A:AB,11,FALSE)</f>
        <v>18.25</v>
      </c>
      <c r="K105" s="69">
        <f>VLOOKUP(A:A,'Seam Tariffs'!A:AB,12,FALSE)</f>
        <v>0</v>
      </c>
      <c r="L105" s="69">
        <f>VLOOKUP(A:A,'Seam Tariffs'!A:AB,13,FALSE)</f>
        <v>0</v>
      </c>
      <c r="M105" s="69">
        <f>VLOOKUP(A:A,'Seam Tariffs'!A:AB,14,FALSE)</f>
        <v>0</v>
      </c>
      <c r="N105" s="69">
        <f>VLOOKUP(A:A,'Seam Tariffs'!A:AB,28,FALSE)</f>
        <v>2.9</v>
      </c>
      <c r="O105" s="69">
        <f>COSTS!$W$6</f>
        <v>1.8958333333333335</v>
      </c>
      <c r="P105" s="69">
        <f>VLOOKUP(G105,COSTS!$V$11:$X$14,3,FALSE)</f>
        <v>0</v>
      </c>
      <c r="Q105" s="69">
        <f t="shared" si="7"/>
        <v>24.545833333333331</v>
      </c>
      <c r="R105" s="69">
        <f t="shared" si="8"/>
        <v>4.7958333333333334</v>
      </c>
      <c r="S105" s="87">
        <f>VLOOKUP(A:A,'Flat Bed &amp; Late Fees'!A:J,6,FALSE)</f>
        <v>0</v>
      </c>
      <c r="T105" s="87">
        <f>VLOOKUP(A:A,'Flat Bed &amp; Late Fees'!A:J,7,FALSE)</f>
        <v>0</v>
      </c>
      <c r="U105" s="68">
        <f>VLOOKUP(C105&amp;G105,OTR!E:J,6,FALSE)/88</f>
        <v>7.0454545454545459</v>
      </c>
      <c r="V105" s="87"/>
      <c r="W105" s="68">
        <f t="shared" si="9"/>
        <v>7.0454545454545459</v>
      </c>
      <c r="X105" s="69">
        <f>VLOOKUP(G105,COSTS!$Z$18:$AC$23,2,FALSE)</f>
        <v>2.5</v>
      </c>
      <c r="Y105" s="87">
        <f>VLOOKUP(G105,COSTS!$Z$18:$AC$23,4,FALSE)</f>
        <v>1.68</v>
      </c>
      <c r="Z105" s="69">
        <f>(COSTS!$W$3*COSTS!$W$4*500)/52*COSTS!$AE$17</f>
        <v>1.3125</v>
      </c>
      <c r="AB105" s="69">
        <f t="shared" si="10"/>
        <v>5.4924999999999997</v>
      </c>
      <c r="AC105" s="69">
        <f>VLOOKUP(G105,COSTS!$Z$11:$AE$14,5,FALSE)</f>
        <v>7.3011363636363633</v>
      </c>
      <c r="AD105" s="69">
        <f>VLOOKUP(G105,COSTS!$Z$4:$AD$7,4,FALSE)</f>
        <v>9.1363636363636367</v>
      </c>
      <c r="AE105" s="69"/>
      <c r="AF105" s="69">
        <f t="shared" si="11"/>
        <v>16.4375</v>
      </c>
      <c r="AG105" s="87">
        <f>((COSTS!$C$5*88)/20)/88</f>
        <v>1.4407150000000002</v>
      </c>
      <c r="AH105" s="69">
        <f>(COSTS!$X$38/88)*20</f>
        <v>0.34865702479338845</v>
      </c>
      <c r="AI105" s="87">
        <f>((COSTS!$E$5*88)/20)/88</f>
        <v>0.62936587135988387</v>
      </c>
      <c r="AJ105" s="87">
        <f>((COSTS!$D$5*88)/20)/88</f>
        <v>0.33676</v>
      </c>
      <c r="AL105" s="387">
        <f t="shared" si="12"/>
        <v>2.7554978961532726</v>
      </c>
      <c r="AM105" s="69">
        <f>(COSTS!$W$3+0.1)*500*0.01</f>
        <v>3.9999999999999996</v>
      </c>
      <c r="AN105" s="387">
        <f>((COSTS!$G$5/20)*88)/88</f>
        <v>1.308904109589041</v>
      </c>
      <c r="AR105" s="69">
        <f t="shared" si="13"/>
        <v>5.3089041095890401</v>
      </c>
      <c r="AT105" s="1" t="e">
        <f>VLOOKUP(C105&amp;$AT$1,OTR!E:J,6,FALSE)/88</f>
        <v>#N/A</v>
      </c>
      <c r="AU105" s="1" t="e">
        <f>VLOOKUP(C105&amp;$AU$1,OTR!E:J,6,FALSE)/88</f>
        <v>#N/A</v>
      </c>
    </row>
    <row r="106" spans="1:47">
      <c r="A106" s="1">
        <v>34512</v>
      </c>
      <c r="B106" s="1" t="s">
        <v>298</v>
      </c>
      <c r="C106" s="1" t="s">
        <v>299</v>
      </c>
      <c r="D106" s="1" t="s">
        <v>65</v>
      </c>
      <c r="E106" s="1" t="str">
        <f>VLOOKUP(A:A,'Regions and Ports'!A:G,5,FALSE)</f>
        <v>Eastern Rule 5</v>
      </c>
      <c r="F106" s="1" t="str">
        <f>VLOOKUP(A:A,'Regions and Ports'!A:F,6,FALSE)</f>
        <v>ER5</v>
      </c>
      <c r="G106" s="1" t="str">
        <f>VLOOKUP(A:A,'Regions and Ports'!A:G,7,FALSE)</f>
        <v>Savannah</v>
      </c>
      <c r="H106" s="87">
        <v>1</v>
      </c>
      <c r="I106" s="69">
        <f>VLOOKUP(A:A,'Seam Tariffs'!A:AB,9,FALSE)</f>
        <v>3.5</v>
      </c>
      <c r="J106" s="69">
        <f>VLOOKUP(A:A,'Seam Tariffs'!A:AB,11,FALSE)</f>
        <v>5</v>
      </c>
      <c r="K106" s="69">
        <f>VLOOKUP(A:A,'Seam Tariffs'!A:AB,12,FALSE)</f>
        <v>0</v>
      </c>
      <c r="L106" s="69">
        <f>VLOOKUP(A:A,'Seam Tariffs'!A:AB,13,FALSE)</f>
        <v>0</v>
      </c>
      <c r="M106" s="69">
        <f>VLOOKUP(A:A,'Seam Tariffs'!A:AB,14,FALSE)</f>
        <v>0.5</v>
      </c>
      <c r="N106" s="69">
        <f>VLOOKUP(A:A,'Seam Tariffs'!A:AB,28,FALSE)</f>
        <v>2.5</v>
      </c>
      <c r="O106" s="69">
        <f>COSTS!$W$6</f>
        <v>1.8958333333333335</v>
      </c>
      <c r="P106" s="69">
        <f>VLOOKUP(G106,COSTS!$V$11:$X$14,3,FALSE)</f>
        <v>0</v>
      </c>
      <c r="Q106" s="69">
        <f t="shared" si="7"/>
        <v>13.395833333333334</v>
      </c>
      <c r="R106" s="69">
        <f t="shared" si="8"/>
        <v>4.3958333333333339</v>
      </c>
      <c r="S106" s="87">
        <f>VLOOKUP(A:A,'Flat Bed &amp; Late Fees'!A:J,6,FALSE)</f>
        <v>0</v>
      </c>
      <c r="T106" s="87">
        <f>VLOOKUP(A:A,'Flat Bed &amp; Late Fees'!A:J,7,FALSE)</f>
        <v>0</v>
      </c>
      <c r="U106" s="68">
        <f>VLOOKUP(C106&amp;G106,OTR!E:J,6,FALSE)/88</f>
        <v>14.950284090909092</v>
      </c>
      <c r="V106" s="87"/>
      <c r="W106" s="68">
        <f t="shared" si="9"/>
        <v>14.950284090909092</v>
      </c>
      <c r="X106" s="69">
        <f>VLOOKUP(G106,COSTS!$Z$18:$AC$23,2,FALSE)</f>
        <v>2.6</v>
      </c>
      <c r="Y106" s="87">
        <f>VLOOKUP(G106,COSTS!$Z$18:$AC$23,4,FALSE)</f>
        <v>2.52</v>
      </c>
      <c r="Z106" s="69">
        <f>(COSTS!$W$3*COSTS!$W$4*500)/52*COSTS!$AE$17</f>
        <v>1.3125</v>
      </c>
      <c r="AB106" s="69">
        <f t="shared" si="10"/>
        <v>6.4325000000000001</v>
      </c>
      <c r="AC106" s="69">
        <f>VLOOKUP(G106,COSTS!$Z$11:$AE$14,5,FALSE)</f>
        <v>5.5113636363636367</v>
      </c>
      <c r="AD106" s="69">
        <f>VLOOKUP(G106,COSTS!$Z$4:$AD$7,4,FALSE)</f>
        <v>5.3522727272727275</v>
      </c>
      <c r="AE106" s="69"/>
      <c r="AF106" s="69">
        <f t="shared" si="11"/>
        <v>10.863636363636363</v>
      </c>
      <c r="AG106" s="87">
        <f>((COSTS!$C$5*88)/20)/88</f>
        <v>1.4407150000000002</v>
      </c>
      <c r="AH106" s="69">
        <f>(COSTS!$X$38/88)*20</f>
        <v>0.34865702479338845</v>
      </c>
      <c r="AI106" s="87">
        <f>((COSTS!$E$5*88)/20)/88</f>
        <v>0.62936587135988387</v>
      </c>
      <c r="AJ106" s="87">
        <f>((COSTS!$D$5*88)/20)/88</f>
        <v>0.33676</v>
      </c>
      <c r="AL106" s="387">
        <f t="shared" si="12"/>
        <v>2.7554978961532726</v>
      </c>
      <c r="AM106" s="69">
        <f>(COSTS!$W$3+0.1)*500*0.01</f>
        <v>3.9999999999999996</v>
      </c>
      <c r="AN106" s="387">
        <f>((COSTS!$G$5/20)*88)/88</f>
        <v>1.308904109589041</v>
      </c>
      <c r="AR106" s="69">
        <f t="shared" si="13"/>
        <v>5.3089041095890401</v>
      </c>
      <c r="AT106" s="1" t="e">
        <f>VLOOKUP(C106&amp;$AT$1,OTR!E:J,6,FALSE)/88</f>
        <v>#N/A</v>
      </c>
      <c r="AU106" s="1">
        <f>VLOOKUP(C106&amp;$AU$1,OTR!E:J,6,FALSE)/88</f>
        <v>15.482954545454545</v>
      </c>
    </row>
    <row r="107" spans="1:47">
      <c r="A107" s="1">
        <v>565807</v>
      </c>
      <c r="B107" s="1" t="s">
        <v>300</v>
      </c>
      <c r="C107" s="1" t="s">
        <v>301</v>
      </c>
      <c r="D107" s="1" t="s">
        <v>136</v>
      </c>
      <c r="E107" s="1" t="str">
        <f>VLOOKUP(A:A,'Regions and Ports'!A:G,5,FALSE)</f>
        <v>Eastern Rule 5</v>
      </c>
      <c r="F107" s="1" t="str">
        <f>VLOOKUP(A:A,'Regions and Ports'!A:F,6,FALSE)</f>
        <v>ER5</v>
      </c>
      <c r="G107" s="1" t="str">
        <f>VLOOKUP(A:A,'Regions and Ports'!A:G,7,FALSE)</f>
        <v>Savannah</v>
      </c>
      <c r="H107" s="87">
        <v>1</v>
      </c>
      <c r="I107" s="69">
        <f>VLOOKUP(A:A,'Seam Tariffs'!A:AB,9,FALSE)</f>
        <v>4</v>
      </c>
      <c r="J107" s="69">
        <f>VLOOKUP(A:A,'Seam Tariffs'!A:AB,11,FALSE)</f>
        <v>4.8499999999999996</v>
      </c>
      <c r="K107" s="69">
        <f>VLOOKUP(A:A,'Seam Tariffs'!A:AB,12,FALSE)</f>
        <v>0</v>
      </c>
      <c r="L107" s="69">
        <f>VLOOKUP(A:A,'Seam Tariffs'!A:AB,13,FALSE)</f>
        <v>0</v>
      </c>
      <c r="M107" s="69">
        <f>VLOOKUP(A:A,'Seam Tariffs'!A:AB,14,FALSE)</f>
        <v>0</v>
      </c>
      <c r="N107" s="69">
        <f>VLOOKUP(A:A,'Seam Tariffs'!A:AB,28,FALSE)</f>
        <v>3</v>
      </c>
      <c r="O107" s="69">
        <f>COSTS!$W$6</f>
        <v>1.8958333333333335</v>
      </c>
      <c r="P107" s="69">
        <f>VLOOKUP(G107,COSTS!$V$11:$X$14,3,FALSE)</f>
        <v>0</v>
      </c>
      <c r="Q107" s="69">
        <f t="shared" si="7"/>
        <v>13.745833333333334</v>
      </c>
      <c r="R107" s="69">
        <f t="shared" si="8"/>
        <v>4.8958333333333339</v>
      </c>
      <c r="S107" s="87">
        <f>VLOOKUP(A:A,'Flat Bed &amp; Late Fees'!A:J,6,FALSE)</f>
        <v>0</v>
      </c>
      <c r="T107" s="87">
        <f>VLOOKUP(A:A,'Flat Bed &amp; Late Fees'!A:J,7,FALSE)</f>
        <v>0</v>
      </c>
      <c r="U107" s="68">
        <f>VLOOKUP(C107&amp;G107,OTR!E:J,6,FALSE)/88</f>
        <v>14.911761363636366</v>
      </c>
      <c r="V107" s="87"/>
      <c r="W107" s="68">
        <f t="shared" si="9"/>
        <v>14.911761363636366</v>
      </c>
      <c r="X107" s="69">
        <f>VLOOKUP(G107,COSTS!$Z$18:$AC$23,2,FALSE)</f>
        <v>2.6</v>
      </c>
      <c r="Y107" s="87">
        <f>VLOOKUP(G107,COSTS!$Z$18:$AC$23,4,FALSE)</f>
        <v>2.52</v>
      </c>
      <c r="Z107" s="69">
        <f>(COSTS!$W$3*COSTS!$W$4*500)/52*COSTS!$AE$17</f>
        <v>1.3125</v>
      </c>
      <c r="AB107" s="69">
        <f t="shared" si="10"/>
        <v>6.4325000000000001</v>
      </c>
      <c r="AC107" s="69">
        <f>VLOOKUP(G107,COSTS!$Z$11:$AE$14,5,FALSE)</f>
        <v>5.5113636363636367</v>
      </c>
      <c r="AD107" s="69">
        <f>VLOOKUP(G107,COSTS!$Z$4:$AD$7,4,FALSE)</f>
        <v>5.3522727272727275</v>
      </c>
      <c r="AE107" s="69"/>
      <c r="AF107" s="69">
        <f t="shared" si="11"/>
        <v>10.863636363636363</v>
      </c>
      <c r="AG107" s="87">
        <f>((COSTS!$C$5*88)/20)/88</f>
        <v>1.4407150000000002</v>
      </c>
      <c r="AH107" s="69">
        <f>(COSTS!$X$38/88)*20</f>
        <v>0.34865702479338845</v>
      </c>
      <c r="AI107" s="87">
        <f>((COSTS!$E$5*88)/20)/88</f>
        <v>0.62936587135988387</v>
      </c>
      <c r="AJ107" s="87">
        <f>((COSTS!$D$5*88)/20)/88</f>
        <v>0.33676</v>
      </c>
      <c r="AL107" s="387">
        <f t="shared" si="12"/>
        <v>2.7554978961532726</v>
      </c>
      <c r="AM107" s="69">
        <f>(COSTS!$W$3+0.1)*500*0.01</f>
        <v>3.9999999999999996</v>
      </c>
      <c r="AN107" s="387">
        <f>((COSTS!$G$5/20)*88)/88</f>
        <v>1.308904109589041</v>
      </c>
      <c r="AR107" s="69">
        <f t="shared" si="13"/>
        <v>5.3089041095890401</v>
      </c>
      <c r="AT107" s="1" t="e">
        <f>VLOOKUP(C107&amp;$AT$1,OTR!E:J,6,FALSE)/88</f>
        <v>#N/A</v>
      </c>
      <c r="AU107" s="1">
        <f>VLOOKUP(C107&amp;$AU$1,OTR!E:J,6,FALSE)/88</f>
        <v>14.119318181818182</v>
      </c>
    </row>
    <row r="108" spans="1:47">
      <c r="A108" s="1">
        <v>566501</v>
      </c>
      <c r="B108" s="1" t="s">
        <v>303</v>
      </c>
      <c r="C108" s="1" t="s">
        <v>301</v>
      </c>
      <c r="D108" s="1" t="s">
        <v>136</v>
      </c>
      <c r="E108" s="1" t="str">
        <f>VLOOKUP(A:A,'Regions and Ports'!A:G,5,FALSE)</f>
        <v>Eastern Rule 5</v>
      </c>
      <c r="F108" s="1" t="str">
        <f>VLOOKUP(A:A,'Regions and Ports'!A:F,6,FALSE)</f>
        <v>ER5</v>
      </c>
      <c r="G108" s="1" t="str">
        <f>VLOOKUP(A:A,'Regions and Ports'!A:G,7,FALSE)</f>
        <v>Savannah</v>
      </c>
      <c r="H108" s="87">
        <v>1</v>
      </c>
      <c r="I108" s="69">
        <f>VLOOKUP(A:A,'Seam Tariffs'!A:AB,9,FALSE)</f>
        <v>2</v>
      </c>
      <c r="J108" s="69">
        <f>VLOOKUP(A:A,'Seam Tariffs'!A:AB,11,FALSE)</f>
        <v>4</v>
      </c>
      <c r="K108" s="69">
        <f>VLOOKUP(A:A,'Seam Tariffs'!A:AB,12,FALSE)</f>
        <v>0</v>
      </c>
      <c r="L108" s="69">
        <f>VLOOKUP(A:A,'Seam Tariffs'!A:AB,13,FALSE)</f>
        <v>0</v>
      </c>
      <c r="M108" s="69">
        <f>VLOOKUP(A:A,'Seam Tariffs'!A:AB,14,FALSE)</f>
        <v>0.5</v>
      </c>
      <c r="N108" s="69">
        <f>VLOOKUP(A:A,'Seam Tariffs'!A:AB,28,FALSE)</f>
        <v>1.7</v>
      </c>
      <c r="O108" s="69">
        <f>COSTS!$W$6</f>
        <v>1.8958333333333335</v>
      </c>
      <c r="P108" s="69">
        <f>VLOOKUP(G108,COSTS!$V$11:$X$14,3,FALSE)</f>
        <v>0</v>
      </c>
      <c r="Q108" s="69">
        <f t="shared" si="7"/>
        <v>10.095833333333333</v>
      </c>
      <c r="R108" s="69">
        <f t="shared" si="8"/>
        <v>3.5958333333333332</v>
      </c>
      <c r="S108" s="87">
        <f>VLOOKUP(A:A,'Flat Bed &amp; Late Fees'!A:J,6,FALSE)</f>
        <v>0</v>
      </c>
      <c r="T108" s="87">
        <f>VLOOKUP(A:A,'Flat Bed &amp; Late Fees'!A:J,7,FALSE)</f>
        <v>0</v>
      </c>
      <c r="U108" s="68">
        <f>VLOOKUP(C108&amp;G108,OTR!E:J,6,FALSE)/88</f>
        <v>14.911761363636366</v>
      </c>
      <c r="V108" s="87"/>
      <c r="W108" s="68">
        <f t="shared" si="9"/>
        <v>14.911761363636366</v>
      </c>
      <c r="X108" s="69">
        <f>VLOOKUP(G108,COSTS!$Z$18:$AC$23,2,FALSE)</f>
        <v>2.6</v>
      </c>
      <c r="Y108" s="87">
        <f>VLOOKUP(G108,COSTS!$Z$18:$AC$23,4,FALSE)</f>
        <v>2.52</v>
      </c>
      <c r="Z108" s="69">
        <f>(COSTS!$W$3*COSTS!$W$4*500)/52*COSTS!$AE$17</f>
        <v>1.3125</v>
      </c>
      <c r="AB108" s="69">
        <f t="shared" si="10"/>
        <v>6.4325000000000001</v>
      </c>
      <c r="AC108" s="69">
        <f>VLOOKUP(G108,COSTS!$Z$11:$AE$14,5,FALSE)</f>
        <v>5.5113636363636367</v>
      </c>
      <c r="AD108" s="69">
        <f>VLOOKUP(G108,COSTS!$Z$4:$AD$7,4,FALSE)</f>
        <v>5.3522727272727275</v>
      </c>
      <c r="AE108" s="69"/>
      <c r="AF108" s="69">
        <f t="shared" si="11"/>
        <v>10.863636363636363</v>
      </c>
      <c r="AG108" s="87">
        <f>((COSTS!$C$5*88)/20)/88</f>
        <v>1.4407150000000002</v>
      </c>
      <c r="AH108" s="69">
        <f>(COSTS!$X$38/88)*20</f>
        <v>0.34865702479338845</v>
      </c>
      <c r="AI108" s="87">
        <f>((COSTS!$E$5*88)/20)/88</f>
        <v>0.62936587135988387</v>
      </c>
      <c r="AJ108" s="87">
        <f>((COSTS!$D$5*88)/20)/88</f>
        <v>0.33676</v>
      </c>
      <c r="AL108" s="387">
        <f t="shared" si="12"/>
        <v>2.7554978961532726</v>
      </c>
      <c r="AM108" s="69">
        <f>(COSTS!$W$3+0.1)*500*0.01</f>
        <v>3.9999999999999996</v>
      </c>
      <c r="AN108" s="387">
        <f>((COSTS!$G$5/20)*88)/88</f>
        <v>1.308904109589041</v>
      </c>
      <c r="AR108" s="69">
        <f t="shared" si="13"/>
        <v>5.3089041095890401</v>
      </c>
      <c r="AT108" s="1" t="e">
        <f>VLOOKUP(C108&amp;$AT$1,OTR!E:J,6,FALSE)/88</f>
        <v>#N/A</v>
      </c>
      <c r="AU108" s="1">
        <f>VLOOKUP(C108&amp;$AU$1,OTR!E:J,6,FALSE)/88</f>
        <v>14.119318181818182</v>
      </c>
    </row>
    <row r="109" spans="1:47">
      <c r="A109" s="1">
        <v>848548</v>
      </c>
      <c r="B109" s="1" t="s">
        <v>304</v>
      </c>
      <c r="C109" s="1" t="s">
        <v>305</v>
      </c>
      <c r="D109" s="1" t="s">
        <v>71</v>
      </c>
      <c r="E109" s="1" t="str">
        <f>VLOOKUP(A:A,'Regions and Ports'!A:G,5,FALSE)</f>
        <v>STEX</v>
      </c>
      <c r="F109" s="1" t="str">
        <f>VLOOKUP(A:A,'Regions and Ports'!A:F,6,FALSE)</f>
        <v>STX</v>
      </c>
      <c r="G109" s="1" t="str">
        <f>VLOOKUP(A:A,'Regions and Ports'!A:G,7,FALSE)</f>
        <v>Houston</v>
      </c>
      <c r="H109" s="87">
        <v>3</v>
      </c>
      <c r="I109" s="69">
        <f>VLOOKUP(A:A,'Seam Tariffs'!A:AB,9,FALSE)</f>
        <v>5.5</v>
      </c>
      <c r="J109" s="69">
        <f>VLOOKUP(A:A,'Seam Tariffs'!A:AB,11,FALSE)</f>
        <v>17.5</v>
      </c>
      <c r="K109" s="69">
        <f>VLOOKUP(A:A,'Seam Tariffs'!A:AB,12,FALSE)</f>
        <v>0</v>
      </c>
      <c r="L109" s="69">
        <f>VLOOKUP(A:A,'Seam Tariffs'!A:AB,13,FALSE)</f>
        <v>0</v>
      </c>
      <c r="M109" s="69">
        <f>VLOOKUP(A:A,'Seam Tariffs'!A:AB,14,FALSE)</f>
        <v>0</v>
      </c>
      <c r="N109" s="69">
        <f>VLOOKUP(A:A,'Seam Tariffs'!A:AB,28,FALSE)</f>
        <v>4</v>
      </c>
      <c r="O109" s="69">
        <f>COSTS!$W$6</f>
        <v>1.8958333333333335</v>
      </c>
      <c r="P109" s="69">
        <f>VLOOKUP(G109,COSTS!$V$11:$X$14,3,FALSE)</f>
        <v>0</v>
      </c>
      <c r="Q109" s="69">
        <f t="shared" si="7"/>
        <v>28.895833333333332</v>
      </c>
      <c r="R109" s="69">
        <f t="shared" si="8"/>
        <v>23.395833333333332</v>
      </c>
      <c r="S109" s="87">
        <f>VLOOKUP(A:A,'Flat Bed &amp; Late Fees'!A:J,6,FALSE)</f>
        <v>0</v>
      </c>
      <c r="T109" s="87">
        <f>VLOOKUP(A:A,'Flat Bed &amp; Late Fees'!A:J,7,FALSE)</f>
        <v>0</v>
      </c>
      <c r="U109" s="68">
        <f>VLOOKUP(C109&amp;G109,OTR!E:J,6,FALSE)/88</f>
        <v>8.2386363636363633</v>
      </c>
      <c r="V109" s="87"/>
      <c r="W109" s="68">
        <f t="shared" si="9"/>
        <v>8.2386363636363633</v>
      </c>
      <c r="X109" s="69">
        <f>VLOOKUP(G109,COSTS!$Z$18:$AC$23,2,FALSE)</f>
        <v>2.7</v>
      </c>
      <c r="Y109" s="87">
        <f>VLOOKUP(G109,COSTS!$Z$18:$AC$23,4,FALSE)</f>
        <v>2.52</v>
      </c>
      <c r="Z109" s="69">
        <f>(COSTS!$W$3*COSTS!$W$4*500)/52*COSTS!$AE$17</f>
        <v>1.3125</v>
      </c>
      <c r="AB109" s="69">
        <f t="shared" si="10"/>
        <v>6.5325000000000006</v>
      </c>
      <c r="AC109" s="69">
        <f>VLOOKUP(G109,COSTS!$Z$11:$AE$14,5,FALSE)</f>
        <v>6.6477272727272725</v>
      </c>
      <c r="AD109" s="69">
        <f>VLOOKUP(G109,COSTS!$Z$4:$AD$7,4,FALSE)</f>
        <v>9.8977272727272734</v>
      </c>
      <c r="AE109" s="69"/>
      <c r="AF109" s="69">
        <f t="shared" si="11"/>
        <v>16.545454545454547</v>
      </c>
      <c r="AG109" s="87">
        <f>((COSTS!$C$5*88)/20)/88</f>
        <v>1.4407150000000002</v>
      </c>
      <c r="AH109" s="69">
        <f>(COSTS!$X$38/88)*20</f>
        <v>0.34865702479338845</v>
      </c>
      <c r="AI109" s="87">
        <f>((COSTS!$E$5*88)/20)/88</f>
        <v>0.62936587135988387</v>
      </c>
      <c r="AJ109" s="87">
        <f>((COSTS!$D$5*88)/20)/88</f>
        <v>0.33676</v>
      </c>
      <c r="AL109" s="387">
        <f t="shared" si="12"/>
        <v>2.7554978961532726</v>
      </c>
      <c r="AM109" s="69">
        <f>(COSTS!$W$3+0.1)*500*0.01</f>
        <v>3.9999999999999996</v>
      </c>
      <c r="AN109" s="387">
        <f>((COSTS!$G$5/20)*88)/88</f>
        <v>1.308904109589041</v>
      </c>
      <c r="AR109" s="69">
        <f t="shared" si="13"/>
        <v>5.3089041095890401</v>
      </c>
      <c r="AT109" s="1">
        <f>VLOOKUP(C109&amp;$AT$1,OTR!E:J,6,FALSE)/88</f>
        <v>11.143181818181818</v>
      </c>
      <c r="AU109" s="1" t="e">
        <f>VLOOKUP(C109&amp;$AU$1,OTR!E:J,6,FALSE)/88</f>
        <v>#N/A</v>
      </c>
    </row>
    <row r="110" spans="1:47">
      <c r="A110" s="1">
        <v>702530</v>
      </c>
      <c r="B110" s="1" t="s">
        <v>307</v>
      </c>
      <c r="C110" s="1" t="s">
        <v>308</v>
      </c>
      <c r="D110" s="1" t="s">
        <v>132</v>
      </c>
      <c r="E110" s="1" t="str">
        <f>VLOOKUP(A:A,'Regions and Ports'!A:G,5,FALSE)</f>
        <v>Eastern Rule 5</v>
      </c>
      <c r="F110" s="1" t="str">
        <f>VLOOKUP(A:A,'Regions and Ports'!A:F,6,FALSE)</f>
        <v>ER5</v>
      </c>
      <c r="G110" s="1" t="str">
        <f>VLOOKUP(A:A,'Regions and Ports'!A:G,7,FALSE)</f>
        <v>Savannah</v>
      </c>
      <c r="H110" s="87">
        <v>1</v>
      </c>
      <c r="I110" s="69">
        <f>VLOOKUP(A:A,'Seam Tariffs'!A:AB,9,FALSE)</f>
        <v>2.75</v>
      </c>
      <c r="J110" s="69">
        <f>VLOOKUP(A:A,'Seam Tariffs'!A:AB,11,FALSE)</f>
        <v>4</v>
      </c>
      <c r="K110" s="69">
        <f>VLOOKUP(A:A,'Seam Tariffs'!A:AB,12,FALSE)</f>
        <v>0</v>
      </c>
      <c r="L110" s="69">
        <f>VLOOKUP(A:A,'Seam Tariffs'!A:AB,13,FALSE)</f>
        <v>0</v>
      </c>
      <c r="M110" s="69">
        <f>VLOOKUP(A:A,'Seam Tariffs'!A:AB,14,FALSE)</f>
        <v>1</v>
      </c>
      <c r="N110" s="69">
        <f>VLOOKUP(A:A,'Seam Tariffs'!A:AB,28,FALSE)</f>
        <v>2</v>
      </c>
      <c r="O110" s="69">
        <f>COSTS!$W$6</f>
        <v>1.8958333333333335</v>
      </c>
      <c r="P110" s="69">
        <f>VLOOKUP(G110,COSTS!$V$11:$X$14,3,FALSE)</f>
        <v>0</v>
      </c>
      <c r="Q110" s="69">
        <f t="shared" si="7"/>
        <v>11.645833333333334</v>
      </c>
      <c r="R110" s="69">
        <f t="shared" si="8"/>
        <v>3.8958333333333335</v>
      </c>
      <c r="S110" s="87">
        <f>VLOOKUP(A:A,'Flat Bed &amp; Late Fees'!A:J,6,FALSE)</f>
        <v>0</v>
      </c>
      <c r="T110" s="87">
        <f>VLOOKUP(A:A,'Flat Bed &amp; Late Fees'!A:J,7,FALSE)</f>
        <v>0</v>
      </c>
      <c r="U110" s="68">
        <f>VLOOKUP(C110&amp;G110,OTR!E:J,6,FALSE)/88</f>
        <v>8.970170454545455</v>
      </c>
      <c r="V110" s="87"/>
      <c r="W110" s="68">
        <f t="shared" si="9"/>
        <v>8.970170454545455</v>
      </c>
      <c r="X110" s="69">
        <f>VLOOKUP(G110,COSTS!$Z$18:$AC$23,2,FALSE)</f>
        <v>2.6</v>
      </c>
      <c r="Y110" s="87">
        <f>VLOOKUP(G110,COSTS!$Z$18:$AC$23,4,FALSE)</f>
        <v>2.52</v>
      </c>
      <c r="Z110" s="69">
        <f>(COSTS!$W$3*COSTS!$W$4*500)/52*COSTS!$AE$17</f>
        <v>1.3125</v>
      </c>
      <c r="AB110" s="69">
        <f t="shared" si="10"/>
        <v>6.4325000000000001</v>
      </c>
      <c r="AC110" s="69">
        <f>VLOOKUP(G110,COSTS!$Z$11:$AE$14,5,FALSE)</f>
        <v>5.5113636363636367</v>
      </c>
      <c r="AD110" s="69">
        <f>VLOOKUP(G110,COSTS!$Z$4:$AD$7,4,FALSE)</f>
        <v>5.3522727272727275</v>
      </c>
      <c r="AE110" s="69"/>
      <c r="AF110" s="69">
        <f t="shared" si="11"/>
        <v>10.863636363636363</v>
      </c>
      <c r="AG110" s="87">
        <f>((COSTS!$C$5*88)/20)/88</f>
        <v>1.4407150000000002</v>
      </c>
      <c r="AH110" s="69">
        <f>(COSTS!$X$38/88)*20</f>
        <v>0.34865702479338845</v>
      </c>
      <c r="AI110" s="87">
        <f>((COSTS!$E$5*88)/20)/88</f>
        <v>0.62936587135988387</v>
      </c>
      <c r="AJ110" s="87">
        <f>((COSTS!$D$5*88)/20)/88</f>
        <v>0.33676</v>
      </c>
      <c r="AL110" s="387">
        <f t="shared" si="12"/>
        <v>2.7554978961532726</v>
      </c>
      <c r="AM110" s="69">
        <f>(COSTS!$W$3+0.1)*500*0.01</f>
        <v>3.9999999999999996</v>
      </c>
      <c r="AN110" s="387">
        <f>((COSTS!$G$5/20)*88)/88</f>
        <v>1.308904109589041</v>
      </c>
      <c r="AR110" s="69">
        <f t="shared" si="13"/>
        <v>5.3089041095890401</v>
      </c>
      <c r="AT110" s="1" t="e">
        <f>VLOOKUP(C110&amp;$AT$1,OTR!E:J,6,FALSE)/88</f>
        <v>#N/A</v>
      </c>
      <c r="AU110" s="1">
        <f>VLOOKUP(C110&amp;$AU$1,OTR!E:J,6,FALSE)/88</f>
        <v>11.051136363636363</v>
      </c>
    </row>
    <row r="111" spans="1:47">
      <c r="A111" s="1">
        <v>565803</v>
      </c>
      <c r="B111" s="1" t="s">
        <v>310</v>
      </c>
      <c r="C111" s="1" t="s">
        <v>311</v>
      </c>
      <c r="D111" s="1" t="s">
        <v>136</v>
      </c>
      <c r="E111" s="1" t="str">
        <f>VLOOKUP(A:A,'Regions and Ports'!A:G,5,FALSE)</f>
        <v>Eastern Rule 5</v>
      </c>
      <c r="F111" s="1" t="str">
        <f>VLOOKUP(A:A,'Regions and Ports'!A:F,6,FALSE)</f>
        <v>ER5</v>
      </c>
      <c r="G111" s="1" t="str">
        <f>VLOOKUP(A:A,'Regions and Ports'!A:G,7,FALSE)</f>
        <v>Savannah</v>
      </c>
      <c r="H111" s="87">
        <v>1</v>
      </c>
      <c r="I111" s="69">
        <f>VLOOKUP(A:A,'Seam Tariffs'!A:AB,9,FALSE)</f>
        <v>4</v>
      </c>
      <c r="J111" s="69">
        <f>VLOOKUP(A:A,'Seam Tariffs'!A:AB,11,FALSE)</f>
        <v>4</v>
      </c>
      <c r="K111" s="69">
        <f>VLOOKUP(A:A,'Seam Tariffs'!A:AB,12,FALSE)</f>
        <v>0</v>
      </c>
      <c r="L111" s="69">
        <f>VLOOKUP(A:A,'Seam Tariffs'!A:AB,13,FALSE)</f>
        <v>0</v>
      </c>
      <c r="M111" s="69">
        <f>VLOOKUP(A:A,'Seam Tariffs'!A:AB,14,FALSE)</f>
        <v>1</v>
      </c>
      <c r="N111" s="69">
        <f>VLOOKUP(A:A,'Seam Tariffs'!A:AB,28,FALSE)</f>
        <v>2.25</v>
      </c>
      <c r="O111" s="69">
        <f>COSTS!$W$6</f>
        <v>1.8958333333333335</v>
      </c>
      <c r="P111" s="69">
        <f>VLOOKUP(G111,COSTS!$V$11:$X$14,3,FALSE)</f>
        <v>0</v>
      </c>
      <c r="Q111" s="69">
        <f t="shared" si="7"/>
        <v>13.145833333333334</v>
      </c>
      <c r="R111" s="69">
        <f t="shared" si="8"/>
        <v>4.1458333333333339</v>
      </c>
      <c r="S111" s="87">
        <f>VLOOKUP(A:A,'Flat Bed &amp; Late Fees'!A:J,6,FALSE)</f>
        <v>0</v>
      </c>
      <c r="T111" s="87">
        <f>VLOOKUP(A:A,'Flat Bed &amp; Late Fees'!A:J,7,FALSE)</f>
        <v>0</v>
      </c>
      <c r="U111" s="68">
        <f>VLOOKUP(C111&amp;G111,OTR!E:J,6,FALSE)/88</f>
        <v>20.136363636363637</v>
      </c>
      <c r="V111" s="87"/>
      <c r="W111" s="68">
        <f t="shared" si="9"/>
        <v>20.136363636363637</v>
      </c>
      <c r="X111" s="69">
        <f>VLOOKUP(G111,COSTS!$Z$18:$AC$23,2,FALSE)</f>
        <v>2.6</v>
      </c>
      <c r="Y111" s="87">
        <f>VLOOKUP(G111,COSTS!$Z$18:$AC$23,4,FALSE)</f>
        <v>2.52</v>
      </c>
      <c r="Z111" s="69">
        <f>(COSTS!$W$3*COSTS!$W$4*500)/52*COSTS!$AE$17</f>
        <v>1.3125</v>
      </c>
      <c r="AB111" s="69">
        <f t="shared" si="10"/>
        <v>6.4325000000000001</v>
      </c>
      <c r="AC111" s="69">
        <f>VLOOKUP(G111,COSTS!$Z$11:$AE$14,5,FALSE)</f>
        <v>5.5113636363636367</v>
      </c>
      <c r="AD111" s="69">
        <f>VLOOKUP(G111,COSTS!$Z$4:$AD$7,4,FALSE)</f>
        <v>5.3522727272727275</v>
      </c>
      <c r="AE111" s="69"/>
      <c r="AF111" s="69">
        <f t="shared" si="11"/>
        <v>10.863636363636363</v>
      </c>
      <c r="AG111" s="87">
        <f>((COSTS!$C$5*88)/20)/88</f>
        <v>1.4407150000000002</v>
      </c>
      <c r="AH111" s="69">
        <f>(COSTS!$X$38/88)*20</f>
        <v>0.34865702479338845</v>
      </c>
      <c r="AI111" s="87">
        <f>((COSTS!$E$5*88)/20)/88</f>
        <v>0.62936587135988387</v>
      </c>
      <c r="AJ111" s="87">
        <f>((COSTS!$D$5*88)/20)/88</f>
        <v>0.33676</v>
      </c>
      <c r="AL111" s="387">
        <f t="shared" si="12"/>
        <v>2.7554978961532726</v>
      </c>
      <c r="AM111" s="69">
        <f>(COSTS!$W$3+0.1)*500*0.01</f>
        <v>3.9999999999999996</v>
      </c>
      <c r="AN111" s="387">
        <f>((COSTS!$G$5/20)*88)/88</f>
        <v>1.308904109589041</v>
      </c>
      <c r="AR111" s="69">
        <f t="shared" si="13"/>
        <v>5.3089041095890401</v>
      </c>
      <c r="AT111" s="1" t="e">
        <f>VLOOKUP(C111&amp;$AT$1,OTR!E:J,6,FALSE)/88</f>
        <v>#N/A</v>
      </c>
      <c r="AU111" s="1">
        <f>VLOOKUP(C111&amp;$AU$1,OTR!E:J,6,FALSE)/88</f>
        <v>12.244318181818182</v>
      </c>
    </row>
    <row r="112" spans="1:47">
      <c r="A112" s="1">
        <v>565805</v>
      </c>
      <c r="B112" s="1" t="s">
        <v>313</v>
      </c>
      <c r="C112" s="1" t="s">
        <v>311</v>
      </c>
      <c r="D112" s="1" t="s">
        <v>136</v>
      </c>
      <c r="E112" s="1" t="str">
        <f>VLOOKUP(A:A,'Regions and Ports'!A:G,5,FALSE)</f>
        <v>Eastern Rule 5</v>
      </c>
      <c r="F112" s="1" t="str">
        <f>VLOOKUP(A:A,'Regions and Ports'!A:F,6,FALSE)</f>
        <v>ER5</v>
      </c>
      <c r="G112" s="1" t="str">
        <f>VLOOKUP(A:A,'Regions and Ports'!A:G,7,FALSE)</f>
        <v>Savannah</v>
      </c>
      <c r="H112" s="87">
        <v>1</v>
      </c>
      <c r="I112" s="69">
        <f>VLOOKUP(A:A,'Seam Tariffs'!A:AB,9,FALSE)</f>
        <v>4.25</v>
      </c>
      <c r="J112" s="69">
        <f>VLOOKUP(A:A,'Seam Tariffs'!A:AB,11,FALSE)</f>
        <v>4.25</v>
      </c>
      <c r="K112" s="69">
        <f>VLOOKUP(A:A,'Seam Tariffs'!A:AB,12,FALSE)</f>
        <v>0</v>
      </c>
      <c r="L112" s="69">
        <f>VLOOKUP(A:A,'Seam Tariffs'!A:AB,13,FALSE)</f>
        <v>0</v>
      </c>
      <c r="M112" s="69">
        <f>VLOOKUP(A:A,'Seam Tariffs'!A:AB,14,FALSE)</f>
        <v>0.5</v>
      </c>
      <c r="N112" s="69">
        <f>VLOOKUP(A:A,'Seam Tariffs'!A:AB,28,FALSE)</f>
        <v>2.25</v>
      </c>
      <c r="O112" s="69">
        <f>COSTS!$W$6</f>
        <v>1.8958333333333335</v>
      </c>
      <c r="P112" s="69">
        <f>VLOOKUP(G112,COSTS!$V$11:$X$14,3,FALSE)</f>
        <v>0</v>
      </c>
      <c r="Q112" s="69">
        <f t="shared" si="7"/>
        <v>13.145833333333334</v>
      </c>
      <c r="R112" s="69">
        <f t="shared" si="8"/>
        <v>4.1458333333333339</v>
      </c>
      <c r="S112" s="87">
        <f>VLOOKUP(A:A,'Flat Bed &amp; Late Fees'!A:J,6,FALSE)</f>
        <v>0</v>
      </c>
      <c r="T112" s="87">
        <f>VLOOKUP(A:A,'Flat Bed &amp; Late Fees'!A:J,7,FALSE)</f>
        <v>0</v>
      </c>
      <c r="U112" s="68">
        <f>VLOOKUP(C112&amp;G112,OTR!E:J,6,FALSE)/88</f>
        <v>20.136363636363637</v>
      </c>
      <c r="V112" s="87"/>
      <c r="W112" s="68">
        <f t="shared" si="9"/>
        <v>20.136363636363637</v>
      </c>
      <c r="X112" s="69">
        <f>VLOOKUP(G112,COSTS!$Z$18:$AC$23,2,FALSE)</f>
        <v>2.6</v>
      </c>
      <c r="Y112" s="87">
        <f>VLOOKUP(G112,COSTS!$Z$18:$AC$23,4,FALSE)</f>
        <v>2.52</v>
      </c>
      <c r="Z112" s="69">
        <f>(COSTS!$W$3*COSTS!$W$4*500)/52*COSTS!$AE$17</f>
        <v>1.3125</v>
      </c>
      <c r="AB112" s="69">
        <f t="shared" si="10"/>
        <v>6.4325000000000001</v>
      </c>
      <c r="AC112" s="69">
        <f>VLOOKUP(G112,COSTS!$Z$11:$AE$14,5,FALSE)</f>
        <v>5.5113636363636367</v>
      </c>
      <c r="AD112" s="69">
        <f>VLOOKUP(G112,COSTS!$Z$4:$AD$7,4,FALSE)</f>
        <v>5.3522727272727275</v>
      </c>
      <c r="AE112" s="69"/>
      <c r="AF112" s="69">
        <f t="shared" si="11"/>
        <v>10.863636363636363</v>
      </c>
      <c r="AG112" s="87">
        <f>((COSTS!$C$5*88)/20)/88</f>
        <v>1.4407150000000002</v>
      </c>
      <c r="AH112" s="69">
        <f>(COSTS!$X$38/88)*20</f>
        <v>0.34865702479338845</v>
      </c>
      <c r="AI112" s="87">
        <f>((COSTS!$E$5*88)/20)/88</f>
        <v>0.62936587135988387</v>
      </c>
      <c r="AJ112" s="87">
        <f>((COSTS!$D$5*88)/20)/88</f>
        <v>0.33676</v>
      </c>
      <c r="AL112" s="387">
        <f t="shared" si="12"/>
        <v>2.7554978961532726</v>
      </c>
      <c r="AM112" s="69">
        <f>(COSTS!$W$3+0.1)*500*0.01</f>
        <v>3.9999999999999996</v>
      </c>
      <c r="AN112" s="387">
        <f>((COSTS!$G$5/20)*88)/88</f>
        <v>1.308904109589041</v>
      </c>
      <c r="AR112" s="69">
        <f t="shared" si="13"/>
        <v>5.3089041095890401</v>
      </c>
      <c r="AT112" s="1" t="e">
        <f>VLOOKUP(C112&amp;$AT$1,OTR!E:J,6,FALSE)/88</f>
        <v>#N/A</v>
      </c>
      <c r="AU112" s="1">
        <f>VLOOKUP(C112&amp;$AU$1,OTR!E:J,6,FALSE)/88</f>
        <v>12.244318181818182</v>
      </c>
    </row>
    <row r="113" spans="1:47">
      <c r="A113" s="1">
        <v>789505</v>
      </c>
      <c r="B113" s="1" t="s">
        <v>314</v>
      </c>
      <c r="C113" s="1" t="s">
        <v>315</v>
      </c>
      <c r="D113" s="1" t="s">
        <v>168</v>
      </c>
      <c r="E113" s="1" t="str">
        <f>VLOOKUP(A:A,'Regions and Ports'!A:G,5,FALSE)</f>
        <v>Memphis Rule 5</v>
      </c>
      <c r="F113" s="1" t="str">
        <f>VLOOKUP(A:A,'Regions and Ports'!A:F,6,FALSE)</f>
        <v>MR5</v>
      </c>
      <c r="G113" s="1" t="str">
        <f>VLOOKUP(A:A,'Regions and Ports'!A:G,7,FALSE)</f>
        <v>Memphis</v>
      </c>
      <c r="H113" s="87">
        <v>1</v>
      </c>
      <c r="I113" s="69">
        <f>VLOOKUP(A:A,'Seam Tariffs'!A:AB,9,FALSE)</f>
        <v>4</v>
      </c>
      <c r="J113" s="69">
        <f>VLOOKUP(A:A,'Seam Tariffs'!A:AB,11,FALSE)</f>
        <v>6.75</v>
      </c>
      <c r="K113" s="69">
        <f>VLOOKUP(A:A,'Seam Tariffs'!A:AB,12,FALSE)</f>
        <v>8</v>
      </c>
      <c r="L113" s="69">
        <f>VLOOKUP(A:A,'Seam Tariffs'!A:AB,13,FALSE)</f>
        <v>3.05</v>
      </c>
      <c r="M113" s="69">
        <f>VLOOKUP(A:A,'Seam Tariffs'!A:AB,14,FALSE)</f>
        <v>0.5</v>
      </c>
      <c r="N113" s="69">
        <f>VLOOKUP(A:A,'Seam Tariffs'!A:AB,28,FALSE)</f>
        <v>2.25</v>
      </c>
      <c r="O113" s="69">
        <f>COSTS!$W$6</f>
        <v>1.8958333333333335</v>
      </c>
      <c r="P113" s="69">
        <f>VLOOKUP(G113,COSTS!$V$11:$X$14,3,FALSE)</f>
        <v>0</v>
      </c>
      <c r="Q113" s="69">
        <f t="shared" si="7"/>
        <v>26.445833333333333</v>
      </c>
      <c r="R113" s="69">
        <f t="shared" si="8"/>
        <v>4.1458333333333339</v>
      </c>
      <c r="S113" s="87">
        <f>VLOOKUP(A:A,'Flat Bed &amp; Late Fees'!A:J,6,FALSE)</f>
        <v>0</v>
      </c>
      <c r="T113" s="87">
        <f>VLOOKUP(A:A,'Flat Bed &amp; Late Fees'!A:J,7,FALSE)</f>
        <v>0</v>
      </c>
      <c r="U113" s="68">
        <f>VLOOKUP(C113&amp;G113,OTR!E:J,6,FALSE)/88</f>
        <v>22.301136363636363</v>
      </c>
      <c r="V113" s="87"/>
      <c r="W113" s="68">
        <f t="shared" si="9"/>
        <v>22.301136363636363</v>
      </c>
      <c r="X113" s="69">
        <f>VLOOKUP(G113,COSTS!$Z$18:$AC$23,2,FALSE)</f>
        <v>2.5</v>
      </c>
      <c r="Y113" s="87">
        <f>VLOOKUP(G113,COSTS!$Z$18:$AC$23,4,FALSE)</f>
        <v>1.68</v>
      </c>
      <c r="Z113" s="69">
        <f>(COSTS!$W$3*COSTS!$W$4*500)/52*COSTS!$AE$17</f>
        <v>1.3125</v>
      </c>
      <c r="AB113" s="69">
        <f t="shared" si="10"/>
        <v>5.4924999999999997</v>
      </c>
      <c r="AC113" s="69">
        <f>VLOOKUP(G113,COSTS!$Z$11:$AE$14,5,FALSE)</f>
        <v>7.3011363636363633</v>
      </c>
      <c r="AD113" s="69">
        <f>VLOOKUP(G113,COSTS!$Z$4:$AD$7,4,FALSE)</f>
        <v>9.1363636363636367</v>
      </c>
      <c r="AE113" s="69"/>
      <c r="AF113" s="69">
        <f t="shared" si="11"/>
        <v>16.4375</v>
      </c>
      <c r="AG113" s="87">
        <f>((COSTS!$C$5*88)/20)/88</f>
        <v>1.4407150000000002</v>
      </c>
      <c r="AH113" s="69">
        <f>(COSTS!$X$38/88)*20</f>
        <v>0.34865702479338845</v>
      </c>
      <c r="AI113" s="87">
        <f>((COSTS!$E$5*88)/20)/88</f>
        <v>0.62936587135988387</v>
      </c>
      <c r="AJ113" s="87">
        <f>((COSTS!$D$5*88)/20)/88</f>
        <v>0.33676</v>
      </c>
      <c r="AL113" s="387">
        <f t="shared" si="12"/>
        <v>2.7554978961532726</v>
      </c>
      <c r="AM113" s="69">
        <f>(COSTS!$W$3+0.1)*500*0.01</f>
        <v>3.9999999999999996</v>
      </c>
      <c r="AN113" s="387">
        <f>((COSTS!$G$5/20)*88)/88</f>
        <v>1.308904109589041</v>
      </c>
      <c r="AR113" s="69">
        <f t="shared" si="13"/>
        <v>5.3089041095890401</v>
      </c>
      <c r="AT113" s="1">
        <f>VLOOKUP(C113&amp;$AT$1,OTR!E:J,6,FALSE)/88</f>
        <v>25.435454545454544</v>
      </c>
      <c r="AU113" s="1">
        <f>VLOOKUP(C113&amp;$AU$1,OTR!E:J,6,FALSE)/88</f>
        <v>18.46590909090909</v>
      </c>
    </row>
    <row r="114" spans="1:47">
      <c r="A114" s="1">
        <v>120945</v>
      </c>
      <c r="B114" s="1" t="s">
        <v>317</v>
      </c>
      <c r="C114" s="1" t="s">
        <v>318</v>
      </c>
      <c r="D114" s="1" t="s">
        <v>319</v>
      </c>
      <c r="E114" s="1" t="str">
        <f>VLOOKUP(A:A,'Regions and Ports'!A:G,5,FALSE)</f>
        <v>Southwest</v>
      </c>
      <c r="F114" s="1">
        <f>VLOOKUP(A:A,'Regions and Ports'!A:F,6,FALSE)</f>
        <v>0</v>
      </c>
      <c r="G114" s="1" t="str">
        <f>VLOOKUP(A:A,'Regions and Ports'!A:G,7,FALSE)</f>
        <v>Los Angeles</v>
      </c>
      <c r="H114" s="87">
        <v>6</v>
      </c>
      <c r="I114" s="69">
        <f>VLOOKUP(A:A,'Seam Tariffs'!A:AB,9,FALSE)</f>
        <v>0</v>
      </c>
      <c r="J114" s="69">
        <f>VLOOKUP(A:A,'Seam Tariffs'!A:AB,11,FALSE)</f>
        <v>8</v>
      </c>
      <c r="K114" s="69">
        <f>VLOOKUP(A:A,'Seam Tariffs'!A:AB,12,FALSE)</f>
        <v>9</v>
      </c>
      <c r="L114" s="69">
        <f>VLOOKUP(A:A,'Seam Tariffs'!A:AB,13,FALSE)</f>
        <v>0</v>
      </c>
      <c r="M114" s="69">
        <f>VLOOKUP(A:A,'Seam Tariffs'!A:AB,14,FALSE)</f>
        <v>0</v>
      </c>
      <c r="N114" s="69">
        <f>VLOOKUP(A:A,'Seam Tariffs'!A:AB,28,FALSE)</f>
        <v>4.2</v>
      </c>
      <c r="O114" s="69">
        <f>COSTS!$W$6</f>
        <v>1.8958333333333335</v>
      </c>
      <c r="P114" s="69" t="e">
        <f>VLOOKUP(G114,COSTS!$V$11:$X$14,3,FALSE)</f>
        <v>#N/A</v>
      </c>
      <c r="Q114" s="69" t="e">
        <f t="shared" si="7"/>
        <v>#N/A</v>
      </c>
      <c r="R114" s="69" t="e">
        <f t="shared" si="8"/>
        <v>#VALUE!</v>
      </c>
      <c r="S114" s="87">
        <f>VLOOKUP(A:A,'Flat Bed &amp; Late Fees'!A:J,6,FALSE)</f>
        <v>0</v>
      </c>
      <c r="T114" s="87">
        <f>VLOOKUP(A:A,'Flat Bed &amp; Late Fees'!A:J,7,FALSE)</f>
        <v>0</v>
      </c>
      <c r="U114" s="68" t="e">
        <f>VLOOKUP(C114&amp;G114,OTR!E:J,6,FALSE)/88</f>
        <v>#N/A</v>
      </c>
      <c r="V114" s="87"/>
      <c r="W114" s="68" t="e">
        <f t="shared" si="9"/>
        <v>#N/A</v>
      </c>
      <c r="X114" s="69" t="e">
        <f>VLOOKUP(G114,COSTS!$Z$18:$AC$23,2,FALSE)</f>
        <v>#N/A</v>
      </c>
      <c r="Y114" s="87" t="e">
        <f>VLOOKUP(G114,COSTS!$Z$18:$AC$23,4,FALSE)</f>
        <v>#N/A</v>
      </c>
      <c r="Z114" s="69">
        <f>(COSTS!$W$3*COSTS!$W$4*500)/52*COSTS!$AE$17</f>
        <v>1.3125</v>
      </c>
      <c r="AB114" s="69" t="e">
        <f t="shared" si="10"/>
        <v>#N/A</v>
      </c>
      <c r="AC114" s="69" t="e">
        <f>VLOOKUP(G114,COSTS!$Z$11:$AE$14,5,FALSE)</f>
        <v>#N/A</v>
      </c>
      <c r="AD114" s="69" t="e">
        <f>VLOOKUP(G114,COSTS!$Z$4:$AD$7,4,FALSE)</f>
        <v>#N/A</v>
      </c>
      <c r="AE114" s="69"/>
      <c r="AF114" s="69" t="e">
        <f t="shared" si="11"/>
        <v>#N/A</v>
      </c>
      <c r="AG114" s="87">
        <f>((COSTS!$C$5*88)/20)/88</f>
        <v>1.4407150000000002</v>
      </c>
      <c r="AH114" s="69">
        <f>(COSTS!$X$38/88)*20</f>
        <v>0.34865702479338845</v>
      </c>
      <c r="AI114" s="87">
        <f>((COSTS!$E$5*88)/20)/88</f>
        <v>0.62936587135988387</v>
      </c>
      <c r="AJ114" s="87">
        <f>((COSTS!$D$5*88)/20)/88</f>
        <v>0.33676</v>
      </c>
      <c r="AL114" s="387">
        <f t="shared" si="12"/>
        <v>2.7554978961532726</v>
      </c>
      <c r="AM114" s="69">
        <f>(COSTS!$W$3+0.1)*500*0.01</f>
        <v>3.9999999999999996</v>
      </c>
      <c r="AN114" s="387">
        <f>((COSTS!$G$5/20)*88)/88</f>
        <v>1.308904109589041</v>
      </c>
      <c r="AR114" s="69">
        <f t="shared" si="13"/>
        <v>5.3089041095890401</v>
      </c>
      <c r="AT114" s="1" t="e">
        <f>VLOOKUP(C114&amp;$AT$1,OTR!E:J,6,FALSE)/88</f>
        <v>#N/A</v>
      </c>
      <c r="AU114" s="1" t="e">
        <f>VLOOKUP(C114&amp;$AU$1,OTR!E:J,6,FALSE)/88</f>
        <v>#N/A</v>
      </c>
    </row>
    <row r="115" spans="1:47">
      <c r="A115" s="1">
        <v>122530</v>
      </c>
      <c r="B115" s="1" t="s">
        <v>321</v>
      </c>
      <c r="C115" s="1" t="s">
        <v>318</v>
      </c>
      <c r="D115" s="1" t="s">
        <v>319</v>
      </c>
      <c r="E115" s="1" t="str">
        <f>VLOOKUP(A:A,'Regions and Ports'!A:G,5,FALSE)</f>
        <v>Southwest</v>
      </c>
      <c r="F115" s="1">
        <f>VLOOKUP(A:A,'Regions and Ports'!A:F,6,FALSE)</f>
        <v>0</v>
      </c>
      <c r="G115" s="1" t="str">
        <f>VLOOKUP(A:A,'Regions and Ports'!A:G,7,FALSE)</f>
        <v>Los Angeles</v>
      </c>
      <c r="H115" s="87">
        <v>6</v>
      </c>
      <c r="I115" s="69">
        <f>VLOOKUP(A:A,'Seam Tariffs'!A:AB,9,FALSE)</f>
        <v>0</v>
      </c>
      <c r="J115" s="69">
        <f>VLOOKUP(A:A,'Seam Tariffs'!A:AB,11,FALSE)</f>
        <v>8</v>
      </c>
      <c r="K115" s="69">
        <f>VLOOKUP(A:A,'Seam Tariffs'!A:AB,12,FALSE)</f>
        <v>7.25</v>
      </c>
      <c r="L115" s="69">
        <f>VLOOKUP(A:A,'Seam Tariffs'!A:AB,13,FALSE)</f>
        <v>0</v>
      </c>
      <c r="M115" s="69">
        <f>VLOOKUP(A:A,'Seam Tariffs'!A:AB,14,FALSE)</f>
        <v>0.5</v>
      </c>
      <c r="N115" s="69">
        <f>VLOOKUP(A:A,'Seam Tariffs'!A:AB,28,FALSE)</f>
        <v>4.2</v>
      </c>
      <c r="O115" s="69">
        <f>COSTS!$W$6</f>
        <v>1.8958333333333335</v>
      </c>
      <c r="P115" s="69" t="e">
        <f>VLOOKUP(G115,COSTS!$V$11:$X$14,3,FALSE)</f>
        <v>#N/A</v>
      </c>
      <c r="Q115" s="69" t="e">
        <f t="shared" si="7"/>
        <v>#N/A</v>
      </c>
      <c r="R115" s="69" t="e">
        <f t="shared" si="8"/>
        <v>#VALUE!</v>
      </c>
      <c r="S115" s="87">
        <f>VLOOKUP(A:A,'Flat Bed &amp; Late Fees'!A:J,6,FALSE)</f>
        <v>0</v>
      </c>
      <c r="T115" s="87">
        <f>VLOOKUP(A:A,'Flat Bed &amp; Late Fees'!A:J,7,FALSE)</f>
        <v>0</v>
      </c>
      <c r="U115" s="68" t="e">
        <f>VLOOKUP(C115&amp;G115,OTR!E:J,6,FALSE)/88</f>
        <v>#N/A</v>
      </c>
      <c r="V115" s="87"/>
      <c r="W115" s="68" t="e">
        <f t="shared" si="9"/>
        <v>#N/A</v>
      </c>
      <c r="X115" s="69" t="e">
        <f>VLOOKUP(G115,COSTS!$Z$18:$AC$23,2,FALSE)</f>
        <v>#N/A</v>
      </c>
      <c r="Y115" s="87" t="e">
        <f>VLOOKUP(G115,COSTS!$Z$18:$AC$23,4,FALSE)</f>
        <v>#N/A</v>
      </c>
      <c r="Z115" s="69">
        <f>(COSTS!$W$3*COSTS!$W$4*500)/52*COSTS!$AE$17</f>
        <v>1.3125</v>
      </c>
      <c r="AB115" s="69" t="e">
        <f t="shared" si="10"/>
        <v>#N/A</v>
      </c>
      <c r="AC115" s="69" t="e">
        <f>VLOOKUP(G115,COSTS!$Z$11:$AE$14,5,FALSE)</f>
        <v>#N/A</v>
      </c>
      <c r="AD115" s="69" t="e">
        <f>VLOOKUP(G115,COSTS!$Z$4:$AD$7,4,FALSE)</f>
        <v>#N/A</v>
      </c>
      <c r="AE115" s="69"/>
      <c r="AF115" s="69" t="e">
        <f t="shared" si="11"/>
        <v>#N/A</v>
      </c>
      <c r="AG115" s="87">
        <f>((COSTS!$C$5*88)/20)/88</f>
        <v>1.4407150000000002</v>
      </c>
      <c r="AH115" s="69">
        <f>(COSTS!$X$38/88)*20</f>
        <v>0.34865702479338845</v>
      </c>
      <c r="AI115" s="87">
        <f>((COSTS!$E$5*88)/20)/88</f>
        <v>0.62936587135988387</v>
      </c>
      <c r="AJ115" s="87">
        <f>((COSTS!$D$5*88)/20)/88</f>
        <v>0.33676</v>
      </c>
      <c r="AL115" s="387">
        <f t="shared" si="12"/>
        <v>2.7554978961532726</v>
      </c>
      <c r="AM115" s="69">
        <f>(COSTS!$W$3+0.1)*500*0.01</f>
        <v>3.9999999999999996</v>
      </c>
      <c r="AN115" s="387">
        <f>((COSTS!$G$5/20)*88)/88</f>
        <v>1.308904109589041</v>
      </c>
      <c r="AR115" s="69">
        <f t="shared" si="13"/>
        <v>5.3089041095890401</v>
      </c>
      <c r="AT115" s="1" t="e">
        <f>VLOOKUP(C115&amp;$AT$1,OTR!E:J,6,FALSE)/88</f>
        <v>#N/A</v>
      </c>
      <c r="AU115" s="1" t="e">
        <f>VLOOKUP(C115&amp;$AU$1,OTR!E:J,6,FALSE)/88</f>
        <v>#N/A</v>
      </c>
    </row>
    <row r="116" spans="1:47">
      <c r="A116" s="1">
        <v>976503</v>
      </c>
      <c r="B116" s="1" t="s">
        <v>322</v>
      </c>
      <c r="C116" s="1" t="s">
        <v>323</v>
      </c>
      <c r="D116" s="1" t="s">
        <v>324</v>
      </c>
      <c r="E116" s="1" t="str">
        <f>VLOOKUP(A:A,'Regions and Ports'!A:G,5,FALSE)</f>
        <v>Eastern Rule 5</v>
      </c>
      <c r="F116" s="1" t="str">
        <f>VLOOKUP(A:A,'Regions and Ports'!A:F,6,FALSE)</f>
        <v>ER5</v>
      </c>
      <c r="G116" s="1" t="str">
        <f>VLOOKUP(A:A,'Regions and Ports'!A:G,7,FALSE)</f>
        <v>Savannah</v>
      </c>
      <c r="H116" s="87">
        <v>1</v>
      </c>
      <c r="I116" s="69">
        <f>VLOOKUP(A:A,'Seam Tariffs'!A:AB,9,FALSE)</f>
        <v>4.25</v>
      </c>
      <c r="J116" s="69">
        <f>VLOOKUP(A:A,'Seam Tariffs'!A:AB,11,FALSE)</f>
        <v>4.75</v>
      </c>
      <c r="K116" s="69">
        <f>VLOOKUP(A:A,'Seam Tariffs'!A:AB,12,FALSE)</f>
        <v>0</v>
      </c>
      <c r="L116" s="69">
        <f>VLOOKUP(A:A,'Seam Tariffs'!A:AB,13,FALSE)</f>
        <v>0</v>
      </c>
      <c r="M116" s="69">
        <f>VLOOKUP(A:A,'Seam Tariffs'!A:AB,14,FALSE)</f>
        <v>1.5</v>
      </c>
      <c r="N116" s="69">
        <f>VLOOKUP(A:A,'Seam Tariffs'!A:AB,28,FALSE)</f>
        <v>2.5</v>
      </c>
      <c r="O116" s="69">
        <f>COSTS!$W$6</f>
        <v>1.8958333333333335</v>
      </c>
      <c r="P116" s="69">
        <f>VLOOKUP(G116,COSTS!$V$11:$X$14,3,FALSE)</f>
        <v>0</v>
      </c>
      <c r="Q116" s="69">
        <f t="shared" si="7"/>
        <v>14.895833333333334</v>
      </c>
      <c r="R116" s="69">
        <f t="shared" si="8"/>
        <v>4.3958333333333339</v>
      </c>
      <c r="S116" s="87">
        <f>VLOOKUP(A:A,'Flat Bed &amp; Late Fees'!A:J,6,FALSE)</f>
        <v>0</v>
      </c>
      <c r="T116" s="87">
        <f>VLOOKUP(A:A,'Flat Bed &amp; Late Fees'!A:J,7,FALSE)</f>
        <v>0</v>
      </c>
      <c r="U116" s="68">
        <f>VLOOKUP(C116&amp;G116,OTR!E:J,6,FALSE)/88</f>
        <v>13.852982954545455</v>
      </c>
      <c r="V116" s="87"/>
      <c r="W116" s="68">
        <f t="shared" si="9"/>
        <v>13.852982954545455</v>
      </c>
      <c r="X116" s="69">
        <f>VLOOKUP(G116,COSTS!$Z$18:$AC$23,2,FALSE)</f>
        <v>2.6</v>
      </c>
      <c r="Y116" s="87">
        <f>VLOOKUP(G116,COSTS!$Z$18:$AC$23,4,FALSE)</f>
        <v>2.52</v>
      </c>
      <c r="Z116" s="69">
        <f>(COSTS!$W$3*COSTS!$W$4*500)/52*COSTS!$AE$17</f>
        <v>1.3125</v>
      </c>
      <c r="AB116" s="69">
        <f t="shared" si="10"/>
        <v>6.4325000000000001</v>
      </c>
      <c r="AC116" s="69">
        <f>VLOOKUP(G116,COSTS!$Z$11:$AE$14,5,FALSE)</f>
        <v>5.5113636363636367</v>
      </c>
      <c r="AD116" s="69">
        <f>VLOOKUP(G116,COSTS!$Z$4:$AD$7,4,FALSE)</f>
        <v>5.3522727272727275</v>
      </c>
      <c r="AE116" s="69"/>
      <c r="AF116" s="69">
        <f t="shared" si="11"/>
        <v>10.863636363636363</v>
      </c>
      <c r="AG116" s="87">
        <f>((COSTS!$C$5*88)/20)/88</f>
        <v>1.4407150000000002</v>
      </c>
      <c r="AH116" s="69">
        <f>(COSTS!$X$38/88)*20</f>
        <v>0.34865702479338845</v>
      </c>
      <c r="AI116" s="87">
        <f>((COSTS!$E$5*88)/20)/88</f>
        <v>0.62936587135988387</v>
      </c>
      <c r="AJ116" s="87">
        <f>((COSTS!$D$5*88)/20)/88</f>
        <v>0.33676</v>
      </c>
      <c r="AL116" s="387">
        <f t="shared" si="12"/>
        <v>2.7554978961532726</v>
      </c>
      <c r="AM116" s="69">
        <f>(COSTS!$W$3+0.1)*500*0.01</f>
        <v>3.9999999999999996</v>
      </c>
      <c r="AN116" s="387">
        <f>((COSTS!$G$5/20)*88)/88</f>
        <v>1.308904109589041</v>
      </c>
      <c r="AR116" s="69">
        <f t="shared" si="13"/>
        <v>5.3089041095890401</v>
      </c>
      <c r="AT116" s="1" t="e">
        <f>VLOOKUP(C116&amp;$AT$1,OTR!E:J,6,FALSE)/88</f>
        <v>#N/A</v>
      </c>
      <c r="AU116" s="1">
        <f>VLOOKUP(C116&amp;$AU$1,OTR!E:J,6,FALSE)/88</f>
        <v>12.329545454545455</v>
      </c>
    </row>
    <row r="117" spans="1:47">
      <c r="A117" s="1">
        <v>976505</v>
      </c>
      <c r="B117" s="1" t="s">
        <v>326</v>
      </c>
      <c r="C117" s="1" t="s">
        <v>323</v>
      </c>
      <c r="D117" s="1" t="s">
        <v>324</v>
      </c>
      <c r="E117" s="1" t="str">
        <f>VLOOKUP(A:A,'Regions and Ports'!A:G,5,FALSE)</f>
        <v>Eastern Rule 5</v>
      </c>
      <c r="F117" s="1" t="str">
        <f>VLOOKUP(A:A,'Regions and Ports'!A:F,6,FALSE)</f>
        <v>ER5</v>
      </c>
      <c r="G117" s="1" t="str">
        <f>VLOOKUP(A:A,'Regions and Ports'!A:G,7,FALSE)</f>
        <v>Savannah</v>
      </c>
      <c r="H117" s="87">
        <v>1</v>
      </c>
      <c r="I117" s="69">
        <f>VLOOKUP(A:A,'Seam Tariffs'!A:AB,9,FALSE)</f>
        <v>3.5</v>
      </c>
      <c r="J117" s="69">
        <f>VLOOKUP(A:A,'Seam Tariffs'!A:AB,11,FALSE)</f>
        <v>5</v>
      </c>
      <c r="K117" s="69">
        <f>VLOOKUP(A:A,'Seam Tariffs'!A:AB,12,FALSE)</f>
        <v>0</v>
      </c>
      <c r="L117" s="69">
        <f>VLOOKUP(A:A,'Seam Tariffs'!A:AB,13,FALSE)</f>
        <v>0</v>
      </c>
      <c r="M117" s="69">
        <f>VLOOKUP(A:A,'Seam Tariffs'!A:AB,14,FALSE)</f>
        <v>1</v>
      </c>
      <c r="N117" s="69">
        <f>VLOOKUP(A:A,'Seam Tariffs'!A:AB,28,FALSE)</f>
        <v>2.5</v>
      </c>
      <c r="O117" s="69">
        <f>COSTS!$W$6</f>
        <v>1.8958333333333335</v>
      </c>
      <c r="P117" s="69">
        <f>VLOOKUP(G117,COSTS!$V$11:$X$14,3,FALSE)</f>
        <v>0</v>
      </c>
      <c r="Q117" s="69">
        <f t="shared" si="7"/>
        <v>13.895833333333334</v>
      </c>
      <c r="R117" s="69">
        <f t="shared" si="8"/>
        <v>4.3958333333333339</v>
      </c>
      <c r="S117" s="87">
        <f>VLOOKUP(A:A,'Flat Bed &amp; Late Fees'!A:J,6,FALSE)</f>
        <v>0</v>
      </c>
      <c r="T117" s="87">
        <f>VLOOKUP(A:A,'Flat Bed &amp; Late Fees'!A:J,7,FALSE)</f>
        <v>0</v>
      </c>
      <c r="U117" s="68">
        <f>VLOOKUP(C117&amp;G117,OTR!E:J,6,FALSE)/88</f>
        <v>13.852982954545455</v>
      </c>
      <c r="V117" s="87"/>
      <c r="W117" s="68">
        <f t="shared" si="9"/>
        <v>13.852982954545455</v>
      </c>
      <c r="X117" s="69">
        <f>VLOOKUP(G117,COSTS!$Z$18:$AC$23,2,FALSE)</f>
        <v>2.6</v>
      </c>
      <c r="Y117" s="87">
        <f>VLOOKUP(G117,COSTS!$Z$18:$AC$23,4,FALSE)</f>
        <v>2.52</v>
      </c>
      <c r="Z117" s="69">
        <f>(COSTS!$W$3*COSTS!$W$4*500)/52*COSTS!$AE$17</f>
        <v>1.3125</v>
      </c>
      <c r="AB117" s="69">
        <f t="shared" si="10"/>
        <v>6.4325000000000001</v>
      </c>
      <c r="AC117" s="69">
        <f>VLOOKUP(G117,COSTS!$Z$11:$AE$14,5,FALSE)</f>
        <v>5.5113636363636367</v>
      </c>
      <c r="AD117" s="69">
        <f>VLOOKUP(G117,COSTS!$Z$4:$AD$7,4,FALSE)</f>
        <v>5.3522727272727275</v>
      </c>
      <c r="AE117" s="69"/>
      <c r="AF117" s="69">
        <f t="shared" si="11"/>
        <v>10.863636363636363</v>
      </c>
      <c r="AG117" s="87">
        <f>((COSTS!$C$5*88)/20)/88</f>
        <v>1.4407150000000002</v>
      </c>
      <c r="AH117" s="69">
        <f>(COSTS!$X$38/88)*20</f>
        <v>0.34865702479338845</v>
      </c>
      <c r="AI117" s="87">
        <f>((COSTS!$E$5*88)/20)/88</f>
        <v>0.62936587135988387</v>
      </c>
      <c r="AJ117" s="87">
        <f>((COSTS!$D$5*88)/20)/88</f>
        <v>0.33676</v>
      </c>
      <c r="AL117" s="387">
        <f t="shared" si="12"/>
        <v>2.7554978961532726</v>
      </c>
      <c r="AM117" s="69">
        <f>(COSTS!$W$3+0.1)*500*0.01</f>
        <v>3.9999999999999996</v>
      </c>
      <c r="AN117" s="387">
        <f>((COSTS!$G$5/20)*88)/88</f>
        <v>1.308904109589041</v>
      </c>
      <c r="AR117" s="69">
        <f t="shared" si="13"/>
        <v>5.3089041095890401</v>
      </c>
      <c r="AT117" s="1" t="e">
        <f>VLOOKUP(C117&amp;$AT$1,OTR!E:J,6,FALSE)/88</f>
        <v>#N/A</v>
      </c>
      <c r="AU117" s="1">
        <f>VLOOKUP(C117&amp;$AU$1,OTR!E:J,6,FALSE)/88</f>
        <v>12.329545454545455</v>
      </c>
    </row>
    <row r="118" spans="1:47">
      <c r="A118" s="1">
        <v>568010</v>
      </c>
      <c r="B118" s="1" t="s">
        <v>328</v>
      </c>
      <c r="C118" s="1" t="s">
        <v>329</v>
      </c>
      <c r="D118" s="1" t="s">
        <v>136</v>
      </c>
      <c r="E118" s="1" t="str">
        <f>VLOOKUP(A:A,'Regions and Ports'!A:G,5,FALSE)</f>
        <v>Eastern Rule 5</v>
      </c>
      <c r="F118" s="1" t="str">
        <f>VLOOKUP(A:A,'Regions and Ports'!A:F,6,FALSE)</f>
        <v>ER5</v>
      </c>
      <c r="G118" s="1" t="str">
        <f>VLOOKUP(A:A,'Regions and Ports'!A:G,7,FALSE)</f>
        <v>Savannah</v>
      </c>
      <c r="H118" s="87">
        <v>1</v>
      </c>
      <c r="I118" s="69">
        <f>VLOOKUP(A:A,'Seam Tariffs'!A:AB,9,FALSE)</f>
        <v>3.5</v>
      </c>
      <c r="J118" s="69">
        <f>VLOOKUP(A:A,'Seam Tariffs'!A:AB,11,FALSE)</f>
        <v>5</v>
      </c>
      <c r="K118" s="69">
        <f>VLOOKUP(A:A,'Seam Tariffs'!A:AB,12,FALSE)</f>
        <v>0</v>
      </c>
      <c r="L118" s="69">
        <f>VLOOKUP(A:A,'Seam Tariffs'!A:AB,13,FALSE)</f>
        <v>0</v>
      </c>
      <c r="M118" s="69">
        <f>VLOOKUP(A:A,'Seam Tariffs'!A:AB,14,FALSE)</f>
        <v>0</v>
      </c>
      <c r="N118" s="69">
        <f>VLOOKUP(A:A,'Seam Tariffs'!A:AB,28,FALSE)</f>
        <v>1.7</v>
      </c>
      <c r="O118" s="69">
        <f>COSTS!$W$6</f>
        <v>1.8958333333333335</v>
      </c>
      <c r="P118" s="69">
        <f>VLOOKUP(G118,COSTS!$V$11:$X$14,3,FALSE)</f>
        <v>0</v>
      </c>
      <c r="Q118" s="69">
        <f t="shared" si="7"/>
        <v>12.095833333333333</v>
      </c>
      <c r="R118" s="69">
        <f t="shared" si="8"/>
        <v>3.5958333333333332</v>
      </c>
      <c r="S118" s="87">
        <f>VLOOKUP(A:A,'Flat Bed &amp; Late Fees'!A:J,6,FALSE)</f>
        <v>0</v>
      </c>
      <c r="T118" s="87">
        <f>VLOOKUP(A:A,'Flat Bed &amp; Late Fees'!A:J,7,FALSE)</f>
        <v>0</v>
      </c>
      <c r="U118" s="68">
        <f>VLOOKUP(C118&amp;G118,OTR!E:J,6,FALSE)/88</f>
        <v>13.426846590909092</v>
      </c>
      <c r="V118" s="87"/>
      <c r="W118" s="68">
        <f t="shared" si="9"/>
        <v>13.426846590909092</v>
      </c>
      <c r="X118" s="69">
        <f>VLOOKUP(G118,COSTS!$Z$18:$AC$23,2,FALSE)</f>
        <v>2.6</v>
      </c>
      <c r="Y118" s="87">
        <f>VLOOKUP(G118,COSTS!$Z$18:$AC$23,4,FALSE)</f>
        <v>2.52</v>
      </c>
      <c r="Z118" s="69">
        <f>(COSTS!$W$3*COSTS!$W$4*500)/52*COSTS!$AE$17</f>
        <v>1.3125</v>
      </c>
      <c r="AB118" s="69">
        <f t="shared" si="10"/>
        <v>6.4325000000000001</v>
      </c>
      <c r="AC118" s="69">
        <f>VLOOKUP(G118,COSTS!$Z$11:$AE$14,5,FALSE)</f>
        <v>5.5113636363636367</v>
      </c>
      <c r="AD118" s="69">
        <f>VLOOKUP(G118,COSTS!$Z$4:$AD$7,4,FALSE)</f>
        <v>5.3522727272727275</v>
      </c>
      <c r="AE118" s="69"/>
      <c r="AF118" s="69">
        <f t="shared" si="11"/>
        <v>10.863636363636363</v>
      </c>
      <c r="AG118" s="87">
        <f>((COSTS!$C$5*88)/20)/88</f>
        <v>1.4407150000000002</v>
      </c>
      <c r="AH118" s="69">
        <f>(COSTS!$X$38/88)*20</f>
        <v>0.34865702479338845</v>
      </c>
      <c r="AI118" s="87">
        <f>((COSTS!$E$5*88)/20)/88</f>
        <v>0.62936587135988387</v>
      </c>
      <c r="AJ118" s="87">
        <f>((COSTS!$D$5*88)/20)/88</f>
        <v>0.33676</v>
      </c>
      <c r="AL118" s="387">
        <f t="shared" si="12"/>
        <v>2.7554978961532726</v>
      </c>
      <c r="AM118" s="69">
        <f>(COSTS!$W$3+0.1)*500*0.01</f>
        <v>3.9999999999999996</v>
      </c>
      <c r="AN118" s="387">
        <f>((COSTS!$G$5/20)*88)/88</f>
        <v>1.308904109589041</v>
      </c>
      <c r="AR118" s="69">
        <f t="shared" si="13"/>
        <v>5.3089041095890401</v>
      </c>
      <c r="AT118" s="1" t="e">
        <f>VLOOKUP(C118&amp;$AT$1,OTR!E:J,6,FALSE)/88</f>
        <v>#N/A</v>
      </c>
      <c r="AU118" s="1">
        <f>VLOOKUP(C118&amp;$AU$1,OTR!E:J,6,FALSE)/88</f>
        <v>12.3125</v>
      </c>
    </row>
    <row r="119" spans="1:47">
      <c r="A119" s="1">
        <v>306310</v>
      </c>
      <c r="B119" s="1" t="s">
        <v>331</v>
      </c>
      <c r="C119" s="1" t="s">
        <v>332</v>
      </c>
      <c r="D119" s="1" t="s">
        <v>76</v>
      </c>
      <c r="E119" s="1" t="str">
        <f>VLOOKUP(A:A,'Regions and Ports'!A:G,5,FALSE)</f>
        <v>GA 30 Day</v>
      </c>
      <c r="F119" s="1" t="str">
        <f>VLOOKUP(A:A,'Regions and Ports'!A:F,6,FALSE)</f>
        <v>ER5</v>
      </c>
      <c r="G119" s="1" t="str">
        <f>VLOOKUP(A:A,'Regions and Ports'!A:G,7,FALSE)</f>
        <v>Savannah</v>
      </c>
      <c r="H119" s="87">
        <v>4</v>
      </c>
      <c r="I119" s="69">
        <f>VLOOKUP(A:A,'Seam Tariffs'!A:AB,9,FALSE)</f>
        <v>0</v>
      </c>
      <c r="J119" s="69">
        <f>VLOOKUP(A:A,'Seam Tariffs'!A:AB,11,FALSE)</f>
        <v>0</v>
      </c>
      <c r="K119" s="69">
        <f>VLOOKUP(A:A,'Seam Tariffs'!A:AB,12,FALSE)</f>
        <v>0</v>
      </c>
      <c r="L119" s="69">
        <f>VLOOKUP(A:A,'Seam Tariffs'!A:AB,13,FALSE)</f>
        <v>0</v>
      </c>
      <c r="M119" s="69">
        <f>VLOOKUP(A:A,'Seam Tariffs'!A:AB,14,FALSE)</f>
        <v>0.75</v>
      </c>
      <c r="N119" s="69">
        <f>VLOOKUP(A:A,'Seam Tariffs'!A:AB,28,FALSE)</f>
        <v>2.75</v>
      </c>
      <c r="O119" s="69">
        <f>COSTS!$W$6</f>
        <v>1.8958333333333335</v>
      </c>
      <c r="P119" s="69">
        <f>VLOOKUP(G119,COSTS!$V$11:$X$14,3,FALSE)</f>
        <v>0</v>
      </c>
      <c r="Q119" s="69">
        <f t="shared" si="7"/>
        <v>5.3958333333333339</v>
      </c>
      <c r="R119" s="69">
        <f t="shared" si="8"/>
        <v>1.8958333333333335</v>
      </c>
      <c r="S119" s="87">
        <f>VLOOKUP(A:A,'Flat Bed &amp; Late Fees'!A:J,6,FALSE)</f>
        <v>0</v>
      </c>
      <c r="T119" s="87">
        <f>VLOOKUP(A:A,'Flat Bed &amp; Late Fees'!A:J,7,FALSE)</f>
        <v>0</v>
      </c>
      <c r="U119" s="68">
        <f>VLOOKUP(C119&amp;G119,OTR!E:J,6,FALSE)/88</f>
        <v>10.417272727272728</v>
      </c>
      <c r="V119" s="87"/>
      <c r="W119" s="68">
        <f t="shared" si="9"/>
        <v>10.417272727272728</v>
      </c>
      <c r="X119" s="69">
        <f>VLOOKUP(G119,COSTS!$Z$18:$AC$23,2,FALSE)</f>
        <v>2.6</v>
      </c>
      <c r="Y119" s="87">
        <f>VLOOKUP(G119,COSTS!$Z$18:$AC$23,4,FALSE)</f>
        <v>2.52</v>
      </c>
      <c r="Z119" s="69">
        <f>(COSTS!$W$3*COSTS!$W$4*500)/52*COSTS!$AE$17</f>
        <v>1.3125</v>
      </c>
      <c r="AB119" s="69">
        <f t="shared" si="10"/>
        <v>6.4325000000000001</v>
      </c>
      <c r="AC119" s="69">
        <f>VLOOKUP(G119,COSTS!$Z$11:$AE$14,5,FALSE)</f>
        <v>5.5113636363636367</v>
      </c>
      <c r="AD119" s="69">
        <f>VLOOKUP(G119,COSTS!$Z$4:$AD$7,4,FALSE)</f>
        <v>5.3522727272727275</v>
      </c>
      <c r="AE119" s="69"/>
      <c r="AF119" s="69">
        <f t="shared" si="11"/>
        <v>10.863636363636363</v>
      </c>
      <c r="AG119" s="87">
        <f>((COSTS!$C$5*88)/20)/88</f>
        <v>1.4407150000000002</v>
      </c>
      <c r="AH119" s="69">
        <f>(COSTS!$X$38/88)*20</f>
        <v>0.34865702479338845</v>
      </c>
      <c r="AI119" s="87">
        <f>((COSTS!$E$5*88)/20)/88</f>
        <v>0.62936587135988387</v>
      </c>
      <c r="AJ119" s="87">
        <f>((COSTS!$D$5*88)/20)/88</f>
        <v>0.33676</v>
      </c>
      <c r="AL119" s="387">
        <f t="shared" si="12"/>
        <v>2.7554978961532726</v>
      </c>
      <c r="AM119" s="69">
        <f>(COSTS!$W$3+0.1)*500*0.01</f>
        <v>3.9999999999999996</v>
      </c>
      <c r="AN119" s="387">
        <f>((COSTS!$G$5/20)*88)/88</f>
        <v>1.308904109589041</v>
      </c>
      <c r="AR119" s="69">
        <f t="shared" si="13"/>
        <v>5.3089041095890401</v>
      </c>
      <c r="AT119" s="1">
        <f>VLOOKUP(C119&amp;$AT$1,OTR!E:J,6,FALSE)/88</f>
        <v>24.329886363636362</v>
      </c>
      <c r="AU119" s="1">
        <f>VLOOKUP(C119&amp;$AU$1,OTR!E:J,6,FALSE)/88</f>
        <v>15.738636363636363</v>
      </c>
    </row>
    <row r="120" spans="1:47">
      <c r="A120" s="1">
        <v>306316</v>
      </c>
      <c r="B120" s="1" t="s">
        <v>334</v>
      </c>
      <c r="C120" s="1" t="s">
        <v>332</v>
      </c>
      <c r="D120" s="1" t="s">
        <v>76</v>
      </c>
      <c r="E120" s="1" t="str">
        <f>VLOOKUP(A:A,'Regions and Ports'!A:G,5,FALSE)</f>
        <v>GA 30 Day</v>
      </c>
      <c r="F120" s="1" t="str">
        <f>VLOOKUP(A:A,'Regions and Ports'!A:F,6,FALSE)</f>
        <v>ER5</v>
      </c>
      <c r="G120" s="1" t="str">
        <f>VLOOKUP(A:A,'Regions and Ports'!A:G,7,FALSE)</f>
        <v>Savannah</v>
      </c>
      <c r="H120" s="87">
        <v>4</v>
      </c>
      <c r="I120" s="69">
        <f>VLOOKUP(A:A,'Seam Tariffs'!A:AB,9,FALSE)</f>
        <v>3</v>
      </c>
      <c r="J120" s="69">
        <f>VLOOKUP(A:A,'Seam Tariffs'!A:AB,11,FALSE)</f>
        <v>5</v>
      </c>
      <c r="K120" s="69">
        <f>VLOOKUP(A:A,'Seam Tariffs'!A:AB,12,FALSE)</f>
        <v>0</v>
      </c>
      <c r="L120" s="69">
        <f>VLOOKUP(A:A,'Seam Tariffs'!A:AB,13,FALSE)</f>
        <v>0</v>
      </c>
      <c r="M120" s="69">
        <f>VLOOKUP(A:A,'Seam Tariffs'!A:AB,14,FALSE)</f>
        <v>0</v>
      </c>
      <c r="N120" s="69">
        <f>VLOOKUP(A:A,'Seam Tariffs'!A:AB,28,FALSE)</f>
        <v>3</v>
      </c>
      <c r="O120" s="69">
        <f>COSTS!$W$6</f>
        <v>1.8958333333333335</v>
      </c>
      <c r="P120" s="69">
        <f>VLOOKUP(G120,COSTS!$V$11:$X$14,3,FALSE)</f>
        <v>0</v>
      </c>
      <c r="Q120" s="69">
        <f t="shared" si="7"/>
        <v>12.895833333333334</v>
      </c>
      <c r="R120" s="69">
        <f t="shared" si="8"/>
        <v>1.8958333333333335</v>
      </c>
      <c r="S120" s="87">
        <f>VLOOKUP(A:A,'Flat Bed &amp; Late Fees'!A:J,6,FALSE)</f>
        <v>0</v>
      </c>
      <c r="T120" s="87">
        <f>VLOOKUP(A:A,'Flat Bed &amp; Late Fees'!A:J,7,FALSE)</f>
        <v>0</v>
      </c>
      <c r="U120" s="68">
        <f>VLOOKUP(C120&amp;G120,OTR!E:J,6,FALSE)/88</f>
        <v>10.417272727272728</v>
      </c>
      <c r="V120" s="87"/>
      <c r="W120" s="68">
        <f t="shared" si="9"/>
        <v>10.417272727272728</v>
      </c>
      <c r="X120" s="69">
        <f>VLOOKUP(G120,COSTS!$Z$18:$AC$23,2,FALSE)</f>
        <v>2.6</v>
      </c>
      <c r="Y120" s="87">
        <f>VLOOKUP(G120,COSTS!$Z$18:$AC$23,4,FALSE)</f>
        <v>2.52</v>
      </c>
      <c r="Z120" s="69">
        <f>(COSTS!$W$3*COSTS!$W$4*500)/52*COSTS!$AE$17</f>
        <v>1.3125</v>
      </c>
      <c r="AB120" s="69">
        <f t="shared" si="10"/>
        <v>6.4325000000000001</v>
      </c>
      <c r="AC120" s="69">
        <f>VLOOKUP(G120,COSTS!$Z$11:$AE$14,5,FALSE)</f>
        <v>5.5113636363636367</v>
      </c>
      <c r="AD120" s="69">
        <f>VLOOKUP(G120,COSTS!$Z$4:$AD$7,4,FALSE)</f>
        <v>5.3522727272727275</v>
      </c>
      <c r="AE120" s="69"/>
      <c r="AF120" s="69">
        <f t="shared" si="11"/>
        <v>10.863636363636363</v>
      </c>
      <c r="AG120" s="87">
        <f>((COSTS!$C$5*88)/20)/88</f>
        <v>1.4407150000000002</v>
      </c>
      <c r="AH120" s="69">
        <f>(COSTS!$X$38/88)*20</f>
        <v>0.34865702479338845</v>
      </c>
      <c r="AI120" s="87">
        <f>((COSTS!$E$5*88)/20)/88</f>
        <v>0.62936587135988387</v>
      </c>
      <c r="AJ120" s="87">
        <f>((COSTS!$D$5*88)/20)/88</f>
        <v>0.33676</v>
      </c>
      <c r="AL120" s="387">
        <f t="shared" si="12"/>
        <v>2.7554978961532726</v>
      </c>
      <c r="AM120" s="69">
        <f>(COSTS!$W$3+0.1)*500*0.01</f>
        <v>3.9999999999999996</v>
      </c>
      <c r="AN120" s="387">
        <f>((COSTS!$G$5/20)*88)/88</f>
        <v>1.308904109589041</v>
      </c>
      <c r="AR120" s="69">
        <f t="shared" si="13"/>
        <v>5.3089041095890401</v>
      </c>
      <c r="AT120" s="1">
        <f>VLOOKUP(C120&amp;$AT$1,OTR!E:J,6,FALSE)/88</f>
        <v>24.329886363636362</v>
      </c>
      <c r="AU120" s="1">
        <f>VLOOKUP(C120&amp;$AU$1,OTR!E:J,6,FALSE)/88</f>
        <v>15.738636363636363</v>
      </c>
    </row>
    <row r="121" spans="1:47">
      <c r="A121" s="1">
        <v>36016</v>
      </c>
      <c r="B121" s="1" t="s">
        <v>336</v>
      </c>
      <c r="C121" s="1" t="s">
        <v>337</v>
      </c>
      <c r="D121" s="1" t="s">
        <v>65</v>
      </c>
      <c r="E121" s="1" t="str">
        <f>VLOOKUP(A:A,'Regions and Ports'!A:G,5,FALSE)</f>
        <v>Eastern Rule 5</v>
      </c>
      <c r="F121" s="1" t="str">
        <f>VLOOKUP(A:A,'Regions and Ports'!A:F,6,FALSE)</f>
        <v>ER5</v>
      </c>
      <c r="G121" s="1" t="str">
        <f>VLOOKUP(A:A,'Regions and Ports'!A:G,7,FALSE)</f>
        <v>Savannah</v>
      </c>
      <c r="H121" s="87">
        <v>1</v>
      </c>
      <c r="I121" s="69">
        <f>VLOOKUP(A:A,'Seam Tariffs'!A:AB,9,FALSE)</f>
        <v>0</v>
      </c>
      <c r="J121" s="69">
        <f>VLOOKUP(A:A,'Seam Tariffs'!A:AB,11,FALSE)</f>
        <v>0</v>
      </c>
      <c r="K121" s="69">
        <f>VLOOKUP(A:A,'Seam Tariffs'!A:AB,12,FALSE)</f>
        <v>0</v>
      </c>
      <c r="L121" s="69">
        <f>VLOOKUP(A:A,'Seam Tariffs'!A:AB,13,FALSE)</f>
        <v>0</v>
      </c>
      <c r="M121" s="69">
        <f>VLOOKUP(A:A,'Seam Tariffs'!A:AB,14,FALSE)</f>
        <v>0.5</v>
      </c>
      <c r="N121" s="69">
        <f>VLOOKUP(A:A,'Seam Tariffs'!A:AB,28,FALSE)</f>
        <v>2.5</v>
      </c>
      <c r="O121" s="69">
        <f>COSTS!$W$6</f>
        <v>1.8958333333333335</v>
      </c>
      <c r="P121" s="69">
        <f>VLOOKUP(G121,COSTS!$V$11:$X$14,3,FALSE)</f>
        <v>0</v>
      </c>
      <c r="Q121" s="69">
        <f t="shared" si="7"/>
        <v>4.8958333333333339</v>
      </c>
      <c r="R121" s="69">
        <f t="shared" si="8"/>
        <v>4.3958333333333339</v>
      </c>
      <c r="S121" s="87">
        <f>VLOOKUP(A:A,'Flat Bed &amp; Late Fees'!A:J,6,FALSE)</f>
        <v>0</v>
      </c>
      <c r="T121" s="87">
        <f>VLOOKUP(A:A,'Flat Bed &amp; Late Fees'!A:J,7,FALSE)</f>
        <v>0</v>
      </c>
      <c r="U121" s="68">
        <f>VLOOKUP(C121&amp;G121,OTR!E:J,6,FALSE)/88</f>
        <v>14.524147727272727</v>
      </c>
      <c r="V121" s="87"/>
      <c r="W121" s="68">
        <f t="shared" si="9"/>
        <v>14.524147727272727</v>
      </c>
      <c r="X121" s="69">
        <f>VLOOKUP(G121,COSTS!$Z$18:$AC$23,2,FALSE)</f>
        <v>2.6</v>
      </c>
      <c r="Y121" s="87">
        <f>VLOOKUP(G121,COSTS!$Z$18:$AC$23,4,FALSE)</f>
        <v>2.52</v>
      </c>
      <c r="Z121" s="69">
        <f>(COSTS!$W$3*COSTS!$W$4*500)/52*COSTS!$AE$17</f>
        <v>1.3125</v>
      </c>
      <c r="AB121" s="69">
        <f t="shared" si="10"/>
        <v>6.4325000000000001</v>
      </c>
      <c r="AC121" s="69">
        <f>VLOOKUP(G121,COSTS!$Z$11:$AE$14,5,FALSE)</f>
        <v>5.5113636363636367</v>
      </c>
      <c r="AD121" s="69">
        <f>VLOOKUP(G121,COSTS!$Z$4:$AD$7,4,FALSE)</f>
        <v>5.3522727272727275</v>
      </c>
      <c r="AE121" s="69"/>
      <c r="AF121" s="69">
        <f t="shared" si="11"/>
        <v>10.863636363636363</v>
      </c>
      <c r="AG121" s="87">
        <f>((COSTS!$C$5*88)/20)/88</f>
        <v>1.4407150000000002</v>
      </c>
      <c r="AH121" s="69">
        <f>(COSTS!$X$38/88)*20</f>
        <v>0.34865702479338845</v>
      </c>
      <c r="AI121" s="87">
        <f>((COSTS!$E$5*88)/20)/88</f>
        <v>0.62936587135988387</v>
      </c>
      <c r="AJ121" s="87">
        <f>((COSTS!$D$5*88)/20)/88</f>
        <v>0.33676</v>
      </c>
      <c r="AL121" s="387">
        <f t="shared" si="12"/>
        <v>2.7554978961532726</v>
      </c>
      <c r="AM121" s="69">
        <f>(COSTS!$W$3+0.1)*500*0.01</f>
        <v>3.9999999999999996</v>
      </c>
      <c r="AN121" s="387">
        <f>((COSTS!$G$5/20)*88)/88</f>
        <v>1.308904109589041</v>
      </c>
      <c r="AR121" s="69">
        <f t="shared" si="13"/>
        <v>5.3089041095890401</v>
      </c>
      <c r="AT121" s="1" t="e">
        <f>VLOOKUP(C121&amp;$AT$1,OTR!E:J,6,FALSE)/88</f>
        <v>#N/A</v>
      </c>
      <c r="AU121" s="1">
        <f>VLOOKUP(C121&amp;$AU$1,OTR!E:J,6,FALSE)/88</f>
        <v>17.954545454545453</v>
      </c>
    </row>
    <row r="122" spans="1:47">
      <c r="A122" s="1">
        <v>568017</v>
      </c>
      <c r="B122" s="1" t="s">
        <v>338</v>
      </c>
      <c r="C122" s="1" t="s">
        <v>339</v>
      </c>
      <c r="D122" s="1" t="s">
        <v>136</v>
      </c>
      <c r="E122" s="1" t="str">
        <f>VLOOKUP(A:A,'Regions and Ports'!A:G,5,FALSE)</f>
        <v>Eastern Rule 5</v>
      </c>
      <c r="F122" s="1" t="str">
        <f>VLOOKUP(A:A,'Regions and Ports'!A:F,6,FALSE)</f>
        <v>ER5</v>
      </c>
      <c r="G122" s="1" t="str">
        <f>VLOOKUP(A:A,'Regions and Ports'!A:G,7,FALSE)</f>
        <v>Savannah</v>
      </c>
      <c r="H122" s="87">
        <v>1</v>
      </c>
      <c r="I122" s="69">
        <f>VLOOKUP(A:A,'Seam Tariffs'!A:AB,9,FALSE)</f>
        <v>4</v>
      </c>
      <c r="J122" s="69">
        <f>VLOOKUP(A:A,'Seam Tariffs'!A:AB,11,FALSE)</f>
        <v>4.8499999999999996</v>
      </c>
      <c r="K122" s="69">
        <f>VLOOKUP(A:A,'Seam Tariffs'!A:AB,12,FALSE)</f>
        <v>0</v>
      </c>
      <c r="L122" s="69">
        <f>VLOOKUP(A:A,'Seam Tariffs'!A:AB,13,FALSE)</f>
        <v>0</v>
      </c>
      <c r="M122" s="69">
        <f>VLOOKUP(A:A,'Seam Tariffs'!A:AB,14,FALSE)</f>
        <v>0</v>
      </c>
      <c r="N122" s="69">
        <f>VLOOKUP(A:A,'Seam Tariffs'!A:AB,28,FALSE)</f>
        <v>3</v>
      </c>
      <c r="O122" s="69">
        <f>COSTS!$W$6</f>
        <v>1.8958333333333335</v>
      </c>
      <c r="P122" s="69">
        <f>VLOOKUP(G122,COSTS!$V$11:$X$14,3,FALSE)</f>
        <v>0</v>
      </c>
      <c r="Q122" s="69">
        <f t="shared" si="7"/>
        <v>13.745833333333334</v>
      </c>
      <c r="R122" s="69">
        <f t="shared" si="8"/>
        <v>4.8958333333333339</v>
      </c>
      <c r="S122" s="87">
        <f>VLOOKUP(A:A,'Flat Bed &amp; Late Fees'!A:J,6,FALSE)</f>
        <v>0</v>
      </c>
      <c r="T122" s="87">
        <f>VLOOKUP(A:A,'Flat Bed &amp; Late Fees'!A:J,7,FALSE)</f>
        <v>0</v>
      </c>
      <c r="U122" s="68">
        <f>VLOOKUP(C122&amp;G122,OTR!E:J,6,FALSE)/88</f>
        <v>11.686931818181817</v>
      </c>
      <c r="V122" s="87"/>
      <c r="W122" s="68">
        <f t="shared" si="9"/>
        <v>11.686931818181817</v>
      </c>
      <c r="X122" s="69">
        <f>VLOOKUP(G122,COSTS!$Z$18:$AC$23,2,FALSE)</f>
        <v>2.6</v>
      </c>
      <c r="Y122" s="87">
        <f>VLOOKUP(G122,COSTS!$Z$18:$AC$23,4,FALSE)</f>
        <v>2.52</v>
      </c>
      <c r="Z122" s="69">
        <f>(COSTS!$W$3*COSTS!$W$4*500)/52*COSTS!$AE$17</f>
        <v>1.3125</v>
      </c>
      <c r="AB122" s="69">
        <f t="shared" si="10"/>
        <v>6.4325000000000001</v>
      </c>
      <c r="AC122" s="69">
        <f>VLOOKUP(G122,COSTS!$Z$11:$AE$14,5,FALSE)</f>
        <v>5.5113636363636367</v>
      </c>
      <c r="AD122" s="69">
        <f>VLOOKUP(G122,COSTS!$Z$4:$AD$7,4,FALSE)</f>
        <v>5.3522727272727275</v>
      </c>
      <c r="AE122" s="69"/>
      <c r="AF122" s="69">
        <f t="shared" si="11"/>
        <v>10.863636363636363</v>
      </c>
      <c r="AG122" s="87">
        <f>((COSTS!$C$5*88)/20)/88</f>
        <v>1.4407150000000002</v>
      </c>
      <c r="AH122" s="69">
        <f>(COSTS!$X$38/88)*20</f>
        <v>0.34865702479338845</v>
      </c>
      <c r="AI122" s="87">
        <f>((COSTS!$E$5*88)/20)/88</f>
        <v>0.62936587135988387</v>
      </c>
      <c r="AJ122" s="87">
        <f>((COSTS!$D$5*88)/20)/88</f>
        <v>0.33676</v>
      </c>
      <c r="AL122" s="387">
        <f t="shared" si="12"/>
        <v>2.7554978961532726</v>
      </c>
      <c r="AM122" s="69">
        <f>(COSTS!$W$3+0.1)*500*0.01</f>
        <v>3.9999999999999996</v>
      </c>
      <c r="AN122" s="387">
        <f>((COSTS!$G$5/20)*88)/88</f>
        <v>1.308904109589041</v>
      </c>
      <c r="AR122" s="69">
        <f t="shared" si="13"/>
        <v>5.3089041095890401</v>
      </c>
      <c r="AT122" s="1" t="e">
        <f>VLOOKUP(C122&amp;$AT$1,OTR!E:J,6,FALSE)/88</f>
        <v>#N/A</v>
      </c>
      <c r="AU122" s="1">
        <f>VLOOKUP(C122&amp;$AU$1,OTR!E:J,6,FALSE)/88</f>
        <v>10.028409090909092</v>
      </c>
    </row>
    <row r="123" spans="1:47">
      <c r="A123" s="1">
        <v>568016</v>
      </c>
      <c r="B123" s="1" t="s">
        <v>341</v>
      </c>
      <c r="C123" s="1" t="s">
        <v>342</v>
      </c>
      <c r="D123" s="1" t="s">
        <v>136</v>
      </c>
      <c r="E123" s="1" t="str">
        <f>VLOOKUP(A:A,'Regions and Ports'!A:G,5,FALSE)</f>
        <v>Eastern Rule 5</v>
      </c>
      <c r="F123" s="1" t="str">
        <f>VLOOKUP(A:A,'Regions and Ports'!A:F,6,FALSE)</f>
        <v>ER5</v>
      </c>
      <c r="G123" s="1" t="str">
        <f>VLOOKUP(A:A,'Regions and Ports'!A:G,7,FALSE)</f>
        <v>Savannah</v>
      </c>
      <c r="H123" s="87">
        <v>1</v>
      </c>
      <c r="I123" s="69">
        <f>VLOOKUP(A:A,'Seam Tariffs'!A:AB,9,FALSE)</f>
        <v>3.75</v>
      </c>
      <c r="J123" s="69">
        <f>VLOOKUP(A:A,'Seam Tariffs'!A:AB,11,FALSE)</f>
        <v>3.75</v>
      </c>
      <c r="K123" s="69">
        <f>VLOOKUP(A:A,'Seam Tariffs'!A:AB,12,FALSE)</f>
        <v>0</v>
      </c>
      <c r="L123" s="69">
        <f>VLOOKUP(A:A,'Seam Tariffs'!A:AB,13,FALSE)</f>
        <v>0</v>
      </c>
      <c r="M123" s="69">
        <f>VLOOKUP(A:A,'Seam Tariffs'!A:AB,14,FALSE)</f>
        <v>0</v>
      </c>
      <c r="N123" s="69">
        <f>VLOOKUP(A:A,'Seam Tariffs'!A:AB,28,FALSE)</f>
        <v>2.5</v>
      </c>
      <c r="O123" s="69">
        <f>COSTS!$W$6</f>
        <v>1.8958333333333335</v>
      </c>
      <c r="P123" s="69">
        <f>VLOOKUP(G123,COSTS!$V$11:$X$14,3,FALSE)</f>
        <v>0</v>
      </c>
      <c r="Q123" s="69">
        <f t="shared" si="7"/>
        <v>11.895833333333334</v>
      </c>
      <c r="R123" s="69">
        <f t="shared" si="8"/>
        <v>4.3958333333333339</v>
      </c>
      <c r="S123" s="87">
        <f>VLOOKUP(A:A,'Flat Bed &amp; Late Fees'!A:J,6,FALSE)</f>
        <v>0</v>
      </c>
      <c r="T123" s="87">
        <f>VLOOKUP(A:A,'Flat Bed &amp; Late Fees'!A:J,7,FALSE)</f>
        <v>0</v>
      </c>
      <c r="U123" s="68">
        <f>VLOOKUP(C123&amp;G123,OTR!E:J,6,FALSE)/88</f>
        <v>13.426846590909092</v>
      </c>
      <c r="V123" s="87"/>
      <c r="W123" s="68">
        <f t="shared" si="9"/>
        <v>13.426846590909092</v>
      </c>
      <c r="X123" s="69">
        <f>VLOOKUP(G123,COSTS!$Z$18:$AC$23,2,FALSE)</f>
        <v>2.6</v>
      </c>
      <c r="Y123" s="87">
        <f>VLOOKUP(G123,COSTS!$Z$18:$AC$23,4,FALSE)</f>
        <v>2.52</v>
      </c>
      <c r="Z123" s="69">
        <f>(COSTS!$W$3*COSTS!$W$4*500)/52*COSTS!$AE$17</f>
        <v>1.3125</v>
      </c>
      <c r="AB123" s="69">
        <f t="shared" si="10"/>
        <v>6.4325000000000001</v>
      </c>
      <c r="AC123" s="69">
        <f>VLOOKUP(G123,COSTS!$Z$11:$AE$14,5,FALSE)</f>
        <v>5.5113636363636367</v>
      </c>
      <c r="AD123" s="69">
        <f>VLOOKUP(G123,COSTS!$Z$4:$AD$7,4,FALSE)</f>
        <v>5.3522727272727275</v>
      </c>
      <c r="AE123" s="69"/>
      <c r="AF123" s="69">
        <f t="shared" si="11"/>
        <v>10.863636363636363</v>
      </c>
      <c r="AG123" s="87">
        <f>((COSTS!$C$5*88)/20)/88</f>
        <v>1.4407150000000002</v>
      </c>
      <c r="AH123" s="69">
        <f>(COSTS!$X$38/88)*20</f>
        <v>0.34865702479338845</v>
      </c>
      <c r="AI123" s="87">
        <f>((COSTS!$E$5*88)/20)/88</f>
        <v>0.62936587135988387</v>
      </c>
      <c r="AJ123" s="87">
        <f>((COSTS!$D$5*88)/20)/88</f>
        <v>0.33676</v>
      </c>
      <c r="AL123" s="387">
        <f t="shared" si="12"/>
        <v>2.7554978961532726</v>
      </c>
      <c r="AM123" s="69">
        <f>(COSTS!$W$3+0.1)*500*0.01</f>
        <v>3.9999999999999996</v>
      </c>
      <c r="AN123" s="387">
        <f>((COSTS!$G$5/20)*88)/88</f>
        <v>1.308904109589041</v>
      </c>
      <c r="AR123" s="69">
        <f t="shared" si="13"/>
        <v>5.3089041095890401</v>
      </c>
      <c r="AT123" s="1" t="e">
        <f>VLOOKUP(C123&amp;$AT$1,OTR!E:J,6,FALSE)/88</f>
        <v>#N/A</v>
      </c>
      <c r="AU123" s="1">
        <f>VLOOKUP(C123&amp;$AU$1,OTR!E:J,6,FALSE)/88</f>
        <v>12.823863636363637</v>
      </c>
    </row>
    <row r="124" spans="1:47">
      <c r="A124" s="1">
        <v>607540</v>
      </c>
      <c r="B124" s="1" t="s">
        <v>343</v>
      </c>
      <c r="C124" s="1" t="s">
        <v>342</v>
      </c>
      <c r="D124" s="1" t="s">
        <v>136</v>
      </c>
      <c r="E124" s="1" t="str">
        <f>VLOOKUP(A:A,'Regions and Ports'!A:G,5,FALSE)</f>
        <v>Eastern Rule 5</v>
      </c>
      <c r="F124" s="1" t="str">
        <f>VLOOKUP(A:A,'Regions and Ports'!A:F,6,FALSE)</f>
        <v>ER5</v>
      </c>
      <c r="G124" s="1" t="str">
        <f>VLOOKUP(A:A,'Regions and Ports'!A:G,7,FALSE)</f>
        <v>Savannah</v>
      </c>
      <c r="H124" s="87">
        <v>1</v>
      </c>
      <c r="I124" s="69">
        <f>VLOOKUP(A:A,'Seam Tariffs'!A:AB,9,FALSE)</f>
        <v>3.75</v>
      </c>
      <c r="J124" s="69">
        <f>VLOOKUP(A:A,'Seam Tariffs'!A:AB,11,FALSE)</f>
        <v>3.75</v>
      </c>
      <c r="K124" s="69">
        <f>VLOOKUP(A:A,'Seam Tariffs'!A:AB,12,FALSE)</f>
        <v>0</v>
      </c>
      <c r="L124" s="69">
        <f>VLOOKUP(A:A,'Seam Tariffs'!A:AB,13,FALSE)</f>
        <v>0</v>
      </c>
      <c r="M124" s="69">
        <f>VLOOKUP(A:A,'Seam Tariffs'!A:AB,14,FALSE)</f>
        <v>0</v>
      </c>
      <c r="N124" s="69">
        <f>VLOOKUP(A:A,'Seam Tariffs'!A:AB,28,FALSE)</f>
        <v>2.5</v>
      </c>
      <c r="O124" s="69">
        <f>COSTS!$W$6</f>
        <v>1.8958333333333335</v>
      </c>
      <c r="P124" s="69">
        <f>VLOOKUP(G124,COSTS!$V$11:$X$14,3,FALSE)</f>
        <v>0</v>
      </c>
      <c r="Q124" s="69">
        <f t="shared" si="7"/>
        <v>11.895833333333334</v>
      </c>
      <c r="R124" s="69">
        <f t="shared" si="8"/>
        <v>4.3958333333333339</v>
      </c>
      <c r="S124" s="87">
        <f>VLOOKUP(A:A,'Flat Bed &amp; Late Fees'!A:J,6,FALSE)</f>
        <v>0</v>
      </c>
      <c r="T124" s="87">
        <f>VLOOKUP(A:A,'Flat Bed &amp; Late Fees'!A:J,7,FALSE)</f>
        <v>0</v>
      </c>
      <c r="U124" s="68">
        <f>VLOOKUP(C124&amp;G124,OTR!E:J,6,FALSE)/88</f>
        <v>13.426846590909092</v>
      </c>
      <c r="V124" s="87"/>
      <c r="W124" s="68">
        <f t="shared" si="9"/>
        <v>13.426846590909092</v>
      </c>
      <c r="X124" s="69">
        <f>VLOOKUP(G124,COSTS!$Z$18:$AC$23,2,FALSE)</f>
        <v>2.6</v>
      </c>
      <c r="Y124" s="87">
        <f>VLOOKUP(G124,COSTS!$Z$18:$AC$23,4,FALSE)</f>
        <v>2.52</v>
      </c>
      <c r="Z124" s="69">
        <f>(COSTS!$W$3*COSTS!$W$4*500)/52*COSTS!$AE$17</f>
        <v>1.3125</v>
      </c>
      <c r="AB124" s="69">
        <f t="shared" si="10"/>
        <v>6.4325000000000001</v>
      </c>
      <c r="AC124" s="69">
        <f>VLOOKUP(G124,COSTS!$Z$11:$AE$14,5,FALSE)</f>
        <v>5.5113636363636367</v>
      </c>
      <c r="AD124" s="69">
        <f>VLOOKUP(G124,COSTS!$Z$4:$AD$7,4,FALSE)</f>
        <v>5.3522727272727275</v>
      </c>
      <c r="AE124" s="69"/>
      <c r="AF124" s="69">
        <f t="shared" si="11"/>
        <v>10.863636363636363</v>
      </c>
      <c r="AG124" s="87">
        <f>((COSTS!$C$5*88)/20)/88</f>
        <v>1.4407150000000002</v>
      </c>
      <c r="AH124" s="69">
        <f>(COSTS!$X$38/88)*20</f>
        <v>0.34865702479338845</v>
      </c>
      <c r="AI124" s="87">
        <f>((COSTS!$E$5*88)/20)/88</f>
        <v>0.62936587135988387</v>
      </c>
      <c r="AJ124" s="87">
        <f>((COSTS!$D$5*88)/20)/88</f>
        <v>0.33676</v>
      </c>
      <c r="AL124" s="387">
        <f t="shared" si="12"/>
        <v>2.7554978961532726</v>
      </c>
      <c r="AM124" s="69">
        <f>(COSTS!$W$3+0.1)*500*0.01</f>
        <v>3.9999999999999996</v>
      </c>
      <c r="AN124" s="387">
        <f>((COSTS!$G$5/20)*88)/88</f>
        <v>1.308904109589041</v>
      </c>
      <c r="AR124" s="69">
        <f t="shared" si="13"/>
        <v>5.3089041095890401</v>
      </c>
      <c r="AT124" s="1" t="e">
        <f>VLOOKUP(C124&amp;$AT$1,OTR!E:J,6,FALSE)/88</f>
        <v>#N/A</v>
      </c>
      <c r="AU124" s="1">
        <f>VLOOKUP(C124&amp;$AU$1,OTR!E:J,6,FALSE)/88</f>
        <v>12.823863636363637</v>
      </c>
    </row>
    <row r="125" spans="1:47">
      <c r="A125" s="1">
        <v>853005</v>
      </c>
      <c r="B125" s="1" t="s">
        <v>110</v>
      </c>
      <c r="C125" s="1" t="s">
        <v>344</v>
      </c>
      <c r="D125" s="1" t="s">
        <v>71</v>
      </c>
      <c r="E125" s="1" t="str">
        <f>VLOOKUP(A:A,'Regions and Ports'!A:G,5,FALSE)</f>
        <v>WTX</v>
      </c>
      <c r="F125" s="1" t="str">
        <f>VLOOKUP(A:A,'Regions and Ports'!A:F,6,FALSE)</f>
        <v>WTX</v>
      </c>
      <c r="G125" s="1" t="str">
        <f>VLOOKUP(A:A,'Regions and Ports'!A:G,7,FALSE)</f>
        <v>Dallas</v>
      </c>
      <c r="H125" s="87">
        <v>6</v>
      </c>
      <c r="I125" s="69">
        <f>VLOOKUP(A:A,'Seam Tariffs'!A:AB,9,FALSE)</f>
        <v>4</v>
      </c>
      <c r="J125" s="69">
        <f>VLOOKUP(A:A,'Seam Tariffs'!A:AB,11,FALSE)</f>
        <v>9</v>
      </c>
      <c r="K125" s="69">
        <f>VLOOKUP(A:A,'Seam Tariffs'!A:AB,12,FALSE)</f>
        <v>9.5</v>
      </c>
      <c r="L125" s="69">
        <f>VLOOKUP(A:A,'Seam Tariffs'!A:AB,13,FALSE)</f>
        <v>0</v>
      </c>
      <c r="M125" s="69">
        <f>VLOOKUP(A:A,'Seam Tariffs'!A:AB,14,FALSE)</f>
        <v>1</v>
      </c>
      <c r="N125" s="69">
        <f>VLOOKUP(A:A,'Seam Tariffs'!A:AB,28,FALSE)</f>
        <v>4.8</v>
      </c>
      <c r="O125" s="69">
        <f>COSTS!$W$6</f>
        <v>1.8958333333333335</v>
      </c>
      <c r="P125" s="69">
        <f>VLOOKUP(G125,COSTS!$V$11:$X$14,3,FALSE)</f>
        <v>0</v>
      </c>
      <c r="Q125" s="69">
        <f t="shared" si="7"/>
        <v>30.195833333333333</v>
      </c>
      <c r="R125" s="69" t="e">
        <f t="shared" si="8"/>
        <v>#VALUE!</v>
      </c>
      <c r="S125" s="87">
        <f>VLOOKUP(A:A,'Flat Bed &amp; Late Fees'!A:J,6,FALSE)</f>
        <v>0</v>
      </c>
      <c r="T125" s="87">
        <f>VLOOKUP(A:A,'Flat Bed &amp; Late Fees'!A:J,7,FALSE)</f>
        <v>0</v>
      </c>
      <c r="U125" s="68" t="e">
        <f>VLOOKUP(C125&amp;G125,OTR!E:J,6,FALSE)/88</f>
        <v>#N/A</v>
      </c>
      <c r="V125" s="87"/>
      <c r="W125" s="68" t="e">
        <f t="shared" si="9"/>
        <v>#N/A</v>
      </c>
      <c r="X125" s="69">
        <f>VLOOKUP(G125,COSTS!$Z$18:$AC$23,2,FALSE)</f>
        <v>2.7</v>
      </c>
      <c r="Y125" s="87">
        <f>VLOOKUP(G125,COSTS!$Z$18:$AC$23,4,FALSE)</f>
        <v>2.52</v>
      </c>
      <c r="Z125" s="69">
        <f>(COSTS!$W$3*COSTS!$W$4*500)/52*COSTS!$AE$17</f>
        <v>1.3125</v>
      </c>
      <c r="AB125" s="69">
        <f t="shared" si="10"/>
        <v>6.5325000000000006</v>
      </c>
      <c r="AC125" s="69">
        <f>VLOOKUP(G125,COSTS!$Z$11:$AE$14,5,FALSE)</f>
        <v>8.125</v>
      </c>
      <c r="AD125" s="69">
        <f>VLOOKUP(G125,COSTS!$Z$4:$AD$7,4,FALSE)</f>
        <v>13.409090909090908</v>
      </c>
      <c r="AE125" s="69"/>
      <c r="AF125" s="69">
        <f t="shared" si="11"/>
        <v>21.534090909090907</v>
      </c>
      <c r="AG125" s="87">
        <f>((COSTS!$C$5*88)/20)/88</f>
        <v>1.4407150000000002</v>
      </c>
      <c r="AH125" s="69">
        <f>(COSTS!$X$38/88)*20</f>
        <v>0.34865702479338845</v>
      </c>
      <c r="AI125" s="87">
        <f>((COSTS!$E$5*88)/20)/88</f>
        <v>0.62936587135988387</v>
      </c>
      <c r="AJ125" s="87">
        <f>((COSTS!$D$5*88)/20)/88</f>
        <v>0.33676</v>
      </c>
      <c r="AL125" s="387">
        <f t="shared" si="12"/>
        <v>2.7554978961532726</v>
      </c>
      <c r="AM125" s="69">
        <f>(COSTS!$W$3+0.1)*500*0.01</f>
        <v>3.9999999999999996</v>
      </c>
      <c r="AN125" s="387">
        <f>((COSTS!$G$5/20)*88)/88</f>
        <v>1.308904109589041</v>
      </c>
      <c r="AR125" s="69">
        <f t="shared" si="13"/>
        <v>5.3089041095890401</v>
      </c>
      <c r="AT125" s="1" t="e">
        <f>VLOOKUP(C125&amp;$AT$1,OTR!E:J,6,FALSE)/88</f>
        <v>#N/A</v>
      </c>
      <c r="AU125" s="1" t="e">
        <f>VLOOKUP(C125&amp;$AU$1,OTR!E:J,6,FALSE)/88</f>
        <v>#N/A</v>
      </c>
    </row>
    <row r="126" spans="1:47">
      <c r="A126" s="125">
        <v>853005</v>
      </c>
      <c r="B126" s="1" t="s">
        <v>110</v>
      </c>
      <c r="C126" s="1" t="s">
        <v>344</v>
      </c>
      <c r="D126" s="1" t="s">
        <v>71</v>
      </c>
      <c r="E126" s="1" t="s">
        <v>2067</v>
      </c>
      <c r="F126" s="1" t="str">
        <f>VLOOKUP(A:A,'Regions and Ports'!A:F,6,FALSE)</f>
        <v>WTX</v>
      </c>
      <c r="G126" s="1" t="s">
        <v>439</v>
      </c>
      <c r="H126" s="87">
        <v>2</v>
      </c>
      <c r="I126" s="69">
        <f>VLOOKUP(A:A,'Seam Tariffs'!A:AB,9,FALSE)</f>
        <v>4</v>
      </c>
      <c r="J126" s="69">
        <f>VLOOKUP(A:A,'Seam Tariffs'!A:AB,11,FALSE)</f>
        <v>9</v>
      </c>
      <c r="K126" s="69">
        <f>VLOOKUP(A:A,'Seam Tariffs'!A:AB,12,FALSE)</f>
        <v>9.5</v>
      </c>
      <c r="L126" s="69">
        <f>VLOOKUP(A:A,'Seam Tariffs'!A:AB,13,FALSE)</f>
        <v>0</v>
      </c>
      <c r="M126" s="69">
        <f>VLOOKUP(A:A,'Seam Tariffs'!A:AB,14,FALSE)</f>
        <v>1</v>
      </c>
      <c r="N126" s="69">
        <f>VLOOKUP(A:A,'Seam Tariffs'!A:AB,28,FALSE)</f>
        <v>4.8</v>
      </c>
      <c r="O126" s="69">
        <f>COSTS!$W$6</f>
        <v>1.8958333333333335</v>
      </c>
      <c r="P126" s="69">
        <f>VLOOKUP(G126,COSTS!$V$11:$X$14,3,FALSE)</f>
        <v>0</v>
      </c>
      <c r="Q126" s="69">
        <f t="shared" si="7"/>
        <v>30.195833333333333</v>
      </c>
      <c r="R126" s="69">
        <f t="shared" si="8"/>
        <v>16.195833333333333</v>
      </c>
      <c r="S126" s="87">
        <f>VLOOKUP(A:A,'Flat Bed &amp; Late Fees'!A:J,6,FALSE)</f>
        <v>0</v>
      </c>
      <c r="T126" s="87">
        <f>VLOOKUP(A:A,'Flat Bed &amp; Late Fees'!A:J,7,FALSE)</f>
        <v>0</v>
      </c>
      <c r="U126" s="68" t="e">
        <f>VLOOKUP(C126&amp;G126,OTR!E:J,6,FALSE)/88</f>
        <v>#N/A</v>
      </c>
      <c r="V126" s="87"/>
      <c r="W126" s="68" t="e">
        <f t="shared" si="9"/>
        <v>#N/A</v>
      </c>
      <c r="X126" s="69">
        <f>VLOOKUP(G126,COSTS!$Z$18:$AC$23,2,FALSE)</f>
        <v>2.7</v>
      </c>
      <c r="Y126" s="87">
        <f>VLOOKUP(G126,COSTS!$Z$18:$AC$23,4,FALSE)</f>
        <v>2.52</v>
      </c>
      <c r="Z126" s="69">
        <f>(COSTS!$W$3*COSTS!$W$4*500)/52*COSTS!$AE$17</f>
        <v>1.3125</v>
      </c>
      <c r="AB126" s="69">
        <f t="shared" si="10"/>
        <v>6.5325000000000006</v>
      </c>
      <c r="AC126" s="69">
        <f>VLOOKUP(G126,COSTS!$Z$11:$AE$14,5,FALSE)</f>
        <v>6.6477272727272725</v>
      </c>
      <c r="AD126" s="69">
        <f>VLOOKUP(G126,COSTS!$Z$4:$AD$7,4,FALSE)</f>
        <v>9.8977272727272734</v>
      </c>
      <c r="AE126" s="69"/>
      <c r="AF126" s="69">
        <f t="shared" si="11"/>
        <v>16.545454545454547</v>
      </c>
      <c r="AG126" s="87">
        <f>((COSTS!$C$5*88)/20)/88</f>
        <v>1.4407150000000002</v>
      </c>
      <c r="AH126" s="69">
        <f>(COSTS!$X$38/88)*20</f>
        <v>0.34865702479338845</v>
      </c>
      <c r="AI126" s="87">
        <f>((COSTS!$E$5*88)/20)/88</f>
        <v>0.62936587135988387</v>
      </c>
      <c r="AJ126" s="87">
        <f>((COSTS!$D$5*88)/20)/88</f>
        <v>0.33676</v>
      </c>
      <c r="AL126" s="387">
        <f t="shared" si="12"/>
        <v>2.7554978961532726</v>
      </c>
      <c r="AM126" s="69">
        <f>(COSTS!$W$3+0.1)*500*0.01</f>
        <v>3.9999999999999996</v>
      </c>
      <c r="AN126" s="387">
        <f>((COSTS!$G$5/20)*88)/88</f>
        <v>1.308904109589041</v>
      </c>
      <c r="AR126" s="69">
        <f t="shared" si="13"/>
        <v>5.3089041095890401</v>
      </c>
      <c r="AT126" s="1" t="e">
        <f>VLOOKUP(C126&amp;$AT$1,OTR!E:J,6,FALSE)/88</f>
        <v>#N/A</v>
      </c>
      <c r="AU126" s="1" t="e">
        <f>VLOOKUP(C126&amp;$AU$1,OTR!E:J,6,FALSE)/88</f>
        <v>#N/A</v>
      </c>
    </row>
    <row r="127" spans="1:47">
      <c r="A127" s="1">
        <v>406505</v>
      </c>
      <c r="B127" s="1" t="s">
        <v>346</v>
      </c>
      <c r="C127" s="1" t="s">
        <v>347</v>
      </c>
      <c r="D127" s="1" t="s">
        <v>80</v>
      </c>
      <c r="E127" s="1" t="str">
        <f>VLOOKUP(A:A,'Regions and Ports'!A:G,5,FALSE)</f>
        <v>Memphis Rule 5</v>
      </c>
      <c r="F127" s="1" t="str">
        <f>VLOOKUP(A:A,'Regions and Ports'!A:F,6,FALSE)</f>
        <v>MR5</v>
      </c>
      <c r="G127" s="1" t="str">
        <f>VLOOKUP(A:A,'Regions and Ports'!A:G,7,FALSE)</f>
        <v>Houston</v>
      </c>
      <c r="H127" s="87">
        <v>1</v>
      </c>
      <c r="I127" s="69">
        <f>VLOOKUP(A:A,'Seam Tariffs'!A:AB,9,FALSE)</f>
        <v>4.7</v>
      </c>
      <c r="J127" s="69">
        <f>VLOOKUP(A:A,'Seam Tariffs'!A:AB,11,FALSE)</f>
        <v>8.5</v>
      </c>
      <c r="K127" s="69">
        <f>VLOOKUP(A:A,'Seam Tariffs'!A:AB,12,FALSE)</f>
        <v>8.25</v>
      </c>
      <c r="L127" s="69">
        <f>VLOOKUP(A:A,'Seam Tariffs'!A:AB,13,FALSE)</f>
        <v>0</v>
      </c>
      <c r="M127" s="69">
        <f>VLOOKUP(A:A,'Seam Tariffs'!A:AB,14,FALSE)</f>
        <v>0</v>
      </c>
      <c r="N127" s="69">
        <f>VLOOKUP(A:A,'Seam Tariffs'!A:AB,28,FALSE)</f>
        <v>3</v>
      </c>
      <c r="O127" s="69">
        <f>COSTS!$W$6</f>
        <v>1.8958333333333335</v>
      </c>
      <c r="P127" s="69">
        <f>VLOOKUP(G127,COSTS!$V$11:$X$14,3,FALSE)</f>
        <v>0</v>
      </c>
      <c r="Q127" s="69">
        <f t="shared" si="7"/>
        <v>26.345833333333331</v>
      </c>
      <c r="R127" s="69">
        <f t="shared" si="8"/>
        <v>4.8958333333333339</v>
      </c>
      <c r="S127" s="87">
        <f>VLOOKUP(A:A,'Flat Bed &amp; Late Fees'!A:J,6,FALSE)</f>
        <v>0</v>
      </c>
      <c r="T127" s="87">
        <f>VLOOKUP(A:A,'Flat Bed &amp; Late Fees'!A:J,7,FALSE)</f>
        <v>0</v>
      </c>
      <c r="U127" s="68">
        <f>VLOOKUP(C127&amp;G127,OTR!E:J,6,FALSE)/88</f>
        <v>16.09659090909091</v>
      </c>
      <c r="V127" s="87"/>
      <c r="W127" s="68">
        <f t="shared" si="9"/>
        <v>16.09659090909091</v>
      </c>
      <c r="X127" s="69">
        <f>VLOOKUP(G127,COSTS!$Z$18:$AC$23,2,FALSE)</f>
        <v>2.7</v>
      </c>
      <c r="Y127" s="87">
        <f>VLOOKUP(G127,COSTS!$Z$18:$AC$23,4,FALSE)</f>
        <v>2.52</v>
      </c>
      <c r="Z127" s="69">
        <f>(COSTS!$W$3*COSTS!$W$4*500)/52*COSTS!$AE$17</f>
        <v>1.3125</v>
      </c>
      <c r="AB127" s="69">
        <f t="shared" si="10"/>
        <v>6.5325000000000006</v>
      </c>
      <c r="AC127" s="69">
        <f>VLOOKUP(G127,COSTS!$Z$11:$AE$14,5,FALSE)</f>
        <v>6.6477272727272725</v>
      </c>
      <c r="AD127" s="69">
        <f>VLOOKUP(G127,COSTS!$Z$4:$AD$7,4,FALSE)</f>
        <v>9.8977272727272734</v>
      </c>
      <c r="AE127" s="69"/>
      <c r="AF127" s="69">
        <f t="shared" si="11"/>
        <v>16.545454545454547</v>
      </c>
      <c r="AG127" s="87">
        <f>((COSTS!$C$5*88)/20)/88</f>
        <v>1.4407150000000002</v>
      </c>
      <c r="AH127" s="69">
        <f>(COSTS!$X$38/88)*20</f>
        <v>0.34865702479338845</v>
      </c>
      <c r="AI127" s="87">
        <f>((COSTS!$E$5*88)/20)/88</f>
        <v>0.62936587135988387</v>
      </c>
      <c r="AJ127" s="87">
        <f>((COSTS!$D$5*88)/20)/88</f>
        <v>0.33676</v>
      </c>
      <c r="AL127" s="387">
        <f t="shared" si="12"/>
        <v>2.7554978961532726</v>
      </c>
      <c r="AM127" s="69">
        <f>(COSTS!$W$3+0.1)*500*0.01</f>
        <v>3.9999999999999996</v>
      </c>
      <c r="AN127" s="387">
        <f>((COSTS!$G$5/20)*88)/88</f>
        <v>1.308904109589041</v>
      </c>
      <c r="AR127" s="69">
        <f t="shared" si="13"/>
        <v>5.3089041095890401</v>
      </c>
      <c r="AT127" s="1">
        <f>VLOOKUP(C127&amp;$AT$1,OTR!E:J,6,FALSE)/88</f>
        <v>18.032954545454544</v>
      </c>
      <c r="AU127" s="1">
        <f>VLOOKUP(C127&amp;$AU$1,OTR!E:J,6,FALSE)/88</f>
        <v>25.4375</v>
      </c>
    </row>
    <row r="128" spans="1:47">
      <c r="A128" s="1">
        <v>39720</v>
      </c>
      <c r="B128" s="1" t="s">
        <v>349</v>
      </c>
      <c r="C128" s="1" t="s">
        <v>350</v>
      </c>
      <c r="D128" s="1" t="s">
        <v>65</v>
      </c>
      <c r="E128" s="1" t="str">
        <f>VLOOKUP(A:A,'Regions and Ports'!A:G,5,FALSE)</f>
        <v>Eastern Rule 5</v>
      </c>
      <c r="F128" s="1" t="str">
        <f>VLOOKUP(A:A,'Regions and Ports'!A:F,6,FALSE)</f>
        <v>ER5</v>
      </c>
      <c r="G128" s="1" t="str">
        <f>VLOOKUP(A:A,'Regions and Ports'!A:G,7,FALSE)</f>
        <v>Memphis</v>
      </c>
      <c r="H128" s="87">
        <v>1</v>
      </c>
      <c r="I128" s="69">
        <f>VLOOKUP(A:A,'Seam Tariffs'!A:AB,9,FALSE)</f>
        <v>3.15</v>
      </c>
      <c r="J128" s="69">
        <f>VLOOKUP(A:A,'Seam Tariffs'!A:AB,11,FALSE)</f>
        <v>6</v>
      </c>
      <c r="K128" s="69">
        <f>VLOOKUP(A:A,'Seam Tariffs'!A:AB,12,FALSE)</f>
        <v>0</v>
      </c>
      <c r="L128" s="69">
        <f>VLOOKUP(A:A,'Seam Tariffs'!A:AB,13,FALSE)</f>
        <v>0</v>
      </c>
      <c r="M128" s="69">
        <f>VLOOKUP(A:A,'Seam Tariffs'!A:AB,14,FALSE)</f>
        <v>0</v>
      </c>
      <c r="N128" s="69">
        <f>VLOOKUP(A:A,'Seam Tariffs'!A:AB,28,FALSE)</f>
        <v>2.25</v>
      </c>
      <c r="O128" s="69">
        <f>COSTS!$W$6</f>
        <v>1.8958333333333335</v>
      </c>
      <c r="P128" s="69">
        <f>VLOOKUP(G128,COSTS!$V$11:$X$14,3,FALSE)</f>
        <v>0</v>
      </c>
      <c r="Q128" s="69">
        <f t="shared" si="7"/>
        <v>13.295833333333334</v>
      </c>
      <c r="R128" s="69">
        <f t="shared" si="8"/>
        <v>4.1458333333333339</v>
      </c>
      <c r="S128" s="87">
        <f>VLOOKUP(A:A,'Flat Bed &amp; Late Fees'!A:J,6,FALSE)</f>
        <v>0</v>
      </c>
      <c r="T128" s="87">
        <f>VLOOKUP(A:A,'Flat Bed &amp; Late Fees'!A:J,7,FALSE)</f>
        <v>0</v>
      </c>
      <c r="U128" s="68">
        <f>VLOOKUP(C128&amp;G128,OTR!E:J,6,FALSE)/88</f>
        <v>11.221590909090908</v>
      </c>
      <c r="V128" s="87"/>
      <c r="W128" s="68">
        <f t="shared" si="9"/>
        <v>11.221590909090908</v>
      </c>
      <c r="X128" s="69">
        <f>VLOOKUP(G128,COSTS!$Z$18:$AC$23,2,FALSE)</f>
        <v>2.5</v>
      </c>
      <c r="Y128" s="87">
        <f>VLOOKUP(G128,COSTS!$Z$18:$AC$23,4,FALSE)</f>
        <v>1.68</v>
      </c>
      <c r="Z128" s="69">
        <f>(COSTS!$W$3*COSTS!$W$4*500)/52*COSTS!$AE$17</f>
        <v>1.3125</v>
      </c>
      <c r="AB128" s="69">
        <f t="shared" si="10"/>
        <v>5.4924999999999997</v>
      </c>
      <c r="AC128" s="69">
        <f>VLOOKUP(G128,COSTS!$Z$11:$AE$14,5,FALSE)</f>
        <v>7.3011363636363633</v>
      </c>
      <c r="AD128" s="69">
        <f>VLOOKUP(G128,COSTS!$Z$4:$AD$7,4,FALSE)</f>
        <v>9.1363636363636367</v>
      </c>
      <c r="AE128" s="69"/>
      <c r="AF128" s="69">
        <f t="shared" si="11"/>
        <v>16.4375</v>
      </c>
      <c r="AG128" s="87">
        <f>((COSTS!$C$5*88)/20)/88</f>
        <v>1.4407150000000002</v>
      </c>
      <c r="AH128" s="69">
        <f>(COSTS!$X$38/88)*20</f>
        <v>0.34865702479338845</v>
      </c>
      <c r="AI128" s="87">
        <f>((COSTS!$E$5*88)/20)/88</f>
        <v>0.62936587135988387</v>
      </c>
      <c r="AJ128" s="87">
        <f>((COSTS!$D$5*88)/20)/88</f>
        <v>0.33676</v>
      </c>
      <c r="AL128" s="387">
        <f t="shared" si="12"/>
        <v>2.7554978961532726</v>
      </c>
      <c r="AM128" s="69">
        <f>(COSTS!$W$3+0.1)*500*0.01</f>
        <v>3.9999999999999996</v>
      </c>
      <c r="AN128" s="387">
        <f>((COSTS!$G$5/20)*88)/88</f>
        <v>1.308904109589041</v>
      </c>
      <c r="AR128" s="69">
        <f t="shared" si="13"/>
        <v>5.3089041095890401</v>
      </c>
      <c r="AT128" s="1" t="e">
        <f>VLOOKUP(C128&amp;$AT$1,OTR!E:J,6,FALSE)/88</f>
        <v>#N/A</v>
      </c>
      <c r="AU128" s="1">
        <f>VLOOKUP(C128&amp;$AU$1,OTR!E:J,6,FALSE)/88</f>
        <v>18.72159090909091</v>
      </c>
    </row>
    <row r="129" spans="1:47">
      <c r="A129" s="1">
        <v>39770</v>
      </c>
      <c r="B129" s="1" t="s">
        <v>352</v>
      </c>
      <c r="C129" s="1" t="s">
        <v>350</v>
      </c>
      <c r="D129" s="1" t="s">
        <v>65</v>
      </c>
      <c r="E129" s="1" t="str">
        <f>VLOOKUP(A:A,'Regions and Ports'!A:G,5,FALSE)</f>
        <v>Eastern Rule 5</v>
      </c>
      <c r="F129" s="1" t="str">
        <f>VLOOKUP(A:A,'Regions and Ports'!A:F,6,FALSE)</f>
        <v>ER5</v>
      </c>
      <c r="G129" s="1" t="str">
        <f>VLOOKUP(A:A,'Regions and Ports'!A:G,7,FALSE)</f>
        <v>Memphis</v>
      </c>
      <c r="H129" s="87">
        <v>1</v>
      </c>
      <c r="I129" s="69">
        <f>VLOOKUP(A:A,'Seam Tariffs'!A:AB,9,FALSE)</f>
        <v>5</v>
      </c>
      <c r="J129" s="69">
        <f>VLOOKUP(A:A,'Seam Tariffs'!A:AB,11,FALSE)</f>
        <v>5</v>
      </c>
      <c r="K129" s="69">
        <f>VLOOKUP(A:A,'Seam Tariffs'!A:AB,12,FALSE)</f>
        <v>0</v>
      </c>
      <c r="L129" s="69">
        <f>VLOOKUP(A:A,'Seam Tariffs'!A:AB,13,FALSE)</f>
        <v>4.25</v>
      </c>
      <c r="M129" s="69">
        <f>VLOOKUP(A:A,'Seam Tariffs'!A:AB,14,FALSE)</f>
        <v>0</v>
      </c>
      <c r="N129" s="69">
        <f>VLOOKUP(A:A,'Seam Tariffs'!A:AB,28,FALSE)</f>
        <v>2.5</v>
      </c>
      <c r="O129" s="69">
        <f>COSTS!$W$6</f>
        <v>1.8958333333333335</v>
      </c>
      <c r="P129" s="69">
        <f>VLOOKUP(G129,COSTS!$V$11:$X$14,3,FALSE)</f>
        <v>0</v>
      </c>
      <c r="Q129" s="69">
        <f t="shared" si="7"/>
        <v>18.645833333333332</v>
      </c>
      <c r="R129" s="69">
        <f t="shared" si="8"/>
        <v>4.3958333333333339</v>
      </c>
      <c r="S129" s="87">
        <f>VLOOKUP(A:A,'Flat Bed &amp; Late Fees'!A:J,6,FALSE)</f>
        <v>0</v>
      </c>
      <c r="T129" s="87">
        <f>VLOOKUP(A:A,'Flat Bed &amp; Late Fees'!A:J,7,FALSE)</f>
        <v>0</v>
      </c>
      <c r="U129" s="68">
        <f>VLOOKUP(C129&amp;G129,OTR!E:J,6,FALSE)/88</f>
        <v>11.221590909090908</v>
      </c>
      <c r="V129" s="87"/>
      <c r="W129" s="68">
        <f t="shared" si="9"/>
        <v>11.221590909090908</v>
      </c>
      <c r="X129" s="69">
        <f>VLOOKUP(G129,COSTS!$Z$18:$AC$23,2,FALSE)</f>
        <v>2.5</v>
      </c>
      <c r="Y129" s="87">
        <f>VLOOKUP(G129,COSTS!$Z$18:$AC$23,4,FALSE)</f>
        <v>1.68</v>
      </c>
      <c r="Z129" s="69">
        <f>(COSTS!$W$3*COSTS!$W$4*500)/52*COSTS!$AE$17</f>
        <v>1.3125</v>
      </c>
      <c r="AB129" s="69">
        <f t="shared" si="10"/>
        <v>5.4924999999999997</v>
      </c>
      <c r="AC129" s="69">
        <f>VLOOKUP(G129,COSTS!$Z$11:$AE$14,5,FALSE)</f>
        <v>7.3011363636363633</v>
      </c>
      <c r="AD129" s="69">
        <f>VLOOKUP(G129,COSTS!$Z$4:$AD$7,4,FALSE)</f>
        <v>9.1363636363636367</v>
      </c>
      <c r="AE129" s="69"/>
      <c r="AF129" s="69">
        <f t="shared" si="11"/>
        <v>16.4375</v>
      </c>
      <c r="AG129" s="87">
        <f>((COSTS!$C$5*88)/20)/88</f>
        <v>1.4407150000000002</v>
      </c>
      <c r="AH129" s="69">
        <f>(COSTS!$X$38/88)*20</f>
        <v>0.34865702479338845</v>
      </c>
      <c r="AI129" s="87">
        <f>((COSTS!$E$5*88)/20)/88</f>
        <v>0.62936587135988387</v>
      </c>
      <c r="AJ129" s="87">
        <f>((COSTS!$D$5*88)/20)/88</f>
        <v>0.33676</v>
      </c>
      <c r="AL129" s="387">
        <f t="shared" si="12"/>
        <v>2.7554978961532726</v>
      </c>
      <c r="AM129" s="69">
        <f>(COSTS!$W$3+0.1)*500*0.01</f>
        <v>3.9999999999999996</v>
      </c>
      <c r="AN129" s="387">
        <f>((COSTS!$G$5/20)*88)/88</f>
        <v>1.308904109589041</v>
      </c>
      <c r="AR129" s="69">
        <f t="shared" si="13"/>
        <v>5.3089041095890401</v>
      </c>
      <c r="AT129" s="1" t="e">
        <f>VLOOKUP(C129&amp;$AT$1,OTR!E:J,6,FALSE)/88</f>
        <v>#N/A</v>
      </c>
      <c r="AU129" s="1">
        <f>VLOOKUP(C129&amp;$AU$1,OTR!E:J,6,FALSE)/88</f>
        <v>18.72159090909091</v>
      </c>
    </row>
    <row r="130" spans="1:47">
      <c r="A130" s="1">
        <v>140301</v>
      </c>
      <c r="B130" s="1" t="s">
        <v>354</v>
      </c>
      <c r="C130" s="1" t="s">
        <v>355</v>
      </c>
      <c r="D130" s="1" t="s">
        <v>149</v>
      </c>
      <c r="E130" s="1" t="str">
        <f>VLOOKUP(A:A,'Regions and Ports'!A:G,5,FALSE)</f>
        <v>Memphis Rule 5</v>
      </c>
      <c r="F130" s="1" t="str">
        <f>VLOOKUP(A:A,'Regions and Ports'!A:F,6,FALSE)</f>
        <v>MR5</v>
      </c>
      <c r="G130" s="1" t="str">
        <f>VLOOKUP(A:A,'Regions and Ports'!A:G,7,FALSE)</f>
        <v>Memphis</v>
      </c>
      <c r="H130" s="87">
        <v>1</v>
      </c>
      <c r="I130" s="69">
        <f>VLOOKUP(A:A,'Seam Tariffs'!A:AB,9,FALSE)</f>
        <v>1.75</v>
      </c>
      <c r="J130" s="69">
        <f>VLOOKUP(A:A,'Seam Tariffs'!A:AB,11,FALSE)</f>
        <v>18.25</v>
      </c>
      <c r="K130" s="69">
        <f>VLOOKUP(A:A,'Seam Tariffs'!A:AB,12,FALSE)</f>
        <v>0</v>
      </c>
      <c r="L130" s="69">
        <f>VLOOKUP(A:A,'Seam Tariffs'!A:AB,13,FALSE)</f>
        <v>3.05</v>
      </c>
      <c r="M130" s="69">
        <f>VLOOKUP(A:A,'Seam Tariffs'!A:AB,14,FALSE)</f>
        <v>0</v>
      </c>
      <c r="N130" s="69">
        <f>VLOOKUP(A:A,'Seam Tariffs'!A:AB,28,FALSE)</f>
        <v>3.5</v>
      </c>
      <c r="O130" s="69">
        <f>COSTS!$W$6</f>
        <v>1.8958333333333335</v>
      </c>
      <c r="P130" s="69">
        <f>VLOOKUP(G130,COSTS!$V$11:$X$14,3,FALSE)</f>
        <v>0</v>
      </c>
      <c r="Q130" s="69">
        <f t="shared" si="7"/>
        <v>28.445833333333333</v>
      </c>
      <c r="R130" s="69">
        <f t="shared" si="8"/>
        <v>5.3958333333333339</v>
      </c>
      <c r="S130" s="87">
        <f>VLOOKUP(A:A,'Flat Bed &amp; Late Fees'!A:J,6,FALSE)</f>
        <v>0</v>
      </c>
      <c r="T130" s="87">
        <f>VLOOKUP(A:A,'Flat Bed &amp; Late Fees'!A:J,7,FALSE)</f>
        <v>0</v>
      </c>
      <c r="U130" s="68">
        <f>VLOOKUP(C130&amp;G130,OTR!E:J,6,FALSE)/88</f>
        <v>7.2670454545454541</v>
      </c>
      <c r="V130" s="87"/>
      <c r="W130" s="68">
        <f t="shared" si="9"/>
        <v>7.2670454545454541</v>
      </c>
      <c r="X130" s="69">
        <f>VLOOKUP(G130,COSTS!$Z$18:$AC$23,2,FALSE)</f>
        <v>2.5</v>
      </c>
      <c r="Y130" s="87">
        <f>VLOOKUP(G130,COSTS!$Z$18:$AC$23,4,FALSE)</f>
        <v>1.68</v>
      </c>
      <c r="Z130" s="69">
        <f>(COSTS!$W$3*COSTS!$W$4*500)/52*COSTS!$AE$17</f>
        <v>1.3125</v>
      </c>
      <c r="AB130" s="69">
        <f t="shared" si="10"/>
        <v>5.4924999999999997</v>
      </c>
      <c r="AC130" s="69">
        <f>VLOOKUP(G130,COSTS!$Z$11:$AE$14,5,FALSE)</f>
        <v>7.3011363636363633</v>
      </c>
      <c r="AD130" s="69">
        <f>VLOOKUP(G130,COSTS!$Z$4:$AD$7,4,FALSE)</f>
        <v>9.1363636363636367</v>
      </c>
      <c r="AE130" s="69"/>
      <c r="AF130" s="69">
        <f t="shared" si="11"/>
        <v>16.4375</v>
      </c>
      <c r="AG130" s="87">
        <f>((COSTS!$C$5*88)/20)/88</f>
        <v>1.4407150000000002</v>
      </c>
      <c r="AH130" s="69">
        <f>(COSTS!$X$38/88)*20</f>
        <v>0.34865702479338845</v>
      </c>
      <c r="AI130" s="87">
        <f>((COSTS!$E$5*88)/20)/88</f>
        <v>0.62936587135988387</v>
      </c>
      <c r="AJ130" s="87">
        <f>((COSTS!$D$5*88)/20)/88</f>
        <v>0.33676</v>
      </c>
      <c r="AL130" s="387">
        <f t="shared" si="12"/>
        <v>2.7554978961532726</v>
      </c>
      <c r="AM130" s="69">
        <f>(COSTS!$W$3+0.1)*500*0.01</f>
        <v>3.9999999999999996</v>
      </c>
      <c r="AN130" s="387">
        <f>((COSTS!$G$5/20)*88)/88</f>
        <v>1.308904109589041</v>
      </c>
      <c r="AR130" s="69">
        <f t="shared" si="13"/>
        <v>5.3089041095890401</v>
      </c>
      <c r="AT130" s="1" t="e">
        <f>VLOOKUP(C130&amp;$AT$1,OTR!E:J,6,FALSE)/88</f>
        <v>#N/A</v>
      </c>
      <c r="AU130" s="1" t="e">
        <f>VLOOKUP(C130&amp;$AU$1,OTR!E:J,6,FALSE)/88</f>
        <v>#N/A</v>
      </c>
    </row>
    <row r="131" spans="1:47">
      <c r="A131" s="1">
        <v>177501</v>
      </c>
      <c r="B131" s="1" t="s">
        <v>356</v>
      </c>
      <c r="C131" s="1" t="s">
        <v>357</v>
      </c>
      <c r="D131" s="1" t="s">
        <v>108</v>
      </c>
      <c r="E131" s="1" t="str">
        <f>VLOOKUP(A:A,'Regions and Ports'!A:G,5,FALSE)</f>
        <v>Southwest</v>
      </c>
      <c r="F131" s="1">
        <f>VLOOKUP(A:A,'Regions and Ports'!A:F,6,FALSE)</f>
        <v>0</v>
      </c>
      <c r="G131" s="1" t="str">
        <f>VLOOKUP(A:A,'Regions and Ports'!A:G,7,FALSE)</f>
        <v>Los Angeles</v>
      </c>
      <c r="H131" s="87">
        <v>5</v>
      </c>
      <c r="I131" s="69">
        <f>VLOOKUP(A:A,'Seam Tariffs'!A:AB,9,FALSE)</f>
        <v>0</v>
      </c>
      <c r="J131" s="69">
        <f>VLOOKUP(A:A,'Seam Tariffs'!A:AB,11,FALSE)</f>
        <v>9.5</v>
      </c>
      <c r="K131" s="69">
        <f>VLOOKUP(A:A,'Seam Tariffs'!A:AB,12,FALSE)</f>
        <v>0</v>
      </c>
      <c r="L131" s="69">
        <f>VLOOKUP(A:A,'Seam Tariffs'!A:AB,13,FALSE)</f>
        <v>0</v>
      </c>
      <c r="M131" s="69">
        <f>VLOOKUP(A:A,'Seam Tariffs'!A:AB,14,FALSE)</f>
        <v>0.5</v>
      </c>
      <c r="N131" s="69">
        <f>VLOOKUP(A:A,'Seam Tariffs'!A:AB,28,FALSE)</f>
        <v>4.8</v>
      </c>
      <c r="O131" s="69">
        <f>COSTS!$W$6</f>
        <v>1.8958333333333335</v>
      </c>
      <c r="P131" s="69" t="e">
        <f>VLOOKUP(G131,COSTS!$V$11:$X$14,3,FALSE)</f>
        <v>#N/A</v>
      </c>
      <c r="Q131" s="69" t="e">
        <f t="shared" ref="Q131:Q194" si="14">I131+J131+K131+L131+M131+N131+O131+P131</f>
        <v>#N/A</v>
      </c>
      <c r="R131" s="69" t="e">
        <f t="shared" ref="R131:R194" si="15">IF(H131=1,SUM(N131),IF(H131=2,SUM(K131,N131),IF(H131=3,SUM(J131,K131,L131,N131),IF(H131=4,SUM(L131),"ERROR"))))+O131+P131</f>
        <v>#VALUE!</v>
      </c>
      <c r="S131" s="87">
        <f>VLOOKUP(A:A,'Flat Bed &amp; Late Fees'!A:J,6,FALSE)</f>
        <v>0</v>
      </c>
      <c r="T131" s="87">
        <f>VLOOKUP(A:A,'Flat Bed &amp; Late Fees'!A:J,7,FALSE)</f>
        <v>0</v>
      </c>
      <c r="U131" s="68" t="e">
        <f>VLOOKUP(C131&amp;G131,OTR!E:J,6,FALSE)/88</f>
        <v>#N/A</v>
      </c>
      <c r="V131" s="87"/>
      <c r="W131" s="68" t="e">
        <f t="shared" ref="W131:W194" si="16">S131+T131+U131+V131</f>
        <v>#N/A</v>
      </c>
      <c r="X131" s="69" t="e">
        <f>VLOOKUP(G131,COSTS!$Z$18:$AC$23,2,FALSE)</f>
        <v>#N/A</v>
      </c>
      <c r="Y131" s="87" t="e">
        <f>VLOOKUP(G131,COSTS!$Z$18:$AC$23,4,FALSE)</f>
        <v>#N/A</v>
      </c>
      <c r="Z131" s="69">
        <f>(COSTS!$W$3*COSTS!$W$4*500)/52*COSTS!$AE$17</f>
        <v>1.3125</v>
      </c>
      <c r="AB131" s="69" t="e">
        <f t="shared" ref="AB131:AB194" si="17">X131+Y131+Z131+AA131</f>
        <v>#N/A</v>
      </c>
      <c r="AC131" s="69" t="e">
        <f>VLOOKUP(G131,COSTS!$Z$11:$AE$14,5,FALSE)</f>
        <v>#N/A</v>
      </c>
      <c r="AD131" s="69" t="e">
        <f>VLOOKUP(G131,COSTS!$Z$4:$AD$7,4,FALSE)</f>
        <v>#N/A</v>
      </c>
      <c r="AE131" s="69"/>
      <c r="AF131" s="69" t="e">
        <f t="shared" ref="AF131:AF194" si="18">AC131+AD131+AE131</f>
        <v>#N/A</v>
      </c>
      <c r="AG131" s="87">
        <f>((COSTS!$C$5*88)/20)/88</f>
        <v>1.4407150000000002</v>
      </c>
      <c r="AH131" s="69">
        <f>(COSTS!$X$38/88)*20</f>
        <v>0.34865702479338845</v>
      </c>
      <c r="AI131" s="87">
        <f>((COSTS!$E$5*88)/20)/88</f>
        <v>0.62936587135988387</v>
      </c>
      <c r="AJ131" s="87">
        <f>((COSTS!$D$5*88)/20)/88</f>
        <v>0.33676</v>
      </c>
      <c r="AL131" s="387">
        <f t="shared" ref="AL131:AL194" si="19">AG131+AH131+AI131+AJ131+AK131</f>
        <v>2.7554978961532726</v>
      </c>
      <c r="AM131" s="69">
        <f>(COSTS!$W$3+0.1)*500*0.01</f>
        <v>3.9999999999999996</v>
      </c>
      <c r="AN131" s="387">
        <f>((COSTS!$G$5/20)*88)/88</f>
        <v>1.308904109589041</v>
      </c>
      <c r="AR131" s="69">
        <f t="shared" ref="AR131:AR194" si="20">AM131+AN131+AO131+AP131+AQ131</f>
        <v>5.3089041095890401</v>
      </c>
      <c r="AT131" s="1" t="e">
        <f>VLOOKUP(C131&amp;$AT$1,OTR!E:J,6,FALSE)/88</f>
        <v>#N/A</v>
      </c>
      <c r="AU131" s="1" t="e">
        <f>VLOOKUP(C131&amp;$AU$1,OTR!E:J,6,FALSE)/88</f>
        <v>#N/A</v>
      </c>
    </row>
    <row r="132" spans="1:47">
      <c r="A132" s="1">
        <v>853007</v>
      </c>
      <c r="B132" s="1" t="s">
        <v>359</v>
      </c>
      <c r="C132" s="1" t="s">
        <v>2210</v>
      </c>
      <c r="D132" s="1" t="s">
        <v>71</v>
      </c>
      <c r="E132" s="1" t="str">
        <f>VLOOKUP(A:A,'Regions and Ports'!A:G,5,FALSE)</f>
        <v>WTX</v>
      </c>
      <c r="F132" s="1" t="str">
        <f>VLOOKUP(A:A,'Regions and Ports'!A:F,6,FALSE)</f>
        <v>WTX</v>
      </c>
      <c r="G132" s="1" t="str">
        <f>VLOOKUP(A:A,'Regions and Ports'!A:G,7,FALSE)</f>
        <v>Dallas</v>
      </c>
      <c r="H132" s="87">
        <v>2</v>
      </c>
      <c r="I132" s="69">
        <f>VLOOKUP(A:A,'Seam Tariffs'!A:AB,9,FALSE)</f>
        <v>5.5</v>
      </c>
      <c r="J132" s="69">
        <f>VLOOKUP(A:A,'Seam Tariffs'!A:AB,11,FALSE)</f>
        <v>6</v>
      </c>
      <c r="K132" s="69">
        <f>VLOOKUP(A:A,'Seam Tariffs'!A:AB,12,FALSE)</f>
        <v>18.5</v>
      </c>
      <c r="L132" s="69">
        <f>VLOOKUP(A:A,'Seam Tariffs'!A:AB,13,FALSE)</f>
        <v>0</v>
      </c>
      <c r="M132" s="69">
        <f>VLOOKUP(A:A,'Seam Tariffs'!A:AB,14,FALSE)</f>
        <v>0.5</v>
      </c>
      <c r="N132" s="69">
        <f>VLOOKUP(A:A,'Seam Tariffs'!A:AB,28,FALSE)</f>
        <v>3.5</v>
      </c>
      <c r="O132" s="69">
        <f>COSTS!$W$6</f>
        <v>1.8958333333333335</v>
      </c>
      <c r="P132" s="69">
        <f>VLOOKUP(G132,COSTS!$V$11:$X$14,3,FALSE)</f>
        <v>0</v>
      </c>
      <c r="Q132" s="69">
        <f t="shared" si="14"/>
        <v>35.895833333333336</v>
      </c>
      <c r="R132" s="69">
        <f t="shared" si="15"/>
        <v>23.895833333333332</v>
      </c>
      <c r="S132" s="87">
        <f>VLOOKUP(A:A,'Flat Bed &amp; Late Fees'!A:J,6,FALSE)</f>
        <v>0</v>
      </c>
      <c r="T132" s="87">
        <f>VLOOKUP(A:A,'Flat Bed &amp; Late Fees'!A:J,7,FALSE)</f>
        <v>0</v>
      </c>
      <c r="U132" s="68">
        <f>VLOOKUP(C132&amp;G132,OTR!E:J,6,FALSE)/88</f>
        <v>5.4261363636363633</v>
      </c>
      <c r="V132" s="87"/>
      <c r="W132" s="68">
        <f t="shared" si="16"/>
        <v>5.4261363636363633</v>
      </c>
      <c r="X132" s="69">
        <f>VLOOKUP(G132,COSTS!$Z$18:$AC$23,2,FALSE)</f>
        <v>2.7</v>
      </c>
      <c r="Y132" s="87">
        <f>VLOOKUP(G132,COSTS!$Z$18:$AC$23,4,FALSE)</f>
        <v>2.52</v>
      </c>
      <c r="Z132" s="69">
        <f>(COSTS!$W$3*COSTS!$W$4*500)/52*COSTS!$AE$17</f>
        <v>1.3125</v>
      </c>
      <c r="AB132" s="69">
        <f t="shared" si="17"/>
        <v>6.5325000000000006</v>
      </c>
      <c r="AC132" s="69">
        <f>VLOOKUP(G132,COSTS!$Z$11:$AE$14,5,FALSE)</f>
        <v>8.125</v>
      </c>
      <c r="AD132" s="69">
        <f>VLOOKUP(G132,COSTS!$Z$4:$AD$7,4,FALSE)</f>
        <v>13.409090909090908</v>
      </c>
      <c r="AE132" s="69"/>
      <c r="AF132" s="69">
        <f t="shared" si="18"/>
        <v>21.534090909090907</v>
      </c>
      <c r="AG132" s="87">
        <f>((COSTS!$C$5*88)/20)/88</f>
        <v>1.4407150000000002</v>
      </c>
      <c r="AH132" s="69">
        <f>(COSTS!$X$38/88)*20</f>
        <v>0.34865702479338845</v>
      </c>
      <c r="AI132" s="87">
        <f>((COSTS!$E$5*88)/20)/88</f>
        <v>0.62936587135988387</v>
      </c>
      <c r="AJ132" s="87">
        <f>((COSTS!$D$5*88)/20)/88</f>
        <v>0.33676</v>
      </c>
      <c r="AL132" s="387">
        <f t="shared" si="19"/>
        <v>2.7554978961532726</v>
      </c>
      <c r="AM132" s="69">
        <f>(COSTS!$W$3+0.1)*500*0.01</f>
        <v>3.9999999999999996</v>
      </c>
      <c r="AN132" s="387">
        <f>((COSTS!$G$5/20)*88)/88</f>
        <v>1.308904109589041</v>
      </c>
      <c r="AR132" s="69">
        <f t="shared" si="20"/>
        <v>5.3089041095890401</v>
      </c>
      <c r="AT132" s="1">
        <f>VLOOKUP(C132&amp;$AT$1,OTR!E:J,6,FALSE)/88</f>
        <v>14.812386363636364</v>
      </c>
      <c r="AU132" s="1" t="e">
        <f>VLOOKUP(C132&amp;$AU$1,OTR!E:J,6,FALSE)/88</f>
        <v>#N/A</v>
      </c>
    </row>
    <row r="133" spans="1:47">
      <c r="A133" s="125">
        <v>853007</v>
      </c>
      <c r="B133" s="1" t="s">
        <v>359</v>
      </c>
      <c r="C133" s="1" t="s">
        <v>2210</v>
      </c>
      <c r="D133" s="1" t="s">
        <v>71</v>
      </c>
      <c r="E133" s="1" t="s">
        <v>2067</v>
      </c>
      <c r="F133" s="1" t="str">
        <f>VLOOKUP(A:A,'Regions and Ports'!A:F,6,FALSE)</f>
        <v>WTX</v>
      </c>
      <c r="G133" s="1" t="s">
        <v>439</v>
      </c>
      <c r="H133" s="87">
        <v>2</v>
      </c>
      <c r="I133" s="69">
        <f>VLOOKUP(A:A,'Seam Tariffs'!A:AB,9,FALSE)</f>
        <v>5.5</v>
      </c>
      <c r="J133" s="69">
        <f>VLOOKUP(A:A,'Seam Tariffs'!A:AB,11,FALSE)</f>
        <v>6</v>
      </c>
      <c r="K133" s="69">
        <f>VLOOKUP(A:A,'Seam Tariffs'!A:AB,12,FALSE)</f>
        <v>18.5</v>
      </c>
      <c r="L133" s="69">
        <f>VLOOKUP(A:A,'Seam Tariffs'!A:AB,13,FALSE)</f>
        <v>0</v>
      </c>
      <c r="M133" s="69">
        <f>VLOOKUP(A:A,'Seam Tariffs'!A:AB,14,FALSE)</f>
        <v>0.5</v>
      </c>
      <c r="N133" s="69">
        <f>VLOOKUP(A:A,'Seam Tariffs'!A:AB,28,FALSE)</f>
        <v>3.5</v>
      </c>
      <c r="O133" s="69">
        <f>COSTS!$W$6</f>
        <v>1.8958333333333335</v>
      </c>
      <c r="P133" s="69">
        <f>VLOOKUP(G133,COSTS!$V$11:$X$14,3,FALSE)</f>
        <v>0</v>
      </c>
      <c r="Q133" s="69">
        <f t="shared" si="14"/>
        <v>35.895833333333336</v>
      </c>
      <c r="R133" s="69">
        <f t="shared" si="15"/>
        <v>23.895833333333332</v>
      </c>
      <c r="S133" s="87">
        <f>VLOOKUP(A:A,'Flat Bed &amp; Late Fees'!A:J,6,FALSE)</f>
        <v>0</v>
      </c>
      <c r="T133" s="87">
        <f>VLOOKUP(A:A,'Flat Bed &amp; Late Fees'!A:J,7,FALSE)</f>
        <v>0</v>
      </c>
      <c r="U133" s="68">
        <f>VLOOKUP(C133&amp;G133,OTR!E:J,6,FALSE)/88</f>
        <v>9.5</v>
      </c>
      <c r="V133" s="87"/>
      <c r="W133" s="68">
        <f t="shared" si="16"/>
        <v>9.5</v>
      </c>
      <c r="X133" s="69">
        <f>VLOOKUP(G133,COSTS!$Z$18:$AC$23,2,FALSE)</f>
        <v>2.7</v>
      </c>
      <c r="Y133" s="87">
        <f>VLOOKUP(G133,COSTS!$Z$18:$AC$23,4,FALSE)</f>
        <v>2.52</v>
      </c>
      <c r="Z133" s="69">
        <f>(COSTS!$W$3*COSTS!$W$4*500)/52*COSTS!$AE$17</f>
        <v>1.3125</v>
      </c>
      <c r="AB133" s="69">
        <f t="shared" si="17"/>
        <v>6.5325000000000006</v>
      </c>
      <c r="AC133" s="69">
        <f>VLOOKUP(G133,COSTS!$Z$11:$AE$14,5,FALSE)</f>
        <v>6.6477272727272725</v>
      </c>
      <c r="AD133" s="69">
        <f>VLOOKUP(G133,COSTS!$Z$4:$AD$7,4,FALSE)</f>
        <v>9.8977272727272734</v>
      </c>
      <c r="AE133" s="69"/>
      <c r="AF133" s="69">
        <f t="shared" si="18"/>
        <v>16.545454545454547</v>
      </c>
      <c r="AG133" s="87">
        <f>((COSTS!$C$5*88)/20)/88</f>
        <v>1.4407150000000002</v>
      </c>
      <c r="AH133" s="69">
        <f>(COSTS!$X$38/88)*20</f>
        <v>0.34865702479338845</v>
      </c>
      <c r="AI133" s="87">
        <f>((COSTS!$E$5*88)/20)/88</f>
        <v>0.62936587135988387</v>
      </c>
      <c r="AJ133" s="87">
        <f>((COSTS!$D$5*88)/20)/88</f>
        <v>0.33676</v>
      </c>
      <c r="AL133" s="387">
        <f t="shared" si="19"/>
        <v>2.7554978961532726</v>
      </c>
      <c r="AM133" s="69">
        <f>(COSTS!$W$3+0.1)*500*0.01</f>
        <v>3.9999999999999996</v>
      </c>
      <c r="AN133" s="387">
        <f>((COSTS!$G$5/20)*88)/88</f>
        <v>1.308904109589041</v>
      </c>
      <c r="AR133" s="69">
        <f t="shared" si="20"/>
        <v>5.3089041095890401</v>
      </c>
      <c r="AT133" s="1">
        <f>VLOOKUP(C133&amp;$AT$1,OTR!E:J,6,FALSE)/88</f>
        <v>14.812386363636364</v>
      </c>
      <c r="AU133" s="1" t="e">
        <f>VLOOKUP(C133&amp;$AU$1,OTR!E:J,6,FALSE)/88</f>
        <v>#N/A</v>
      </c>
    </row>
    <row r="134" spans="1:47">
      <c r="A134" s="1">
        <v>266405</v>
      </c>
      <c r="B134" s="1" t="s">
        <v>362</v>
      </c>
      <c r="C134" s="1" t="s">
        <v>363</v>
      </c>
      <c r="D134" s="1" t="s">
        <v>76</v>
      </c>
      <c r="E134" s="1" t="str">
        <f>VLOOKUP(A:A,'Regions and Ports'!A:G,5,FALSE)</f>
        <v>GA 30 Day</v>
      </c>
      <c r="F134" s="1" t="str">
        <f>VLOOKUP(A:A,'Regions and Ports'!A:F,6,FALSE)</f>
        <v>ER5</v>
      </c>
      <c r="G134" s="1" t="str">
        <f>VLOOKUP(A:A,'Regions and Ports'!A:G,7,FALSE)</f>
        <v>Savannah</v>
      </c>
      <c r="H134" s="87">
        <v>1</v>
      </c>
      <c r="I134" s="69">
        <f>VLOOKUP(A:A,'Seam Tariffs'!A:AB,9,FALSE)</f>
        <v>4</v>
      </c>
      <c r="J134" s="69">
        <f>VLOOKUP(A:A,'Seam Tariffs'!A:AB,11,FALSE)</f>
        <v>6</v>
      </c>
      <c r="K134" s="69">
        <f>VLOOKUP(A:A,'Seam Tariffs'!A:AB,12,FALSE)</f>
        <v>0</v>
      </c>
      <c r="L134" s="69">
        <f>VLOOKUP(A:A,'Seam Tariffs'!A:AB,13,FALSE)</f>
        <v>0</v>
      </c>
      <c r="M134" s="69">
        <f>VLOOKUP(A:A,'Seam Tariffs'!A:AB,14,FALSE)</f>
        <v>1</v>
      </c>
      <c r="N134" s="69">
        <f>VLOOKUP(A:A,'Seam Tariffs'!A:AB,28,FALSE)</f>
        <v>3</v>
      </c>
      <c r="O134" s="69">
        <f>COSTS!$W$6</f>
        <v>1.8958333333333335</v>
      </c>
      <c r="P134" s="69">
        <f>VLOOKUP(G134,COSTS!$V$11:$X$14,3,FALSE)</f>
        <v>0</v>
      </c>
      <c r="Q134" s="69">
        <f t="shared" si="14"/>
        <v>15.895833333333334</v>
      </c>
      <c r="R134" s="69">
        <f t="shared" si="15"/>
        <v>4.8958333333333339</v>
      </c>
      <c r="S134" s="87">
        <f>VLOOKUP(A:A,'Flat Bed &amp; Late Fees'!A:J,6,FALSE)</f>
        <v>0</v>
      </c>
      <c r="T134" s="87">
        <f>VLOOKUP(A:A,'Flat Bed &amp; Late Fees'!A:J,7,FALSE)</f>
        <v>0</v>
      </c>
      <c r="U134" s="68">
        <f>VLOOKUP(C134&amp;G134,OTR!E:J,6,FALSE)/88</f>
        <v>11.638863636363636</v>
      </c>
      <c r="V134" s="87"/>
      <c r="W134" s="68">
        <f t="shared" si="16"/>
        <v>11.638863636363636</v>
      </c>
      <c r="X134" s="69">
        <f>VLOOKUP(G134,COSTS!$Z$18:$AC$23,2,FALSE)</f>
        <v>2.6</v>
      </c>
      <c r="Y134" s="87">
        <f>VLOOKUP(G134,COSTS!$Z$18:$AC$23,4,FALSE)</f>
        <v>2.52</v>
      </c>
      <c r="Z134" s="69">
        <f>(COSTS!$W$3*COSTS!$W$4*500)/52*COSTS!$AE$17</f>
        <v>1.3125</v>
      </c>
      <c r="AB134" s="69">
        <f t="shared" si="17"/>
        <v>6.4325000000000001</v>
      </c>
      <c r="AC134" s="69">
        <f>VLOOKUP(G134,COSTS!$Z$11:$AE$14,5,FALSE)</f>
        <v>5.5113636363636367</v>
      </c>
      <c r="AD134" s="69">
        <f>VLOOKUP(G134,COSTS!$Z$4:$AD$7,4,FALSE)</f>
        <v>5.3522727272727275</v>
      </c>
      <c r="AE134" s="69"/>
      <c r="AF134" s="69">
        <f t="shared" si="18"/>
        <v>10.863636363636363</v>
      </c>
      <c r="AG134" s="87">
        <f>((COSTS!$C$5*88)/20)/88</f>
        <v>1.4407150000000002</v>
      </c>
      <c r="AH134" s="69">
        <f>(COSTS!$X$38/88)*20</f>
        <v>0.34865702479338845</v>
      </c>
      <c r="AI134" s="87">
        <f>((COSTS!$E$5*88)/20)/88</f>
        <v>0.62936587135988387</v>
      </c>
      <c r="AJ134" s="87">
        <f>((COSTS!$D$5*88)/20)/88</f>
        <v>0.33676</v>
      </c>
      <c r="AL134" s="387">
        <f t="shared" si="19"/>
        <v>2.7554978961532726</v>
      </c>
      <c r="AM134" s="69">
        <f>(COSTS!$W$3+0.1)*500*0.01</f>
        <v>3.9999999999999996</v>
      </c>
      <c r="AN134" s="387">
        <f>((COSTS!$G$5/20)*88)/88</f>
        <v>1.308904109589041</v>
      </c>
      <c r="AR134" s="69">
        <f t="shared" si="20"/>
        <v>5.3089041095890401</v>
      </c>
      <c r="AT134" s="1">
        <f>VLOOKUP(C134&amp;$AT$1,OTR!E:J,6,FALSE)/88</f>
        <v>23.688977272727268</v>
      </c>
      <c r="AU134" s="1" t="e">
        <f>VLOOKUP(C134&amp;$AU$1,OTR!E:J,6,FALSE)/88</f>
        <v>#N/A</v>
      </c>
    </row>
    <row r="135" spans="1:47">
      <c r="A135" s="1">
        <v>858053</v>
      </c>
      <c r="B135" s="1" t="s">
        <v>364</v>
      </c>
      <c r="C135" s="1" t="s">
        <v>365</v>
      </c>
      <c r="D135" s="1" t="s">
        <v>71</v>
      </c>
      <c r="E135" s="1" t="str">
        <f>VLOOKUP(A:A,'Regions and Ports'!A:G,5,FALSE)</f>
        <v>STEX</v>
      </c>
      <c r="F135" s="1" t="str">
        <f>VLOOKUP(A:A,'Regions and Ports'!A:F,6,FALSE)</f>
        <v>STX</v>
      </c>
      <c r="G135" s="1" t="str">
        <f>VLOOKUP(A:A,'Regions and Ports'!A:G,7,FALSE)</f>
        <v>Houston</v>
      </c>
      <c r="H135" s="87">
        <v>3</v>
      </c>
      <c r="I135" s="69">
        <f>VLOOKUP(A:A,'Seam Tariffs'!A:AB,9,FALSE)</f>
        <v>4.75</v>
      </c>
      <c r="J135" s="69">
        <f>VLOOKUP(A:A,'Seam Tariffs'!A:AB,11,FALSE)</f>
        <v>7.5</v>
      </c>
      <c r="K135" s="69">
        <f>VLOOKUP(A:A,'Seam Tariffs'!A:AB,12,FALSE)</f>
        <v>10.5</v>
      </c>
      <c r="L135" s="69">
        <f>VLOOKUP(A:A,'Seam Tariffs'!A:AB,13,FALSE)</f>
        <v>0</v>
      </c>
      <c r="M135" s="69">
        <f>VLOOKUP(A:A,'Seam Tariffs'!A:AB,14,FALSE)</f>
        <v>1.6</v>
      </c>
      <c r="N135" s="69">
        <f>VLOOKUP(A:A,'Seam Tariffs'!A:AB,28,FALSE)</f>
        <v>4.25</v>
      </c>
      <c r="O135" s="69">
        <f>COSTS!$W$6</f>
        <v>1.8958333333333335</v>
      </c>
      <c r="P135" s="69">
        <f>VLOOKUP(G135,COSTS!$V$11:$X$14,3,FALSE)</f>
        <v>0</v>
      </c>
      <c r="Q135" s="69">
        <f t="shared" si="14"/>
        <v>30.495833333333334</v>
      </c>
      <c r="R135" s="69">
        <f t="shared" si="15"/>
        <v>24.145833333333332</v>
      </c>
      <c r="S135" s="87">
        <f>VLOOKUP(A:A,'Flat Bed &amp; Late Fees'!A:J,6,FALSE)</f>
        <v>0</v>
      </c>
      <c r="T135" s="87">
        <f>VLOOKUP(A:A,'Flat Bed &amp; Late Fees'!A:J,7,FALSE)</f>
        <v>0</v>
      </c>
      <c r="U135" s="68">
        <f>VLOOKUP(C135&amp;G135,OTR!E:J,6,FALSE)/88</f>
        <v>6.5340909090909092</v>
      </c>
      <c r="V135" s="87"/>
      <c r="W135" s="68">
        <f t="shared" si="16"/>
        <v>6.5340909090909092</v>
      </c>
      <c r="X135" s="69">
        <f>VLOOKUP(G135,COSTS!$Z$18:$AC$23,2,FALSE)</f>
        <v>2.7</v>
      </c>
      <c r="Y135" s="87">
        <f>VLOOKUP(G135,COSTS!$Z$18:$AC$23,4,FALSE)</f>
        <v>2.52</v>
      </c>
      <c r="Z135" s="69">
        <f>(COSTS!$W$3*COSTS!$W$4*500)/52*COSTS!$AE$17</f>
        <v>1.3125</v>
      </c>
      <c r="AB135" s="69">
        <f t="shared" si="17"/>
        <v>6.5325000000000006</v>
      </c>
      <c r="AC135" s="69">
        <f>VLOOKUP(G135,COSTS!$Z$11:$AE$14,5,FALSE)</f>
        <v>6.6477272727272725</v>
      </c>
      <c r="AD135" s="69">
        <f>VLOOKUP(G135,COSTS!$Z$4:$AD$7,4,FALSE)</f>
        <v>9.8977272727272734</v>
      </c>
      <c r="AE135" s="69"/>
      <c r="AF135" s="69">
        <f t="shared" si="18"/>
        <v>16.545454545454547</v>
      </c>
      <c r="AG135" s="87">
        <f>((COSTS!$C$5*88)/20)/88</f>
        <v>1.4407150000000002</v>
      </c>
      <c r="AH135" s="69">
        <f>(COSTS!$X$38/88)*20</f>
        <v>0.34865702479338845</v>
      </c>
      <c r="AI135" s="87">
        <f>((COSTS!$E$5*88)/20)/88</f>
        <v>0.62936587135988387</v>
      </c>
      <c r="AJ135" s="87">
        <f>((COSTS!$D$5*88)/20)/88</f>
        <v>0.33676</v>
      </c>
      <c r="AL135" s="387">
        <f t="shared" si="19"/>
        <v>2.7554978961532726</v>
      </c>
      <c r="AM135" s="69">
        <f>(COSTS!$W$3+0.1)*500*0.01</f>
        <v>3.9999999999999996</v>
      </c>
      <c r="AN135" s="387">
        <f>((COSTS!$G$5/20)*88)/88</f>
        <v>1.308904109589041</v>
      </c>
      <c r="AR135" s="69">
        <f t="shared" si="20"/>
        <v>5.3089041095890401</v>
      </c>
      <c r="AT135" s="1" t="e">
        <f>VLOOKUP(C135&amp;$AT$1,OTR!E:J,6,FALSE)/88</f>
        <v>#N/A</v>
      </c>
      <c r="AU135" s="1" t="e">
        <f>VLOOKUP(C135&amp;$AU$1,OTR!E:J,6,FALSE)/88</f>
        <v>#N/A</v>
      </c>
    </row>
    <row r="136" spans="1:47">
      <c r="A136" s="1">
        <v>858054</v>
      </c>
      <c r="B136" s="1" t="s">
        <v>368</v>
      </c>
      <c r="C136" s="1" t="s">
        <v>365</v>
      </c>
      <c r="D136" s="1" t="s">
        <v>71</v>
      </c>
      <c r="E136" s="1" t="str">
        <f>VLOOKUP(A:A,'Regions and Ports'!A:G,5,FALSE)</f>
        <v>STEX</v>
      </c>
      <c r="F136" s="1" t="str">
        <f>VLOOKUP(A:A,'Regions and Ports'!A:F,6,FALSE)</f>
        <v>STX</v>
      </c>
      <c r="G136" s="1" t="str">
        <f>VLOOKUP(A:A,'Regions and Ports'!A:G,7,FALSE)</f>
        <v>Houston</v>
      </c>
      <c r="H136" s="87">
        <v>3</v>
      </c>
      <c r="I136" s="69">
        <f>VLOOKUP(A:A,'Seam Tariffs'!A:AB,9,FALSE)</f>
        <v>4.75</v>
      </c>
      <c r="J136" s="69">
        <f>VLOOKUP(A:A,'Seam Tariffs'!A:AB,11,FALSE)</f>
        <v>7.5</v>
      </c>
      <c r="K136" s="69">
        <f>VLOOKUP(A:A,'Seam Tariffs'!A:AB,12,FALSE)</f>
        <v>10.5</v>
      </c>
      <c r="L136" s="69">
        <f>VLOOKUP(A:A,'Seam Tariffs'!A:AB,13,FALSE)</f>
        <v>0</v>
      </c>
      <c r="M136" s="69">
        <f>VLOOKUP(A:A,'Seam Tariffs'!A:AB,14,FALSE)</f>
        <v>1.6</v>
      </c>
      <c r="N136" s="69">
        <f>VLOOKUP(A:A,'Seam Tariffs'!A:AB,28,FALSE)</f>
        <v>4.25</v>
      </c>
      <c r="O136" s="69">
        <f>COSTS!$W$6</f>
        <v>1.8958333333333335</v>
      </c>
      <c r="P136" s="69">
        <f>VLOOKUP(G136,COSTS!$V$11:$X$14,3,FALSE)</f>
        <v>0</v>
      </c>
      <c r="Q136" s="69">
        <f t="shared" si="14"/>
        <v>30.495833333333334</v>
      </c>
      <c r="R136" s="69">
        <f t="shared" si="15"/>
        <v>24.145833333333332</v>
      </c>
      <c r="S136" s="87">
        <f>VLOOKUP(A:A,'Flat Bed &amp; Late Fees'!A:J,6,FALSE)</f>
        <v>0</v>
      </c>
      <c r="T136" s="87">
        <f>VLOOKUP(A:A,'Flat Bed &amp; Late Fees'!A:J,7,FALSE)</f>
        <v>0</v>
      </c>
      <c r="U136" s="68">
        <f>VLOOKUP(C136&amp;G136,OTR!E:J,6,FALSE)/88</f>
        <v>6.5340909090909092</v>
      </c>
      <c r="V136" s="87"/>
      <c r="W136" s="68">
        <f t="shared" si="16"/>
        <v>6.5340909090909092</v>
      </c>
      <c r="X136" s="69">
        <f>VLOOKUP(G136,COSTS!$Z$18:$AC$23,2,FALSE)</f>
        <v>2.7</v>
      </c>
      <c r="Y136" s="87">
        <f>VLOOKUP(G136,COSTS!$Z$18:$AC$23,4,FALSE)</f>
        <v>2.52</v>
      </c>
      <c r="Z136" s="69">
        <f>(COSTS!$W$3*COSTS!$W$4*500)/52*COSTS!$AE$17</f>
        <v>1.3125</v>
      </c>
      <c r="AB136" s="69">
        <f t="shared" si="17"/>
        <v>6.5325000000000006</v>
      </c>
      <c r="AC136" s="69">
        <f>VLOOKUP(G136,COSTS!$Z$11:$AE$14,5,FALSE)</f>
        <v>6.6477272727272725</v>
      </c>
      <c r="AD136" s="69">
        <f>VLOOKUP(G136,COSTS!$Z$4:$AD$7,4,FALSE)</f>
        <v>9.8977272727272734</v>
      </c>
      <c r="AE136" s="69"/>
      <c r="AF136" s="69">
        <f t="shared" si="18"/>
        <v>16.545454545454547</v>
      </c>
      <c r="AG136" s="87">
        <f>((COSTS!$C$5*88)/20)/88</f>
        <v>1.4407150000000002</v>
      </c>
      <c r="AH136" s="69">
        <f>(COSTS!$X$38/88)*20</f>
        <v>0.34865702479338845</v>
      </c>
      <c r="AI136" s="87">
        <f>((COSTS!$E$5*88)/20)/88</f>
        <v>0.62936587135988387</v>
      </c>
      <c r="AJ136" s="87">
        <f>((COSTS!$D$5*88)/20)/88</f>
        <v>0.33676</v>
      </c>
      <c r="AL136" s="387">
        <f t="shared" si="19"/>
        <v>2.7554978961532726</v>
      </c>
      <c r="AM136" s="69">
        <f>(COSTS!$W$3+0.1)*500*0.01</f>
        <v>3.9999999999999996</v>
      </c>
      <c r="AN136" s="387">
        <f>((COSTS!$G$5/20)*88)/88</f>
        <v>1.308904109589041</v>
      </c>
      <c r="AR136" s="69">
        <f t="shared" si="20"/>
        <v>5.3089041095890401</v>
      </c>
      <c r="AT136" s="1" t="e">
        <f>VLOOKUP(C136&amp;$AT$1,OTR!E:J,6,FALSE)/88</f>
        <v>#N/A</v>
      </c>
      <c r="AU136" s="1" t="e">
        <f>VLOOKUP(C136&amp;$AU$1,OTR!E:J,6,FALSE)/88</f>
        <v>#N/A</v>
      </c>
    </row>
    <row r="137" spans="1:47">
      <c r="A137" s="1">
        <v>858055</v>
      </c>
      <c r="B137" s="1" t="s">
        <v>370</v>
      </c>
      <c r="C137" s="1" t="s">
        <v>365</v>
      </c>
      <c r="D137" s="1" t="s">
        <v>71</v>
      </c>
      <c r="E137" s="1" t="str">
        <f>VLOOKUP(A:A,'Regions and Ports'!A:G,5,FALSE)</f>
        <v>STEX</v>
      </c>
      <c r="F137" s="1" t="str">
        <f>VLOOKUP(A:A,'Regions and Ports'!A:F,6,FALSE)</f>
        <v>STX</v>
      </c>
      <c r="G137" s="1" t="str">
        <f>VLOOKUP(A:A,'Regions and Ports'!A:G,7,FALSE)</f>
        <v>Houston</v>
      </c>
      <c r="H137" s="87">
        <v>3</v>
      </c>
      <c r="I137" s="69">
        <f>VLOOKUP(A:A,'Seam Tariffs'!A:AB,9,FALSE)</f>
        <v>4.75</v>
      </c>
      <c r="J137" s="69">
        <f>VLOOKUP(A:A,'Seam Tariffs'!A:AB,11,FALSE)</f>
        <v>7.5</v>
      </c>
      <c r="K137" s="69">
        <f>VLOOKUP(A:A,'Seam Tariffs'!A:AB,12,FALSE)</f>
        <v>10.5</v>
      </c>
      <c r="L137" s="69">
        <f>VLOOKUP(A:A,'Seam Tariffs'!A:AB,13,FALSE)</f>
        <v>0</v>
      </c>
      <c r="M137" s="69">
        <f>VLOOKUP(A:A,'Seam Tariffs'!A:AB,14,FALSE)</f>
        <v>1.6</v>
      </c>
      <c r="N137" s="69">
        <f>VLOOKUP(A:A,'Seam Tariffs'!A:AB,28,FALSE)</f>
        <v>4.25</v>
      </c>
      <c r="O137" s="69">
        <f>COSTS!$W$6</f>
        <v>1.8958333333333335</v>
      </c>
      <c r="P137" s="69">
        <f>VLOOKUP(G137,COSTS!$V$11:$X$14,3,FALSE)</f>
        <v>0</v>
      </c>
      <c r="Q137" s="69">
        <f t="shared" si="14"/>
        <v>30.495833333333334</v>
      </c>
      <c r="R137" s="69">
        <f t="shared" si="15"/>
        <v>24.145833333333332</v>
      </c>
      <c r="S137" s="87">
        <f>VLOOKUP(A:A,'Flat Bed &amp; Late Fees'!A:J,6,FALSE)</f>
        <v>0</v>
      </c>
      <c r="T137" s="87">
        <f>VLOOKUP(A:A,'Flat Bed &amp; Late Fees'!A:J,7,FALSE)</f>
        <v>0</v>
      </c>
      <c r="U137" s="68">
        <f>VLOOKUP(C137&amp;G137,OTR!E:J,6,FALSE)/88</f>
        <v>6.5340909090909092</v>
      </c>
      <c r="V137" s="87"/>
      <c r="W137" s="68">
        <f t="shared" si="16"/>
        <v>6.5340909090909092</v>
      </c>
      <c r="X137" s="69">
        <f>VLOOKUP(G137,COSTS!$Z$18:$AC$23,2,FALSE)</f>
        <v>2.7</v>
      </c>
      <c r="Y137" s="87">
        <f>VLOOKUP(G137,COSTS!$Z$18:$AC$23,4,FALSE)</f>
        <v>2.52</v>
      </c>
      <c r="Z137" s="69">
        <f>(COSTS!$W$3*COSTS!$W$4*500)/52*COSTS!$AE$17</f>
        <v>1.3125</v>
      </c>
      <c r="AB137" s="69">
        <f t="shared" si="17"/>
        <v>6.5325000000000006</v>
      </c>
      <c r="AC137" s="69">
        <f>VLOOKUP(G137,COSTS!$Z$11:$AE$14,5,FALSE)</f>
        <v>6.6477272727272725</v>
      </c>
      <c r="AD137" s="69">
        <f>VLOOKUP(G137,COSTS!$Z$4:$AD$7,4,FALSE)</f>
        <v>9.8977272727272734</v>
      </c>
      <c r="AE137" s="69"/>
      <c r="AF137" s="69">
        <f t="shared" si="18"/>
        <v>16.545454545454547</v>
      </c>
      <c r="AG137" s="87">
        <f>((COSTS!$C$5*88)/20)/88</f>
        <v>1.4407150000000002</v>
      </c>
      <c r="AH137" s="69">
        <f>(COSTS!$X$38/88)*20</f>
        <v>0.34865702479338845</v>
      </c>
      <c r="AI137" s="87">
        <f>((COSTS!$E$5*88)/20)/88</f>
        <v>0.62936587135988387</v>
      </c>
      <c r="AJ137" s="87">
        <f>((COSTS!$D$5*88)/20)/88</f>
        <v>0.33676</v>
      </c>
      <c r="AL137" s="387">
        <f t="shared" si="19"/>
        <v>2.7554978961532726</v>
      </c>
      <c r="AM137" s="69">
        <f>(COSTS!$W$3+0.1)*500*0.01</f>
        <v>3.9999999999999996</v>
      </c>
      <c r="AN137" s="387">
        <f>((COSTS!$G$5/20)*88)/88</f>
        <v>1.308904109589041</v>
      </c>
      <c r="AR137" s="69">
        <f t="shared" si="20"/>
        <v>5.3089041095890401</v>
      </c>
      <c r="AT137" s="1" t="e">
        <f>VLOOKUP(C137&amp;$AT$1,OTR!E:J,6,FALSE)/88</f>
        <v>#N/A</v>
      </c>
      <c r="AU137" s="1" t="e">
        <f>VLOOKUP(C137&amp;$AU$1,OTR!E:J,6,FALSE)/88</f>
        <v>#N/A</v>
      </c>
    </row>
    <row r="138" spans="1:47">
      <c r="A138" s="1">
        <v>858056</v>
      </c>
      <c r="B138" s="1" t="s">
        <v>372</v>
      </c>
      <c r="C138" s="1" t="s">
        <v>365</v>
      </c>
      <c r="D138" s="1" t="s">
        <v>71</v>
      </c>
      <c r="E138" s="1" t="str">
        <f>VLOOKUP(A:A,'Regions and Ports'!A:G,5,FALSE)</f>
        <v>STEX</v>
      </c>
      <c r="F138" s="1" t="str">
        <f>VLOOKUP(A:A,'Regions and Ports'!A:F,6,FALSE)</f>
        <v>STX</v>
      </c>
      <c r="G138" s="1" t="str">
        <f>VLOOKUP(A:A,'Regions and Ports'!A:G,7,FALSE)</f>
        <v>Houston</v>
      </c>
      <c r="H138" s="87">
        <v>3</v>
      </c>
      <c r="I138" s="69">
        <f>VLOOKUP(A:A,'Seam Tariffs'!A:AB,9,FALSE)</f>
        <v>4.75</v>
      </c>
      <c r="J138" s="69">
        <f>VLOOKUP(A:A,'Seam Tariffs'!A:AB,11,FALSE)</f>
        <v>7.5</v>
      </c>
      <c r="K138" s="69">
        <f>VLOOKUP(A:A,'Seam Tariffs'!A:AB,12,FALSE)</f>
        <v>10.5</v>
      </c>
      <c r="L138" s="69">
        <f>VLOOKUP(A:A,'Seam Tariffs'!A:AB,13,FALSE)</f>
        <v>0</v>
      </c>
      <c r="M138" s="69">
        <f>VLOOKUP(A:A,'Seam Tariffs'!A:AB,14,FALSE)</f>
        <v>1.6</v>
      </c>
      <c r="N138" s="69">
        <f>VLOOKUP(A:A,'Seam Tariffs'!A:AB,28,FALSE)</f>
        <v>4.25</v>
      </c>
      <c r="O138" s="69">
        <f>COSTS!$W$6</f>
        <v>1.8958333333333335</v>
      </c>
      <c r="P138" s="69">
        <f>VLOOKUP(G138,COSTS!$V$11:$X$14,3,FALSE)</f>
        <v>0</v>
      </c>
      <c r="Q138" s="69">
        <f t="shared" si="14"/>
        <v>30.495833333333334</v>
      </c>
      <c r="R138" s="69">
        <f t="shared" si="15"/>
        <v>24.145833333333332</v>
      </c>
      <c r="S138" s="87">
        <f>VLOOKUP(A:A,'Flat Bed &amp; Late Fees'!A:J,6,FALSE)</f>
        <v>0</v>
      </c>
      <c r="T138" s="87">
        <f>VLOOKUP(A:A,'Flat Bed &amp; Late Fees'!A:J,7,FALSE)</f>
        <v>0</v>
      </c>
      <c r="U138" s="68">
        <f>VLOOKUP(C138&amp;G138,OTR!E:J,6,FALSE)/88</f>
        <v>6.5340909090909092</v>
      </c>
      <c r="V138" s="87"/>
      <c r="W138" s="68">
        <f t="shared" si="16"/>
        <v>6.5340909090909092</v>
      </c>
      <c r="X138" s="69">
        <f>VLOOKUP(G138,COSTS!$Z$18:$AC$23,2,FALSE)</f>
        <v>2.7</v>
      </c>
      <c r="Y138" s="87">
        <f>VLOOKUP(G138,COSTS!$Z$18:$AC$23,4,FALSE)</f>
        <v>2.52</v>
      </c>
      <c r="Z138" s="69">
        <f>(COSTS!$W$3*COSTS!$W$4*500)/52*COSTS!$AE$17</f>
        <v>1.3125</v>
      </c>
      <c r="AB138" s="69">
        <f t="shared" si="17"/>
        <v>6.5325000000000006</v>
      </c>
      <c r="AC138" s="69">
        <f>VLOOKUP(G138,COSTS!$Z$11:$AE$14,5,FALSE)</f>
        <v>6.6477272727272725</v>
      </c>
      <c r="AD138" s="69">
        <f>VLOOKUP(G138,COSTS!$Z$4:$AD$7,4,FALSE)</f>
        <v>9.8977272727272734</v>
      </c>
      <c r="AE138" s="69"/>
      <c r="AF138" s="69">
        <f t="shared" si="18"/>
        <v>16.545454545454547</v>
      </c>
      <c r="AG138" s="87">
        <f>((COSTS!$C$5*88)/20)/88</f>
        <v>1.4407150000000002</v>
      </c>
      <c r="AH138" s="69">
        <f>(COSTS!$X$38/88)*20</f>
        <v>0.34865702479338845</v>
      </c>
      <c r="AI138" s="87">
        <f>((COSTS!$E$5*88)/20)/88</f>
        <v>0.62936587135988387</v>
      </c>
      <c r="AJ138" s="87">
        <f>((COSTS!$D$5*88)/20)/88</f>
        <v>0.33676</v>
      </c>
      <c r="AL138" s="387">
        <f t="shared" si="19"/>
        <v>2.7554978961532726</v>
      </c>
      <c r="AM138" s="69">
        <f>(COSTS!$W$3+0.1)*500*0.01</f>
        <v>3.9999999999999996</v>
      </c>
      <c r="AN138" s="387">
        <f>((COSTS!$G$5/20)*88)/88</f>
        <v>1.308904109589041</v>
      </c>
      <c r="AR138" s="69">
        <f t="shared" si="20"/>
        <v>5.3089041095890401</v>
      </c>
      <c r="AT138" s="1" t="e">
        <f>VLOOKUP(C138&amp;$AT$1,OTR!E:J,6,FALSE)/88</f>
        <v>#N/A</v>
      </c>
      <c r="AU138" s="1" t="e">
        <f>VLOOKUP(C138&amp;$AU$1,OTR!E:J,6,FALSE)/88</f>
        <v>#N/A</v>
      </c>
    </row>
    <row r="139" spans="1:47">
      <c r="A139" s="1">
        <v>858065</v>
      </c>
      <c r="B139" s="1" t="s">
        <v>374</v>
      </c>
      <c r="C139" s="1" t="s">
        <v>365</v>
      </c>
      <c r="D139" s="1" t="s">
        <v>71</v>
      </c>
      <c r="E139" s="1" t="str">
        <f>VLOOKUP(A:A,'Regions and Ports'!A:G,5,FALSE)</f>
        <v>STEX</v>
      </c>
      <c r="F139" s="1" t="str">
        <f>VLOOKUP(A:A,'Regions and Ports'!A:F,6,FALSE)</f>
        <v>STX</v>
      </c>
      <c r="G139" s="1" t="str">
        <f>VLOOKUP(A:A,'Regions and Ports'!A:G,7,FALSE)</f>
        <v>Houston</v>
      </c>
      <c r="H139" s="87">
        <v>3</v>
      </c>
      <c r="I139" s="69">
        <f>VLOOKUP(A:A,'Seam Tariffs'!A:AB,9,FALSE)</f>
        <v>5.5</v>
      </c>
      <c r="J139" s="69">
        <f>VLOOKUP(A:A,'Seam Tariffs'!A:AB,11,FALSE)</f>
        <v>7.5</v>
      </c>
      <c r="K139" s="69">
        <f>VLOOKUP(A:A,'Seam Tariffs'!A:AB,12,FALSE)</f>
        <v>10</v>
      </c>
      <c r="L139" s="69">
        <f>VLOOKUP(A:A,'Seam Tariffs'!A:AB,13,FALSE)</f>
        <v>0</v>
      </c>
      <c r="M139" s="69">
        <f>VLOOKUP(A:A,'Seam Tariffs'!A:AB,14,FALSE)</f>
        <v>0.5</v>
      </c>
      <c r="N139" s="69">
        <f>VLOOKUP(A:A,'Seam Tariffs'!A:AB,28,FALSE)</f>
        <v>4</v>
      </c>
      <c r="O139" s="69">
        <f>COSTS!$W$6</f>
        <v>1.8958333333333335</v>
      </c>
      <c r="P139" s="69">
        <f>VLOOKUP(G139,COSTS!$V$11:$X$14,3,FALSE)</f>
        <v>0</v>
      </c>
      <c r="Q139" s="69">
        <f t="shared" si="14"/>
        <v>29.395833333333332</v>
      </c>
      <c r="R139" s="69">
        <f t="shared" si="15"/>
        <v>23.395833333333332</v>
      </c>
      <c r="S139" s="87">
        <f>VLOOKUP(A:A,'Flat Bed &amp; Late Fees'!A:J,6,FALSE)</f>
        <v>0</v>
      </c>
      <c r="T139" s="87">
        <f>VLOOKUP(A:A,'Flat Bed &amp; Late Fees'!A:J,7,FALSE)</f>
        <v>0</v>
      </c>
      <c r="U139" s="68">
        <f>VLOOKUP(C139&amp;G139,OTR!E:J,6,FALSE)/88</f>
        <v>6.5340909090909092</v>
      </c>
      <c r="V139" s="87"/>
      <c r="W139" s="68">
        <f t="shared" si="16"/>
        <v>6.5340909090909092</v>
      </c>
      <c r="X139" s="69">
        <f>VLOOKUP(G139,COSTS!$Z$18:$AC$23,2,FALSE)</f>
        <v>2.7</v>
      </c>
      <c r="Y139" s="87">
        <f>VLOOKUP(G139,COSTS!$Z$18:$AC$23,4,FALSE)</f>
        <v>2.52</v>
      </c>
      <c r="Z139" s="69">
        <f>(COSTS!$W$3*COSTS!$W$4*500)/52*COSTS!$AE$17</f>
        <v>1.3125</v>
      </c>
      <c r="AB139" s="69">
        <f t="shared" si="17"/>
        <v>6.5325000000000006</v>
      </c>
      <c r="AC139" s="69">
        <f>VLOOKUP(G139,COSTS!$Z$11:$AE$14,5,FALSE)</f>
        <v>6.6477272727272725</v>
      </c>
      <c r="AD139" s="69">
        <f>VLOOKUP(G139,COSTS!$Z$4:$AD$7,4,FALSE)</f>
        <v>9.8977272727272734</v>
      </c>
      <c r="AE139" s="69"/>
      <c r="AF139" s="69">
        <f t="shared" si="18"/>
        <v>16.545454545454547</v>
      </c>
      <c r="AG139" s="87">
        <f>((COSTS!$C$5*88)/20)/88</f>
        <v>1.4407150000000002</v>
      </c>
      <c r="AH139" s="69">
        <f>(COSTS!$X$38/88)*20</f>
        <v>0.34865702479338845</v>
      </c>
      <c r="AI139" s="87">
        <f>((COSTS!$E$5*88)/20)/88</f>
        <v>0.62936587135988387</v>
      </c>
      <c r="AJ139" s="87">
        <f>((COSTS!$D$5*88)/20)/88</f>
        <v>0.33676</v>
      </c>
      <c r="AL139" s="387">
        <f t="shared" si="19"/>
        <v>2.7554978961532726</v>
      </c>
      <c r="AM139" s="69">
        <f>(COSTS!$W$3+0.1)*500*0.01</f>
        <v>3.9999999999999996</v>
      </c>
      <c r="AN139" s="387">
        <f>((COSTS!$G$5/20)*88)/88</f>
        <v>1.308904109589041</v>
      </c>
      <c r="AR139" s="69">
        <f t="shared" si="20"/>
        <v>5.3089041095890401</v>
      </c>
      <c r="AT139" s="1" t="e">
        <f>VLOOKUP(C139&amp;$AT$1,OTR!E:J,6,FALSE)/88</f>
        <v>#N/A</v>
      </c>
      <c r="AU139" s="1" t="e">
        <f>VLOOKUP(C139&amp;$AU$1,OTR!E:J,6,FALSE)/88</f>
        <v>#N/A</v>
      </c>
    </row>
    <row r="140" spans="1:47">
      <c r="A140" s="1">
        <v>858078</v>
      </c>
      <c r="B140" s="1" t="s">
        <v>376</v>
      </c>
      <c r="C140" s="1" t="s">
        <v>846</v>
      </c>
      <c r="D140" s="1" t="s">
        <v>71</v>
      </c>
      <c r="E140" s="1" t="str">
        <f>VLOOKUP(A:A,'Regions and Ports'!A:G,5,FALSE)</f>
        <v>WTX</v>
      </c>
      <c r="F140" s="1" t="str">
        <f>VLOOKUP(A:A,'Regions and Ports'!A:F,6,FALSE)</f>
        <v>WTX</v>
      </c>
      <c r="G140" s="1" t="str">
        <f>VLOOKUP(A:A,'Regions and Ports'!A:G,7,FALSE)</f>
        <v>Dallas</v>
      </c>
      <c r="H140" s="87">
        <v>2</v>
      </c>
      <c r="I140" s="69">
        <f>VLOOKUP(A:A,'Seam Tariffs'!A:AB,9,FALSE)</f>
        <v>5.25</v>
      </c>
      <c r="J140" s="69">
        <f>VLOOKUP(A:A,'Seam Tariffs'!A:AB,11,FALSE)</f>
        <v>6.25</v>
      </c>
      <c r="K140" s="69">
        <f>VLOOKUP(A:A,'Seam Tariffs'!A:AB,12,FALSE)</f>
        <v>11</v>
      </c>
      <c r="L140" s="69">
        <f>VLOOKUP(A:A,'Seam Tariffs'!A:AB,13,FALSE)</f>
        <v>0</v>
      </c>
      <c r="M140" s="69">
        <f>VLOOKUP(A:A,'Seam Tariffs'!A:AB,14,FALSE)</f>
        <v>0</v>
      </c>
      <c r="N140" s="69">
        <f>VLOOKUP(A:A,'Seam Tariffs'!A:AB,28,FALSE)</f>
        <v>2.65</v>
      </c>
      <c r="O140" s="69">
        <f>COSTS!$W$6</f>
        <v>1.8958333333333335</v>
      </c>
      <c r="P140" s="69">
        <f>VLOOKUP(G140,COSTS!$V$11:$X$14,3,FALSE)</f>
        <v>0</v>
      </c>
      <c r="Q140" s="69">
        <f t="shared" si="14"/>
        <v>27.045833333333331</v>
      </c>
      <c r="R140" s="69">
        <f t="shared" si="15"/>
        <v>15.545833333333334</v>
      </c>
      <c r="S140" s="87">
        <f>VLOOKUP(A:A,'Flat Bed &amp; Late Fees'!A:J,6,FALSE)</f>
        <v>0</v>
      </c>
      <c r="T140" s="87">
        <f>VLOOKUP(A:A,'Flat Bed &amp; Late Fees'!A:J,7,FALSE)</f>
        <v>0</v>
      </c>
      <c r="U140" s="68">
        <f>VLOOKUP(C140&amp;G140,OTR!E:J,6,FALSE)/88</f>
        <v>9.0056818181818183</v>
      </c>
      <c r="V140" s="87"/>
      <c r="W140" s="68">
        <f t="shared" si="16"/>
        <v>9.0056818181818183</v>
      </c>
      <c r="X140" s="69">
        <f>VLOOKUP(G140,COSTS!$Z$18:$AC$23,2,FALSE)</f>
        <v>2.7</v>
      </c>
      <c r="Y140" s="87">
        <f>VLOOKUP(G140,COSTS!$Z$18:$AC$23,4,FALSE)</f>
        <v>2.52</v>
      </c>
      <c r="Z140" s="69">
        <f>(COSTS!$W$3*COSTS!$W$4*500)/52*COSTS!$AE$17</f>
        <v>1.3125</v>
      </c>
      <c r="AB140" s="69">
        <f t="shared" si="17"/>
        <v>6.5325000000000006</v>
      </c>
      <c r="AC140" s="69">
        <f>VLOOKUP(G140,COSTS!$Z$11:$AE$14,5,FALSE)</f>
        <v>8.125</v>
      </c>
      <c r="AD140" s="69">
        <f>VLOOKUP(G140,COSTS!$Z$4:$AD$7,4,FALSE)</f>
        <v>13.409090909090908</v>
      </c>
      <c r="AE140" s="69"/>
      <c r="AF140" s="69">
        <f t="shared" si="18"/>
        <v>21.534090909090907</v>
      </c>
      <c r="AG140" s="87">
        <f>((COSTS!$C$5*88)/20)/88</f>
        <v>1.4407150000000002</v>
      </c>
      <c r="AH140" s="69">
        <f>(COSTS!$X$38/88)*20</f>
        <v>0.34865702479338845</v>
      </c>
      <c r="AI140" s="87">
        <f>((COSTS!$E$5*88)/20)/88</f>
        <v>0.62936587135988387</v>
      </c>
      <c r="AJ140" s="87">
        <f>((COSTS!$D$5*88)/20)/88</f>
        <v>0.33676</v>
      </c>
      <c r="AL140" s="387">
        <f t="shared" si="19"/>
        <v>2.7554978961532726</v>
      </c>
      <c r="AM140" s="69">
        <f>(COSTS!$W$3+0.1)*500*0.01</f>
        <v>3.9999999999999996</v>
      </c>
      <c r="AN140" s="387">
        <f>((COSTS!$G$5/20)*88)/88</f>
        <v>1.308904109589041</v>
      </c>
      <c r="AR140" s="69">
        <f t="shared" si="20"/>
        <v>5.3089041095890401</v>
      </c>
      <c r="AT140" s="1">
        <f>VLOOKUP(C140&amp;$AT$1,OTR!E:J,6,FALSE)/88</f>
        <v>29.088636363636361</v>
      </c>
      <c r="AU140" s="1">
        <f>VLOOKUP(C140&amp;$AU$1,OTR!E:J,6,FALSE)/88</f>
        <v>13.352272727272727</v>
      </c>
    </row>
    <row r="141" spans="1:47">
      <c r="A141" s="125">
        <v>858078</v>
      </c>
      <c r="B141" s="1" t="s">
        <v>376</v>
      </c>
      <c r="C141" s="1" t="s">
        <v>846</v>
      </c>
      <c r="D141" s="1" t="s">
        <v>71</v>
      </c>
      <c r="E141" s="1" t="s">
        <v>2067</v>
      </c>
      <c r="F141" s="1" t="str">
        <f>VLOOKUP(A:A,'Regions and Ports'!A:F,6,FALSE)</f>
        <v>WTX</v>
      </c>
      <c r="G141" s="1" t="s">
        <v>439</v>
      </c>
      <c r="H141" s="87">
        <v>2</v>
      </c>
      <c r="I141" s="69">
        <f>VLOOKUP(A:A,'Seam Tariffs'!A:AB,9,FALSE)</f>
        <v>5.25</v>
      </c>
      <c r="J141" s="69">
        <f>VLOOKUP(A:A,'Seam Tariffs'!A:AB,11,FALSE)</f>
        <v>6.25</v>
      </c>
      <c r="K141" s="69">
        <f>VLOOKUP(A:A,'Seam Tariffs'!A:AB,12,FALSE)</f>
        <v>11</v>
      </c>
      <c r="L141" s="69">
        <f>VLOOKUP(A:A,'Seam Tariffs'!A:AB,13,FALSE)</f>
        <v>0</v>
      </c>
      <c r="M141" s="69">
        <f>VLOOKUP(A:A,'Seam Tariffs'!A:AB,14,FALSE)</f>
        <v>0</v>
      </c>
      <c r="N141" s="69">
        <f>VLOOKUP(A:A,'Seam Tariffs'!A:AB,28,FALSE)</f>
        <v>2.65</v>
      </c>
      <c r="O141" s="69">
        <f>COSTS!$W$6</f>
        <v>1.8958333333333335</v>
      </c>
      <c r="P141" s="69">
        <f>VLOOKUP(G141,COSTS!$V$11:$X$14,3,FALSE)</f>
        <v>0</v>
      </c>
      <c r="Q141" s="69">
        <f t="shared" si="14"/>
        <v>27.045833333333331</v>
      </c>
      <c r="R141" s="69">
        <f t="shared" si="15"/>
        <v>15.545833333333334</v>
      </c>
      <c r="S141" s="87">
        <f>VLOOKUP(A:A,'Flat Bed &amp; Late Fees'!A:J,6,FALSE)</f>
        <v>0</v>
      </c>
      <c r="T141" s="87">
        <f>VLOOKUP(A:A,'Flat Bed &amp; Late Fees'!A:J,7,FALSE)</f>
        <v>0</v>
      </c>
      <c r="U141" s="68">
        <f>VLOOKUP(C141&amp;G141,OTR!E:J,6,FALSE)/88</f>
        <v>13.352272727272727</v>
      </c>
      <c r="V141" s="87"/>
      <c r="W141" s="68">
        <f t="shared" si="16"/>
        <v>13.352272727272727</v>
      </c>
      <c r="X141" s="69">
        <f>VLOOKUP(G141,COSTS!$Z$18:$AC$23,2,FALSE)</f>
        <v>2.7</v>
      </c>
      <c r="Y141" s="87">
        <f>VLOOKUP(G141,COSTS!$Z$18:$AC$23,4,FALSE)</f>
        <v>2.52</v>
      </c>
      <c r="Z141" s="69">
        <f>(COSTS!$W$3*COSTS!$W$4*500)/52*COSTS!$AE$17</f>
        <v>1.3125</v>
      </c>
      <c r="AB141" s="69">
        <f t="shared" si="17"/>
        <v>6.5325000000000006</v>
      </c>
      <c r="AC141" s="69">
        <f>VLOOKUP(G141,COSTS!$Z$11:$AE$14,5,FALSE)</f>
        <v>6.6477272727272725</v>
      </c>
      <c r="AD141" s="69">
        <f>VLOOKUP(G141,COSTS!$Z$4:$AD$7,4,FALSE)</f>
        <v>9.8977272727272734</v>
      </c>
      <c r="AE141" s="69"/>
      <c r="AF141" s="69">
        <f t="shared" si="18"/>
        <v>16.545454545454547</v>
      </c>
      <c r="AG141" s="87">
        <f>((COSTS!$C$5*88)/20)/88</f>
        <v>1.4407150000000002</v>
      </c>
      <c r="AH141" s="69">
        <f>(COSTS!$X$38/88)*20</f>
        <v>0.34865702479338845</v>
      </c>
      <c r="AI141" s="87">
        <f>((COSTS!$E$5*88)/20)/88</f>
        <v>0.62936587135988387</v>
      </c>
      <c r="AJ141" s="87">
        <f>((COSTS!$D$5*88)/20)/88</f>
        <v>0.33676</v>
      </c>
      <c r="AL141" s="387">
        <f t="shared" si="19"/>
        <v>2.7554978961532726</v>
      </c>
      <c r="AM141" s="69">
        <f>(COSTS!$W$3+0.1)*500*0.01</f>
        <v>3.9999999999999996</v>
      </c>
      <c r="AN141" s="387">
        <f>((COSTS!$G$5/20)*88)/88</f>
        <v>1.308904109589041</v>
      </c>
      <c r="AR141" s="69">
        <f t="shared" si="20"/>
        <v>5.3089041095890401</v>
      </c>
      <c r="AT141" s="1">
        <f>VLOOKUP(C141&amp;$AT$1,OTR!E:J,6,FALSE)/88</f>
        <v>29.088636363636361</v>
      </c>
      <c r="AU141" s="1">
        <f>VLOOKUP(C141&amp;$AU$1,OTR!E:J,6,FALSE)/88</f>
        <v>13.352272727272727</v>
      </c>
    </row>
    <row r="142" spans="1:47">
      <c r="A142" s="1">
        <v>570440</v>
      </c>
      <c r="B142" s="1" t="s">
        <v>379</v>
      </c>
      <c r="C142" s="1" t="s">
        <v>380</v>
      </c>
      <c r="D142" s="1" t="s">
        <v>136</v>
      </c>
      <c r="E142" s="1" t="str">
        <f>VLOOKUP(A:A,'Regions and Ports'!A:G,5,FALSE)</f>
        <v>Eastern Rule 5</v>
      </c>
      <c r="F142" s="1" t="str">
        <f>VLOOKUP(A:A,'Regions and Ports'!A:F,6,FALSE)</f>
        <v>ER5</v>
      </c>
      <c r="G142" s="1" t="str">
        <f>VLOOKUP(A:A,'Regions and Ports'!A:G,7,FALSE)</f>
        <v>Savannah</v>
      </c>
      <c r="H142" s="87">
        <v>1</v>
      </c>
      <c r="I142" s="69">
        <f>VLOOKUP(A:A,'Seam Tariffs'!A:AB,9,FALSE)</f>
        <v>4</v>
      </c>
      <c r="J142" s="69">
        <f>VLOOKUP(A:A,'Seam Tariffs'!A:AB,11,FALSE)</f>
        <v>5</v>
      </c>
      <c r="K142" s="69">
        <f>VLOOKUP(A:A,'Seam Tariffs'!A:AB,12,FALSE)</f>
        <v>0</v>
      </c>
      <c r="L142" s="69">
        <f>VLOOKUP(A:A,'Seam Tariffs'!A:AB,13,FALSE)</f>
        <v>0</v>
      </c>
      <c r="M142" s="69">
        <f>VLOOKUP(A:A,'Seam Tariffs'!A:AB,14,FALSE)</f>
        <v>1</v>
      </c>
      <c r="N142" s="69">
        <f>VLOOKUP(A:A,'Seam Tariffs'!A:AB,28,FALSE)</f>
        <v>2</v>
      </c>
      <c r="O142" s="69">
        <f>COSTS!$W$6</f>
        <v>1.8958333333333335</v>
      </c>
      <c r="P142" s="69">
        <f>VLOOKUP(G142,COSTS!$V$11:$X$14,3,FALSE)</f>
        <v>0</v>
      </c>
      <c r="Q142" s="69">
        <f t="shared" si="14"/>
        <v>13.895833333333334</v>
      </c>
      <c r="R142" s="69">
        <f t="shared" si="15"/>
        <v>3.8958333333333335</v>
      </c>
      <c r="S142" s="87">
        <f>VLOOKUP(A:A,'Flat Bed &amp; Late Fees'!A:J,6,FALSE)</f>
        <v>0</v>
      </c>
      <c r="T142" s="87">
        <f>VLOOKUP(A:A,'Flat Bed &amp; Late Fees'!A:J,7,FALSE)</f>
        <v>0</v>
      </c>
      <c r="U142" s="68">
        <f>VLOOKUP(C142&amp;G142,OTR!E:J,6,FALSE)/88</f>
        <v>14.770795454545453</v>
      </c>
      <c r="V142" s="87"/>
      <c r="W142" s="68">
        <f t="shared" si="16"/>
        <v>14.770795454545453</v>
      </c>
      <c r="X142" s="69">
        <f>VLOOKUP(G142,COSTS!$Z$18:$AC$23,2,FALSE)</f>
        <v>2.6</v>
      </c>
      <c r="Y142" s="87">
        <f>VLOOKUP(G142,COSTS!$Z$18:$AC$23,4,FALSE)</f>
        <v>2.52</v>
      </c>
      <c r="Z142" s="69">
        <f>(COSTS!$W$3*COSTS!$W$4*500)/52*COSTS!$AE$17</f>
        <v>1.3125</v>
      </c>
      <c r="AB142" s="69">
        <f t="shared" si="17"/>
        <v>6.4325000000000001</v>
      </c>
      <c r="AC142" s="69">
        <f>VLOOKUP(G142,COSTS!$Z$11:$AE$14,5,FALSE)</f>
        <v>5.5113636363636367</v>
      </c>
      <c r="AD142" s="69">
        <f>VLOOKUP(G142,COSTS!$Z$4:$AD$7,4,FALSE)</f>
        <v>5.3522727272727275</v>
      </c>
      <c r="AE142" s="69"/>
      <c r="AF142" s="69">
        <f t="shared" si="18"/>
        <v>10.863636363636363</v>
      </c>
      <c r="AG142" s="87">
        <f>((COSTS!$C$5*88)/20)/88</f>
        <v>1.4407150000000002</v>
      </c>
      <c r="AH142" s="69">
        <f>(COSTS!$X$38/88)*20</f>
        <v>0.34865702479338845</v>
      </c>
      <c r="AI142" s="87">
        <f>((COSTS!$E$5*88)/20)/88</f>
        <v>0.62936587135988387</v>
      </c>
      <c r="AJ142" s="87">
        <f>((COSTS!$D$5*88)/20)/88</f>
        <v>0.33676</v>
      </c>
      <c r="AL142" s="387">
        <f t="shared" si="19"/>
        <v>2.7554978961532726</v>
      </c>
      <c r="AM142" s="69">
        <f>(COSTS!$W$3+0.1)*500*0.01</f>
        <v>3.9999999999999996</v>
      </c>
      <c r="AN142" s="387">
        <f>((COSTS!$G$5/20)*88)/88</f>
        <v>1.308904109589041</v>
      </c>
      <c r="AR142" s="69">
        <f t="shared" si="20"/>
        <v>5.3089041095890401</v>
      </c>
      <c r="AT142" s="1" t="e">
        <f>VLOOKUP(C142&amp;$AT$1,OTR!E:J,6,FALSE)/88</f>
        <v>#N/A</v>
      </c>
      <c r="AU142" s="1">
        <f>VLOOKUP(C142&amp;$AU$1,OTR!E:J,6,FALSE)/88</f>
        <v>12.142045454545455</v>
      </c>
    </row>
    <row r="143" spans="1:47">
      <c r="A143" s="1">
        <v>570505</v>
      </c>
      <c r="B143" s="1" t="s">
        <v>382</v>
      </c>
      <c r="C143" s="1" t="s">
        <v>383</v>
      </c>
      <c r="D143" s="1" t="s">
        <v>136</v>
      </c>
      <c r="E143" s="1" t="str">
        <f>VLOOKUP(A:A,'Regions and Ports'!A:G,5,FALSE)</f>
        <v>Eastern Rule 5</v>
      </c>
      <c r="F143" s="1" t="str">
        <f>VLOOKUP(A:A,'Regions and Ports'!A:F,6,FALSE)</f>
        <v>ER5</v>
      </c>
      <c r="G143" s="1" t="str">
        <f>VLOOKUP(A:A,'Regions and Ports'!A:G,7,FALSE)</f>
        <v>Savannah</v>
      </c>
      <c r="H143" s="87">
        <v>1</v>
      </c>
      <c r="I143" s="69">
        <f>VLOOKUP(A:A,'Seam Tariffs'!A:AB,9,FALSE)</f>
        <v>2.35</v>
      </c>
      <c r="J143" s="69">
        <f>VLOOKUP(A:A,'Seam Tariffs'!A:AB,11,FALSE)</f>
        <v>3</v>
      </c>
      <c r="K143" s="69">
        <f>VLOOKUP(A:A,'Seam Tariffs'!A:AB,12,FALSE)</f>
        <v>0</v>
      </c>
      <c r="L143" s="69">
        <f>VLOOKUP(A:A,'Seam Tariffs'!A:AB,13,FALSE)</f>
        <v>0</v>
      </c>
      <c r="M143" s="69">
        <f>VLOOKUP(A:A,'Seam Tariffs'!A:AB,14,FALSE)</f>
        <v>0.5</v>
      </c>
      <c r="N143" s="69">
        <f>VLOOKUP(A:A,'Seam Tariffs'!A:AB,28,FALSE)</f>
        <v>2</v>
      </c>
      <c r="O143" s="69">
        <f>COSTS!$W$6</f>
        <v>1.8958333333333335</v>
      </c>
      <c r="P143" s="69">
        <f>VLOOKUP(G143,COSTS!$V$11:$X$14,3,FALSE)</f>
        <v>0</v>
      </c>
      <c r="Q143" s="69">
        <f t="shared" si="14"/>
        <v>9.7458333333333336</v>
      </c>
      <c r="R143" s="69">
        <f t="shared" si="15"/>
        <v>3.8958333333333335</v>
      </c>
      <c r="S143" s="87">
        <f>VLOOKUP(A:A,'Flat Bed &amp; Late Fees'!A:J,6,FALSE)</f>
        <v>0</v>
      </c>
      <c r="T143" s="87">
        <f>VLOOKUP(A:A,'Flat Bed &amp; Late Fees'!A:J,7,FALSE)</f>
        <v>0</v>
      </c>
      <c r="U143" s="68">
        <f>VLOOKUP(C143&amp;G143,OTR!E:J,6,FALSE)/88</f>
        <v>10.851363636363637</v>
      </c>
      <c r="V143" s="87"/>
      <c r="W143" s="68">
        <f t="shared" si="16"/>
        <v>10.851363636363637</v>
      </c>
      <c r="X143" s="69">
        <f>VLOOKUP(G143,COSTS!$Z$18:$AC$23,2,FALSE)</f>
        <v>2.6</v>
      </c>
      <c r="Y143" s="87">
        <f>VLOOKUP(G143,COSTS!$Z$18:$AC$23,4,FALSE)</f>
        <v>2.52</v>
      </c>
      <c r="Z143" s="69">
        <f>(COSTS!$W$3*COSTS!$W$4*500)/52*COSTS!$AE$17</f>
        <v>1.3125</v>
      </c>
      <c r="AB143" s="69">
        <f t="shared" si="17"/>
        <v>6.4325000000000001</v>
      </c>
      <c r="AC143" s="69">
        <f>VLOOKUP(G143,COSTS!$Z$11:$AE$14,5,FALSE)</f>
        <v>5.5113636363636367</v>
      </c>
      <c r="AD143" s="69">
        <f>VLOOKUP(G143,COSTS!$Z$4:$AD$7,4,FALSE)</f>
        <v>5.3522727272727275</v>
      </c>
      <c r="AE143" s="69"/>
      <c r="AF143" s="69">
        <f t="shared" si="18"/>
        <v>10.863636363636363</v>
      </c>
      <c r="AG143" s="87">
        <f>((COSTS!$C$5*88)/20)/88</f>
        <v>1.4407150000000002</v>
      </c>
      <c r="AH143" s="69">
        <f>(COSTS!$X$38/88)*20</f>
        <v>0.34865702479338845</v>
      </c>
      <c r="AI143" s="87">
        <f>((COSTS!$E$5*88)/20)/88</f>
        <v>0.62936587135988387</v>
      </c>
      <c r="AJ143" s="87">
        <f>((COSTS!$D$5*88)/20)/88</f>
        <v>0.33676</v>
      </c>
      <c r="AL143" s="387">
        <f t="shared" si="19"/>
        <v>2.7554978961532726</v>
      </c>
      <c r="AM143" s="69">
        <f>(COSTS!$W$3+0.1)*500*0.01</f>
        <v>3.9999999999999996</v>
      </c>
      <c r="AN143" s="387">
        <f>((COSTS!$G$5/20)*88)/88</f>
        <v>1.308904109589041</v>
      </c>
      <c r="AR143" s="69">
        <f t="shared" si="20"/>
        <v>5.3089041095890401</v>
      </c>
      <c r="AT143" s="1" t="e">
        <f>VLOOKUP(C143&amp;$AT$1,OTR!E:J,6,FALSE)/88</f>
        <v>#N/A</v>
      </c>
      <c r="AU143" s="1">
        <f>VLOOKUP(C143&amp;$AU$1,OTR!E:J,6,FALSE)/88</f>
        <v>5.6818181818181817</v>
      </c>
    </row>
    <row r="144" spans="1:47">
      <c r="A144" s="1">
        <v>570507</v>
      </c>
      <c r="B144" s="1" t="s">
        <v>384</v>
      </c>
      <c r="C144" s="1" t="s">
        <v>383</v>
      </c>
      <c r="D144" s="1" t="s">
        <v>136</v>
      </c>
      <c r="E144" s="1" t="str">
        <f>VLOOKUP(A:A,'Regions and Ports'!A:G,5,FALSE)</f>
        <v>Eastern Rule 5</v>
      </c>
      <c r="F144" s="1" t="str">
        <f>VLOOKUP(A:A,'Regions and Ports'!A:F,6,FALSE)</f>
        <v>ER5</v>
      </c>
      <c r="G144" s="1" t="str">
        <f>VLOOKUP(A:A,'Regions and Ports'!A:G,7,FALSE)</f>
        <v>Savannah</v>
      </c>
      <c r="H144" s="87">
        <v>1</v>
      </c>
      <c r="I144" s="69">
        <f>VLOOKUP(A:A,'Seam Tariffs'!A:AB,9,FALSE)</f>
        <v>2.75</v>
      </c>
      <c r="J144" s="69">
        <f>VLOOKUP(A:A,'Seam Tariffs'!A:AB,11,FALSE)</f>
        <v>3</v>
      </c>
      <c r="K144" s="69">
        <f>VLOOKUP(A:A,'Seam Tariffs'!A:AB,12,FALSE)</f>
        <v>0</v>
      </c>
      <c r="L144" s="69">
        <f>VLOOKUP(A:A,'Seam Tariffs'!A:AB,13,FALSE)</f>
        <v>0</v>
      </c>
      <c r="M144" s="69">
        <f>VLOOKUP(A:A,'Seam Tariffs'!A:AB,14,FALSE)</f>
        <v>0.5</v>
      </c>
      <c r="N144" s="69">
        <f>VLOOKUP(A:A,'Seam Tariffs'!A:AB,28,FALSE)</f>
        <v>1.7</v>
      </c>
      <c r="O144" s="69">
        <f>COSTS!$W$6</f>
        <v>1.8958333333333335</v>
      </c>
      <c r="P144" s="69">
        <f>VLOOKUP(G144,COSTS!$V$11:$X$14,3,FALSE)</f>
        <v>0</v>
      </c>
      <c r="Q144" s="69">
        <f t="shared" si="14"/>
        <v>9.8458333333333332</v>
      </c>
      <c r="R144" s="69">
        <f t="shared" si="15"/>
        <v>3.5958333333333332</v>
      </c>
      <c r="S144" s="87">
        <f>VLOOKUP(A:A,'Flat Bed &amp; Late Fees'!A:J,6,FALSE)</f>
        <v>0</v>
      </c>
      <c r="T144" s="87">
        <f>VLOOKUP(A:A,'Flat Bed &amp; Late Fees'!A:J,7,FALSE)</f>
        <v>0</v>
      </c>
      <c r="U144" s="68">
        <f>VLOOKUP(C144&amp;G144,OTR!E:J,6,FALSE)/88</f>
        <v>10.851363636363637</v>
      </c>
      <c r="V144" s="87"/>
      <c r="W144" s="68">
        <f t="shared" si="16"/>
        <v>10.851363636363637</v>
      </c>
      <c r="X144" s="69">
        <f>VLOOKUP(G144,COSTS!$Z$18:$AC$23,2,FALSE)</f>
        <v>2.6</v>
      </c>
      <c r="Y144" s="87">
        <f>VLOOKUP(G144,COSTS!$Z$18:$AC$23,4,FALSE)</f>
        <v>2.52</v>
      </c>
      <c r="Z144" s="69">
        <f>(COSTS!$W$3*COSTS!$W$4*500)/52*COSTS!$AE$17</f>
        <v>1.3125</v>
      </c>
      <c r="AB144" s="69">
        <f t="shared" si="17"/>
        <v>6.4325000000000001</v>
      </c>
      <c r="AC144" s="69">
        <f>VLOOKUP(G144,COSTS!$Z$11:$AE$14,5,FALSE)</f>
        <v>5.5113636363636367</v>
      </c>
      <c r="AD144" s="69">
        <f>VLOOKUP(G144,COSTS!$Z$4:$AD$7,4,FALSE)</f>
        <v>5.3522727272727275</v>
      </c>
      <c r="AE144" s="69"/>
      <c r="AF144" s="69">
        <f t="shared" si="18"/>
        <v>10.863636363636363</v>
      </c>
      <c r="AG144" s="87">
        <f>((COSTS!$C$5*88)/20)/88</f>
        <v>1.4407150000000002</v>
      </c>
      <c r="AH144" s="69">
        <f>(COSTS!$X$38/88)*20</f>
        <v>0.34865702479338845</v>
      </c>
      <c r="AI144" s="87">
        <f>((COSTS!$E$5*88)/20)/88</f>
        <v>0.62936587135988387</v>
      </c>
      <c r="AJ144" s="87">
        <f>((COSTS!$D$5*88)/20)/88</f>
        <v>0.33676</v>
      </c>
      <c r="AL144" s="387">
        <f t="shared" si="19"/>
        <v>2.7554978961532726</v>
      </c>
      <c r="AM144" s="69">
        <f>(COSTS!$W$3+0.1)*500*0.01</f>
        <v>3.9999999999999996</v>
      </c>
      <c r="AN144" s="387">
        <f>((COSTS!$G$5/20)*88)/88</f>
        <v>1.308904109589041</v>
      </c>
      <c r="AR144" s="69">
        <f t="shared" si="20"/>
        <v>5.3089041095890401</v>
      </c>
      <c r="AT144" s="1" t="e">
        <f>VLOOKUP(C144&amp;$AT$1,OTR!E:J,6,FALSE)/88</f>
        <v>#N/A</v>
      </c>
      <c r="AU144" s="1">
        <f>VLOOKUP(C144&amp;$AU$1,OTR!E:J,6,FALSE)/88</f>
        <v>5.6818181818181817</v>
      </c>
    </row>
    <row r="145" spans="1:47">
      <c r="A145" s="1">
        <v>570620</v>
      </c>
      <c r="B145" s="1" t="s">
        <v>385</v>
      </c>
      <c r="C145" s="1" t="s">
        <v>386</v>
      </c>
      <c r="D145" s="1" t="s">
        <v>136</v>
      </c>
      <c r="E145" s="1" t="str">
        <f>VLOOKUP(A:A,'Regions and Ports'!A:G,5,FALSE)</f>
        <v>Eastern Rule 5</v>
      </c>
      <c r="F145" s="1" t="str">
        <f>VLOOKUP(A:A,'Regions and Ports'!A:F,6,FALSE)</f>
        <v>ER5</v>
      </c>
      <c r="G145" s="1" t="str">
        <f>VLOOKUP(A:A,'Regions and Ports'!A:G,7,FALSE)</f>
        <v>Savannah</v>
      </c>
      <c r="H145" s="87">
        <v>1</v>
      </c>
      <c r="I145" s="69">
        <f>VLOOKUP(A:A,'Seam Tariffs'!A:AB,9,FALSE)</f>
        <v>2</v>
      </c>
      <c r="J145" s="69">
        <f>VLOOKUP(A:A,'Seam Tariffs'!A:AB,11,FALSE)</f>
        <v>4</v>
      </c>
      <c r="K145" s="69">
        <f>VLOOKUP(A:A,'Seam Tariffs'!A:AB,12,FALSE)</f>
        <v>0</v>
      </c>
      <c r="L145" s="69">
        <f>VLOOKUP(A:A,'Seam Tariffs'!A:AB,13,FALSE)</f>
        <v>0</v>
      </c>
      <c r="M145" s="69">
        <f>VLOOKUP(A:A,'Seam Tariffs'!A:AB,14,FALSE)</f>
        <v>0.25</v>
      </c>
      <c r="N145" s="69">
        <f>VLOOKUP(A:A,'Seam Tariffs'!A:AB,28,FALSE)</f>
        <v>1.7</v>
      </c>
      <c r="O145" s="69">
        <f>COSTS!$W$6</f>
        <v>1.8958333333333335</v>
      </c>
      <c r="P145" s="69">
        <f>VLOOKUP(G145,COSTS!$V$11:$X$14,3,FALSE)</f>
        <v>0</v>
      </c>
      <c r="Q145" s="69">
        <f t="shared" si="14"/>
        <v>9.8458333333333332</v>
      </c>
      <c r="R145" s="69">
        <f t="shared" si="15"/>
        <v>3.5958333333333332</v>
      </c>
      <c r="S145" s="87">
        <f>VLOOKUP(A:A,'Flat Bed &amp; Late Fees'!A:J,6,FALSE)</f>
        <v>0</v>
      </c>
      <c r="T145" s="87">
        <f>VLOOKUP(A:A,'Flat Bed &amp; Late Fees'!A:J,7,FALSE)</f>
        <v>0</v>
      </c>
      <c r="U145" s="68">
        <f>VLOOKUP(C145&amp;G145,OTR!E:J,6,FALSE)/88</f>
        <v>15.07284090909091</v>
      </c>
      <c r="V145" s="87"/>
      <c r="W145" s="68">
        <f t="shared" si="16"/>
        <v>15.07284090909091</v>
      </c>
      <c r="X145" s="69">
        <f>VLOOKUP(G145,COSTS!$Z$18:$AC$23,2,FALSE)</f>
        <v>2.6</v>
      </c>
      <c r="Y145" s="87">
        <f>VLOOKUP(G145,COSTS!$Z$18:$AC$23,4,FALSE)</f>
        <v>2.52</v>
      </c>
      <c r="Z145" s="69">
        <f>(COSTS!$W$3*COSTS!$W$4*500)/52*COSTS!$AE$17</f>
        <v>1.3125</v>
      </c>
      <c r="AB145" s="69">
        <f t="shared" si="17"/>
        <v>6.4325000000000001</v>
      </c>
      <c r="AC145" s="69">
        <f>VLOOKUP(G145,COSTS!$Z$11:$AE$14,5,FALSE)</f>
        <v>5.5113636363636367</v>
      </c>
      <c r="AD145" s="69">
        <f>VLOOKUP(G145,COSTS!$Z$4:$AD$7,4,FALSE)</f>
        <v>5.3522727272727275</v>
      </c>
      <c r="AE145" s="69"/>
      <c r="AF145" s="69">
        <f t="shared" si="18"/>
        <v>10.863636363636363</v>
      </c>
      <c r="AG145" s="87">
        <f>((COSTS!$C$5*88)/20)/88</f>
        <v>1.4407150000000002</v>
      </c>
      <c r="AH145" s="69">
        <f>(COSTS!$X$38/88)*20</f>
        <v>0.34865702479338845</v>
      </c>
      <c r="AI145" s="87">
        <f>((COSTS!$E$5*88)/20)/88</f>
        <v>0.62936587135988387</v>
      </c>
      <c r="AJ145" s="87">
        <f>((COSTS!$D$5*88)/20)/88</f>
        <v>0.33676</v>
      </c>
      <c r="AL145" s="387">
        <f t="shared" si="19"/>
        <v>2.7554978961532726</v>
      </c>
      <c r="AM145" s="69">
        <f>(COSTS!$W$3+0.1)*500*0.01</f>
        <v>3.9999999999999996</v>
      </c>
      <c r="AN145" s="387">
        <f>((COSTS!$G$5/20)*88)/88</f>
        <v>1.308904109589041</v>
      </c>
      <c r="AR145" s="69">
        <f t="shared" si="20"/>
        <v>5.3089041095890401</v>
      </c>
      <c r="AT145" s="1" t="e">
        <f>VLOOKUP(C145&amp;$AT$1,OTR!E:J,6,FALSE)/88</f>
        <v>#N/A</v>
      </c>
      <c r="AU145" s="1">
        <f>VLOOKUP(C145&amp;$AU$1,OTR!E:J,6,FALSE)/88</f>
        <v>13.693181818181818</v>
      </c>
    </row>
    <row r="146" spans="1:47">
      <c r="A146" s="1">
        <v>571536</v>
      </c>
      <c r="B146" s="1" t="s">
        <v>388</v>
      </c>
      <c r="C146" s="1" t="s">
        <v>389</v>
      </c>
      <c r="D146" s="1" t="s">
        <v>136</v>
      </c>
      <c r="E146" s="1" t="str">
        <f>VLOOKUP(A:A,'Regions and Ports'!A:G,5,FALSE)</f>
        <v>Eastern Rule 5</v>
      </c>
      <c r="F146" s="1" t="str">
        <f>VLOOKUP(A:A,'Regions and Ports'!A:F,6,FALSE)</f>
        <v>ER5</v>
      </c>
      <c r="G146" s="1" t="str">
        <f>VLOOKUP(A:A,'Regions and Ports'!A:G,7,FALSE)</f>
        <v>Savannah</v>
      </c>
      <c r="H146" s="87">
        <v>1</v>
      </c>
      <c r="I146" s="69">
        <f>VLOOKUP(A:A,'Seam Tariffs'!A:AB,9,FALSE)</f>
        <v>2</v>
      </c>
      <c r="J146" s="69">
        <f>VLOOKUP(A:A,'Seam Tariffs'!A:AB,11,FALSE)</f>
        <v>4</v>
      </c>
      <c r="K146" s="69">
        <f>VLOOKUP(A:A,'Seam Tariffs'!A:AB,12,FALSE)</f>
        <v>0</v>
      </c>
      <c r="L146" s="69">
        <f>VLOOKUP(A:A,'Seam Tariffs'!A:AB,13,FALSE)</f>
        <v>0</v>
      </c>
      <c r="M146" s="69">
        <f>VLOOKUP(A:A,'Seam Tariffs'!A:AB,14,FALSE)</f>
        <v>0.75</v>
      </c>
      <c r="N146" s="69">
        <f>VLOOKUP(A:A,'Seam Tariffs'!A:AB,28,FALSE)</f>
        <v>1.7</v>
      </c>
      <c r="O146" s="69">
        <f>COSTS!$W$6</f>
        <v>1.8958333333333335</v>
      </c>
      <c r="P146" s="69">
        <f>VLOOKUP(G146,COSTS!$V$11:$X$14,3,FALSE)</f>
        <v>0</v>
      </c>
      <c r="Q146" s="69">
        <f t="shared" si="14"/>
        <v>10.345833333333333</v>
      </c>
      <c r="R146" s="69">
        <f t="shared" si="15"/>
        <v>3.5958333333333332</v>
      </c>
      <c r="S146" s="87">
        <f>VLOOKUP(A:A,'Flat Bed &amp; Late Fees'!A:J,6,FALSE)</f>
        <v>0</v>
      </c>
      <c r="T146" s="87">
        <f>VLOOKUP(A:A,'Flat Bed &amp; Late Fees'!A:J,7,FALSE)</f>
        <v>0</v>
      </c>
      <c r="U146" s="68">
        <f>VLOOKUP(C146&amp;G146,OTR!E:J,6,FALSE)/88</f>
        <v>15.07284090909091</v>
      </c>
      <c r="V146" s="87"/>
      <c r="W146" s="68">
        <f t="shared" si="16"/>
        <v>15.07284090909091</v>
      </c>
      <c r="X146" s="69">
        <f>VLOOKUP(G146,COSTS!$Z$18:$AC$23,2,FALSE)</f>
        <v>2.6</v>
      </c>
      <c r="Y146" s="87">
        <f>VLOOKUP(G146,COSTS!$Z$18:$AC$23,4,FALSE)</f>
        <v>2.52</v>
      </c>
      <c r="Z146" s="69">
        <f>(COSTS!$W$3*COSTS!$W$4*500)/52*COSTS!$AE$17</f>
        <v>1.3125</v>
      </c>
      <c r="AB146" s="69">
        <f t="shared" si="17"/>
        <v>6.4325000000000001</v>
      </c>
      <c r="AC146" s="69">
        <f>VLOOKUP(G146,COSTS!$Z$11:$AE$14,5,FALSE)</f>
        <v>5.5113636363636367</v>
      </c>
      <c r="AD146" s="69">
        <f>VLOOKUP(G146,COSTS!$Z$4:$AD$7,4,FALSE)</f>
        <v>5.3522727272727275</v>
      </c>
      <c r="AE146" s="69"/>
      <c r="AF146" s="69">
        <f t="shared" si="18"/>
        <v>10.863636363636363</v>
      </c>
      <c r="AG146" s="87">
        <f>((COSTS!$C$5*88)/20)/88</f>
        <v>1.4407150000000002</v>
      </c>
      <c r="AH146" s="69">
        <f>(COSTS!$X$38/88)*20</f>
        <v>0.34865702479338845</v>
      </c>
      <c r="AI146" s="87">
        <f>((COSTS!$E$5*88)/20)/88</f>
        <v>0.62936587135988387</v>
      </c>
      <c r="AJ146" s="87">
        <f>((COSTS!$D$5*88)/20)/88</f>
        <v>0.33676</v>
      </c>
      <c r="AL146" s="387">
        <f t="shared" si="19"/>
        <v>2.7554978961532726</v>
      </c>
      <c r="AM146" s="69">
        <f>(COSTS!$W$3+0.1)*500*0.01</f>
        <v>3.9999999999999996</v>
      </c>
      <c r="AN146" s="387">
        <f>((COSTS!$G$5/20)*88)/88</f>
        <v>1.308904109589041</v>
      </c>
      <c r="AR146" s="69">
        <f t="shared" si="20"/>
        <v>5.3089041095890401</v>
      </c>
      <c r="AT146" s="1" t="e">
        <f>VLOOKUP(C146&amp;$AT$1,OTR!E:J,6,FALSE)/88</f>
        <v>#N/A</v>
      </c>
      <c r="AU146" s="1">
        <f>VLOOKUP(C146&amp;$AU$1,OTR!E:J,6,FALSE)/88</f>
        <v>13.607954545454545</v>
      </c>
    </row>
    <row r="147" spans="1:47">
      <c r="A147" s="1">
        <v>122007</v>
      </c>
      <c r="B147" s="1" t="s">
        <v>390</v>
      </c>
      <c r="C147" s="1" t="s">
        <v>391</v>
      </c>
      <c r="D147" s="1" t="s">
        <v>319</v>
      </c>
      <c r="E147" s="1" t="str">
        <f>VLOOKUP(A:A,'Regions and Ports'!A:G,5,FALSE)</f>
        <v>Southwest</v>
      </c>
      <c r="F147" s="1">
        <f>VLOOKUP(A:A,'Regions and Ports'!A:F,6,FALSE)</f>
        <v>0</v>
      </c>
      <c r="G147" s="1" t="str">
        <f>VLOOKUP(A:A,'Regions and Ports'!A:G,7,FALSE)</f>
        <v>Los Angeles</v>
      </c>
      <c r="H147" s="87">
        <v>6</v>
      </c>
      <c r="I147" s="69">
        <f>VLOOKUP(A:A,'Seam Tariffs'!A:AB,9,FALSE)</f>
        <v>4</v>
      </c>
      <c r="J147" s="69">
        <f>VLOOKUP(A:A,'Seam Tariffs'!A:AB,11,FALSE)</f>
        <v>9</v>
      </c>
      <c r="K147" s="69">
        <f>VLOOKUP(A:A,'Seam Tariffs'!A:AB,12,FALSE)</f>
        <v>9.5</v>
      </c>
      <c r="L147" s="69">
        <f>VLOOKUP(A:A,'Seam Tariffs'!A:AB,13,FALSE)</f>
        <v>0</v>
      </c>
      <c r="M147" s="69">
        <f>VLOOKUP(A:A,'Seam Tariffs'!A:AB,14,FALSE)</f>
        <v>1</v>
      </c>
      <c r="N147" s="69">
        <f>VLOOKUP(A:A,'Seam Tariffs'!A:AB,28,FALSE)</f>
        <v>4.8</v>
      </c>
      <c r="O147" s="69">
        <f>COSTS!$W$6</f>
        <v>1.8958333333333335</v>
      </c>
      <c r="P147" s="69" t="e">
        <f>VLOOKUP(G147,COSTS!$V$11:$X$14,3,FALSE)</f>
        <v>#N/A</v>
      </c>
      <c r="Q147" s="69" t="e">
        <f t="shared" si="14"/>
        <v>#N/A</v>
      </c>
      <c r="R147" s="69" t="e">
        <f t="shared" si="15"/>
        <v>#VALUE!</v>
      </c>
      <c r="S147" s="87">
        <f>VLOOKUP(A:A,'Flat Bed &amp; Late Fees'!A:J,6,FALSE)</f>
        <v>0</v>
      </c>
      <c r="T147" s="87">
        <f>VLOOKUP(A:A,'Flat Bed &amp; Late Fees'!A:J,7,FALSE)</f>
        <v>0</v>
      </c>
      <c r="U147" s="68" t="e">
        <f>VLOOKUP(C147&amp;G147,OTR!E:J,6,FALSE)/88</f>
        <v>#N/A</v>
      </c>
      <c r="V147" s="87"/>
      <c r="W147" s="68" t="e">
        <f t="shared" si="16"/>
        <v>#N/A</v>
      </c>
      <c r="X147" s="69" t="e">
        <f>VLOOKUP(G147,COSTS!$Z$18:$AC$23,2,FALSE)</f>
        <v>#N/A</v>
      </c>
      <c r="Y147" s="87" t="e">
        <f>VLOOKUP(G147,COSTS!$Z$18:$AC$23,4,FALSE)</f>
        <v>#N/A</v>
      </c>
      <c r="Z147" s="69">
        <f>(COSTS!$W$3*COSTS!$W$4*500)/52*COSTS!$AE$17</f>
        <v>1.3125</v>
      </c>
      <c r="AB147" s="69" t="e">
        <f t="shared" si="17"/>
        <v>#N/A</v>
      </c>
      <c r="AC147" s="69" t="e">
        <f>VLOOKUP(G147,COSTS!$Z$11:$AE$14,5,FALSE)</f>
        <v>#N/A</v>
      </c>
      <c r="AD147" s="69" t="e">
        <f>VLOOKUP(G147,COSTS!$Z$4:$AD$7,4,FALSE)</f>
        <v>#N/A</v>
      </c>
      <c r="AE147" s="69"/>
      <c r="AF147" s="69" t="e">
        <f t="shared" si="18"/>
        <v>#N/A</v>
      </c>
      <c r="AG147" s="87">
        <f>((COSTS!$C$5*88)/20)/88</f>
        <v>1.4407150000000002</v>
      </c>
      <c r="AH147" s="69">
        <f>(COSTS!$X$38/88)*20</f>
        <v>0.34865702479338845</v>
      </c>
      <c r="AI147" s="87">
        <f>((COSTS!$E$5*88)/20)/88</f>
        <v>0.62936587135988387</v>
      </c>
      <c r="AJ147" s="87">
        <f>((COSTS!$D$5*88)/20)/88</f>
        <v>0.33676</v>
      </c>
      <c r="AL147" s="387">
        <f t="shared" si="19"/>
        <v>2.7554978961532726</v>
      </c>
      <c r="AM147" s="69">
        <f>(COSTS!$W$3+0.1)*500*0.01</f>
        <v>3.9999999999999996</v>
      </c>
      <c r="AN147" s="387">
        <f>((COSTS!$G$5/20)*88)/88</f>
        <v>1.308904109589041</v>
      </c>
      <c r="AR147" s="69">
        <f t="shared" si="20"/>
        <v>5.3089041095890401</v>
      </c>
      <c r="AT147" s="1" t="e">
        <f>VLOOKUP(C147&amp;$AT$1,OTR!E:J,6,FALSE)/88</f>
        <v>#N/A</v>
      </c>
      <c r="AU147" s="1" t="e">
        <f>VLOOKUP(C147&amp;$AU$1,OTR!E:J,6,FALSE)/88</f>
        <v>#N/A</v>
      </c>
    </row>
    <row r="148" spans="1:47">
      <c r="A148" s="1">
        <v>925011</v>
      </c>
      <c r="B148" s="1" t="s">
        <v>393</v>
      </c>
      <c r="C148" s="1" t="s">
        <v>394</v>
      </c>
      <c r="D148" s="1" t="s">
        <v>71</v>
      </c>
      <c r="E148" s="1" t="str">
        <f>VLOOKUP(A:A,'Regions and Ports'!A:G,5,FALSE)</f>
        <v>WTX</v>
      </c>
      <c r="F148" s="1" t="str">
        <f>VLOOKUP(A:A,'Regions and Ports'!A:F,6,FALSE)</f>
        <v>WTX</v>
      </c>
      <c r="G148" s="1" t="str">
        <f>VLOOKUP(A:A,'Regions and Ports'!A:G,7,FALSE)</f>
        <v>Dallas</v>
      </c>
      <c r="H148" s="87">
        <v>2</v>
      </c>
      <c r="I148" s="69">
        <f>VLOOKUP(A:A,'Seam Tariffs'!A:AB,9,FALSE)</f>
        <v>4.75</v>
      </c>
      <c r="J148" s="69">
        <f>VLOOKUP(A:A,'Seam Tariffs'!A:AB,11,FALSE)</f>
        <v>7.5</v>
      </c>
      <c r="K148" s="69">
        <f>VLOOKUP(A:A,'Seam Tariffs'!A:AB,12,FALSE)</f>
        <v>10.5</v>
      </c>
      <c r="L148" s="69">
        <f>VLOOKUP(A:A,'Seam Tariffs'!A:AB,13,FALSE)</f>
        <v>0</v>
      </c>
      <c r="M148" s="69">
        <f>VLOOKUP(A:A,'Seam Tariffs'!A:AB,14,FALSE)</f>
        <v>1.6</v>
      </c>
      <c r="N148" s="69">
        <f>VLOOKUP(A:A,'Seam Tariffs'!A:AB,28,FALSE)</f>
        <v>4.25</v>
      </c>
      <c r="O148" s="69">
        <f>COSTS!$W$6</f>
        <v>1.8958333333333335</v>
      </c>
      <c r="P148" s="69">
        <f>VLOOKUP(G148,COSTS!$V$11:$X$14,3,FALSE)</f>
        <v>0</v>
      </c>
      <c r="Q148" s="69">
        <f t="shared" si="14"/>
        <v>30.495833333333334</v>
      </c>
      <c r="R148" s="69">
        <f t="shared" si="15"/>
        <v>16.645833333333332</v>
      </c>
      <c r="S148" s="87">
        <f>VLOOKUP(A:A,'Flat Bed &amp; Late Fees'!A:J,6,FALSE)</f>
        <v>0</v>
      </c>
      <c r="T148" s="87">
        <f>VLOOKUP(A:A,'Flat Bed &amp; Late Fees'!A:J,7,FALSE)</f>
        <v>0</v>
      </c>
      <c r="U148" s="68">
        <f>VLOOKUP(C148&amp;G148,OTR!E:J,6,FALSE)/88</f>
        <v>5.1704545454545459</v>
      </c>
      <c r="V148" s="87"/>
      <c r="W148" s="68">
        <f t="shared" si="16"/>
        <v>5.1704545454545459</v>
      </c>
      <c r="X148" s="69">
        <f>VLOOKUP(G148,COSTS!$Z$18:$AC$23,2,FALSE)</f>
        <v>2.7</v>
      </c>
      <c r="Y148" s="87">
        <f>VLOOKUP(G148,COSTS!$Z$18:$AC$23,4,FALSE)</f>
        <v>2.52</v>
      </c>
      <c r="Z148" s="69">
        <f>(COSTS!$W$3*COSTS!$W$4*500)/52*COSTS!$AE$17</f>
        <v>1.3125</v>
      </c>
      <c r="AB148" s="69">
        <f t="shared" si="17"/>
        <v>6.5325000000000006</v>
      </c>
      <c r="AC148" s="69">
        <f>VLOOKUP(G148,COSTS!$Z$11:$AE$14,5,FALSE)</f>
        <v>8.125</v>
      </c>
      <c r="AD148" s="69">
        <f>VLOOKUP(G148,COSTS!$Z$4:$AD$7,4,FALSE)</f>
        <v>13.409090909090908</v>
      </c>
      <c r="AE148" s="69"/>
      <c r="AF148" s="69">
        <f t="shared" si="18"/>
        <v>21.534090909090907</v>
      </c>
      <c r="AG148" s="87">
        <f>((COSTS!$C$5*88)/20)/88</f>
        <v>1.4407150000000002</v>
      </c>
      <c r="AH148" s="69">
        <f>(COSTS!$X$38/88)*20</f>
        <v>0.34865702479338845</v>
      </c>
      <c r="AI148" s="87">
        <f>((COSTS!$E$5*88)/20)/88</f>
        <v>0.62936587135988387</v>
      </c>
      <c r="AJ148" s="87">
        <f>((COSTS!$D$5*88)/20)/88</f>
        <v>0.33676</v>
      </c>
      <c r="AL148" s="387">
        <f t="shared" si="19"/>
        <v>2.7554978961532726</v>
      </c>
      <c r="AM148" s="69">
        <f>(COSTS!$W$3+0.1)*500*0.01</f>
        <v>3.9999999999999996</v>
      </c>
      <c r="AN148" s="387">
        <f>((COSTS!$G$5/20)*88)/88</f>
        <v>1.308904109589041</v>
      </c>
      <c r="AR148" s="69">
        <f t="shared" si="20"/>
        <v>5.3089041095890401</v>
      </c>
      <c r="AT148" s="1">
        <f>VLOOKUP(C148&amp;$AT$1,OTR!E:J,6,FALSE)/88</f>
        <v>14.908522727272725</v>
      </c>
      <c r="AU148" s="1" t="e">
        <f>VLOOKUP(C148&amp;$AU$1,OTR!E:J,6,FALSE)/88</f>
        <v>#N/A</v>
      </c>
    </row>
    <row r="149" spans="1:47">
      <c r="A149" s="125">
        <v>925011</v>
      </c>
      <c r="B149" s="1" t="s">
        <v>393</v>
      </c>
      <c r="C149" s="1" t="s">
        <v>394</v>
      </c>
      <c r="D149" s="1" t="s">
        <v>71</v>
      </c>
      <c r="E149" s="1" t="s">
        <v>2067</v>
      </c>
      <c r="F149" s="1" t="str">
        <f>VLOOKUP(A:A,'Regions and Ports'!A:F,6,FALSE)</f>
        <v>WTX</v>
      </c>
      <c r="G149" s="1" t="s">
        <v>439</v>
      </c>
      <c r="H149" s="87">
        <v>2</v>
      </c>
      <c r="I149" s="69">
        <f>VLOOKUP(A:A,'Seam Tariffs'!A:AB,9,FALSE)</f>
        <v>4.75</v>
      </c>
      <c r="J149" s="69">
        <f>VLOOKUP(A:A,'Seam Tariffs'!A:AB,11,FALSE)</f>
        <v>7.5</v>
      </c>
      <c r="K149" s="69">
        <f>VLOOKUP(A:A,'Seam Tariffs'!A:AB,12,FALSE)</f>
        <v>10.5</v>
      </c>
      <c r="L149" s="69">
        <f>VLOOKUP(A:A,'Seam Tariffs'!A:AB,13,FALSE)</f>
        <v>0</v>
      </c>
      <c r="M149" s="69">
        <f>VLOOKUP(A:A,'Seam Tariffs'!A:AB,14,FALSE)</f>
        <v>1.6</v>
      </c>
      <c r="N149" s="69">
        <f>VLOOKUP(A:A,'Seam Tariffs'!A:AB,28,FALSE)</f>
        <v>4.25</v>
      </c>
      <c r="O149" s="69">
        <f>COSTS!$W$6</f>
        <v>1.8958333333333335</v>
      </c>
      <c r="P149" s="69">
        <f>VLOOKUP(G149,COSTS!$V$11:$X$14,3,FALSE)</f>
        <v>0</v>
      </c>
      <c r="Q149" s="69">
        <f t="shared" si="14"/>
        <v>30.495833333333334</v>
      </c>
      <c r="R149" s="69">
        <f t="shared" si="15"/>
        <v>16.645833333333332</v>
      </c>
      <c r="S149" s="87">
        <f>VLOOKUP(A:A,'Flat Bed &amp; Late Fees'!A:J,6,FALSE)</f>
        <v>0</v>
      </c>
      <c r="T149" s="87">
        <f>VLOOKUP(A:A,'Flat Bed &amp; Late Fees'!A:J,7,FALSE)</f>
        <v>0</v>
      </c>
      <c r="U149" s="68">
        <f>VLOOKUP(C149&amp;G149,OTR!E:J,6,FALSE)/88</f>
        <v>11.835227272727273</v>
      </c>
      <c r="V149" s="87"/>
      <c r="W149" s="68">
        <f t="shared" si="16"/>
        <v>11.835227272727273</v>
      </c>
      <c r="X149" s="69">
        <f>VLOOKUP(G149,COSTS!$Z$18:$AC$23,2,FALSE)</f>
        <v>2.7</v>
      </c>
      <c r="Y149" s="87">
        <f>VLOOKUP(G149,COSTS!$Z$18:$AC$23,4,FALSE)</f>
        <v>2.52</v>
      </c>
      <c r="Z149" s="69">
        <f>(COSTS!$W$3*COSTS!$W$4*500)/52*COSTS!$AE$17</f>
        <v>1.3125</v>
      </c>
      <c r="AB149" s="69">
        <f t="shared" si="17"/>
        <v>6.5325000000000006</v>
      </c>
      <c r="AC149" s="69">
        <f>VLOOKUP(G149,COSTS!$Z$11:$AE$14,5,FALSE)</f>
        <v>6.6477272727272725</v>
      </c>
      <c r="AD149" s="69">
        <f>VLOOKUP(G149,COSTS!$Z$4:$AD$7,4,FALSE)</f>
        <v>9.8977272727272734</v>
      </c>
      <c r="AE149" s="69"/>
      <c r="AF149" s="69">
        <f t="shared" si="18"/>
        <v>16.545454545454547</v>
      </c>
      <c r="AG149" s="87">
        <f>((COSTS!$C$5*88)/20)/88</f>
        <v>1.4407150000000002</v>
      </c>
      <c r="AH149" s="69">
        <f>(COSTS!$X$38/88)*20</f>
        <v>0.34865702479338845</v>
      </c>
      <c r="AI149" s="87">
        <f>((COSTS!$E$5*88)/20)/88</f>
        <v>0.62936587135988387</v>
      </c>
      <c r="AJ149" s="87">
        <f>((COSTS!$D$5*88)/20)/88</f>
        <v>0.33676</v>
      </c>
      <c r="AL149" s="387">
        <f t="shared" si="19"/>
        <v>2.7554978961532726</v>
      </c>
      <c r="AM149" s="69">
        <f>(COSTS!$W$3+0.1)*500*0.01</f>
        <v>3.9999999999999996</v>
      </c>
      <c r="AN149" s="387">
        <f>((COSTS!$G$5/20)*88)/88</f>
        <v>1.308904109589041</v>
      </c>
      <c r="AR149" s="69">
        <f t="shared" si="20"/>
        <v>5.3089041095890401</v>
      </c>
      <c r="AT149" s="1">
        <f>VLOOKUP(C149&amp;$AT$1,OTR!E:J,6,FALSE)/88</f>
        <v>14.908522727272725</v>
      </c>
      <c r="AU149" s="1" t="e">
        <f>VLOOKUP(C149&amp;$AU$1,OTR!E:J,6,FALSE)/88</f>
        <v>#N/A</v>
      </c>
    </row>
    <row r="150" spans="1:47">
      <c r="A150" s="1">
        <v>476505</v>
      </c>
      <c r="B150" s="1" t="s">
        <v>395</v>
      </c>
      <c r="C150" s="1" t="s">
        <v>396</v>
      </c>
      <c r="D150" s="1" t="s">
        <v>128</v>
      </c>
      <c r="E150" s="1" t="str">
        <f>VLOOKUP(A:A,'Regions and Ports'!A:G,5,FALSE)</f>
        <v>Memphis Rule 5</v>
      </c>
      <c r="F150" s="1" t="str">
        <f>VLOOKUP(A:A,'Regions and Ports'!A:F,6,FALSE)</f>
        <v>MR5</v>
      </c>
      <c r="G150" s="1" t="str">
        <f>VLOOKUP(A:A,'Regions and Ports'!A:G,7,FALSE)</f>
        <v>Memphis</v>
      </c>
      <c r="H150" s="87">
        <v>1</v>
      </c>
      <c r="I150" s="69">
        <f>VLOOKUP(A:A,'Seam Tariffs'!A:AB,9,FALSE)</f>
        <v>1.5</v>
      </c>
      <c r="J150" s="69">
        <f>VLOOKUP(A:A,'Seam Tariffs'!A:AB,11,FALSE)</f>
        <v>3.75</v>
      </c>
      <c r="K150" s="69">
        <f>VLOOKUP(A:A,'Seam Tariffs'!A:AB,12,FALSE)</f>
        <v>8</v>
      </c>
      <c r="L150" s="69">
        <f>VLOOKUP(A:A,'Seam Tariffs'!A:AB,13,FALSE)</f>
        <v>3.05</v>
      </c>
      <c r="M150" s="69">
        <f>VLOOKUP(A:A,'Seam Tariffs'!A:AB,14,FALSE)</f>
        <v>0.5</v>
      </c>
      <c r="N150" s="69">
        <f>VLOOKUP(A:A,'Seam Tariffs'!A:AB,28,FALSE)</f>
        <v>3.15</v>
      </c>
      <c r="O150" s="69">
        <f>COSTS!$W$6</f>
        <v>1.8958333333333335</v>
      </c>
      <c r="P150" s="69">
        <f>VLOOKUP(G150,COSTS!$V$11:$X$14,3,FALSE)</f>
        <v>0</v>
      </c>
      <c r="Q150" s="69">
        <f t="shared" si="14"/>
        <v>21.845833333333331</v>
      </c>
      <c r="R150" s="69">
        <f t="shared" si="15"/>
        <v>5.0458333333333334</v>
      </c>
      <c r="S150" s="87">
        <f>VLOOKUP(A:A,'Flat Bed &amp; Late Fees'!A:J,6,FALSE)</f>
        <v>0</v>
      </c>
      <c r="T150" s="87">
        <f>VLOOKUP(A:A,'Flat Bed &amp; Late Fees'!A:J,7,FALSE)</f>
        <v>0</v>
      </c>
      <c r="U150" s="68">
        <f>VLOOKUP(C150&amp;G150,OTR!E:J,6,FALSE)/88</f>
        <v>10.880681818181818</v>
      </c>
      <c r="V150" s="87"/>
      <c r="W150" s="68">
        <f t="shared" si="16"/>
        <v>10.880681818181818</v>
      </c>
      <c r="X150" s="69">
        <f>VLOOKUP(G150,COSTS!$Z$18:$AC$23,2,FALSE)</f>
        <v>2.5</v>
      </c>
      <c r="Y150" s="87">
        <f>VLOOKUP(G150,COSTS!$Z$18:$AC$23,4,FALSE)</f>
        <v>1.68</v>
      </c>
      <c r="Z150" s="69">
        <f>(COSTS!$W$3*COSTS!$W$4*500)/52*COSTS!$AE$17</f>
        <v>1.3125</v>
      </c>
      <c r="AB150" s="69">
        <f t="shared" si="17"/>
        <v>5.4924999999999997</v>
      </c>
      <c r="AC150" s="69">
        <f>VLOOKUP(G150,COSTS!$Z$11:$AE$14,5,FALSE)</f>
        <v>7.3011363636363633</v>
      </c>
      <c r="AD150" s="69">
        <f>VLOOKUP(G150,COSTS!$Z$4:$AD$7,4,FALSE)</f>
        <v>9.1363636363636367</v>
      </c>
      <c r="AE150" s="69"/>
      <c r="AF150" s="69">
        <f t="shared" si="18"/>
        <v>16.4375</v>
      </c>
      <c r="AG150" s="87">
        <f>((COSTS!$C$5*88)/20)/88</f>
        <v>1.4407150000000002</v>
      </c>
      <c r="AH150" s="69">
        <f>(COSTS!$X$38/88)*20</f>
        <v>0.34865702479338845</v>
      </c>
      <c r="AI150" s="87">
        <f>((COSTS!$E$5*88)/20)/88</f>
        <v>0.62936587135988387</v>
      </c>
      <c r="AJ150" s="87">
        <f>((COSTS!$D$5*88)/20)/88</f>
        <v>0.33676</v>
      </c>
      <c r="AL150" s="387">
        <f t="shared" si="19"/>
        <v>2.7554978961532726</v>
      </c>
      <c r="AM150" s="69">
        <f>(COSTS!$W$3+0.1)*500*0.01</f>
        <v>3.9999999999999996</v>
      </c>
      <c r="AN150" s="387">
        <f>((COSTS!$G$5/20)*88)/88</f>
        <v>1.308904109589041</v>
      </c>
      <c r="AR150" s="69">
        <f t="shared" si="20"/>
        <v>5.3089041095890401</v>
      </c>
      <c r="AT150" s="1">
        <f>VLOOKUP(C150&amp;$AT$1,OTR!E:J,6,FALSE)/88</f>
        <v>24.41</v>
      </c>
      <c r="AU150" s="1">
        <f>VLOOKUP(C150&amp;$AU$1,OTR!E:J,6,FALSE)/88</f>
        <v>25.488636363636363</v>
      </c>
    </row>
    <row r="151" spans="1:47">
      <c r="A151" s="1">
        <v>476510</v>
      </c>
      <c r="B151" s="1" t="s">
        <v>399</v>
      </c>
      <c r="C151" s="1" t="s">
        <v>396</v>
      </c>
      <c r="D151" s="1" t="s">
        <v>128</v>
      </c>
      <c r="E151" s="1" t="str">
        <f>VLOOKUP(A:A,'Regions and Ports'!A:G,5,FALSE)</f>
        <v>Memphis Rule 5</v>
      </c>
      <c r="F151" s="1" t="str">
        <f>VLOOKUP(A:A,'Regions and Ports'!A:F,6,FALSE)</f>
        <v>MR5</v>
      </c>
      <c r="G151" s="1" t="str">
        <f>VLOOKUP(A:A,'Regions and Ports'!A:G,7,FALSE)</f>
        <v>Memphis</v>
      </c>
      <c r="H151" s="87">
        <v>1</v>
      </c>
      <c r="I151" s="69">
        <f>VLOOKUP(A:A,'Seam Tariffs'!A:AB,9,FALSE)</f>
        <v>1.5</v>
      </c>
      <c r="J151" s="69">
        <f>VLOOKUP(A:A,'Seam Tariffs'!A:AB,11,FALSE)</f>
        <v>3.75</v>
      </c>
      <c r="K151" s="69">
        <f>VLOOKUP(A:A,'Seam Tariffs'!A:AB,12,FALSE)</f>
        <v>8</v>
      </c>
      <c r="L151" s="69">
        <f>VLOOKUP(A:A,'Seam Tariffs'!A:AB,13,FALSE)</f>
        <v>3.05</v>
      </c>
      <c r="M151" s="69">
        <f>VLOOKUP(A:A,'Seam Tariffs'!A:AB,14,FALSE)</f>
        <v>0.5</v>
      </c>
      <c r="N151" s="69">
        <f>VLOOKUP(A:A,'Seam Tariffs'!A:AB,28,FALSE)</f>
        <v>3.15</v>
      </c>
      <c r="O151" s="69">
        <f>COSTS!$W$6</f>
        <v>1.8958333333333335</v>
      </c>
      <c r="P151" s="69">
        <f>VLOOKUP(G151,COSTS!$V$11:$X$14,3,FALSE)</f>
        <v>0</v>
      </c>
      <c r="Q151" s="69">
        <f t="shared" si="14"/>
        <v>21.845833333333331</v>
      </c>
      <c r="R151" s="69">
        <f t="shared" si="15"/>
        <v>5.0458333333333334</v>
      </c>
      <c r="S151" s="87">
        <f>VLOOKUP(A:A,'Flat Bed &amp; Late Fees'!A:J,6,FALSE)</f>
        <v>0</v>
      </c>
      <c r="T151" s="87">
        <f>VLOOKUP(A:A,'Flat Bed &amp; Late Fees'!A:J,7,FALSE)</f>
        <v>0</v>
      </c>
      <c r="U151" s="68">
        <f>VLOOKUP(C151&amp;G151,OTR!E:J,6,FALSE)/88</f>
        <v>10.880681818181818</v>
      </c>
      <c r="V151" s="87"/>
      <c r="W151" s="68">
        <f t="shared" si="16"/>
        <v>10.880681818181818</v>
      </c>
      <c r="X151" s="69">
        <f>VLOOKUP(G151,COSTS!$Z$18:$AC$23,2,FALSE)</f>
        <v>2.5</v>
      </c>
      <c r="Y151" s="87">
        <f>VLOOKUP(G151,COSTS!$Z$18:$AC$23,4,FALSE)</f>
        <v>1.68</v>
      </c>
      <c r="Z151" s="69">
        <f>(COSTS!$W$3*COSTS!$W$4*500)/52*COSTS!$AE$17</f>
        <v>1.3125</v>
      </c>
      <c r="AB151" s="69">
        <f t="shared" si="17"/>
        <v>5.4924999999999997</v>
      </c>
      <c r="AC151" s="69">
        <f>VLOOKUP(G151,COSTS!$Z$11:$AE$14,5,FALSE)</f>
        <v>7.3011363636363633</v>
      </c>
      <c r="AD151" s="69">
        <f>VLOOKUP(G151,COSTS!$Z$4:$AD$7,4,FALSE)</f>
        <v>9.1363636363636367</v>
      </c>
      <c r="AE151" s="69"/>
      <c r="AF151" s="69">
        <f t="shared" si="18"/>
        <v>16.4375</v>
      </c>
      <c r="AG151" s="87">
        <f>((COSTS!$C$5*88)/20)/88</f>
        <v>1.4407150000000002</v>
      </c>
      <c r="AH151" s="69">
        <f>(COSTS!$X$38/88)*20</f>
        <v>0.34865702479338845</v>
      </c>
      <c r="AI151" s="87">
        <f>((COSTS!$E$5*88)/20)/88</f>
        <v>0.62936587135988387</v>
      </c>
      <c r="AJ151" s="87">
        <f>((COSTS!$D$5*88)/20)/88</f>
        <v>0.33676</v>
      </c>
      <c r="AL151" s="387">
        <f t="shared" si="19"/>
        <v>2.7554978961532726</v>
      </c>
      <c r="AM151" s="69">
        <f>(COSTS!$W$3+0.1)*500*0.01</f>
        <v>3.9999999999999996</v>
      </c>
      <c r="AN151" s="387">
        <f>((COSTS!$G$5/20)*88)/88</f>
        <v>1.308904109589041</v>
      </c>
      <c r="AR151" s="69">
        <f t="shared" si="20"/>
        <v>5.3089041095890401</v>
      </c>
      <c r="AT151" s="1">
        <f>VLOOKUP(C151&amp;$AT$1,OTR!E:J,6,FALSE)/88</f>
        <v>24.41</v>
      </c>
      <c r="AU151" s="1">
        <f>VLOOKUP(C151&amp;$AU$1,OTR!E:J,6,FALSE)/88</f>
        <v>25.488636363636363</v>
      </c>
    </row>
    <row r="152" spans="1:47">
      <c r="A152" s="1">
        <v>476512</v>
      </c>
      <c r="B152" s="1" t="s">
        <v>398</v>
      </c>
      <c r="C152" s="1" t="s">
        <v>396</v>
      </c>
      <c r="D152" s="1" t="s">
        <v>128</v>
      </c>
      <c r="E152" s="1" t="str">
        <f>VLOOKUP(A:A,'Regions and Ports'!A:G,5,FALSE)</f>
        <v>Memphis Rule 5</v>
      </c>
      <c r="F152" s="1" t="str">
        <f>VLOOKUP(A:A,'Regions and Ports'!A:F,6,FALSE)</f>
        <v>MR5</v>
      </c>
      <c r="G152" s="1" t="str">
        <f>VLOOKUP(A:A,'Regions and Ports'!A:G,7,FALSE)</f>
        <v>Memphis</v>
      </c>
      <c r="H152" s="87">
        <v>1</v>
      </c>
      <c r="I152" s="69">
        <f>VLOOKUP(A:A,'Seam Tariffs'!A:AB,9,FALSE)</f>
        <v>1.85</v>
      </c>
      <c r="J152" s="69">
        <f>VLOOKUP(A:A,'Seam Tariffs'!A:AB,11,FALSE)</f>
        <v>4</v>
      </c>
      <c r="K152" s="69">
        <f>VLOOKUP(A:A,'Seam Tariffs'!A:AB,12,FALSE)</f>
        <v>7</v>
      </c>
      <c r="L152" s="69">
        <f>VLOOKUP(A:A,'Seam Tariffs'!A:AB,13,FALSE)</f>
        <v>3.05</v>
      </c>
      <c r="M152" s="69">
        <f>VLOOKUP(A:A,'Seam Tariffs'!A:AB,14,FALSE)</f>
        <v>0</v>
      </c>
      <c r="N152" s="69">
        <f>VLOOKUP(A:A,'Seam Tariffs'!A:AB,28,FALSE)</f>
        <v>3</v>
      </c>
      <c r="O152" s="69">
        <f>COSTS!$W$6</f>
        <v>1.8958333333333335</v>
      </c>
      <c r="P152" s="69">
        <f>VLOOKUP(G152,COSTS!$V$11:$X$14,3,FALSE)</f>
        <v>0</v>
      </c>
      <c r="Q152" s="69">
        <f t="shared" si="14"/>
        <v>20.795833333333331</v>
      </c>
      <c r="R152" s="69">
        <f t="shared" si="15"/>
        <v>4.8958333333333339</v>
      </c>
      <c r="S152" s="87">
        <f>VLOOKUP(A:A,'Flat Bed &amp; Late Fees'!A:J,6,FALSE)</f>
        <v>0</v>
      </c>
      <c r="T152" s="87">
        <f>VLOOKUP(A:A,'Flat Bed &amp; Late Fees'!A:J,7,FALSE)</f>
        <v>0</v>
      </c>
      <c r="U152" s="68">
        <f>VLOOKUP(C152&amp;G152,OTR!E:J,6,FALSE)/88</f>
        <v>10.880681818181818</v>
      </c>
      <c r="V152" s="87"/>
      <c r="W152" s="68">
        <f t="shared" si="16"/>
        <v>10.880681818181818</v>
      </c>
      <c r="X152" s="69">
        <f>VLOOKUP(G152,COSTS!$Z$18:$AC$23,2,FALSE)</f>
        <v>2.5</v>
      </c>
      <c r="Y152" s="87">
        <f>VLOOKUP(G152,COSTS!$Z$18:$AC$23,4,FALSE)</f>
        <v>1.68</v>
      </c>
      <c r="Z152" s="69">
        <f>(COSTS!$W$3*COSTS!$W$4*500)/52*COSTS!$AE$17</f>
        <v>1.3125</v>
      </c>
      <c r="AB152" s="69">
        <f t="shared" si="17"/>
        <v>5.4924999999999997</v>
      </c>
      <c r="AC152" s="69">
        <f>VLOOKUP(G152,COSTS!$Z$11:$AE$14,5,FALSE)</f>
        <v>7.3011363636363633</v>
      </c>
      <c r="AD152" s="69">
        <f>VLOOKUP(G152,COSTS!$Z$4:$AD$7,4,FALSE)</f>
        <v>9.1363636363636367</v>
      </c>
      <c r="AE152" s="69"/>
      <c r="AF152" s="69">
        <f t="shared" si="18"/>
        <v>16.4375</v>
      </c>
      <c r="AG152" s="87">
        <f>((COSTS!$C$5*88)/20)/88</f>
        <v>1.4407150000000002</v>
      </c>
      <c r="AH152" s="69">
        <f>(COSTS!$X$38/88)*20</f>
        <v>0.34865702479338845</v>
      </c>
      <c r="AI152" s="87">
        <f>((COSTS!$E$5*88)/20)/88</f>
        <v>0.62936587135988387</v>
      </c>
      <c r="AJ152" s="87">
        <f>((COSTS!$D$5*88)/20)/88</f>
        <v>0.33676</v>
      </c>
      <c r="AL152" s="387">
        <f t="shared" si="19"/>
        <v>2.7554978961532726</v>
      </c>
      <c r="AM152" s="69">
        <f>(COSTS!$W$3+0.1)*500*0.01</f>
        <v>3.9999999999999996</v>
      </c>
      <c r="AN152" s="387">
        <f>((COSTS!$G$5/20)*88)/88</f>
        <v>1.308904109589041</v>
      </c>
      <c r="AR152" s="69">
        <f t="shared" si="20"/>
        <v>5.3089041095890401</v>
      </c>
      <c r="AT152" s="1">
        <f>VLOOKUP(C152&amp;$AT$1,OTR!E:J,6,FALSE)/88</f>
        <v>24.41</v>
      </c>
      <c r="AU152" s="1">
        <f>VLOOKUP(C152&amp;$AU$1,OTR!E:J,6,FALSE)/88</f>
        <v>25.488636363636363</v>
      </c>
    </row>
    <row r="153" spans="1:47">
      <c r="A153" s="1">
        <v>710530</v>
      </c>
      <c r="B153" s="1" t="s">
        <v>401</v>
      </c>
      <c r="C153" s="1" t="s">
        <v>402</v>
      </c>
      <c r="D153" s="1" t="s">
        <v>132</v>
      </c>
      <c r="E153" s="1" t="str">
        <f>VLOOKUP(A:A,'Regions and Ports'!A:G,5,FALSE)</f>
        <v>Eastern Rule 5</v>
      </c>
      <c r="F153" s="1" t="str">
        <f>VLOOKUP(A:A,'Regions and Ports'!A:F,6,FALSE)</f>
        <v>ER5</v>
      </c>
      <c r="G153" s="1" t="str">
        <f>VLOOKUP(A:A,'Regions and Ports'!A:G,7,FALSE)</f>
        <v>Savannah</v>
      </c>
      <c r="H153" s="87">
        <v>1</v>
      </c>
      <c r="I153" s="69">
        <f>VLOOKUP(A:A,'Seam Tariffs'!A:AB,9,FALSE)</f>
        <v>4</v>
      </c>
      <c r="J153" s="69">
        <f>VLOOKUP(A:A,'Seam Tariffs'!A:AB,11,FALSE)</f>
        <v>4.8499999999999996</v>
      </c>
      <c r="K153" s="69">
        <f>VLOOKUP(A:A,'Seam Tariffs'!A:AB,12,FALSE)</f>
        <v>0</v>
      </c>
      <c r="L153" s="69">
        <f>VLOOKUP(A:A,'Seam Tariffs'!A:AB,13,FALSE)</f>
        <v>0</v>
      </c>
      <c r="M153" s="69">
        <f>VLOOKUP(A:A,'Seam Tariffs'!A:AB,14,FALSE)</f>
        <v>0</v>
      </c>
      <c r="N153" s="69">
        <f>VLOOKUP(A:A,'Seam Tariffs'!A:AB,28,FALSE)</f>
        <v>3</v>
      </c>
      <c r="O153" s="69">
        <f>COSTS!$W$6</f>
        <v>1.8958333333333335</v>
      </c>
      <c r="P153" s="69">
        <f>VLOOKUP(G153,COSTS!$V$11:$X$14,3,FALSE)</f>
        <v>0</v>
      </c>
      <c r="Q153" s="69">
        <f t="shared" si="14"/>
        <v>13.745833333333334</v>
      </c>
      <c r="R153" s="69">
        <f t="shared" si="15"/>
        <v>4.8958333333333339</v>
      </c>
      <c r="S153" s="87">
        <f>VLOOKUP(A:A,'Flat Bed &amp; Late Fees'!A:J,6,FALSE)</f>
        <v>0</v>
      </c>
      <c r="T153" s="87">
        <f>VLOOKUP(A:A,'Flat Bed &amp; Late Fees'!A:J,7,FALSE)</f>
        <v>0</v>
      </c>
      <c r="U153" s="68">
        <f>VLOOKUP(C153&amp;G153,OTR!E:J,6,FALSE)/88</f>
        <v>13.546875</v>
      </c>
      <c r="V153" s="87"/>
      <c r="W153" s="68">
        <f t="shared" si="16"/>
        <v>13.546875</v>
      </c>
      <c r="X153" s="69">
        <f>VLOOKUP(G153,COSTS!$Z$18:$AC$23,2,FALSE)</f>
        <v>2.6</v>
      </c>
      <c r="Y153" s="87">
        <f>VLOOKUP(G153,COSTS!$Z$18:$AC$23,4,FALSE)</f>
        <v>2.52</v>
      </c>
      <c r="Z153" s="69">
        <f>(COSTS!$W$3*COSTS!$W$4*500)/52*COSTS!$AE$17</f>
        <v>1.3125</v>
      </c>
      <c r="AB153" s="69">
        <f t="shared" si="17"/>
        <v>6.4325000000000001</v>
      </c>
      <c r="AC153" s="69">
        <f>VLOOKUP(G153,COSTS!$Z$11:$AE$14,5,FALSE)</f>
        <v>5.5113636363636367</v>
      </c>
      <c r="AD153" s="69">
        <f>VLOOKUP(G153,COSTS!$Z$4:$AD$7,4,FALSE)</f>
        <v>5.3522727272727275</v>
      </c>
      <c r="AE153" s="69"/>
      <c r="AF153" s="69">
        <f t="shared" si="18"/>
        <v>10.863636363636363</v>
      </c>
      <c r="AG153" s="87">
        <f>((COSTS!$C$5*88)/20)/88</f>
        <v>1.4407150000000002</v>
      </c>
      <c r="AH153" s="69">
        <f>(COSTS!$X$38/88)*20</f>
        <v>0.34865702479338845</v>
      </c>
      <c r="AI153" s="87">
        <f>((COSTS!$E$5*88)/20)/88</f>
        <v>0.62936587135988387</v>
      </c>
      <c r="AJ153" s="87">
        <f>((COSTS!$D$5*88)/20)/88</f>
        <v>0.33676</v>
      </c>
      <c r="AL153" s="387">
        <f t="shared" si="19"/>
        <v>2.7554978961532726</v>
      </c>
      <c r="AM153" s="69">
        <f>(COSTS!$W$3+0.1)*500*0.01</f>
        <v>3.9999999999999996</v>
      </c>
      <c r="AN153" s="387">
        <f>((COSTS!$G$5/20)*88)/88</f>
        <v>1.308904109589041</v>
      </c>
      <c r="AR153" s="69">
        <f t="shared" si="20"/>
        <v>5.3089041095890401</v>
      </c>
      <c r="AT153" s="1" t="e">
        <f>VLOOKUP(C153&amp;$AT$1,OTR!E:J,6,FALSE)/88</f>
        <v>#N/A</v>
      </c>
      <c r="AU153" s="1">
        <f>VLOOKUP(C153&amp;$AU$1,OTR!E:J,6,FALSE)/88</f>
        <v>7.3011363636363633</v>
      </c>
    </row>
    <row r="154" spans="1:47">
      <c r="A154" s="1">
        <v>477005</v>
      </c>
      <c r="B154" s="1" t="s">
        <v>404</v>
      </c>
      <c r="C154" s="1" t="s">
        <v>405</v>
      </c>
      <c r="D154" s="1" t="s">
        <v>128</v>
      </c>
      <c r="E154" s="1" t="str">
        <f>VLOOKUP(A:A,'Regions and Ports'!A:G,5,FALSE)</f>
        <v>Memphis Rule 5</v>
      </c>
      <c r="F154" s="1" t="str">
        <f>VLOOKUP(A:A,'Regions and Ports'!A:F,6,FALSE)</f>
        <v>MR5</v>
      </c>
      <c r="G154" s="1" t="str">
        <f>VLOOKUP(A:A,'Regions and Ports'!A:G,7,FALSE)</f>
        <v>Memphis</v>
      </c>
      <c r="H154" s="87">
        <v>1</v>
      </c>
      <c r="I154" s="69">
        <f>VLOOKUP(A:A,'Seam Tariffs'!A:AB,9,FALSE)</f>
        <v>1.5</v>
      </c>
      <c r="J154" s="69">
        <f>VLOOKUP(A:A,'Seam Tariffs'!A:AB,11,FALSE)</f>
        <v>3.75</v>
      </c>
      <c r="K154" s="69">
        <f>VLOOKUP(A:A,'Seam Tariffs'!A:AB,12,FALSE)</f>
        <v>8</v>
      </c>
      <c r="L154" s="69">
        <f>VLOOKUP(A:A,'Seam Tariffs'!A:AB,13,FALSE)</f>
        <v>3.05</v>
      </c>
      <c r="M154" s="69">
        <f>VLOOKUP(A:A,'Seam Tariffs'!A:AB,14,FALSE)</f>
        <v>0.5</v>
      </c>
      <c r="N154" s="69">
        <f>VLOOKUP(A:A,'Seam Tariffs'!A:AB,28,FALSE)</f>
        <v>3.15</v>
      </c>
      <c r="O154" s="69">
        <f>COSTS!$W$6</f>
        <v>1.8958333333333335</v>
      </c>
      <c r="P154" s="69">
        <f>VLOOKUP(G154,COSTS!$V$11:$X$14,3,FALSE)</f>
        <v>0</v>
      </c>
      <c r="Q154" s="69">
        <f t="shared" si="14"/>
        <v>21.845833333333331</v>
      </c>
      <c r="R154" s="69">
        <f t="shared" si="15"/>
        <v>5.0458333333333334</v>
      </c>
      <c r="S154" s="87">
        <f>VLOOKUP(A:A,'Flat Bed &amp; Late Fees'!A:J,6,FALSE)</f>
        <v>0</v>
      </c>
      <c r="T154" s="87">
        <f>VLOOKUP(A:A,'Flat Bed &amp; Late Fees'!A:J,7,FALSE)</f>
        <v>0</v>
      </c>
      <c r="U154" s="68">
        <f>VLOOKUP(C154&amp;G154,OTR!E:J,6,FALSE)/88</f>
        <v>10.028409090909092</v>
      </c>
      <c r="V154" s="87"/>
      <c r="W154" s="68">
        <f t="shared" si="16"/>
        <v>10.028409090909092</v>
      </c>
      <c r="X154" s="69">
        <f>VLOOKUP(G154,COSTS!$Z$18:$AC$23,2,FALSE)</f>
        <v>2.5</v>
      </c>
      <c r="Y154" s="87">
        <f>VLOOKUP(G154,COSTS!$Z$18:$AC$23,4,FALSE)</f>
        <v>1.68</v>
      </c>
      <c r="Z154" s="69">
        <f>(COSTS!$W$3*COSTS!$W$4*500)/52*COSTS!$AE$17</f>
        <v>1.3125</v>
      </c>
      <c r="AB154" s="69">
        <f t="shared" si="17"/>
        <v>5.4924999999999997</v>
      </c>
      <c r="AC154" s="69">
        <f>VLOOKUP(G154,COSTS!$Z$11:$AE$14,5,FALSE)</f>
        <v>7.3011363636363633</v>
      </c>
      <c r="AD154" s="69">
        <f>VLOOKUP(G154,COSTS!$Z$4:$AD$7,4,FALSE)</f>
        <v>9.1363636363636367</v>
      </c>
      <c r="AE154" s="69"/>
      <c r="AF154" s="69">
        <f t="shared" si="18"/>
        <v>16.4375</v>
      </c>
      <c r="AG154" s="87">
        <f>((COSTS!$C$5*88)/20)/88</f>
        <v>1.4407150000000002</v>
      </c>
      <c r="AH154" s="69">
        <f>(COSTS!$X$38/88)*20</f>
        <v>0.34865702479338845</v>
      </c>
      <c r="AI154" s="87">
        <f>((COSTS!$E$5*88)/20)/88</f>
        <v>0.62936587135988387</v>
      </c>
      <c r="AJ154" s="87">
        <f>((COSTS!$D$5*88)/20)/88</f>
        <v>0.33676</v>
      </c>
      <c r="AL154" s="387">
        <f t="shared" si="19"/>
        <v>2.7554978961532726</v>
      </c>
      <c r="AM154" s="69">
        <f>(COSTS!$W$3+0.1)*500*0.01</f>
        <v>3.9999999999999996</v>
      </c>
      <c r="AN154" s="387">
        <f>((COSTS!$G$5/20)*88)/88</f>
        <v>1.308904109589041</v>
      </c>
      <c r="AR154" s="69">
        <f t="shared" si="20"/>
        <v>5.3089041095890401</v>
      </c>
      <c r="AT154" s="1">
        <f>VLOOKUP(C154&amp;$AT$1,OTR!E:J,6,FALSE)/88</f>
        <v>24.297840909090908</v>
      </c>
      <c r="AU154" s="1">
        <f>VLOOKUP(C154&amp;$AU$1,OTR!E:J,6,FALSE)/88</f>
        <v>25.28409090909091</v>
      </c>
    </row>
    <row r="155" spans="1:47">
      <c r="A155" s="1">
        <v>790990</v>
      </c>
      <c r="B155" s="1" t="s">
        <v>407</v>
      </c>
      <c r="C155" s="1" t="s">
        <v>2206</v>
      </c>
      <c r="D155" s="1" t="s">
        <v>168</v>
      </c>
      <c r="E155" s="1" t="str">
        <f>VLOOKUP(A:A,'Regions and Ports'!A:G,5,FALSE)</f>
        <v>Memphis Rule 5</v>
      </c>
      <c r="F155" s="1" t="str">
        <f>VLOOKUP(A:A,'Regions and Ports'!A:F,6,FALSE)</f>
        <v>MR5</v>
      </c>
      <c r="G155" s="1" t="str">
        <f>VLOOKUP(A:A,'Regions and Ports'!A:G,7,FALSE)</f>
        <v>Memphis</v>
      </c>
      <c r="H155" s="87">
        <v>1</v>
      </c>
      <c r="I155" s="69">
        <f>VLOOKUP(A:A,'Seam Tariffs'!A:AB,9,FALSE)</f>
        <v>0</v>
      </c>
      <c r="J155" s="69">
        <f>VLOOKUP(A:A,'Seam Tariffs'!A:AB,11,FALSE)</f>
        <v>14</v>
      </c>
      <c r="K155" s="69">
        <f>VLOOKUP(A:A,'Seam Tariffs'!A:AB,12,FALSE)</f>
        <v>0</v>
      </c>
      <c r="L155" s="69">
        <f>VLOOKUP(A:A,'Seam Tariffs'!A:AB,13,FALSE)</f>
        <v>3.05</v>
      </c>
      <c r="M155" s="69">
        <f>VLOOKUP(A:A,'Seam Tariffs'!A:AB,14,FALSE)</f>
        <v>0</v>
      </c>
      <c r="N155" s="69">
        <f>VLOOKUP(A:A,'Seam Tariffs'!A:AB,28,FALSE)</f>
        <v>3.7</v>
      </c>
      <c r="O155" s="69">
        <f>COSTS!$W$6</f>
        <v>1.8958333333333335</v>
      </c>
      <c r="P155" s="69">
        <f>VLOOKUP(G155,COSTS!$V$11:$X$14,3,FALSE)</f>
        <v>0</v>
      </c>
      <c r="Q155" s="69">
        <f t="shared" si="14"/>
        <v>22.645833333333332</v>
      </c>
      <c r="R155" s="69">
        <f t="shared" si="15"/>
        <v>5.5958333333333332</v>
      </c>
      <c r="S155" s="87">
        <f>VLOOKUP(A:A,'Flat Bed &amp; Late Fees'!A:J,6,FALSE)</f>
        <v>0</v>
      </c>
      <c r="T155" s="87">
        <f>VLOOKUP(A:A,'Flat Bed &amp; Late Fees'!A:J,7,FALSE)</f>
        <v>0</v>
      </c>
      <c r="U155" s="68">
        <f>VLOOKUP(C155&amp;G155,OTR!E:J,6,FALSE)/88</f>
        <v>9.0056818181818183</v>
      </c>
      <c r="V155" s="87"/>
      <c r="W155" s="68">
        <f t="shared" si="16"/>
        <v>9.0056818181818183</v>
      </c>
      <c r="X155" s="69">
        <f>VLOOKUP(G155,COSTS!$Z$18:$AC$23,2,FALSE)</f>
        <v>2.5</v>
      </c>
      <c r="Y155" s="87">
        <f>VLOOKUP(G155,COSTS!$Z$18:$AC$23,4,FALSE)</f>
        <v>1.68</v>
      </c>
      <c r="Z155" s="69">
        <f>(COSTS!$W$3*COSTS!$W$4*500)/52*COSTS!$AE$17</f>
        <v>1.3125</v>
      </c>
      <c r="AB155" s="69">
        <f t="shared" si="17"/>
        <v>5.4924999999999997</v>
      </c>
      <c r="AC155" s="69">
        <f>VLOOKUP(G155,COSTS!$Z$11:$AE$14,5,FALSE)</f>
        <v>7.3011363636363633</v>
      </c>
      <c r="AD155" s="69">
        <f>VLOOKUP(G155,COSTS!$Z$4:$AD$7,4,FALSE)</f>
        <v>9.1363636363636367</v>
      </c>
      <c r="AE155" s="69"/>
      <c r="AF155" s="69">
        <f t="shared" si="18"/>
        <v>16.4375</v>
      </c>
      <c r="AG155" s="87">
        <f>((COSTS!$C$5*88)/20)/88</f>
        <v>1.4407150000000002</v>
      </c>
      <c r="AH155" s="69">
        <f>(COSTS!$X$38/88)*20</f>
        <v>0.34865702479338845</v>
      </c>
      <c r="AI155" s="87">
        <f>((COSTS!$E$5*88)/20)/88</f>
        <v>0.62936587135988387</v>
      </c>
      <c r="AJ155" s="87">
        <f>((COSTS!$D$5*88)/20)/88</f>
        <v>0.33676</v>
      </c>
      <c r="AL155" s="387">
        <f t="shared" si="19"/>
        <v>2.7554978961532726</v>
      </c>
      <c r="AM155" s="69">
        <f>(COSTS!$W$3+0.1)*500*0.01</f>
        <v>3.9999999999999996</v>
      </c>
      <c r="AN155" s="387">
        <f>((COSTS!$G$5/20)*88)/88</f>
        <v>1.308904109589041</v>
      </c>
      <c r="AR155" s="69">
        <f t="shared" si="20"/>
        <v>5.3089041095890401</v>
      </c>
      <c r="AT155" s="1">
        <f>VLOOKUP(C155&amp;$AT$1,OTR!E:J,6,FALSE)/88</f>
        <v>26.989659090909093</v>
      </c>
      <c r="AU155" s="1">
        <f>VLOOKUP(C155&amp;$AU$1,OTR!E:J,6,FALSE)/88</f>
        <v>20.9375</v>
      </c>
    </row>
    <row r="156" spans="1:47">
      <c r="A156" s="1">
        <v>866503</v>
      </c>
      <c r="B156" s="1" t="s">
        <v>409</v>
      </c>
      <c r="C156" s="1" t="s">
        <v>410</v>
      </c>
      <c r="D156" s="1" t="s">
        <v>71</v>
      </c>
      <c r="E156" s="1" t="str">
        <f>VLOOKUP(A:A,'Regions and Ports'!A:G,5,FALSE)</f>
        <v>STEX</v>
      </c>
      <c r="F156" s="1" t="str">
        <f>VLOOKUP(A:A,'Regions and Ports'!A:F,6,FALSE)</f>
        <v>STX</v>
      </c>
      <c r="G156" s="1" t="str">
        <f>VLOOKUP(A:A,'Regions and Ports'!A:G,7,FALSE)</f>
        <v>Houston</v>
      </c>
      <c r="H156" s="87">
        <v>3</v>
      </c>
      <c r="I156" s="69">
        <f>VLOOKUP(A:A,'Seam Tariffs'!A:AB,9,FALSE)</f>
        <v>3</v>
      </c>
      <c r="J156" s="69">
        <f>VLOOKUP(A:A,'Seam Tariffs'!A:AB,11,FALSE)</f>
        <v>9.5</v>
      </c>
      <c r="K156" s="69">
        <f>VLOOKUP(A:A,'Seam Tariffs'!A:AB,12,FALSE)</f>
        <v>8</v>
      </c>
      <c r="L156" s="69">
        <f>VLOOKUP(A:A,'Seam Tariffs'!A:AB,13,FALSE)</f>
        <v>0</v>
      </c>
      <c r="M156" s="69">
        <f>VLOOKUP(A:A,'Seam Tariffs'!A:AB,14,FALSE)</f>
        <v>0</v>
      </c>
      <c r="N156" s="69">
        <f>VLOOKUP(A:A,'Seam Tariffs'!A:AB,28,FALSE)</f>
        <v>3</v>
      </c>
      <c r="O156" s="69">
        <f>COSTS!$W$6</f>
        <v>1.8958333333333335</v>
      </c>
      <c r="P156" s="69">
        <f>VLOOKUP(G156,COSTS!$V$11:$X$14,3,FALSE)</f>
        <v>0</v>
      </c>
      <c r="Q156" s="69">
        <f t="shared" si="14"/>
        <v>25.395833333333332</v>
      </c>
      <c r="R156" s="69">
        <f t="shared" si="15"/>
        <v>22.395833333333332</v>
      </c>
      <c r="S156" s="87">
        <f>VLOOKUP(A:A,'Flat Bed &amp; Late Fees'!A:J,6,FALSE)</f>
        <v>0</v>
      </c>
      <c r="T156" s="87">
        <f>VLOOKUP(A:A,'Flat Bed &amp; Late Fees'!A:J,7,FALSE)</f>
        <v>0</v>
      </c>
      <c r="U156" s="68">
        <f>VLOOKUP(C156&amp;G156,OTR!E:J,6,FALSE)/88</f>
        <v>15.909090909090908</v>
      </c>
      <c r="V156" s="87"/>
      <c r="W156" s="68">
        <f t="shared" si="16"/>
        <v>15.909090909090908</v>
      </c>
      <c r="X156" s="69">
        <f>VLOOKUP(G156,COSTS!$Z$18:$AC$23,2,FALSE)</f>
        <v>2.7</v>
      </c>
      <c r="Y156" s="87">
        <f>VLOOKUP(G156,COSTS!$Z$18:$AC$23,4,FALSE)</f>
        <v>2.52</v>
      </c>
      <c r="Z156" s="69">
        <f>(COSTS!$W$3*COSTS!$W$4*500)/52*COSTS!$AE$17</f>
        <v>1.3125</v>
      </c>
      <c r="AB156" s="69">
        <f t="shared" si="17"/>
        <v>6.5325000000000006</v>
      </c>
      <c r="AC156" s="69">
        <f>VLOOKUP(G156,COSTS!$Z$11:$AE$14,5,FALSE)</f>
        <v>6.6477272727272725</v>
      </c>
      <c r="AD156" s="69">
        <f>VLOOKUP(G156,COSTS!$Z$4:$AD$7,4,FALSE)</f>
        <v>9.8977272727272734</v>
      </c>
      <c r="AE156" s="69"/>
      <c r="AF156" s="69">
        <f t="shared" si="18"/>
        <v>16.545454545454547</v>
      </c>
      <c r="AG156" s="87">
        <f>((COSTS!$C$5*88)/20)/88</f>
        <v>1.4407150000000002</v>
      </c>
      <c r="AH156" s="69">
        <f>(COSTS!$X$38/88)*20</f>
        <v>0.34865702479338845</v>
      </c>
      <c r="AI156" s="87">
        <f>((COSTS!$E$5*88)/20)/88</f>
        <v>0.62936587135988387</v>
      </c>
      <c r="AJ156" s="87">
        <f>((COSTS!$D$5*88)/20)/88</f>
        <v>0.33676</v>
      </c>
      <c r="AL156" s="387">
        <f t="shared" si="19"/>
        <v>2.7554978961532726</v>
      </c>
      <c r="AM156" s="69">
        <f>(COSTS!$W$3+0.1)*500*0.01</f>
        <v>3.9999999999999996</v>
      </c>
      <c r="AN156" s="387">
        <f>((COSTS!$G$5/20)*88)/88</f>
        <v>1.308904109589041</v>
      </c>
      <c r="AR156" s="69">
        <f t="shared" si="20"/>
        <v>5.3089041095890401</v>
      </c>
      <c r="AT156" s="1" t="e">
        <f>VLOOKUP(C156&amp;$AT$1,OTR!E:J,6,FALSE)/88</f>
        <v>#N/A</v>
      </c>
      <c r="AU156" s="1" t="e">
        <f>VLOOKUP(C156&amp;$AU$1,OTR!E:J,6,FALSE)/88</f>
        <v>#N/A</v>
      </c>
    </row>
    <row r="157" spans="1:47">
      <c r="A157" s="1">
        <v>866505</v>
      </c>
      <c r="B157" s="1" t="s">
        <v>412</v>
      </c>
      <c r="C157" s="1" t="s">
        <v>410</v>
      </c>
      <c r="D157" s="1" t="s">
        <v>71</v>
      </c>
      <c r="E157" s="1" t="str">
        <f>VLOOKUP(A:A,'Regions and Ports'!A:G,5,FALSE)</f>
        <v>STEX</v>
      </c>
      <c r="F157" s="1" t="str">
        <f>VLOOKUP(A:A,'Regions and Ports'!A:F,6,FALSE)</f>
        <v>STX</v>
      </c>
      <c r="G157" s="1" t="str">
        <f>VLOOKUP(A:A,'Regions and Ports'!A:G,7,FALSE)</f>
        <v>Houston</v>
      </c>
      <c r="H157" s="87">
        <v>3</v>
      </c>
      <c r="I157" s="69">
        <f>VLOOKUP(A:A,'Seam Tariffs'!A:AB,9,FALSE)</f>
        <v>3</v>
      </c>
      <c r="J157" s="69">
        <f>VLOOKUP(A:A,'Seam Tariffs'!A:AB,11,FALSE)</f>
        <v>9</v>
      </c>
      <c r="K157" s="69">
        <f>VLOOKUP(A:A,'Seam Tariffs'!A:AB,12,FALSE)</f>
        <v>8</v>
      </c>
      <c r="L157" s="69">
        <f>VLOOKUP(A:A,'Seam Tariffs'!A:AB,13,FALSE)</f>
        <v>0</v>
      </c>
      <c r="M157" s="69">
        <f>VLOOKUP(A:A,'Seam Tariffs'!A:AB,14,FALSE)</f>
        <v>0</v>
      </c>
      <c r="N157" s="69">
        <f>VLOOKUP(A:A,'Seam Tariffs'!A:AB,28,FALSE)</f>
        <v>2.8</v>
      </c>
      <c r="O157" s="69">
        <f>COSTS!$W$6</f>
        <v>1.8958333333333335</v>
      </c>
      <c r="P157" s="69">
        <f>VLOOKUP(G157,COSTS!$V$11:$X$14,3,FALSE)</f>
        <v>0</v>
      </c>
      <c r="Q157" s="69">
        <f t="shared" si="14"/>
        <v>24.695833333333333</v>
      </c>
      <c r="R157" s="69">
        <f t="shared" si="15"/>
        <v>21.695833333333333</v>
      </c>
      <c r="S157" s="87">
        <f>VLOOKUP(A:A,'Flat Bed &amp; Late Fees'!A:J,6,FALSE)</f>
        <v>0</v>
      </c>
      <c r="T157" s="87">
        <f>VLOOKUP(A:A,'Flat Bed &amp; Late Fees'!A:J,7,FALSE)</f>
        <v>0</v>
      </c>
      <c r="U157" s="68">
        <f>VLOOKUP(C157&amp;G157,OTR!E:J,6,FALSE)/88</f>
        <v>15.909090909090908</v>
      </c>
      <c r="V157" s="87"/>
      <c r="W157" s="68">
        <f t="shared" si="16"/>
        <v>15.909090909090908</v>
      </c>
      <c r="X157" s="69">
        <f>VLOOKUP(G157,COSTS!$Z$18:$AC$23,2,FALSE)</f>
        <v>2.7</v>
      </c>
      <c r="Y157" s="87">
        <f>VLOOKUP(G157,COSTS!$Z$18:$AC$23,4,FALSE)</f>
        <v>2.52</v>
      </c>
      <c r="Z157" s="69">
        <f>(COSTS!$W$3*COSTS!$W$4*500)/52*COSTS!$AE$17</f>
        <v>1.3125</v>
      </c>
      <c r="AB157" s="69">
        <f t="shared" si="17"/>
        <v>6.5325000000000006</v>
      </c>
      <c r="AC157" s="69">
        <f>VLOOKUP(G157,COSTS!$Z$11:$AE$14,5,FALSE)</f>
        <v>6.6477272727272725</v>
      </c>
      <c r="AD157" s="69">
        <f>VLOOKUP(G157,COSTS!$Z$4:$AD$7,4,FALSE)</f>
        <v>9.8977272727272734</v>
      </c>
      <c r="AE157" s="69"/>
      <c r="AF157" s="69">
        <f t="shared" si="18"/>
        <v>16.545454545454547</v>
      </c>
      <c r="AG157" s="87">
        <f>((COSTS!$C$5*88)/20)/88</f>
        <v>1.4407150000000002</v>
      </c>
      <c r="AH157" s="69">
        <f>(COSTS!$X$38/88)*20</f>
        <v>0.34865702479338845</v>
      </c>
      <c r="AI157" s="87">
        <f>((COSTS!$E$5*88)/20)/88</f>
        <v>0.62936587135988387</v>
      </c>
      <c r="AJ157" s="87">
        <f>((COSTS!$D$5*88)/20)/88</f>
        <v>0.33676</v>
      </c>
      <c r="AL157" s="387">
        <f t="shared" si="19"/>
        <v>2.7554978961532726</v>
      </c>
      <c r="AM157" s="69">
        <f>(COSTS!$W$3+0.1)*500*0.01</f>
        <v>3.9999999999999996</v>
      </c>
      <c r="AN157" s="387">
        <f>((COSTS!$G$5/20)*88)/88</f>
        <v>1.308904109589041</v>
      </c>
      <c r="AR157" s="69">
        <f t="shared" si="20"/>
        <v>5.3089041095890401</v>
      </c>
      <c r="AT157" s="1" t="e">
        <f>VLOOKUP(C157&amp;$AT$1,OTR!E:J,6,FALSE)/88</f>
        <v>#N/A</v>
      </c>
      <c r="AU157" s="1" t="e">
        <f>VLOOKUP(C157&amp;$AU$1,OTR!E:J,6,FALSE)/88</f>
        <v>#N/A</v>
      </c>
    </row>
    <row r="158" spans="1:47">
      <c r="A158" s="1">
        <v>51005</v>
      </c>
      <c r="B158" s="1" t="s">
        <v>413</v>
      </c>
      <c r="C158" s="1" t="s">
        <v>414</v>
      </c>
      <c r="D158" s="1" t="s">
        <v>65</v>
      </c>
      <c r="E158" s="1" t="str">
        <f>VLOOKUP(A:A,'Regions and Ports'!A:G,5,FALSE)</f>
        <v>Eastern Rule 5</v>
      </c>
      <c r="F158" s="1" t="str">
        <f>VLOOKUP(A:A,'Regions and Ports'!A:F,6,FALSE)</f>
        <v>ER5</v>
      </c>
      <c r="G158" s="1" t="str">
        <f>VLOOKUP(A:A,'Regions and Ports'!A:G,7,FALSE)</f>
        <v>Savannah</v>
      </c>
      <c r="H158" s="87">
        <v>1</v>
      </c>
      <c r="I158" s="69">
        <f>VLOOKUP(A:A,'Seam Tariffs'!A:AB,9,FALSE)</f>
        <v>0</v>
      </c>
      <c r="J158" s="69">
        <f>VLOOKUP(A:A,'Seam Tariffs'!A:AB,11,FALSE)</f>
        <v>0</v>
      </c>
      <c r="K158" s="69">
        <f>VLOOKUP(A:A,'Seam Tariffs'!A:AB,12,FALSE)</f>
        <v>0</v>
      </c>
      <c r="L158" s="69">
        <f>VLOOKUP(A:A,'Seam Tariffs'!A:AB,13,FALSE)</f>
        <v>0</v>
      </c>
      <c r="M158" s="69">
        <f>VLOOKUP(A:A,'Seam Tariffs'!A:AB,14,FALSE)</f>
        <v>0</v>
      </c>
      <c r="N158" s="69">
        <f>VLOOKUP(A:A,'Seam Tariffs'!A:AB,28,FALSE)</f>
        <v>3</v>
      </c>
      <c r="O158" s="69">
        <f>COSTS!$W$6</f>
        <v>1.8958333333333335</v>
      </c>
      <c r="P158" s="69">
        <f>VLOOKUP(G158,COSTS!$V$11:$X$14,3,FALSE)</f>
        <v>0</v>
      </c>
      <c r="Q158" s="69">
        <f t="shared" si="14"/>
        <v>4.8958333333333339</v>
      </c>
      <c r="R158" s="69">
        <f t="shared" si="15"/>
        <v>4.8958333333333339</v>
      </c>
      <c r="S158" s="87">
        <f>VLOOKUP(A:A,'Flat Bed &amp; Late Fees'!A:J,6,FALSE)</f>
        <v>0</v>
      </c>
      <c r="T158" s="87">
        <f>VLOOKUP(A:A,'Flat Bed &amp; Late Fees'!A:J,7,FALSE)</f>
        <v>0</v>
      </c>
      <c r="U158" s="68">
        <f>VLOOKUP(C158&amp;G158,OTR!E:J,6,FALSE)/88</f>
        <v>14.524147727272727</v>
      </c>
      <c r="V158" s="87"/>
      <c r="W158" s="68">
        <f t="shared" si="16"/>
        <v>14.524147727272727</v>
      </c>
      <c r="X158" s="69">
        <f>VLOOKUP(G158,COSTS!$Z$18:$AC$23,2,FALSE)</f>
        <v>2.6</v>
      </c>
      <c r="Y158" s="87">
        <f>VLOOKUP(G158,COSTS!$Z$18:$AC$23,4,FALSE)</f>
        <v>2.52</v>
      </c>
      <c r="Z158" s="69">
        <f>(COSTS!$W$3*COSTS!$W$4*500)/52*COSTS!$AE$17</f>
        <v>1.3125</v>
      </c>
      <c r="AB158" s="69">
        <f t="shared" si="17"/>
        <v>6.4325000000000001</v>
      </c>
      <c r="AC158" s="69">
        <f>VLOOKUP(G158,COSTS!$Z$11:$AE$14,5,FALSE)</f>
        <v>5.5113636363636367</v>
      </c>
      <c r="AD158" s="69">
        <f>VLOOKUP(G158,COSTS!$Z$4:$AD$7,4,FALSE)</f>
        <v>5.3522727272727275</v>
      </c>
      <c r="AE158" s="69"/>
      <c r="AF158" s="69">
        <f t="shared" si="18"/>
        <v>10.863636363636363</v>
      </c>
      <c r="AG158" s="87">
        <f>((COSTS!$C$5*88)/20)/88</f>
        <v>1.4407150000000002</v>
      </c>
      <c r="AH158" s="69">
        <f>(COSTS!$X$38/88)*20</f>
        <v>0.34865702479338845</v>
      </c>
      <c r="AI158" s="87">
        <f>((COSTS!$E$5*88)/20)/88</f>
        <v>0.62936587135988387</v>
      </c>
      <c r="AJ158" s="87">
        <f>((COSTS!$D$5*88)/20)/88</f>
        <v>0.33676</v>
      </c>
      <c r="AL158" s="387">
        <f t="shared" si="19"/>
        <v>2.7554978961532726</v>
      </c>
      <c r="AM158" s="69">
        <f>(COSTS!$W$3+0.1)*500*0.01</f>
        <v>3.9999999999999996</v>
      </c>
      <c r="AN158" s="387">
        <f>((COSTS!$G$5/20)*88)/88</f>
        <v>1.308904109589041</v>
      </c>
      <c r="AR158" s="69">
        <f t="shared" si="20"/>
        <v>5.3089041095890401</v>
      </c>
      <c r="AT158" s="1" t="e">
        <f>VLOOKUP(C158&amp;$AT$1,OTR!E:J,6,FALSE)/88</f>
        <v>#N/A</v>
      </c>
      <c r="AU158" s="1">
        <f>VLOOKUP(C158&amp;$AU$1,OTR!E:J,6,FALSE)/88</f>
        <v>17.869318181818183</v>
      </c>
    </row>
    <row r="159" spans="1:47">
      <c r="A159" s="1">
        <v>712575</v>
      </c>
      <c r="B159" s="1" t="s">
        <v>416</v>
      </c>
      <c r="C159" s="1" t="s">
        <v>417</v>
      </c>
      <c r="D159" s="1" t="s">
        <v>132</v>
      </c>
      <c r="E159" s="1" t="str">
        <f>VLOOKUP(A:A,'Regions and Ports'!A:G,5,FALSE)</f>
        <v>Eastern Rule 5</v>
      </c>
      <c r="F159" s="1" t="str">
        <f>VLOOKUP(A:A,'Regions and Ports'!A:F,6,FALSE)</f>
        <v>ER5</v>
      </c>
      <c r="G159" s="1" t="str">
        <f>VLOOKUP(A:A,'Regions and Ports'!A:G,7,FALSE)</f>
        <v>Savannah</v>
      </c>
      <c r="H159" s="87">
        <v>1</v>
      </c>
      <c r="I159" s="69">
        <f>VLOOKUP(A:A,'Seam Tariffs'!A:AB,9,FALSE)</f>
        <v>3</v>
      </c>
      <c r="J159" s="69">
        <f>VLOOKUP(A:A,'Seam Tariffs'!A:AB,11,FALSE)</f>
        <v>6</v>
      </c>
      <c r="K159" s="69">
        <f>VLOOKUP(A:A,'Seam Tariffs'!A:AB,12,FALSE)</f>
        <v>0</v>
      </c>
      <c r="L159" s="69">
        <f>VLOOKUP(A:A,'Seam Tariffs'!A:AB,13,FALSE)</f>
        <v>0</v>
      </c>
      <c r="M159" s="69">
        <f>VLOOKUP(A:A,'Seam Tariffs'!A:AB,14,FALSE)</f>
        <v>0.5</v>
      </c>
      <c r="N159" s="69">
        <f>VLOOKUP(A:A,'Seam Tariffs'!A:AB,28,FALSE)</f>
        <v>2.75</v>
      </c>
      <c r="O159" s="69">
        <f>COSTS!$W$6</f>
        <v>1.8958333333333335</v>
      </c>
      <c r="P159" s="69">
        <f>VLOOKUP(G159,COSTS!$V$11:$X$14,3,FALSE)</f>
        <v>0</v>
      </c>
      <c r="Q159" s="69">
        <f t="shared" si="14"/>
        <v>14.145833333333334</v>
      </c>
      <c r="R159" s="69">
        <f t="shared" si="15"/>
        <v>4.6458333333333339</v>
      </c>
      <c r="S159" s="87">
        <f>VLOOKUP(A:A,'Flat Bed &amp; Late Fees'!A:J,6,FALSE)</f>
        <v>0</v>
      </c>
      <c r="T159" s="87">
        <f>VLOOKUP(A:A,'Flat Bed &amp; Late Fees'!A:J,7,FALSE)</f>
        <v>0</v>
      </c>
      <c r="U159" s="68">
        <f>VLOOKUP(C159&amp;G159,OTR!E:J,6,FALSE)/88</f>
        <v>11.514545454545454</v>
      </c>
      <c r="V159" s="87"/>
      <c r="W159" s="68">
        <f t="shared" si="16"/>
        <v>11.514545454545454</v>
      </c>
      <c r="X159" s="69">
        <f>VLOOKUP(G159,COSTS!$Z$18:$AC$23,2,FALSE)</f>
        <v>2.6</v>
      </c>
      <c r="Y159" s="87">
        <f>VLOOKUP(G159,COSTS!$Z$18:$AC$23,4,FALSE)</f>
        <v>2.52</v>
      </c>
      <c r="Z159" s="69">
        <f>(COSTS!$W$3*COSTS!$W$4*500)/52*COSTS!$AE$17</f>
        <v>1.3125</v>
      </c>
      <c r="AB159" s="69">
        <f t="shared" si="17"/>
        <v>6.4325000000000001</v>
      </c>
      <c r="AC159" s="69">
        <f>VLOOKUP(G159,COSTS!$Z$11:$AE$14,5,FALSE)</f>
        <v>5.5113636363636367</v>
      </c>
      <c r="AD159" s="69">
        <f>VLOOKUP(G159,COSTS!$Z$4:$AD$7,4,FALSE)</f>
        <v>5.3522727272727275</v>
      </c>
      <c r="AE159" s="69"/>
      <c r="AF159" s="69">
        <f t="shared" si="18"/>
        <v>10.863636363636363</v>
      </c>
      <c r="AG159" s="87">
        <f>((COSTS!$C$5*88)/20)/88</f>
        <v>1.4407150000000002</v>
      </c>
      <c r="AH159" s="69">
        <f>(COSTS!$X$38/88)*20</f>
        <v>0.34865702479338845</v>
      </c>
      <c r="AI159" s="87">
        <f>((COSTS!$E$5*88)/20)/88</f>
        <v>0.62936587135988387</v>
      </c>
      <c r="AJ159" s="87">
        <f>((COSTS!$D$5*88)/20)/88</f>
        <v>0.33676</v>
      </c>
      <c r="AL159" s="387">
        <f t="shared" si="19"/>
        <v>2.7554978961532726</v>
      </c>
      <c r="AM159" s="69">
        <f>(COSTS!$W$3+0.1)*500*0.01</f>
        <v>3.9999999999999996</v>
      </c>
      <c r="AN159" s="387">
        <f>((COSTS!$G$5/20)*88)/88</f>
        <v>1.308904109589041</v>
      </c>
      <c r="AR159" s="69">
        <f t="shared" si="20"/>
        <v>5.3089041095890401</v>
      </c>
      <c r="AT159" s="1" t="e">
        <f>VLOOKUP(C159&amp;$AT$1,OTR!E:J,6,FALSE)/88</f>
        <v>#N/A</v>
      </c>
      <c r="AU159" s="1">
        <f>VLOOKUP(C159&amp;$AU$1,OTR!E:J,6,FALSE)/88</f>
        <v>9.1761363636363633</v>
      </c>
    </row>
    <row r="160" spans="1:47">
      <c r="A160" s="1">
        <v>273518</v>
      </c>
      <c r="B160" s="1" t="s">
        <v>419</v>
      </c>
      <c r="C160" s="1" t="s">
        <v>420</v>
      </c>
      <c r="D160" s="1" t="s">
        <v>76</v>
      </c>
      <c r="E160" s="1" t="str">
        <f>VLOOKUP(A:A,'Regions and Ports'!A:G,5,FALSE)</f>
        <v>GA 30 Day</v>
      </c>
      <c r="F160" s="1" t="str">
        <f>VLOOKUP(A:A,'Regions and Ports'!A:F,6,FALSE)</f>
        <v>ER5</v>
      </c>
      <c r="G160" s="1" t="str">
        <f>VLOOKUP(A:A,'Regions and Ports'!A:G,7,FALSE)</f>
        <v>Savannah</v>
      </c>
      <c r="H160" s="87">
        <v>4</v>
      </c>
      <c r="I160" s="69">
        <f>VLOOKUP(A:A,'Seam Tariffs'!A:AB,9,FALSE)</f>
        <v>4</v>
      </c>
      <c r="J160" s="69">
        <f>VLOOKUP(A:A,'Seam Tariffs'!A:AB,11,FALSE)</f>
        <v>0</v>
      </c>
      <c r="K160" s="69">
        <f>VLOOKUP(A:A,'Seam Tariffs'!A:AB,12,FALSE)</f>
        <v>0</v>
      </c>
      <c r="L160" s="69">
        <f>VLOOKUP(A:A,'Seam Tariffs'!A:AB,13,FALSE)</f>
        <v>0</v>
      </c>
      <c r="M160" s="69">
        <f>VLOOKUP(A:A,'Seam Tariffs'!A:AB,14,FALSE)</f>
        <v>0</v>
      </c>
      <c r="N160" s="69">
        <f>VLOOKUP(A:A,'Seam Tariffs'!A:AB,28,FALSE)</f>
        <v>3</v>
      </c>
      <c r="O160" s="69">
        <f>COSTS!$W$6</f>
        <v>1.8958333333333335</v>
      </c>
      <c r="P160" s="69">
        <f>VLOOKUP(G160,COSTS!$V$11:$X$14,3,FALSE)</f>
        <v>0</v>
      </c>
      <c r="Q160" s="69">
        <f t="shared" si="14"/>
        <v>8.8958333333333339</v>
      </c>
      <c r="R160" s="69">
        <f t="shared" si="15"/>
        <v>1.8958333333333335</v>
      </c>
      <c r="S160" s="87">
        <f>VLOOKUP(A:A,'Flat Bed &amp; Late Fees'!A:J,6,FALSE)</f>
        <v>0</v>
      </c>
      <c r="T160" s="87">
        <f>VLOOKUP(A:A,'Flat Bed &amp; Late Fees'!A:J,7,FALSE)</f>
        <v>0</v>
      </c>
      <c r="U160" s="68">
        <f>VLOOKUP(C160&amp;G160,OTR!E:J,6,FALSE)/88</f>
        <v>10.804318181818182</v>
      </c>
      <c r="V160" s="87"/>
      <c r="W160" s="68">
        <f t="shared" si="16"/>
        <v>10.804318181818182</v>
      </c>
      <c r="X160" s="69">
        <f>VLOOKUP(G160,COSTS!$Z$18:$AC$23,2,FALSE)</f>
        <v>2.6</v>
      </c>
      <c r="Y160" s="87">
        <f>VLOOKUP(G160,COSTS!$Z$18:$AC$23,4,FALSE)</f>
        <v>2.52</v>
      </c>
      <c r="Z160" s="69">
        <f>(COSTS!$W$3*COSTS!$W$4*500)/52*COSTS!$AE$17</f>
        <v>1.3125</v>
      </c>
      <c r="AB160" s="69">
        <f t="shared" si="17"/>
        <v>6.4325000000000001</v>
      </c>
      <c r="AC160" s="69">
        <f>VLOOKUP(G160,COSTS!$Z$11:$AE$14,5,FALSE)</f>
        <v>5.5113636363636367</v>
      </c>
      <c r="AD160" s="69">
        <f>VLOOKUP(G160,COSTS!$Z$4:$AD$7,4,FALSE)</f>
        <v>5.3522727272727275</v>
      </c>
      <c r="AE160" s="69"/>
      <c r="AF160" s="69">
        <f t="shared" si="18"/>
        <v>10.863636363636363</v>
      </c>
      <c r="AG160" s="87">
        <f>((COSTS!$C$5*88)/20)/88</f>
        <v>1.4407150000000002</v>
      </c>
      <c r="AH160" s="69">
        <f>(COSTS!$X$38/88)*20</f>
        <v>0.34865702479338845</v>
      </c>
      <c r="AI160" s="87">
        <f>((COSTS!$E$5*88)/20)/88</f>
        <v>0.62936587135988387</v>
      </c>
      <c r="AJ160" s="87">
        <f>((COSTS!$D$5*88)/20)/88</f>
        <v>0.33676</v>
      </c>
      <c r="AL160" s="387">
        <f t="shared" si="19"/>
        <v>2.7554978961532726</v>
      </c>
      <c r="AM160" s="69">
        <f>(COSTS!$W$3+0.1)*500*0.01</f>
        <v>3.9999999999999996</v>
      </c>
      <c r="AN160" s="387">
        <f>((COSTS!$G$5/20)*88)/88</f>
        <v>1.308904109589041</v>
      </c>
      <c r="AR160" s="69">
        <f t="shared" si="20"/>
        <v>5.3089041095890401</v>
      </c>
      <c r="AT160" s="1">
        <f>VLOOKUP(C160&amp;$AT$1,OTR!E:J,6,FALSE)/88</f>
        <v>26.492954545454541</v>
      </c>
      <c r="AU160" s="1">
        <f>VLOOKUP(C160&amp;$AU$1,OTR!E:J,6,FALSE)/88</f>
        <v>15.073863636363637</v>
      </c>
    </row>
    <row r="161" spans="1:47">
      <c r="A161" s="1">
        <v>517010</v>
      </c>
      <c r="B161" s="1" t="s">
        <v>422</v>
      </c>
      <c r="C161" s="1" t="s">
        <v>423</v>
      </c>
      <c r="D161" s="1" t="s">
        <v>190</v>
      </c>
      <c r="E161" s="1" t="str">
        <f>VLOOKUP(A:A,'Regions and Ports'!A:G,5,FALSE)</f>
        <v>Memphis Rule 5</v>
      </c>
      <c r="F161" s="1" t="str">
        <f>VLOOKUP(A:A,'Regions and Ports'!A:F,6,FALSE)</f>
        <v>MR5</v>
      </c>
      <c r="G161" s="1" t="str">
        <f>VLOOKUP(A:A,'Regions and Ports'!A:G,7,FALSE)</f>
        <v>Memphis</v>
      </c>
      <c r="H161" s="87">
        <v>1</v>
      </c>
      <c r="I161" s="69">
        <f>VLOOKUP(A:A,'Seam Tariffs'!A:AB,9,FALSE)</f>
        <v>2.1</v>
      </c>
      <c r="J161" s="69">
        <f>VLOOKUP(A:A,'Seam Tariffs'!A:AB,11,FALSE)</f>
        <v>20.75</v>
      </c>
      <c r="K161" s="69">
        <f>VLOOKUP(A:A,'Seam Tariffs'!A:AB,12,FALSE)</f>
        <v>0</v>
      </c>
      <c r="L161" s="69">
        <f>VLOOKUP(A:A,'Seam Tariffs'!A:AB,13,FALSE)</f>
        <v>0</v>
      </c>
      <c r="M161" s="69">
        <f>VLOOKUP(A:A,'Seam Tariffs'!A:AB,14,FALSE)</f>
        <v>0.5</v>
      </c>
      <c r="N161" s="69">
        <f>VLOOKUP(A:A,'Seam Tariffs'!A:AB,28,FALSE)</f>
        <v>3.25</v>
      </c>
      <c r="O161" s="69">
        <f>COSTS!$W$6</f>
        <v>1.8958333333333335</v>
      </c>
      <c r="P161" s="69">
        <f>VLOOKUP(G161,COSTS!$V$11:$X$14,3,FALSE)</f>
        <v>0</v>
      </c>
      <c r="Q161" s="69">
        <f t="shared" si="14"/>
        <v>28.495833333333334</v>
      </c>
      <c r="R161" s="69">
        <f t="shared" si="15"/>
        <v>5.1458333333333339</v>
      </c>
      <c r="S161" s="87">
        <f>VLOOKUP(A:A,'Flat Bed &amp; Late Fees'!A:J,6,FALSE)</f>
        <v>0</v>
      </c>
      <c r="T161" s="87">
        <f>VLOOKUP(A:A,'Flat Bed &amp; Late Fees'!A:J,7,FALSE)</f>
        <v>0</v>
      </c>
      <c r="U161" s="68">
        <f>VLOOKUP(C161&amp;G161,OTR!E:J,6,FALSE)/88</f>
        <v>10.767329545454546</v>
      </c>
      <c r="V161" s="87"/>
      <c r="W161" s="68">
        <f t="shared" si="16"/>
        <v>10.767329545454546</v>
      </c>
      <c r="X161" s="69">
        <f>VLOOKUP(G161,COSTS!$Z$18:$AC$23,2,FALSE)</f>
        <v>2.5</v>
      </c>
      <c r="Y161" s="87">
        <f>VLOOKUP(G161,COSTS!$Z$18:$AC$23,4,FALSE)</f>
        <v>1.68</v>
      </c>
      <c r="Z161" s="69">
        <f>(COSTS!$W$3*COSTS!$W$4*500)/52*COSTS!$AE$17</f>
        <v>1.3125</v>
      </c>
      <c r="AB161" s="69">
        <f t="shared" si="17"/>
        <v>5.4924999999999997</v>
      </c>
      <c r="AC161" s="69">
        <f>VLOOKUP(G161,COSTS!$Z$11:$AE$14,5,FALSE)</f>
        <v>7.3011363636363633</v>
      </c>
      <c r="AD161" s="69">
        <f>VLOOKUP(G161,COSTS!$Z$4:$AD$7,4,FALSE)</f>
        <v>9.1363636363636367</v>
      </c>
      <c r="AE161" s="69"/>
      <c r="AF161" s="69">
        <f t="shared" si="18"/>
        <v>16.4375</v>
      </c>
      <c r="AG161" s="87">
        <f>((COSTS!$C$5*88)/20)/88</f>
        <v>1.4407150000000002</v>
      </c>
      <c r="AH161" s="69">
        <f>(COSTS!$X$38/88)*20</f>
        <v>0.34865702479338845</v>
      </c>
      <c r="AI161" s="87">
        <f>((COSTS!$E$5*88)/20)/88</f>
        <v>0.62936587135988387</v>
      </c>
      <c r="AJ161" s="87">
        <f>((COSTS!$D$5*88)/20)/88</f>
        <v>0.33676</v>
      </c>
      <c r="AL161" s="387">
        <f t="shared" si="19"/>
        <v>2.7554978961532726</v>
      </c>
      <c r="AM161" s="69">
        <f>(COSTS!$W$3+0.1)*500*0.01</f>
        <v>3.9999999999999996</v>
      </c>
      <c r="AN161" s="387">
        <f>((COSTS!$G$5/20)*88)/88</f>
        <v>1.308904109589041</v>
      </c>
      <c r="AR161" s="69">
        <f t="shared" si="20"/>
        <v>5.3089041095890401</v>
      </c>
      <c r="AT161" s="1">
        <f>VLOOKUP(C161&amp;$AT$1,OTR!E:J,6,FALSE)/88</f>
        <v>28.351590909090906</v>
      </c>
      <c r="AU161" s="1">
        <f>VLOOKUP(C161&amp;$AU$1,OTR!E:J,6,FALSE)/88</f>
        <v>25.09659090909091</v>
      </c>
    </row>
    <row r="162" spans="1:47">
      <c r="A162" s="1">
        <v>270800</v>
      </c>
      <c r="B162" s="1" t="s">
        <v>424</v>
      </c>
      <c r="C162" s="1" t="s">
        <v>425</v>
      </c>
      <c r="D162" s="1" t="s">
        <v>76</v>
      </c>
      <c r="E162" s="1" t="str">
        <f>VLOOKUP(A:A,'Regions and Ports'!A:G,5,FALSE)</f>
        <v>GA 30 Day</v>
      </c>
      <c r="F162" s="1" t="str">
        <f>VLOOKUP(A:A,'Regions and Ports'!A:F,6,FALSE)</f>
        <v>ER5</v>
      </c>
      <c r="G162" s="1" t="str">
        <f>VLOOKUP(A:A,'Regions and Ports'!A:G,7,FALSE)</f>
        <v>Savannah</v>
      </c>
      <c r="H162" s="87">
        <v>4</v>
      </c>
      <c r="I162" s="69">
        <f>VLOOKUP(A:A,'Seam Tariffs'!A:AB,9,FALSE)</f>
        <v>2.95</v>
      </c>
      <c r="J162" s="69">
        <f>VLOOKUP(A:A,'Seam Tariffs'!A:AB,11,FALSE)</f>
        <v>5</v>
      </c>
      <c r="K162" s="69">
        <f>VLOOKUP(A:A,'Seam Tariffs'!A:AB,12,FALSE)</f>
        <v>0</v>
      </c>
      <c r="L162" s="69">
        <f>VLOOKUP(A:A,'Seam Tariffs'!A:AB,13,FALSE)</f>
        <v>0</v>
      </c>
      <c r="M162" s="69">
        <f>VLOOKUP(A:A,'Seam Tariffs'!A:AB,14,FALSE)</f>
        <v>0</v>
      </c>
      <c r="N162" s="69">
        <f>VLOOKUP(A:A,'Seam Tariffs'!A:AB,28,FALSE)</f>
        <v>3</v>
      </c>
      <c r="O162" s="69">
        <f>COSTS!$W$6</f>
        <v>1.8958333333333335</v>
      </c>
      <c r="P162" s="69">
        <f>VLOOKUP(G162,COSTS!$V$11:$X$14,3,FALSE)</f>
        <v>0</v>
      </c>
      <c r="Q162" s="69">
        <f t="shared" si="14"/>
        <v>12.845833333333333</v>
      </c>
      <c r="R162" s="69">
        <f t="shared" si="15"/>
        <v>1.8958333333333335</v>
      </c>
      <c r="S162" s="87">
        <f>VLOOKUP(A:A,'Flat Bed &amp; Late Fees'!A:J,6,FALSE)</f>
        <v>0</v>
      </c>
      <c r="T162" s="87">
        <f>VLOOKUP(A:A,'Flat Bed &amp; Late Fees'!A:J,7,FALSE)</f>
        <v>0</v>
      </c>
      <c r="U162" s="68">
        <f>VLOOKUP(C162&amp;G162,OTR!E:J,6,FALSE)/88</f>
        <v>9.1370454545454542</v>
      </c>
      <c r="V162" s="87"/>
      <c r="W162" s="68">
        <f t="shared" si="16"/>
        <v>9.1370454545454542</v>
      </c>
      <c r="X162" s="69">
        <f>VLOOKUP(G162,COSTS!$Z$18:$AC$23,2,FALSE)</f>
        <v>2.6</v>
      </c>
      <c r="Y162" s="87">
        <f>VLOOKUP(G162,COSTS!$Z$18:$AC$23,4,FALSE)</f>
        <v>2.52</v>
      </c>
      <c r="Z162" s="69">
        <f>(COSTS!$W$3*COSTS!$W$4*500)/52*COSTS!$AE$17</f>
        <v>1.3125</v>
      </c>
      <c r="AB162" s="69">
        <f t="shared" si="17"/>
        <v>6.4325000000000001</v>
      </c>
      <c r="AC162" s="69">
        <f>VLOOKUP(G162,COSTS!$Z$11:$AE$14,5,FALSE)</f>
        <v>5.5113636363636367</v>
      </c>
      <c r="AD162" s="69">
        <f>VLOOKUP(G162,COSTS!$Z$4:$AD$7,4,FALSE)</f>
        <v>5.3522727272727275</v>
      </c>
      <c r="AE162" s="69"/>
      <c r="AF162" s="69">
        <f t="shared" si="18"/>
        <v>10.863636363636363</v>
      </c>
      <c r="AG162" s="87">
        <f>((COSTS!$C$5*88)/20)/88</f>
        <v>1.4407150000000002</v>
      </c>
      <c r="AH162" s="69">
        <f>(COSTS!$X$38/88)*20</f>
        <v>0.34865702479338845</v>
      </c>
      <c r="AI162" s="87">
        <f>((COSTS!$E$5*88)/20)/88</f>
        <v>0.62936587135988387</v>
      </c>
      <c r="AJ162" s="87">
        <f>((COSTS!$D$5*88)/20)/88</f>
        <v>0.33676</v>
      </c>
      <c r="AL162" s="387">
        <f t="shared" si="19"/>
        <v>2.7554978961532726</v>
      </c>
      <c r="AM162" s="69">
        <f>(COSTS!$W$3+0.1)*500*0.01</f>
        <v>3.9999999999999996</v>
      </c>
      <c r="AN162" s="387">
        <f>((COSTS!$G$5/20)*88)/88</f>
        <v>1.308904109589041</v>
      </c>
      <c r="AR162" s="69">
        <f t="shared" si="20"/>
        <v>5.3089041095890401</v>
      </c>
      <c r="AT162" s="1" t="e">
        <f>VLOOKUP(C162&amp;$AT$1,OTR!E:J,6,FALSE)/88</f>
        <v>#N/A</v>
      </c>
      <c r="AU162" s="1" t="e">
        <f>VLOOKUP(C162&amp;$AU$1,OTR!E:J,6,FALSE)/88</f>
        <v>#N/A</v>
      </c>
    </row>
    <row r="163" spans="1:47">
      <c r="A163" s="1">
        <v>274301</v>
      </c>
      <c r="B163" s="1" t="s">
        <v>427</v>
      </c>
      <c r="C163" s="1" t="s">
        <v>428</v>
      </c>
      <c r="D163" s="1" t="s">
        <v>76</v>
      </c>
      <c r="E163" s="1" t="str">
        <f>VLOOKUP(A:A,'Regions and Ports'!A:G,5,FALSE)</f>
        <v>GA 30 Day</v>
      </c>
      <c r="F163" s="1" t="str">
        <f>VLOOKUP(A:A,'Regions and Ports'!A:F,6,FALSE)</f>
        <v>ER5</v>
      </c>
      <c r="G163" s="1" t="str">
        <f>VLOOKUP(A:A,'Regions and Ports'!A:G,7,FALSE)</f>
        <v>Savannah</v>
      </c>
      <c r="H163" s="87">
        <v>4</v>
      </c>
      <c r="I163" s="69">
        <f>VLOOKUP(A:A,'Seam Tariffs'!A:AB,9,FALSE)</f>
        <v>2.95</v>
      </c>
      <c r="J163" s="69">
        <f>VLOOKUP(A:A,'Seam Tariffs'!A:AB,11,FALSE)</f>
        <v>5</v>
      </c>
      <c r="K163" s="69">
        <f>VLOOKUP(A:A,'Seam Tariffs'!A:AB,12,FALSE)</f>
        <v>0</v>
      </c>
      <c r="L163" s="69">
        <f>VLOOKUP(A:A,'Seam Tariffs'!A:AB,13,FALSE)</f>
        <v>0</v>
      </c>
      <c r="M163" s="69">
        <f>VLOOKUP(A:A,'Seam Tariffs'!A:AB,14,FALSE)</f>
        <v>0</v>
      </c>
      <c r="N163" s="69">
        <f>VLOOKUP(A:A,'Seam Tariffs'!A:AB,28,FALSE)</f>
        <v>3</v>
      </c>
      <c r="O163" s="69">
        <f>COSTS!$W$6</f>
        <v>1.8958333333333335</v>
      </c>
      <c r="P163" s="69">
        <f>VLOOKUP(G163,COSTS!$V$11:$X$14,3,FALSE)</f>
        <v>0</v>
      </c>
      <c r="Q163" s="69">
        <f t="shared" si="14"/>
        <v>12.845833333333333</v>
      </c>
      <c r="R163" s="69">
        <f t="shared" si="15"/>
        <v>1.8958333333333335</v>
      </c>
      <c r="S163" s="87">
        <f>VLOOKUP(A:A,'Flat Bed &amp; Late Fees'!A:J,6,FALSE)</f>
        <v>0</v>
      </c>
      <c r="T163" s="87">
        <f>VLOOKUP(A:A,'Flat Bed &amp; Late Fees'!A:J,7,FALSE)</f>
        <v>0</v>
      </c>
      <c r="U163" s="68">
        <f>VLOOKUP(C163&amp;G163,OTR!E:J,6,FALSE)/88</f>
        <v>8.3079261363636352</v>
      </c>
      <c r="V163" s="87"/>
      <c r="W163" s="68">
        <f t="shared" si="16"/>
        <v>8.3079261363636352</v>
      </c>
      <c r="X163" s="69">
        <f>VLOOKUP(G163,COSTS!$Z$18:$AC$23,2,FALSE)</f>
        <v>2.6</v>
      </c>
      <c r="Y163" s="87">
        <f>VLOOKUP(G163,COSTS!$Z$18:$AC$23,4,FALSE)</f>
        <v>2.52</v>
      </c>
      <c r="Z163" s="69">
        <f>(COSTS!$W$3*COSTS!$W$4*500)/52*COSTS!$AE$17</f>
        <v>1.3125</v>
      </c>
      <c r="AB163" s="69">
        <f t="shared" si="17"/>
        <v>6.4325000000000001</v>
      </c>
      <c r="AC163" s="69">
        <f>VLOOKUP(G163,COSTS!$Z$11:$AE$14,5,FALSE)</f>
        <v>5.5113636363636367</v>
      </c>
      <c r="AD163" s="69">
        <f>VLOOKUP(G163,COSTS!$Z$4:$AD$7,4,FALSE)</f>
        <v>5.3522727272727275</v>
      </c>
      <c r="AE163" s="69"/>
      <c r="AF163" s="69">
        <f t="shared" si="18"/>
        <v>10.863636363636363</v>
      </c>
      <c r="AG163" s="87">
        <f>((COSTS!$C$5*88)/20)/88</f>
        <v>1.4407150000000002</v>
      </c>
      <c r="AH163" s="69">
        <f>(COSTS!$X$38/88)*20</f>
        <v>0.34865702479338845</v>
      </c>
      <c r="AI163" s="87">
        <f>((COSTS!$E$5*88)/20)/88</f>
        <v>0.62936587135988387</v>
      </c>
      <c r="AJ163" s="87">
        <f>((COSTS!$D$5*88)/20)/88</f>
        <v>0.33676</v>
      </c>
      <c r="AL163" s="387">
        <f t="shared" si="19"/>
        <v>2.7554978961532726</v>
      </c>
      <c r="AM163" s="69">
        <f>(COSTS!$W$3+0.1)*500*0.01</f>
        <v>3.9999999999999996</v>
      </c>
      <c r="AN163" s="387">
        <f>((COSTS!$G$5/20)*88)/88</f>
        <v>1.308904109589041</v>
      </c>
      <c r="AR163" s="69">
        <f t="shared" si="20"/>
        <v>5.3089041095890401</v>
      </c>
      <c r="AT163" s="1">
        <f>VLOOKUP(C163&amp;$AT$1,OTR!E:J,6,FALSE)/88</f>
        <v>26.380795454545453</v>
      </c>
      <c r="AU163" s="1">
        <f>VLOOKUP(C163&amp;$AU$1,OTR!E:J,6,FALSE)/88</f>
        <v>15.482954545454545</v>
      </c>
    </row>
    <row r="164" spans="1:47">
      <c r="A164" s="1">
        <v>52020</v>
      </c>
      <c r="B164" s="1" t="s">
        <v>429</v>
      </c>
      <c r="C164" s="1" t="s">
        <v>430</v>
      </c>
      <c r="D164" s="1" t="s">
        <v>65</v>
      </c>
      <c r="E164" s="1" t="str">
        <f>VLOOKUP(A:A,'Regions and Ports'!A:G,5,FALSE)</f>
        <v>Eastern Rule 5</v>
      </c>
      <c r="F164" s="1" t="str">
        <f>VLOOKUP(A:A,'Regions and Ports'!A:F,6,FALSE)</f>
        <v>ER5</v>
      </c>
      <c r="G164" s="1" t="str">
        <f>VLOOKUP(A:A,'Regions and Ports'!A:G,7,FALSE)</f>
        <v>Savannah</v>
      </c>
      <c r="H164" s="87">
        <v>1</v>
      </c>
      <c r="I164" s="69">
        <f>VLOOKUP(A:A,'Seam Tariffs'!A:AB,9,FALSE)</f>
        <v>0</v>
      </c>
      <c r="J164" s="69">
        <f>VLOOKUP(A:A,'Seam Tariffs'!A:AB,11,FALSE)</f>
        <v>0</v>
      </c>
      <c r="K164" s="69">
        <f>VLOOKUP(A:A,'Seam Tariffs'!A:AB,12,FALSE)</f>
        <v>0</v>
      </c>
      <c r="L164" s="69">
        <f>VLOOKUP(A:A,'Seam Tariffs'!A:AB,13,FALSE)</f>
        <v>0</v>
      </c>
      <c r="M164" s="69">
        <f>VLOOKUP(A:A,'Seam Tariffs'!A:AB,14,FALSE)</f>
        <v>0</v>
      </c>
      <c r="N164" s="69">
        <f>VLOOKUP(A:A,'Seam Tariffs'!A:AB,28,FALSE)</f>
        <v>2.85</v>
      </c>
      <c r="O164" s="69">
        <f>COSTS!$W$6</f>
        <v>1.8958333333333335</v>
      </c>
      <c r="P164" s="69">
        <f>VLOOKUP(G164,COSTS!$V$11:$X$14,3,FALSE)</f>
        <v>0</v>
      </c>
      <c r="Q164" s="69">
        <f t="shared" si="14"/>
        <v>4.7458333333333336</v>
      </c>
      <c r="R164" s="69">
        <f t="shared" si="15"/>
        <v>4.7458333333333336</v>
      </c>
      <c r="S164" s="87">
        <f>VLOOKUP(A:A,'Flat Bed &amp; Late Fees'!A:J,6,FALSE)</f>
        <v>0</v>
      </c>
      <c r="T164" s="87">
        <f>VLOOKUP(A:A,'Flat Bed &amp; Late Fees'!A:J,7,FALSE)</f>
        <v>0</v>
      </c>
      <c r="U164" s="68">
        <f>VLOOKUP(C164&amp;G164,OTR!E:J,6,FALSE)/88</f>
        <v>14.020795454545453</v>
      </c>
      <c r="V164" s="87"/>
      <c r="W164" s="68">
        <f t="shared" si="16"/>
        <v>14.020795454545453</v>
      </c>
      <c r="X164" s="69">
        <f>VLOOKUP(G164,COSTS!$Z$18:$AC$23,2,FALSE)</f>
        <v>2.6</v>
      </c>
      <c r="Y164" s="87">
        <f>VLOOKUP(G164,COSTS!$Z$18:$AC$23,4,FALSE)</f>
        <v>2.52</v>
      </c>
      <c r="Z164" s="69">
        <f>(COSTS!$W$3*COSTS!$W$4*500)/52*COSTS!$AE$17</f>
        <v>1.3125</v>
      </c>
      <c r="AB164" s="69">
        <f t="shared" si="17"/>
        <v>6.4325000000000001</v>
      </c>
      <c r="AC164" s="69">
        <f>VLOOKUP(G164,COSTS!$Z$11:$AE$14,5,FALSE)</f>
        <v>5.5113636363636367</v>
      </c>
      <c r="AD164" s="69">
        <f>VLOOKUP(G164,COSTS!$Z$4:$AD$7,4,FALSE)</f>
        <v>5.3522727272727275</v>
      </c>
      <c r="AE164" s="69"/>
      <c r="AF164" s="69">
        <f t="shared" si="18"/>
        <v>10.863636363636363</v>
      </c>
      <c r="AG164" s="87">
        <f>((COSTS!$C$5*88)/20)/88</f>
        <v>1.4407150000000002</v>
      </c>
      <c r="AH164" s="69">
        <f>(COSTS!$X$38/88)*20</f>
        <v>0.34865702479338845</v>
      </c>
      <c r="AI164" s="87">
        <f>((COSTS!$E$5*88)/20)/88</f>
        <v>0.62936587135988387</v>
      </c>
      <c r="AJ164" s="87">
        <f>((COSTS!$D$5*88)/20)/88</f>
        <v>0.33676</v>
      </c>
      <c r="AL164" s="387">
        <f t="shared" si="19"/>
        <v>2.7554978961532726</v>
      </c>
      <c r="AM164" s="69">
        <f>(COSTS!$W$3+0.1)*500*0.01</f>
        <v>3.9999999999999996</v>
      </c>
      <c r="AN164" s="387">
        <f>((COSTS!$G$5/20)*88)/88</f>
        <v>1.308904109589041</v>
      </c>
      <c r="AR164" s="69">
        <f t="shared" si="20"/>
        <v>5.3089041095890401</v>
      </c>
      <c r="AT164" s="1" t="e">
        <f>VLOOKUP(C164&amp;$AT$1,OTR!E:J,6,FALSE)/88</f>
        <v>#N/A</v>
      </c>
      <c r="AU164" s="1">
        <f>VLOOKUP(C164&amp;$AU$1,OTR!E:J,6,FALSE)/88</f>
        <v>16.761363636363637</v>
      </c>
    </row>
    <row r="165" spans="1:47">
      <c r="A165" s="1">
        <v>570240</v>
      </c>
      <c r="B165" s="1" t="s">
        <v>431</v>
      </c>
      <c r="C165" s="1" t="s">
        <v>432</v>
      </c>
      <c r="D165" s="1" t="s">
        <v>136</v>
      </c>
      <c r="E165" s="1" t="str">
        <f>VLOOKUP(A:A,'Regions and Ports'!A:G,5,FALSE)</f>
        <v>Eastern Rule 5</v>
      </c>
      <c r="F165" s="1" t="str">
        <f>VLOOKUP(A:A,'Regions and Ports'!A:F,6,FALSE)</f>
        <v>ER5</v>
      </c>
      <c r="G165" s="1" t="str">
        <f>VLOOKUP(A:A,'Regions and Ports'!A:G,7,FALSE)</f>
        <v>Savannah</v>
      </c>
      <c r="H165" s="87">
        <v>1</v>
      </c>
      <c r="I165" s="69">
        <f>VLOOKUP(A:A,'Seam Tariffs'!A:AB,9,FALSE)</f>
        <v>2</v>
      </c>
      <c r="J165" s="69">
        <f>VLOOKUP(A:A,'Seam Tariffs'!A:AB,11,FALSE)</f>
        <v>4</v>
      </c>
      <c r="K165" s="69">
        <f>VLOOKUP(A:A,'Seam Tariffs'!A:AB,12,FALSE)</f>
        <v>0</v>
      </c>
      <c r="L165" s="69">
        <f>VLOOKUP(A:A,'Seam Tariffs'!A:AB,13,FALSE)</f>
        <v>0</v>
      </c>
      <c r="M165" s="69">
        <f>VLOOKUP(A:A,'Seam Tariffs'!A:AB,14,FALSE)</f>
        <v>0.75</v>
      </c>
      <c r="N165" s="69">
        <f>VLOOKUP(A:A,'Seam Tariffs'!A:AB,28,FALSE)</f>
        <v>1.7</v>
      </c>
      <c r="O165" s="69">
        <f>COSTS!$W$6</f>
        <v>1.8958333333333335</v>
      </c>
      <c r="P165" s="69">
        <f>VLOOKUP(G165,COSTS!$V$11:$X$14,3,FALSE)</f>
        <v>0</v>
      </c>
      <c r="Q165" s="69">
        <f t="shared" si="14"/>
        <v>10.345833333333333</v>
      </c>
      <c r="R165" s="69">
        <f t="shared" si="15"/>
        <v>3.5958333333333332</v>
      </c>
      <c r="S165" s="87">
        <f>VLOOKUP(A:A,'Flat Bed &amp; Late Fees'!A:J,6,FALSE)</f>
        <v>0</v>
      </c>
      <c r="T165" s="87">
        <f>VLOOKUP(A:A,'Flat Bed &amp; Late Fees'!A:J,7,FALSE)</f>
        <v>0</v>
      </c>
      <c r="U165" s="68" t="e">
        <f>VLOOKUP(C165&amp;G165,OTR!E:J,6,FALSE)/88</f>
        <v>#N/A</v>
      </c>
      <c r="V165" s="87"/>
      <c r="W165" s="68" t="e">
        <f t="shared" si="16"/>
        <v>#N/A</v>
      </c>
      <c r="X165" s="69">
        <f>VLOOKUP(G165,COSTS!$Z$18:$AC$23,2,FALSE)</f>
        <v>2.6</v>
      </c>
      <c r="Y165" s="87">
        <f>VLOOKUP(G165,COSTS!$Z$18:$AC$23,4,FALSE)</f>
        <v>2.52</v>
      </c>
      <c r="Z165" s="69">
        <f>(COSTS!$W$3*COSTS!$W$4*500)/52*COSTS!$AE$17</f>
        <v>1.3125</v>
      </c>
      <c r="AB165" s="69">
        <f t="shared" si="17"/>
        <v>6.4325000000000001</v>
      </c>
      <c r="AC165" s="69">
        <f>VLOOKUP(G165,COSTS!$Z$11:$AE$14,5,FALSE)</f>
        <v>5.5113636363636367</v>
      </c>
      <c r="AD165" s="69">
        <f>VLOOKUP(G165,COSTS!$Z$4:$AD$7,4,FALSE)</f>
        <v>5.3522727272727275</v>
      </c>
      <c r="AE165" s="69"/>
      <c r="AF165" s="69">
        <f t="shared" si="18"/>
        <v>10.863636363636363</v>
      </c>
      <c r="AG165" s="87">
        <f>((COSTS!$C$5*88)/20)/88</f>
        <v>1.4407150000000002</v>
      </c>
      <c r="AH165" s="69">
        <f>(COSTS!$X$38/88)*20</f>
        <v>0.34865702479338845</v>
      </c>
      <c r="AI165" s="87">
        <f>((COSTS!$E$5*88)/20)/88</f>
        <v>0.62936587135988387</v>
      </c>
      <c r="AJ165" s="87">
        <f>((COSTS!$D$5*88)/20)/88</f>
        <v>0.33676</v>
      </c>
      <c r="AL165" s="387">
        <f t="shared" si="19"/>
        <v>2.7554978961532726</v>
      </c>
      <c r="AM165" s="69">
        <f>(COSTS!$W$3+0.1)*500*0.01</f>
        <v>3.9999999999999996</v>
      </c>
      <c r="AN165" s="387">
        <f>((COSTS!$G$5/20)*88)/88</f>
        <v>1.308904109589041</v>
      </c>
      <c r="AR165" s="69">
        <f t="shared" si="20"/>
        <v>5.3089041095890401</v>
      </c>
      <c r="AT165" s="1" t="e">
        <f>VLOOKUP(C165&amp;$AT$1,OTR!E:J,6,FALSE)/88</f>
        <v>#N/A</v>
      </c>
      <c r="AU165" s="1" t="e">
        <f>VLOOKUP(C165&amp;$AU$1,OTR!E:J,6,FALSE)/88</f>
        <v>#N/A</v>
      </c>
    </row>
    <row r="166" spans="1:47">
      <c r="A166" s="1">
        <v>52650</v>
      </c>
      <c r="B166" s="1" t="s">
        <v>434</v>
      </c>
      <c r="C166" s="1" t="s">
        <v>435</v>
      </c>
      <c r="D166" s="1" t="s">
        <v>65</v>
      </c>
      <c r="E166" s="1" t="str">
        <f>VLOOKUP(A:A,'Regions and Ports'!A:G,5,FALSE)</f>
        <v>Eastern Rule 5</v>
      </c>
      <c r="F166" s="1" t="str">
        <f>VLOOKUP(A:A,'Regions and Ports'!A:F,6,FALSE)</f>
        <v>ER5</v>
      </c>
      <c r="G166" s="1" t="str">
        <f>VLOOKUP(A:A,'Regions and Ports'!A:G,7,FALSE)</f>
        <v>Memphis</v>
      </c>
      <c r="H166" s="87">
        <v>1</v>
      </c>
      <c r="I166" s="69">
        <f>VLOOKUP(A:A,'Seam Tariffs'!A:AB,9,FALSE)</f>
        <v>2.65</v>
      </c>
      <c r="J166" s="69">
        <f>VLOOKUP(A:A,'Seam Tariffs'!A:AB,11,FALSE)</f>
        <v>6</v>
      </c>
      <c r="K166" s="69">
        <f>VLOOKUP(A:A,'Seam Tariffs'!A:AB,12,FALSE)</f>
        <v>7.5</v>
      </c>
      <c r="L166" s="69">
        <f>VLOOKUP(A:A,'Seam Tariffs'!A:AB,13,FALSE)</f>
        <v>0</v>
      </c>
      <c r="M166" s="69">
        <f>VLOOKUP(A:A,'Seam Tariffs'!A:AB,14,FALSE)</f>
        <v>0</v>
      </c>
      <c r="N166" s="69">
        <f>VLOOKUP(A:A,'Seam Tariffs'!A:AB,28,FALSE)</f>
        <v>3</v>
      </c>
      <c r="O166" s="69">
        <f>COSTS!$W$6</f>
        <v>1.8958333333333335</v>
      </c>
      <c r="P166" s="69">
        <f>VLOOKUP(G166,COSTS!$V$11:$X$14,3,FALSE)</f>
        <v>0</v>
      </c>
      <c r="Q166" s="69">
        <f t="shared" si="14"/>
        <v>21.045833333333331</v>
      </c>
      <c r="R166" s="69">
        <f t="shared" si="15"/>
        <v>4.8958333333333339</v>
      </c>
      <c r="S166" s="87">
        <f>VLOOKUP(A:A,'Flat Bed &amp; Late Fees'!A:J,6,FALSE)</f>
        <v>0</v>
      </c>
      <c r="T166" s="87">
        <f>VLOOKUP(A:A,'Flat Bed &amp; Late Fees'!A:J,7,FALSE)</f>
        <v>0</v>
      </c>
      <c r="U166" s="68">
        <f>VLOOKUP(C166&amp;G166,OTR!E:J,6,FALSE)/88</f>
        <v>11.460227272727273</v>
      </c>
      <c r="V166" s="87"/>
      <c r="W166" s="68">
        <f t="shared" si="16"/>
        <v>11.460227272727273</v>
      </c>
      <c r="X166" s="69">
        <f>VLOOKUP(G166,COSTS!$Z$18:$AC$23,2,FALSE)</f>
        <v>2.5</v>
      </c>
      <c r="Y166" s="87">
        <f>VLOOKUP(G166,COSTS!$Z$18:$AC$23,4,FALSE)</f>
        <v>1.68</v>
      </c>
      <c r="Z166" s="69">
        <f>(COSTS!$W$3*COSTS!$W$4*500)/52*COSTS!$AE$17</f>
        <v>1.3125</v>
      </c>
      <c r="AB166" s="69">
        <f t="shared" si="17"/>
        <v>5.4924999999999997</v>
      </c>
      <c r="AC166" s="69">
        <f>VLOOKUP(G166,COSTS!$Z$11:$AE$14,5,FALSE)</f>
        <v>7.3011363636363633</v>
      </c>
      <c r="AD166" s="69">
        <f>VLOOKUP(G166,COSTS!$Z$4:$AD$7,4,FALSE)</f>
        <v>9.1363636363636367</v>
      </c>
      <c r="AE166" s="69"/>
      <c r="AF166" s="69">
        <f t="shared" si="18"/>
        <v>16.4375</v>
      </c>
      <c r="AG166" s="87">
        <f>((COSTS!$C$5*88)/20)/88</f>
        <v>1.4407150000000002</v>
      </c>
      <c r="AH166" s="69">
        <f>(COSTS!$X$38/88)*20</f>
        <v>0.34865702479338845</v>
      </c>
      <c r="AI166" s="87">
        <f>((COSTS!$E$5*88)/20)/88</f>
        <v>0.62936587135988387</v>
      </c>
      <c r="AJ166" s="87">
        <f>((COSTS!$D$5*88)/20)/88</f>
        <v>0.33676</v>
      </c>
      <c r="AL166" s="387">
        <f t="shared" si="19"/>
        <v>2.7554978961532726</v>
      </c>
      <c r="AM166" s="69">
        <f>(COSTS!$W$3+0.1)*500*0.01</f>
        <v>3.9999999999999996</v>
      </c>
      <c r="AN166" s="387">
        <f>((COSTS!$G$5/20)*88)/88</f>
        <v>1.308904109589041</v>
      </c>
      <c r="AR166" s="69">
        <f t="shared" si="20"/>
        <v>5.3089041095890401</v>
      </c>
      <c r="AT166" s="1" t="e">
        <f>VLOOKUP(C166&amp;$AT$1,OTR!E:J,6,FALSE)/88</f>
        <v>#N/A</v>
      </c>
      <c r="AU166" s="1">
        <f>VLOOKUP(C166&amp;$AU$1,OTR!E:J,6,FALSE)/88</f>
        <v>17.698863636363637</v>
      </c>
    </row>
    <row r="167" spans="1:47">
      <c r="A167" s="1">
        <v>565806</v>
      </c>
      <c r="B167" s="1" t="s">
        <v>436</v>
      </c>
      <c r="C167" s="1" t="s">
        <v>437</v>
      </c>
      <c r="D167" s="1" t="s">
        <v>136</v>
      </c>
      <c r="E167" s="1" t="str">
        <f>VLOOKUP(A:A,'Regions and Ports'!A:G,5,FALSE)</f>
        <v>Eastern Rule 5</v>
      </c>
      <c r="F167" s="1" t="str">
        <f>VLOOKUP(A:A,'Regions and Ports'!A:F,6,FALSE)</f>
        <v>ER5</v>
      </c>
      <c r="G167" s="1" t="str">
        <f>VLOOKUP(A:A,'Regions and Ports'!A:G,7,FALSE)</f>
        <v>Savannah</v>
      </c>
      <c r="H167" s="87">
        <v>1</v>
      </c>
      <c r="I167" s="69">
        <f>VLOOKUP(A:A,'Seam Tariffs'!A:AB,9,FALSE)</f>
        <v>4</v>
      </c>
      <c r="J167" s="69">
        <f>VLOOKUP(A:A,'Seam Tariffs'!A:AB,11,FALSE)</f>
        <v>4.5</v>
      </c>
      <c r="K167" s="69">
        <f>VLOOKUP(A:A,'Seam Tariffs'!A:AB,12,FALSE)</f>
        <v>0</v>
      </c>
      <c r="L167" s="69">
        <f>VLOOKUP(A:A,'Seam Tariffs'!A:AB,13,FALSE)</f>
        <v>0</v>
      </c>
      <c r="M167" s="69">
        <f>VLOOKUP(A:A,'Seam Tariffs'!A:AB,14,FALSE)</f>
        <v>0</v>
      </c>
      <c r="N167" s="69">
        <f>VLOOKUP(A:A,'Seam Tariffs'!A:AB,28,FALSE)</f>
        <v>1.85</v>
      </c>
      <c r="O167" s="69">
        <f>COSTS!$W$6</f>
        <v>1.8958333333333335</v>
      </c>
      <c r="P167" s="69">
        <f>VLOOKUP(G167,COSTS!$V$11:$X$14,3,FALSE)</f>
        <v>0</v>
      </c>
      <c r="Q167" s="69">
        <f t="shared" si="14"/>
        <v>12.245833333333334</v>
      </c>
      <c r="R167" s="69">
        <f t="shared" si="15"/>
        <v>3.7458333333333336</v>
      </c>
      <c r="S167" s="87">
        <f>VLOOKUP(A:A,'Flat Bed &amp; Late Fees'!A:J,6,FALSE)</f>
        <v>0</v>
      </c>
      <c r="T167" s="87">
        <f>VLOOKUP(A:A,'Flat Bed &amp; Late Fees'!A:J,7,FALSE)</f>
        <v>0</v>
      </c>
      <c r="U167" s="68">
        <f>VLOOKUP(C167&amp;G167,OTR!E:J,6,FALSE)/88</f>
        <v>14.022500000000001</v>
      </c>
      <c r="V167" s="87"/>
      <c r="W167" s="68">
        <f t="shared" si="16"/>
        <v>14.022500000000001</v>
      </c>
      <c r="X167" s="69">
        <f>VLOOKUP(G167,COSTS!$Z$18:$AC$23,2,FALSE)</f>
        <v>2.6</v>
      </c>
      <c r="Y167" s="87">
        <f>VLOOKUP(G167,COSTS!$Z$18:$AC$23,4,FALSE)</f>
        <v>2.52</v>
      </c>
      <c r="Z167" s="69">
        <f>(COSTS!$W$3*COSTS!$W$4*500)/52*COSTS!$AE$17</f>
        <v>1.3125</v>
      </c>
      <c r="AB167" s="69">
        <f t="shared" si="17"/>
        <v>6.4325000000000001</v>
      </c>
      <c r="AC167" s="69">
        <f>VLOOKUP(G167,COSTS!$Z$11:$AE$14,5,FALSE)</f>
        <v>5.5113636363636367</v>
      </c>
      <c r="AD167" s="69">
        <f>VLOOKUP(G167,COSTS!$Z$4:$AD$7,4,FALSE)</f>
        <v>5.3522727272727275</v>
      </c>
      <c r="AE167" s="69"/>
      <c r="AF167" s="69">
        <f t="shared" si="18"/>
        <v>10.863636363636363</v>
      </c>
      <c r="AG167" s="87">
        <f>((COSTS!$C$5*88)/20)/88</f>
        <v>1.4407150000000002</v>
      </c>
      <c r="AH167" s="69">
        <f>(COSTS!$X$38/88)*20</f>
        <v>0.34865702479338845</v>
      </c>
      <c r="AI167" s="87">
        <f>((COSTS!$E$5*88)/20)/88</f>
        <v>0.62936587135988387</v>
      </c>
      <c r="AJ167" s="87">
        <f>((COSTS!$D$5*88)/20)/88</f>
        <v>0.33676</v>
      </c>
      <c r="AL167" s="387">
        <f t="shared" si="19"/>
        <v>2.7554978961532726</v>
      </c>
      <c r="AM167" s="69">
        <f>(COSTS!$W$3+0.1)*500*0.01</f>
        <v>3.9999999999999996</v>
      </c>
      <c r="AN167" s="387">
        <f>((COSTS!$G$5/20)*88)/88</f>
        <v>1.308904109589041</v>
      </c>
      <c r="AR167" s="69">
        <f t="shared" si="20"/>
        <v>5.3089041095890401</v>
      </c>
      <c r="AT167" s="1" t="e">
        <f>VLOOKUP(C167&amp;$AT$1,OTR!E:J,6,FALSE)/88</f>
        <v>#N/A</v>
      </c>
      <c r="AU167" s="1">
        <f>VLOOKUP(C167&amp;$AU$1,OTR!E:J,6,FALSE)/88</f>
        <v>12.482954545454545</v>
      </c>
    </row>
    <row r="168" spans="1:47">
      <c r="A168" s="1">
        <v>858063</v>
      </c>
      <c r="B168" s="1" t="s">
        <v>438</v>
      </c>
      <c r="C168" s="1" t="s">
        <v>439</v>
      </c>
      <c r="D168" s="1" t="s">
        <v>71</v>
      </c>
      <c r="E168" s="1" t="str">
        <f>VLOOKUP(A:A,'Regions and Ports'!A:G,5,FALSE)</f>
        <v>STEX</v>
      </c>
      <c r="F168" s="1" t="str">
        <f>VLOOKUP(A:A,'Regions and Ports'!A:F,6,FALSE)</f>
        <v>STX</v>
      </c>
      <c r="G168" s="1" t="str">
        <f>VLOOKUP(A:A,'Regions and Ports'!A:G,7,FALSE)</f>
        <v>Houston</v>
      </c>
      <c r="H168" s="87">
        <v>3</v>
      </c>
      <c r="I168" s="69">
        <f>VLOOKUP(A:A,'Seam Tariffs'!A:AB,9,FALSE)</f>
        <v>4.75</v>
      </c>
      <c r="J168" s="69">
        <f>VLOOKUP(A:A,'Seam Tariffs'!A:AB,11,FALSE)</f>
        <v>7.5</v>
      </c>
      <c r="K168" s="69">
        <f>VLOOKUP(A:A,'Seam Tariffs'!A:AB,12,FALSE)</f>
        <v>10.5</v>
      </c>
      <c r="L168" s="69">
        <f>VLOOKUP(A:A,'Seam Tariffs'!A:AB,13,FALSE)</f>
        <v>0</v>
      </c>
      <c r="M168" s="69">
        <f>VLOOKUP(A:A,'Seam Tariffs'!A:AB,14,FALSE)</f>
        <v>1.6</v>
      </c>
      <c r="N168" s="69">
        <f>VLOOKUP(A:A,'Seam Tariffs'!A:AB,28,FALSE)</f>
        <v>4.25</v>
      </c>
      <c r="O168" s="69">
        <f>COSTS!$W$6</f>
        <v>1.8958333333333335</v>
      </c>
      <c r="P168" s="69">
        <f>VLOOKUP(G168,COSTS!$V$11:$X$14,3,FALSE)</f>
        <v>0</v>
      </c>
      <c r="Q168" s="69">
        <f t="shared" si="14"/>
        <v>30.495833333333334</v>
      </c>
      <c r="R168" s="69">
        <f t="shared" si="15"/>
        <v>24.145833333333332</v>
      </c>
      <c r="S168" s="87">
        <f>VLOOKUP(A:A,'Flat Bed &amp; Late Fees'!A:J,6,FALSE)</f>
        <v>0</v>
      </c>
      <c r="T168" s="87">
        <f>VLOOKUP(A:A,'Flat Bed &amp; Late Fees'!A:J,7,FALSE)</f>
        <v>0</v>
      </c>
      <c r="U168" s="68">
        <f>VLOOKUP(C168&amp;G168,OTR!E:J,6,FALSE)/88</f>
        <v>6.5340909090909092</v>
      </c>
      <c r="V168" s="87"/>
      <c r="W168" s="68">
        <f t="shared" si="16"/>
        <v>6.5340909090909092</v>
      </c>
      <c r="X168" s="69">
        <f>VLOOKUP(G168,COSTS!$Z$18:$AC$23,2,FALSE)</f>
        <v>2.7</v>
      </c>
      <c r="Y168" s="87">
        <f>VLOOKUP(G168,COSTS!$Z$18:$AC$23,4,FALSE)</f>
        <v>2.52</v>
      </c>
      <c r="Z168" s="69">
        <f>(COSTS!$W$3*COSTS!$W$4*500)/52*COSTS!$AE$17</f>
        <v>1.3125</v>
      </c>
      <c r="AB168" s="69">
        <f t="shared" si="17"/>
        <v>6.5325000000000006</v>
      </c>
      <c r="AC168" s="69">
        <f>VLOOKUP(G168,COSTS!$Z$11:$AE$14,5,FALSE)</f>
        <v>6.6477272727272725</v>
      </c>
      <c r="AD168" s="69">
        <f>VLOOKUP(G168,COSTS!$Z$4:$AD$7,4,FALSE)</f>
        <v>9.8977272727272734</v>
      </c>
      <c r="AE168" s="69"/>
      <c r="AF168" s="69">
        <f t="shared" si="18"/>
        <v>16.545454545454547</v>
      </c>
      <c r="AG168" s="87">
        <f>((COSTS!$C$5*88)/20)/88</f>
        <v>1.4407150000000002</v>
      </c>
      <c r="AH168" s="69">
        <f>(COSTS!$X$38/88)*20</f>
        <v>0.34865702479338845</v>
      </c>
      <c r="AI168" s="87">
        <f>((COSTS!$E$5*88)/20)/88</f>
        <v>0.62936587135988387</v>
      </c>
      <c r="AJ168" s="87">
        <f>((COSTS!$D$5*88)/20)/88</f>
        <v>0.33676</v>
      </c>
      <c r="AL168" s="387">
        <f t="shared" si="19"/>
        <v>2.7554978961532726</v>
      </c>
      <c r="AM168" s="69">
        <f>(COSTS!$W$3+0.1)*500*0.01</f>
        <v>3.9999999999999996</v>
      </c>
      <c r="AN168" s="387">
        <f>((COSTS!$G$5/20)*88)/88</f>
        <v>1.308904109589041</v>
      </c>
      <c r="AR168" s="69">
        <f t="shared" si="20"/>
        <v>5.3089041095890401</v>
      </c>
      <c r="AT168" s="1">
        <f>VLOOKUP(C168&amp;$AT$1,OTR!E:J,6,FALSE)/88</f>
        <v>21.862386363636361</v>
      </c>
      <c r="AU168" s="1" t="e">
        <f>VLOOKUP(C168&amp;$AU$1,OTR!E:J,6,FALSE)/88</f>
        <v>#N/A</v>
      </c>
    </row>
    <row r="169" spans="1:47">
      <c r="A169" s="1">
        <v>871048</v>
      </c>
      <c r="B169" s="1" t="s">
        <v>441</v>
      </c>
      <c r="C169" s="1" t="s">
        <v>439</v>
      </c>
      <c r="D169" s="1" t="s">
        <v>71</v>
      </c>
      <c r="E169" s="1" t="str">
        <f>VLOOKUP(A:A,'Regions and Ports'!A:G,5,FALSE)</f>
        <v>STEX</v>
      </c>
      <c r="F169" s="1" t="str">
        <f>VLOOKUP(A:A,'Regions and Ports'!A:F,6,FALSE)</f>
        <v>STX</v>
      </c>
      <c r="G169" s="1" t="str">
        <f>VLOOKUP(A:A,'Regions and Ports'!A:G,7,FALSE)</f>
        <v>Houston</v>
      </c>
      <c r="H169" s="87">
        <v>3</v>
      </c>
      <c r="I169" s="69">
        <f>VLOOKUP(A:A,'Seam Tariffs'!A:AB,9,FALSE)</f>
        <v>5</v>
      </c>
      <c r="J169" s="69">
        <f>VLOOKUP(A:A,'Seam Tariffs'!A:AB,11,FALSE)</f>
        <v>7</v>
      </c>
      <c r="K169" s="69">
        <f>VLOOKUP(A:A,'Seam Tariffs'!A:AB,12,FALSE)</f>
        <v>9.5</v>
      </c>
      <c r="L169" s="69">
        <f>VLOOKUP(A:A,'Seam Tariffs'!A:AB,13,FALSE)</f>
        <v>0</v>
      </c>
      <c r="M169" s="69">
        <f>VLOOKUP(A:A,'Seam Tariffs'!A:AB,14,FALSE)</f>
        <v>0.5</v>
      </c>
      <c r="N169" s="69">
        <f>VLOOKUP(A:A,'Seam Tariffs'!A:AB,28,FALSE)</f>
        <v>4</v>
      </c>
      <c r="O169" s="69">
        <f>COSTS!$W$6</f>
        <v>1.8958333333333335</v>
      </c>
      <c r="P169" s="69">
        <f>VLOOKUP(G169,COSTS!$V$11:$X$14,3,FALSE)</f>
        <v>0</v>
      </c>
      <c r="Q169" s="69">
        <f t="shared" si="14"/>
        <v>27.895833333333332</v>
      </c>
      <c r="R169" s="69">
        <f t="shared" si="15"/>
        <v>22.395833333333332</v>
      </c>
      <c r="S169" s="87">
        <f>VLOOKUP(A:A,'Flat Bed &amp; Late Fees'!A:J,6,FALSE)</f>
        <v>0</v>
      </c>
      <c r="T169" s="87">
        <f>VLOOKUP(A:A,'Flat Bed &amp; Late Fees'!A:J,7,FALSE)</f>
        <v>0</v>
      </c>
      <c r="U169" s="68">
        <f>VLOOKUP(C169&amp;G169,OTR!E:J,6,FALSE)/88</f>
        <v>6.5340909090909092</v>
      </c>
      <c r="V169" s="87"/>
      <c r="W169" s="68">
        <f t="shared" si="16"/>
        <v>6.5340909090909092</v>
      </c>
      <c r="X169" s="69">
        <f>VLOOKUP(G169,COSTS!$Z$18:$AC$23,2,FALSE)</f>
        <v>2.7</v>
      </c>
      <c r="Y169" s="87">
        <f>VLOOKUP(G169,COSTS!$Z$18:$AC$23,4,FALSE)</f>
        <v>2.52</v>
      </c>
      <c r="Z169" s="69">
        <f>(COSTS!$W$3*COSTS!$W$4*500)/52*COSTS!$AE$17</f>
        <v>1.3125</v>
      </c>
      <c r="AB169" s="69">
        <f t="shared" si="17"/>
        <v>6.5325000000000006</v>
      </c>
      <c r="AC169" s="69">
        <f>VLOOKUP(G169,COSTS!$Z$11:$AE$14,5,FALSE)</f>
        <v>6.6477272727272725</v>
      </c>
      <c r="AD169" s="69">
        <f>VLOOKUP(G169,COSTS!$Z$4:$AD$7,4,FALSE)</f>
        <v>9.8977272727272734</v>
      </c>
      <c r="AE169" s="69"/>
      <c r="AF169" s="69">
        <f t="shared" si="18"/>
        <v>16.545454545454547</v>
      </c>
      <c r="AG169" s="87">
        <f>((COSTS!$C$5*88)/20)/88</f>
        <v>1.4407150000000002</v>
      </c>
      <c r="AH169" s="69">
        <f>(COSTS!$X$38/88)*20</f>
        <v>0.34865702479338845</v>
      </c>
      <c r="AI169" s="87">
        <f>((COSTS!$E$5*88)/20)/88</f>
        <v>0.62936587135988387</v>
      </c>
      <c r="AJ169" s="87">
        <f>((COSTS!$D$5*88)/20)/88</f>
        <v>0.33676</v>
      </c>
      <c r="AL169" s="387">
        <f t="shared" si="19"/>
        <v>2.7554978961532726</v>
      </c>
      <c r="AM169" s="69">
        <f>(COSTS!$W$3+0.1)*500*0.01</f>
        <v>3.9999999999999996</v>
      </c>
      <c r="AN169" s="387">
        <f>((COSTS!$G$5/20)*88)/88</f>
        <v>1.308904109589041</v>
      </c>
      <c r="AR169" s="69">
        <f t="shared" si="20"/>
        <v>5.3089041095890401</v>
      </c>
      <c r="AT169" s="1">
        <f>VLOOKUP(C169&amp;$AT$1,OTR!E:J,6,FALSE)/88</f>
        <v>21.862386363636361</v>
      </c>
      <c r="AU169" s="1" t="e">
        <f>VLOOKUP(C169&amp;$AU$1,OTR!E:J,6,FALSE)/88</f>
        <v>#N/A</v>
      </c>
    </row>
    <row r="170" spans="1:47">
      <c r="A170" s="1">
        <v>871049</v>
      </c>
      <c r="B170" s="1" t="s">
        <v>443</v>
      </c>
      <c r="C170" s="1" t="s">
        <v>439</v>
      </c>
      <c r="D170" s="1" t="s">
        <v>71</v>
      </c>
      <c r="E170" s="1" t="str">
        <f>VLOOKUP(A:A,'Regions and Ports'!A:G,5,FALSE)</f>
        <v>STEX</v>
      </c>
      <c r="F170" s="1" t="str">
        <f>VLOOKUP(A:A,'Regions and Ports'!A:F,6,FALSE)</f>
        <v>STX</v>
      </c>
      <c r="G170" s="1" t="str">
        <f>VLOOKUP(A:A,'Regions and Ports'!A:G,7,FALSE)</f>
        <v>Houston</v>
      </c>
      <c r="H170" s="87">
        <v>3</v>
      </c>
      <c r="I170" s="69">
        <f>VLOOKUP(A:A,'Seam Tariffs'!A:AB,9,FALSE)</f>
        <v>5</v>
      </c>
      <c r="J170" s="69">
        <f>VLOOKUP(A:A,'Seam Tariffs'!A:AB,11,FALSE)</f>
        <v>7</v>
      </c>
      <c r="K170" s="69">
        <f>VLOOKUP(A:A,'Seam Tariffs'!A:AB,12,FALSE)</f>
        <v>9.5</v>
      </c>
      <c r="L170" s="69">
        <f>VLOOKUP(A:A,'Seam Tariffs'!A:AB,13,FALSE)</f>
        <v>0</v>
      </c>
      <c r="M170" s="69">
        <f>VLOOKUP(A:A,'Seam Tariffs'!A:AB,14,FALSE)</f>
        <v>0</v>
      </c>
      <c r="N170" s="69">
        <f>VLOOKUP(A:A,'Seam Tariffs'!A:AB,28,FALSE)</f>
        <v>4</v>
      </c>
      <c r="O170" s="69">
        <f>COSTS!$W$6</f>
        <v>1.8958333333333335</v>
      </c>
      <c r="P170" s="69">
        <f>VLOOKUP(G170,COSTS!$V$11:$X$14,3,FALSE)</f>
        <v>0</v>
      </c>
      <c r="Q170" s="69">
        <f t="shared" si="14"/>
        <v>27.395833333333332</v>
      </c>
      <c r="R170" s="69">
        <f t="shared" si="15"/>
        <v>22.395833333333332</v>
      </c>
      <c r="S170" s="87">
        <f>VLOOKUP(A:A,'Flat Bed &amp; Late Fees'!A:J,6,FALSE)</f>
        <v>0</v>
      </c>
      <c r="T170" s="87">
        <f>VLOOKUP(A:A,'Flat Bed &amp; Late Fees'!A:J,7,FALSE)</f>
        <v>0</v>
      </c>
      <c r="U170" s="68">
        <f>VLOOKUP(C170&amp;G170,OTR!E:J,6,FALSE)/88</f>
        <v>6.5340909090909092</v>
      </c>
      <c r="V170" s="87"/>
      <c r="W170" s="68">
        <f t="shared" si="16"/>
        <v>6.5340909090909092</v>
      </c>
      <c r="X170" s="69">
        <f>VLOOKUP(G170,COSTS!$Z$18:$AC$23,2,FALSE)</f>
        <v>2.7</v>
      </c>
      <c r="Y170" s="87">
        <f>VLOOKUP(G170,COSTS!$Z$18:$AC$23,4,FALSE)</f>
        <v>2.52</v>
      </c>
      <c r="Z170" s="69">
        <f>(COSTS!$W$3*COSTS!$W$4*500)/52*COSTS!$AE$17</f>
        <v>1.3125</v>
      </c>
      <c r="AB170" s="69">
        <f t="shared" si="17"/>
        <v>6.5325000000000006</v>
      </c>
      <c r="AC170" s="69">
        <f>VLOOKUP(G170,COSTS!$Z$11:$AE$14,5,FALSE)</f>
        <v>6.6477272727272725</v>
      </c>
      <c r="AD170" s="69">
        <f>VLOOKUP(G170,COSTS!$Z$4:$AD$7,4,FALSE)</f>
        <v>9.8977272727272734</v>
      </c>
      <c r="AE170" s="69"/>
      <c r="AF170" s="69">
        <f t="shared" si="18"/>
        <v>16.545454545454547</v>
      </c>
      <c r="AG170" s="87">
        <f>((COSTS!$C$5*88)/20)/88</f>
        <v>1.4407150000000002</v>
      </c>
      <c r="AH170" s="69">
        <f>(COSTS!$X$38/88)*20</f>
        <v>0.34865702479338845</v>
      </c>
      <c r="AI170" s="87">
        <f>((COSTS!$E$5*88)/20)/88</f>
        <v>0.62936587135988387</v>
      </c>
      <c r="AJ170" s="87">
        <f>((COSTS!$D$5*88)/20)/88</f>
        <v>0.33676</v>
      </c>
      <c r="AL170" s="387">
        <f t="shared" si="19"/>
        <v>2.7554978961532726</v>
      </c>
      <c r="AM170" s="69">
        <f>(COSTS!$W$3+0.1)*500*0.01</f>
        <v>3.9999999999999996</v>
      </c>
      <c r="AN170" s="387">
        <f>((COSTS!$G$5/20)*88)/88</f>
        <v>1.308904109589041</v>
      </c>
      <c r="AR170" s="69">
        <f t="shared" si="20"/>
        <v>5.3089041095890401</v>
      </c>
      <c r="AT170" s="1">
        <f>VLOOKUP(C170&amp;$AT$1,OTR!E:J,6,FALSE)/88</f>
        <v>21.862386363636361</v>
      </c>
      <c r="AU170" s="1" t="e">
        <f>VLOOKUP(C170&amp;$AU$1,OTR!E:J,6,FALSE)/88</f>
        <v>#N/A</v>
      </c>
    </row>
    <row r="171" spans="1:47">
      <c r="A171" s="1">
        <v>791730</v>
      </c>
      <c r="B171" s="1" t="s">
        <v>444</v>
      </c>
      <c r="C171" s="1" t="s">
        <v>445</v>
      </c>
      <c r="D171" s="1" t="s">
        <v>168</v>
      </c>
      <c r="E171" s="1" t="str">
        <f>VLOOKUP(A:A,'Regions and Ports'!A:G,5,FALSE)</f>
        <v>Memphis Rule 5</v>
      </c>
      <c r="F171" s="1" t="str">
        <f>VLOOKUP(A:A,'Regions and Ports'!A:F,6,FALSE)</f>
        <v>MR5</v>
      </c>
      <c r="G171" s="1" t="str">
        <f>VLOOKUP(A:A,'Regions and Ports'!A:G,7,FALSE)</f>
        <v>Memphis</v>
      </c>
      <c r="H171" s="87">
        <v>1</v>
      </c>
      <c r="I171" s="69">
        <f>VLOOKUP(A:A,'Seam Tariffs'!A:AB,9,FALSE)</f>
        <v>0</v>
      </c>
      <c r="J171" s="69">
        <f>VLOOKUP(A:A,'Seam Tariffs'!A:AB,11,FALSE)</f>
        <v>14.45</v>
      </c>
      <c r="K171" s="69">
        <f>VLOOKUP(A:A,'Seam Tariffs'!A:AB,12,FALSE)</f>
        <v>0</v>
      </c>
      <c r="L171" s="69">
        <f>VLOOKUP(A:A,'Seam Tariffs'!A:AB,13,FALSE)</f>
        <v>3.05</v>
      </c>
      <c r="M171" s="69">
        <f>VLOOKUP(A:A,'Seam Tariffs'!A:AB,14,FALSE)</f>
        <v>0</v>
      </c>
      <c r="N171" s="69">
        <f>VLOOKUP(A:A,'Seam Tariffs'!A:AB,28,FALSE)</f>
        <v>4</v>
      </c>
      <c r="O171" s="69">
        <f>COSTS!$W$6</f>
        <v>1.8958333333333335</v>
      </c>
      <c r="P171" s="69">
        <f>VLOOKUP(G171,COSTS!$V$11:$X$14,3,FALSE)</f>
        <v>0</v>
      </c>
      <c r="Q171" s="69">
        <f t="shared" si="14"/>
        <v>23.395833333333332</v>
      </c>
      <c r="R171" s="69">
        <f t="shared" si="15"/>
        <v>5.8958333333333339</v>
      </c>
      <c r="S171" s="87">
        <f>VLOOKUP(A:A,'Flat Bed &amp; Late Fees'!A:J,6,FALSE)</f>
        <v>0</v>
      </c>
      <c r="T171" s="87">
        <f>VLOOKUP(A:A,'Flat Bed &amp; Late Fees'!A:J,7,FALSE)</f>
        <v>0</v>
      </c>
      <c r="U171" s="68">
        <f>VLOOKUP(C171&amp;G171,OTR!E:J,6,FALSE)/88</f>
        <v>7.3011363636363633</v>
      </c>
      <c r="V171" s="87"/>
      <c r="W171" s="68">
        <f t="shared" si="16"/>
        <v>7.3011363636363633</v>
      </c>
      <c r="X171" s="69">
        <f>VLOOKUP(G171,COSTS!$Z$18:$AC$23,2,FALSE)</f>
        <v>2.5</v>
      </c>
      <c r="Y171" s="87">
        <f>VLOOKUP(G171,COSTS!$Z$18:$AC$23,4,FALSE)</f>
        <v>1.68</v>
      </c>
      <c r="Z171" s="69">
        <f>(COSTS!$W$3*COSTS!$W$4*500)/52*COSTS!$AE$17</f>
        <v>1.3125</v>
      </c>
      <c r="AB171" s="69">
        <f t="shared" si="17"/>
        <v>5.4924999999999997</v>
      </c>
      <c r="AC171" s="69">
        <f>VLOOKUP(G171,COSTS!$Z$11:$AE$14,5,FALSE)</f>
        <v>7.3011363636363633</v>
      </c>
      <c r="AD171" s="69">
        <f>VLOOKUP(G171,COSTS!$Z$4:$AD$7,4,FALSE)</f>
        <v>9.1363636363636367</v>
      </c>
      <c r="AE171" s="69"/>
      <c r="AF171" s="69">
        <f t="shared" si="18"/>
        <v>16.4375</v>
      </c>
      <c r="AG171" s="87">
        <f>((COSTS!$C$5*88)/20)/88</f>
        <v>1.4407150000000002</v>
      </c>
      <c r="AH171" s="69">
        <f>(COSTS!$X$38/88)*20</f>
        <v>0.34865702479338845</v>
      </c>
      <c r="AI171" s="87">
        <f>((COSTS!$E$5*88)/20)/88</f>
        <v>0.62936587135988387</v>
      </c>
      <c r="AJ171" s="87">
        <f>((COSTS!$D$5*88)/20)/88</f>
        <v>0.33676</v>
      </c>
      <c r="AL171" s="387">
        <f t="shared" si="19"/>
        <v>2.7554978961532726</v>
      </c>
      <c r="AM171" s="69">
        <f>(COSTS!$W$3+0.1)*500*0.01</f>
        <v>3.9999999999999996</v>
      </c>
      <c r="AN171" s="387">
        <f>((COSTS!$G$5/20)*88)/88</f>
        <v>1.308904109589041</v>
      </c>
      <c r="AR171" s="69">
        <f t="shared" si="20"/>
        <v>5.3089041095890401</v>
      </c>
      <c r="AT171" s="1" t="e">
        <f>VLOOKUP(C171&amp;$AT$1,OTR!E:J,6,FALSE)/88</f>
        <v>#N/A</v>
      </c>
      <c r="AU171" s="1" t="e">
        <f>VLOOKUP(C171&amp;$AU$1,OTR!E:J,6,FALSE)/88</f>
        <v>#N/A</v>
      </c>
    </row>
    <row r="172" spans="1:47">
      <c r="A172" s="1">
        <v>480505</v>
      </c>
      <c r="B172" s="1" t="s">
        <v>447</v>
      </c>
      <c r="C172" s="1" t="s">
        <v>448</v>
      </c>
      <c r="D172" s="1" t="s">
        <v>128</v>
      </c>
      <c r="E172" s="1" t="str">
        <f>VLOOKUP(A:A,'Regions and Ports'!A:G,5,FALSE)</f>
        <v>Memphis Rule 5</v>
      </c>
      <c r="F172" s="1" t="str">
        <f>VLOOKUP(A:A,'Regions and Ports'!A:F,6,FALSE)</f>
        <v>MR5</v>
      </c>
      <c r="G172" s="1" t="str">
        <f>VLOOKUP(A:A,'Regions and Ports'!A:G,7,FALSE)</f>
        <v>Memphis</v>
      </c>
      <c r="H172" s="87">
        <v>1</v>
      </c>
      <c r="I172" s="69">
        <f>VLOOKUP(A:A,'Seam Tariffs'!A:AB,9,FALSE)</f>
        <v>1.85</v>
      </c>
      <c r="J172" s="69">
        <f>VLOOKUP(A:A,'Seam Tariffs'!A:AB,11,FALSE)</f>
        <v>4</v>
      </c>
      <c r="K172" s="69">
        <f>VLOOKUP(A:A,'Seam Tariffs'!A:AB,12,FALSE)</f>
        <v>7</v>
      </c>
      <c r="L172" s="69">
        <f>VLOOKUP(A:A,'Seam Tariffs'!A:AB,13,FALSE)</f>
        <v>3.05</v>
      </c>
      <c r="M172" s="69">
        <f>VLOOKUP(A:A,'Seam Tariffs'!A:AB,14,FALSE)</f>
        <v>0</v>
      </c>
      <c r="N172" s="69">
        <f>VLOOKUP(A:A,'Seam Tariffs'!A:AB,28,FALSE)</f>
        <v>3</v>
      </c>
      <c r="O172" s="69">
        <f>COSTS!$W$6</f>
        <v>1.8958333333333335</v>
      </c>
      <c r="P172" s="69">
        <f>VLOOKUP(G172,COSTS!$V$11:$X$14,3,FALSE)</f>
        <v>0</v>
      </c>
      <c r="Q172" s="69">
        <f t="shared" si="14"/>
        <v>20.795833333333331</v>
      </c>
      <c r="R172" s="69">
        <f t="shared" si="15"/>
        <v>4.8958333333333339</v>
      </c>
      <c r="S172" s="87">
        <f>VLOOKUP(A:A,'Flat Bed &amp; Late Fees'!A:J,6,FALSE)</f>
        <v>0</v>
      </c>
      <c r="T172" s="87">
        <f>VLOOKUP(A:A,'Flat Bed &amp; Late Fees'!A:J,7,FALSE)</f>
        <v>0</v>
      </c>
      <c r="U172" s="68">
        <f>VLOOKUP(C172&amp;G172,OTR!E:J,6,FALSE)/88</f>
        <v>10.0625</v>
      </c>
      <c r="V172" s="87"/>
      <c r="W172" s="68">
        <f t="shared" si="16"/>
        <v>10.0625</v>
      </c>
      <c r="X172" s="69">
        <f>VLOOKUP(G172,COSTS!$Z$18:$AC$23,2,FALSE)</f>
        <v>2.5</v>
      </c>
      <c r="Y172" s="87">
        <f>VLOOKUP(G172,COSTS!$Z$18:$AC$23,4,FALSE)</f>
        <v>1.68</v>
      </c>
      <c r="Z172" s="69">
        <f>(COSTS!$W$3*COSTS!$W$4*500)/52*COSTS!$AE$17</f>
        <v>1.3125</v>
      </c>
      <c r="AB172" s="69">
        <f t="shared" si="17"/>
        <v>5.4924999999999997</v>
      </c>
      <c r="AC172" s="69">
        <f>VLOOKUP(G172,COSTS!$Z$11:$AE$14,5,FALSE)</f>
        <v>7.3011363636363633</v>
      </c>
      <c r="AD172" s="69">
        <f>VLOOKUP(G172,COSTS!$Z$4:$AD$7,4,FALSE)</f>
        <v>9.1363636363636367</v>
      </c>
      <c r="AE172" s="69"/>
      <c r="AF172" s="69">
        <f t="shared" si="18"/>
        <v>16.4375</v>
      </c>
      <c r="AG172" s="87">
        <f>((COSTS!$C$5*88)/20)/88</f>
        <v>1.4407150000000002</v>
      </c>
      <c r="AH172" s="69">
        <f>(COSTS!$X$38/88)*20</f>
        <v>0.34865702479338845</v>
      </c>
      <c r="AI172" s="87">
        <f>((COSTS!$E$5*88)/20)/88</f>
        <v>0.62936587135988387</v>
      </c>
      <c r="AJ172" s="87">
        <f>((COSTS!$D$5*88)/20)/88</f>
        <v>0.33676</v>
      </c>
      <c r="AL172" s="387">
        <f t="shared" si="19"/>
        <v>2.7554978961532726</v>
      </c>
      <c r="AM172" s="69">
        <f>(COSTS!$W$3+0.1)*500*0.01</f>
        <v>3.9999999999999996</v>
      </c>
      <c r="AN172" s="387">
        <f>((COSTS!$G$5/20)*88)/88</f>
        <v>1.308904109589041</v>
      </c>
      <c r="AR172" s="69">
        <f t="shared" si="20"/>
        <v>5.3089041095890401</v>
      </c>
      <c r="AT172" s="1">
        <f>VLOOKUP(C172&amp;$AT$1,OTR!E:J,6,FALSE)/88</f>
        <v>22.054659090909091</v>
      </c>
      <c r="AU172" s="1">
        <f>VLOOKUP(C172&amp;$AU$1,OTR!E:J,6,FALSE)/88</f>
        <v>24.857954545454547</v>
      </c>
    </row>
    <row r="173" spans="1:47">
      <c r="A173" s="1">
        <v>481005</v>
      </c>
      <c r="B173" s="1" t="s">
        <v>450</v>
      </c>
      <c r="C173" s="1" t="s">
        <v>451</v>
      </c>
      <c r="D173" s="1" t="s">
        <v>128</v>
      </c>
      <c r="E173" s="1" t="str">
        <f>VLOOKUP(A:A,'Regions and Ports'!A:G,5,FALSE)</f>
        <v>Memphis Rule 5</v>
      </c>
      <c r="F173" s="1" t="str">
        <f>VLOOKUP(A:A,'Regions and Ports'!A:F,6,FALSE)</f>
        <v>MR5</v>
      </c>
      <c r="G173" s="1" t="str">
        <f>VLOOKUP(A:A,'Regions and Ports'!A:G,7,FALSE)</f>
        <v>Memphis</v>
      </c>
      <c r="H173" s="87">
        <v>1</v>
      </c>
      <c r="I173" s="69">
        <f>VLOOKUP(A:A,'Seam Tariffs'!A:AB,9,FALSE)</f>
        <v>1.5</v>
      </c>
      <c r="J173" s="69">
        <f>VLOOKUP(A:A,'Seam Tariffs'!A:AB,11,FALSE)</f>
        <v>3.75</v>
      </c>
      <c r="K173" s="69">
        <f>VLOOKUP(A:A,'Seam Tariffs'!A:AB,12,FALSE)</f>
        <v>8</v>
      </c>
      <c r="L173" s="69">
        <f>VLOOKUP(A:A,'Seam Tariffs'!A:AB,13,FALSE)</f>
        <v>3.05</v>
      </c>
      <c r="M173" s="69">
        <f>VLOOKUP(A:A,'Seam Tariffs'!A:AB,14,FALSE)</f>
        <v>0.5</v>
      </c>
      <c r="N173" s="69">
        <f>VLOOKUP(A:A,'Seam Tariffs'!A:AB,28,FALSE)</f>
        <v>3.15</v>
      </c>
      <c r="O173" s="69">
        <f>COSTS!$W$6</f>
        <v>1.8958333333333335</v>
      </c>
      <c r="P173" s="69">
        <f>VLOOKUP(G173,COSTS!$V$11:$X$14,3,FALSE)</f>
        <v>0</v>
      </c>
      <c r="Q173" s="69">
        <f t="shared" si="14"/>
        <v>21.845833333333331</v>
      </c>
      <c r="R173" s="69">
        <f t="shared" si="15"/>
        <v>5.0458333333333334</v>
      </c>
      <c r="S173" s="87">
        <f>VLOOKUP(A:A,'Flat Bed &amp; Late Fees'!A:J,6,FALSE)</f>
        <v>0</v>
      </c>
      <c r="T173" s="87">
        <f>VLOOKUP(A:A,'Flat Bed &amp; Late Fees'!A:J,7,FALSE)</f>
        <v>0</v>
      </c>
      <c r="U173" s="68">
        <f>VLOOKUP(C173&amp;G173,OTR!E:J,6,FALSE)/88</f>
        <v>12.073863636363637</v>
      </c>
      <c r="V173" s="87"/>
      <c r="W173" s="68">
        <f t="shared" si="16"/>
        <v>12.073863636363637</v>
      </c>
      <c r="X173" s="69">
        <f>VLOOKUP(G173,COSTS!$Z$18:$AC$23,2,FALSE)</f>
        <v>2.5</v>
      </c>
      <c r="Y173" s="87">
        <f>VLOOKUP(G173,COSTS!$Z$18:$AC$23,4,FALSE)</f>
        <v>1.68</v>
      </c>
      <c r="Z173" s="69">
        <f>(COSTS!$W$3*COSTS!$W$4*500)/52*COSTS!$AE$17</f>
        <v>1.3125</v>
      </c>
      <c r="AB173" s="69">
        <f t="shared" si="17"/>
        <v>5.4924999999999997</v>
      </c>
      <c r="AC173" s="69">
        <f>VLOOKUP(G173,COSTS!$Z$11:$AE$14,5,FALSE)</f>
        <v>7.3011363636363633</v>
      </c>
      <c r="AD173" s="69">
        <f>VLOOKUP(G173,COSTS!$Z$4:$AD$7,4,FALSE)</f>
        <v>9.1363636363636367</v>
      </c>
      <c r="AE173" s="69"/>
      <c r="AF173" s="69">
        <f t="shared" si="18"/>
        <v>16.4375</v>
      </c>
      <c r="AG173" s="87">
        <f>((COSTS!$C$5*88)/20)/88</f>
        <v>1.4407150000000002</v>
      </c>
      <c r="AH173" s="69">
        <f>(COSTS!$X$38/88)*20</f>
        <v>0.34865702479338845</v>
      </c>
      <c r="AI173" s="87">
        <f>((COSTS!$E$5*88)/20)/88</f>
        <v>0.62936587135988387</v>
      </c>
      <c r="AJ173" s="87">
        <f>((COSTS!$D$5*88)/20)/88</f>
        <v>0.33676</v>
      </c>
      <c r="AL173" s="387">
        <f t="shared" si="19"/>
        <v>2.7554978961532726</v>
      </c>
      <c r="AM173" s="69">
        <f>(COSTS!$W$3+0.1)*500*0.01</f>
        <v>3.9999999999999996</v>
      </c>
      <c r="AN173" s="387">
        <f>((COSTS!$G$5/20)*88)/88</f>
        <v>1.308904109589041</v>
      </c>
      <c r="AR173" s="69">
        <f t="shared" si="20"/>
        <v>5.3089041095890401</v>
      </c>
      <c r="AT173" s="1">
        <f>VLOOKUP(C173&amp;$AT$1,OTR!E:J,6,FALSE)/88</f>
        <v>23.336477272727276</v>
      </c>
      <c r="AU173" s="1">
        <f>VLOOKUP(C173&amp;$AU$1,OTR!E:J,6,FALSE)/88</f>
        <v>24.943181818181817</v>
      </c>
    </row>
    <row r="174" spans="1:47">
      <c r="A174" s="1">
        <v>481010</v>
      </c>
      <c r="B174" s="1" t="s">
        <v>452</v>
      </c>
      <c r="C174" s="1" t="s">
        <v>451</v>
      </c>
      <c r="D174" s="1" t="s">
        <v>128</v>
      </c>
      <c r="E174" s="1" t="str">
        <f>VLOOKUP(A:A,'Regions and Ports'!A:G,5,FALSE)</f>
        <v>Memphis Rule 5</v>
      </c>
      <c r="F174" s="1" t="str">
        <f>VLOOKUP(A:A,'Regions and Ports'!A:F,6,FALSE)</f>
        <v>MR5</v>
      </c>
      <c r="G174" s="1" t="str">
        <f>VLOOKUP(A:A,'Regions and Ports'!A:G,7,FALSE)</f>
        <v>Memphis</v>
      </c>
      <c r="H174" s="87">
        <v>1</v>
      </c>
      <c r="I174" s="69">
        <f>VLOOKUP(A:A,'Seam Tariffs'!A:AB,9,FALSE)</f>
        <v>1.5</v>
      </c>
      <c r="J174" s="69">
        <f>VLOOKUP(A:A,'Seam Tariffs'!A:AB,11,FALSE)</f>
        <v>3.75</v>
      </c>
      <c r="K174" s="69">
        <f>VLOOKUP(A:A,'Seam Tariffs'!A:AB,12,FALSE)</f>
        <v>8</v>
      </c>
      <c r="L174" s="69">
        <f>VLOOKUP(A:A,'Seam Tariffs'!A:AB,13,FALSE)</f>
        <v>3.05</v>
      </c>
      <c r="M174" s="69">
        <f>VLOOKUP(A:A,'Seam Tariffs'!A:AB,14,FALSE)</f>
        <v>0.5</v>
      </c>
      <c r="N174" s="69">
        <f>VLOOKUP(A:A,'Seam Tariffs'!A:AB,28,FALSE)</f>
        <v>3.15</v>
      </c>
      <c r="O174" s="69">
        <f>COSTS!$W$6</f>
        <v>1.8958333333333335</v>
      </c>
      <c r="P174" s="69">
        <f>VLOOKUP(G174,COSTS!$V$11:$X$14,3,FALSE)</f>
        <v>0</v>
      </c>
      <c r="Q174" s="69">
        <f t="shared" si="14"/>
        <v>21.845833333333331</v>
      </c>
      <c r="R174" s="69">
        <f t="shared" si="15"/>
        <v>5.0458333333333334</v>
      </c>
      <c r="S174" s="87">
        <f>VLOOKUP(A:A,'Flat Bed &amp; Late Fees'!A:J,6,FALSE)</f>
        <v>0</v>
      </c>
      <c r="T174" s="87">
        <f>VLOOKUP(A:A,'Flat Bed &amp; Late Fees'!A:J,7,FALSE)</f>
        <v>0</v>
      </c>
      <c r="U174" s="68">
        <f>VLOOKUP(C174&amp;G174,OTR!E:J,6,FALSE)/88</f>
        <v>12.073863636363637</v>
      </c>
      <c r="V174" s="87"/>
      <c r="W174" s="68">
        <f t="shared" si="16"/>
        <v>12.073863636363637</v>
      </c>
      <c r="X174" s="69">
        <f>VLOOKUP(G174,COSTS!$Z$18:$AC$23,2,FALSE)</f>
        <v>2.5</v>
      </c>
      <c r="Y174" s="87">
        <f>VLOOKUP(G174,COSTS!$Z$18:$AC$23,4,FALSE)</f>
        <v>1.68</v>
      </c>
      <c r="Z174" s="69">
        <f>(COSTS!$W$3*COSTS!$W$4*500)/52*COSTS!$AE$17</f>
        <v>1.3125</v>
      </c>
      <c r="AB174" s="69">
        <f t="shared" si="17"/>
        <v>5.4924999999999997</v>
      </c>
      <c r="AC174" s="69">
        <f>VLOOKUP(G174,COSTS!$Z$11:$AE$14,5,FALSE)</f>
        <v>7.3011363636363633</v>
      </c>
      <c r="AD174" s="69">
        <f>VLOOKUP(G174,COSTS!$Z$4:$AD$7,4,FALSE)</f>
        <v>9.1363636363636367</v>
      </c>
      <c r="AE174" s="69"/>
      <c r="AF174" s="69">
        <f t="shared" si="18"/>
        <v>16.4375</v>
      </c>
      <c r="AG174" s="87">
        <f>((COSTS!$C$5*88)/20)/88</f>
        <v>1.4407150000000002</v>
      </c>
      <c r="AH174" s="69">
        <f>(COSTS!$X$38/88)*20</f>
        <v>0.34865702479338845</v>
      </c>
      <c r="AI174" s="87">
        <f>((COSTS!$E$5*88)/20)/88</f>
        <v>0.62936587135988387</v>
      </c>
      <c r="AJ174" s="87">
        <f>((COSTS!$D$5*88)/20)/88</f>
        <v>0.33676</v>
      </c>
      <c r="AL174" s="387">
        <f t="shared" si="19"/>
        <v>2.7554978961532726</v>
      </c>
      <c r="AM174" s="69">
        <f>(COSTS!$W$3+0.1)*500*0.01</f>
        <v>3.9999999999999996</v>
      </c>
      <c r="AN174" s="387">
        <f>((COSTS!$G$5/20)*88)/88</f>
        <v>1.308904109589041</v>
      </c>
      <c r="AR174" s="69">
        <f t="shared" si="20"/>
        <v>5.3089041095890401</v>
      </c>
      <c r="AT174" s="1">
        <f>VLOOKUP(C174&amp;$AT$1,OTR!E:J,6,FALSE)/88</f>
        <v>23.336477272727276</v>
      </c>
      <c r="AU174" s="1">
        <f>VLOOKUP(C174&amp;$AU$1,OTR!E:J,6,FALSE)/88</f>
        <v>24.943181818181817</v>
      </c>
    </row>
    <row r="175" spans="1:47">
      <c r="A175" s="1">
        <v>576503</v>
      </c>
      <c r="B175" s="1" t="s">
        <v>195</v>
      </c>
      <c r="C175" s="1" t="s">
        <v>454</v>
      </c>
      <c r="D175" s="1" t="s">
        <v>136</v>
      </c>
      <c r="E175" s="1" t="str">
        <f>VLOOKUP(A:A,'Regions and Ports'!A:G,5,FALSE)</f>
        <v>Eastern Rule 5</v>
      </c>
      <c r="F175" s="1" t="str">
        <f>VLOOKUP(A:A,'Regions and Ports'!A:F,6,FALSE)</f>
        <v>ER5</v>
      </c>
      <c r="G175" s="1" t="str">
        <f>VLOOKUP(A:A,'Regions and Ports'!A:G,7,FALSE)</f>
        <v>Savannah</v>
      </c>
      <c r="H175" s="87">
        <v>1</v>
      </c>
      <c r="I175" s="69">
        <f>VLOOKUP(A:A,'Seam Tariffs'!A:AB,9,FALSE)</f>
        <v>3.75</v>
      </c>
      <c r="J175" s="69">
        <f>VLOOKUP(A:A,'Seam Tariffs'!A:AB,11,FALSE)</f>
        <v>4.25</v>
      </c>
      <c r="K175" s="69">
        <f>VLOOKUP(A:A,'Seam Tariffs'!A:AB,12,FALSE)</f>
        <v>0</v>
      </c>
      <c r="L175" s="69">
        <f>VLOOKUP(A:A,'Seam Tariffs'!A:AB,13,FALSE)</f>
        <v>0</v>
      </c>
      <c r="M175" s="69">
        <f>VLOOKUP(A:A,'Seam Tariffs'!A:AB,14,FALSE)</f>
        <v>0.25</v>
      </c>
      <c r="N175" s="69">
        <f>VLOOKUP(A:A,'Seam Tariffs'!A:AB,28,FALSE)</f>
        <v>2.5</v>
      </c>
      <c r="O175" s="69">
        <f>COSTS!$W$6</f>
        <v>1.8958333333333335</v>
      </c>
      <c r="P175" s="69">
        <f>VLOOKUP(G175,COSTS!$V$11:$X$14,3,FALSE)</f>
        <v>0</v>
      </c>
      <c r="Q175" s="69">
        <f t="shared" si="14"/>
        <v>12.645833333333334</v>
      </c>
      <c r="R175" s="69">
        <f t="shared" si="15"/>
        <v>4.3958333333333339</v>
      </c>
      <c r="S175" s="87">
        <f>VLOOKUP(A:A,'Flat Bed &amp; Late Fees'!A:J,6,FALSE)</f>
        <v>0</v>
      </c>
      <c r="T175" s="87">
        <f>VLOOKUP(A:A,'Flat Bed &amp; Late Fees'!A:J,7,FALSE)</f>
        <v>0</v>
      </c>
      <c r="U175" s="68">
        <f>VLOOKUP(C175&amp;G175,OTR!E:J,6,FALSE)/88</f>
        <v>14.784176136363635</v>
      </c>
      <c r="V175" s="87"/>
      <c r="W175" s="68">
        <f t="shared" si="16"/>
        <v>14.784176136363635</v>
      </c>
      <c r="X175" s="69">
        <f>VLOOKUP(G175,COSTS!$Z$18:$AC$23,2,FALSE)</f>
        <v>2.6</v>
      </c>
      <c r="Y175" s="87">
        <f>VLOOKUP(G175,COSTS!$Z$18:$AC$23,4,FALSE)</f>
        <v>2.52</v>
      </c>
      <c r="Z175" s="69">
        <f>(COSTS!$W$3*COSTS!$W$4*500)/52*COSTS!$AE$17</f>
        <v>1.3125</v>
      </c>
      <c r="AB175" s="69">
        <f t="shared" si="17"/>
        <v>6.4325000000000001</v>
      </c>
      <c r="AC175" s="69">
        <f>VLOOKUP(G175,COSTS!$Z$11:$AE$14,5,FALSE)</f>
        <v>5.5113636363636367</v>
      </c>
      <c r="AD175" s="69">
        <f>VLOOKUP(G175,COSTS!$Z$4:$AD$7,4,FALSE)</f>
        <v>5.3522727272727275</v>
      </c>
      <c r="AE175" s="69"/>
      <c r="AF175" s="69">
        <f t="shared" si="18"/>
        <v>10.863636363636363</v>
      </c>
      <c r="AG175" s="87">
        <f>((COSTS!$C$5*88)/20)/88</f>
        <v>1.4407150000000002</v>
      </c>
      <c r="AH175" s="69">
        <f>(COSTS!$X$38/88)*20</f>
        <v>0.34865702479338845</v>
      </c>
      <c r="AI175" s="87">
        <f>((COSTS!$E$5*88)/20)/88</f>
        <v>0.62936587135988387</v>
      </c>
      <c r="AJ175" s="87">
        <f>((COSTS!$D$5*88)/20)/88</f>
        <v>0.33676</v>
      </c>
      <c r="AL175" s="387">
        <f t="shared" si="19"/>
        <v>2.7554978961532726</v>
      </c>
      <c r="AM175" s="69">
        <f>(COSTS!$W$3+0.1)*500*0.01</f>
        <v>3.9999999999999996</v>
      </c>
      <c r="AN175" s="387">
        <f>((COSTS!$G$5/20)*88)/88</f>
        <v>1.308904109589041</v>
      </c>
      <c r="AR175" s="69">
        <f t="shared" si="20"/>
        <v>5.3089041095890401</v>
      </c>
      <c r="AT175" s="1">
        <f>VLOOKUP(C175&amp;$AT$1,OTR!E:J,6,FALSE)/88</f>
        <v>27.774772727272726</v>
      </c>
      <c r="AU175" s="1">
        <f>VLOOKUP(C175&amp;$AU$1,OTR!E:J,6,FALSE)/88</f>
        <v>12.806818181818182</v>
      </c>
    </row>
    <row r="176" spans="1:47">
      <c r="A176" s="1">
        <v>786225</v>
      </c>
      <c r="B176" s="1" t="s">
        <v>456</v>
      </c>
      <c r="C176" s="1" t="s">
        <v>454</v>
      </c>
      <c r="D176" s="1" t="s">
        <v>168</v>
      </c>
      <c r="E176" s="1" t="str">
        <f>VLOOKUP(A:A,'Regions and Ports'!A:G,5,FALSE)</f>
        <v>Memphis Rule 5</v>
      </c>
      <c r="F176" s="1" t="str">
        <f>VLOOKUP(A:A,'Regions and Ports'!A:F,6,FALSE)</f>
        <v>MR5</v>
      </c>
      <c r="G176" s="1" t="str">
        <f>VLOOKUP(A:A,'Regions and Ports'!A:G,7,FALSE)</f>
        <v>Memphis</v>
      </c>
      <c r="H176" s="87">
        <v>1</v>
      </c>
      <c r="I176" s="69">
        <f>VLOOKUP(A:A,'Seam Tariffs'!A:AB,9,FALSE)</f>
        <v>0</v>
      </c>
      <c r="J176" s="69">
        <f>VLOOKUP(A:A,'Seam Tariffs'!A:AB,11,FALSE)</f>
        <v>13.8</v>
      </c>
      <c r="K176" s="69">
        <f>VLOOKUP(A:A,'Seam Tariffs'!A:AB,12,FALSE)</f>
        <v>0</v>
      </c>
      <c r="L176" s="69">
        <f>VLOOKUP(A:A,'Seam Tariffs'!A:AB,13,FALSE)</f>
        <v>3</v>
      </c>
      <c r="M176" s="69">
        <f>VLOOKUP(A:A,'Seam Tariffs'!A:AB,14,FALSE)</f>
        <v>0</v>
      </c>
      <c r="N176" s="69">
        <f>VLOOKUP(A:A,'Seam Tariffs'!A:AB,28,FALSE)</f>
        <v>3.8</v>
      </c>
      <c r="O176" s="69">
        <f>COSTS!$W$6</f>
        <v>1.8958333333333335</v>
      </c>
      <c r="P176" s="69">
        <f>VLOOKUP(G176,COSTS!$V$11:$X$14,3,FALSE)</f>
        <v>0</v>
      </c>
      <c r="Q176" s="69">
        <f t="shared" si="14"/>
        <v>22.495833333333334</v>
      </c>
      <c r="R176" s="69">
        <f t="shared" si="15"/>
        <v>5.6958333333333329</v>
      </c>
      <c r="S176" s="87">
        <f>VLOOKUP(A:A,'Flat Bed &amp; Late Fees'!A:J,6,FALSE)</f>
        <v>0</v>
      </c>
      <c r="T176" s="87">
        <f>VLOOKUP(A:A,'Flat Bed &amp; Late Fees'!A:J,7,FALSE)</f>
        <v>0</v>
      </c>
      <c r="U176" s="68">
        <f>VLOOKUP(C176&amp;G176,OTR!E:J,6,FALSE)/88</f>
        <v>16.335227272727273</v>
      </c>
      <c r="V176" s="87"/>
      <c r="W176" s="68">
        <f t="shared" si="16"/>
        <v>16.335227272727273</v>
      </c>
      <c r="X176" s="69">
        <f>VLOOKUP(G176,COSTS!$Z$18:$AC$23,2,FALSE)</f>
        <v>2.5</v>
      </c>
      <c r="Y176" s="87">
        <f>VLOOKUP(G176,COSTS!$Z$18:$AC$23,4,FALSE)</f>
        <v>1.68</v>
      </c>
      <c r="Z176" s="69">
        <f>(COSTS!$W$3*COSTS!$W$4*500)/52*COSTS!$AE$17</f>
        <v>1.3125</v>
      </c>
      <c r="AB176" s="69">
        <f t="shared" si="17"/>
        <v>5.4924999999999997</v>
      </c>
      <c r="AC176" s="69">
        <f>VLOOKUP(G176,COSTS!$Z$11:$AE$14,5,FALSE)</f>
        <v>7.3011363636363633</v>
      </c>
      <c r="AD176" s="69">
        <f>VLOOKUP(G176,COSTS!$Z$4:$AD$7,4,FALSE)</f>
        <v>9.1363636363636367</v>
      </c>
      <c r="AE176" s="69"/>
      <c r="AF176" s="69">
        <f t="shared" si="18"/>
        <v>16.4375</v>
      </c>
      <c r="AG176" s="87">
        <f>((COSTS!$C$5*88)/20)/88</f>
        <v>1.4407150000000002</v>
      </c>
      <c r="AH176" s="69">
        <f>(COSTS!$X$38/88)*20</f>
        <v>0.34865702479338845</v>
      </c>
      <c r="AI176" s="87">
        <f>((COSTS!$E$5*88)/20)/88</f>
        <v>0.62936587135988387</v>
      </c>
      <c r="AJ176" s="87">
        <f>((COSTS!$D$5*88)/20)/88</f>
        <v>0.33676</v>
      </c>
      <c r="AL176" s="387">
        <f t="shared" si="19"/>
        <v>2.7554978961532726</v>
      </c>
      <c r="AM176" s="69">
        <f>(COSTS!$W$3+0.1)*500*0.01</f>
        <v>3.9999999999999996</v>
      </c>
      <c r="AN176" s="387">
        <f>((COSTS!$G$5/20)*88)/88</f>
        <v>1.308904109589041</v>
      </c>
      <c r="AR176" s="69">
        <f t="shared" si="20"/>
        <v>5.3089041095890401</v>
      </c>
      <c r="AT176" s="1">
        <f>VLOOKUP(C176&amp;$AT$1,OTR!E:J,6,FALSE)/88</f>
        <v>27.774772727272726</v>
      </c>
      <c r="AU176" s="1">
        <f>VLOOKUP(C176&amp;$AU$1,OTR!E:J,6,FALSE)/88</f>
        <v>12.806818181818182</v>
      </c>
    </row>
    <row r="177" spans="1:47">
      <c r="A177" s="1">
        <v>792025</v>
      </c>
      <c r="B177" s="1" t="s">
        <v>458</v>
      </c>
      <c r="C177" s="1" t="s">
        <v>454</v>
      </c>
      <c r="D177" s="1" t="s">
        <v>168</v>
      </c>
      <c r="E177" s="1" t="str">
        <f>VLOOKUP(A:A,'Regions and Ports'!A:G,5,FALSE)</f>
        <v>Memphis Rule 5</v>
      </c>
      <c r="F177" s="1" t="str">
        <f>VLOOKUP(A:A,'Regions and Ports'!A:F,6,FALSE)</f>
        <v>MR5</v>
      </c>
      <c r="G177" s="1" t="str">
        <f>VLOOKUP(A:A,'Regions and Ports'!A:G,7,FALSE)</f>
        <v>Memphis</v>
      </c>
      <c r="H177" s="87">
        <v>1</v>
      </c>
      <c r="I177" s="69">
        <f>VLOOKUP(A:A,'Seam Tariffs'!A:AB,9,FALSE)</f>
        <v>0</v>
      </c>
      <c r="J177" s="69">
        <f>VLOOKUP(A:A,'Seam Tariffs'!A:AB,11,FALSE)</f>
        <v>13.8</v>
      </c>
      <c r="K177" s="69">
        <f>VLOOKUP(A:A,'Seam Tariffs'!A:AB,12,FALSE)</f>
        <v>0</v>
      </c>
      <c r="L177" s="69">
        <f>VLOOKUP(A:A,'Seam Tariffs'!A:AB,13,FALSE)</f>
        <v>3.05</v>
      </c>
      <c r="M177" s="69">
        <f>VLOOKUP(A:A,'Seam Tariffs'!A:AB,14,FALSE)</f>
        <v>0</v>
      </c>
      <c r="N177" s="69">
        <f>VLOOKUP(A:A,'Seam Tariffs'!A:AB,28,FALSE)</f>
        <v>3.8</v>
      </c>
      <c r="O177" s="69">
        <f>COSTS!$W$6</f>
        <v>1.8958333333333335</v>
      </c>
      <c r="P177" s="69">
        <f>VLOOKUP(G177,COSTS!$V$11:$X$14,3,FALSE)</f>
        <v>0</v>
      </c>
      <c r="Q177" s="69">
        <f t="shared" si="14"/>
        <v>22.545833333333334</v>
      </c>
      <c r="R177" s="69">
        <f t="shared" si="15"/>
        <v>5.6958333333333329</v>
      </c>
      <c r="S177" s="87">
        <f>VLOOKUP(A:A,'Flat Bed &amp; Late Fees'!A:J,6,FALSE)</f>
        <v>0</v>
      </c>
      <c r="T177" s="87">
        <f>VLOOKUP(A:A,'Flat Bed &amp; Late Fees'!A:J,7,FALSE)</f>
        <v>0</v>
      </c>
      <c r="U177" s="68">
        <f>VLOOKUP(C177&amp;G177,OTR!E:J,6,FALSE)/88</f>
        <v>16.335227272727273</v>
      </c>
      <c r="V177" s="87"/>
      <c r="W177" s="68">
        <f t="shared" si="16"/>
        <v>16.335227272727273</v>
      </c>
      <c r="X177" s="69">
        <f>VLOOKUP(G177,COSTS!$Z$18:$AC$23,2,FALSE)</f>
        <v>2.5</v>
      </c>
      <c r="Y177" s="87">
        <f>VLOOKUP(G177,COSTS!$Z$18:$AC$23,4,FALSE)</f>
        <v>1.68</v>
      </c>
      <c r="Z177" s="69">
        <f>(COSTS!$W$3*COSTS!$W$4*500)/52*COSTS!$AE$17</f>
        <v>1.3125</v>
      </c>
      <c r="AB177" s="69">
        <f t="shared" si="17"/>
        <v>5.4924999999999997</v>
      </c>
      <c r="AC177" s="69">
        <f>VLOOKUP(G177,COSTS!$Z$11:$AE$14,5,FALSE)</f>
        <v>7.3011363636363633</v>
      </c>
      <c r="AD177" s="69">
        <f>VLOOKUP(G177,COSTS!$Z$4:$AD$7,4,FALSE)</f>
        <v>9.1363636363636367</v>
      </c>
      <c r="AE177" s="69"/>
      <c r="AF177" s="69">
        <f t="shared" si="18"/>
        <v>16.4375</v>
      </c>
      <c r="AG177" s="87">
        <f>((COSTS!$C$5*88)/20)/88</f>
        <v>1.4407150000000002</v>
      </c>
      <c r="AH177" s="69">
        <f>(COSTS!$X$38/88)*20</f>
        <v>0.34865702479338845</v>
      </c>
      <c r="AI177" s="87">
        <f>((COSTS!$E$5*88)/20)/88</f>
        <v>0.62936587135988387</v>
      </c>
      <c r="AJ177" s="87">
        <f>((COSTS!$D$5*88)/20)/88</f>
        <v>0.33676</v>
      </c>
      <c r="AL177" s="387">
        <f t="shared" si="19"/>
        <v>2.7554978961532726</v>
      </c>
      <c r="AM177" s="69">
        <f>(COSTS!$W$3+0.1)*500*0.01</f>
        <v>3.9999999999999996</v>
      </c>
      <c r="AN177" s="387">
        <f>((COSTS!$G$5/20)*88)/88</f>
        <v>1.308904109589041</v>
      </c>
      <c r="AR177" s="69">
        <f t="shared" si="20"/>
        <v>5.3089041095890401</v>
      </c>
      <c r="AT177" s="1">
        <f>VLOOKUP(C177&amp;$AT$1,OTR!E:J,6,FALSE)/88</f>
        <v>27.774772727272726</v>
      </c>
      <c r="AU177" s="1">
        <f>VLOOKUP(C177&amp;$AU$1,OTR!E:J,6,FALSE)/88</f>
        <v>12.806818181818182</v>
      </c>
    </row>
    <row r="178" spans="1:47">
      <c r="A178" s="1">
        <v>201501</v>
      </c>
      <c r="B178" s="1" t="s">
        <v>459</v>
      </c>
      <c r="C178" s="1" t="s">
        <v>460</v>
      </c>
      <c r="D178" s="1" t="s">
        <v>461</v>
      </c>
      <c r="E178" s="1" t="str">
        <f>VLOOKUP(A:A,'Regions and Ports'!A:G,5,FALSE)</f>
        <v>Eastern Rule 5</v>
      </c>
      <c r="F178" s="1" t="str">
        <f>VLOOKUP(A:A,'Regions and Ports'!A:F,6,FALSE)</f>
        <v>ER5</v>
      </c>
      <c r="G178" s="1" t="str">
        <f>VLOOKUP(A:A,'Regions and Ports'!A:G,7,FALSE)</f>
        <v>Savannah</v>
      </c>
      <c r="H178" s="87">
        <v>1</v>
      </c>
      <c r="I178" s="69">
        <f>VLOOKUP(A:A,'Seam Tariffs'!A:AB,9,FALSE)</f>
        <v>3</v>
      </c>
      <c r="J178" s="69">
        <f>VLOOKUP(A:A,'Seam Tariffs'!A:AB,11,FALSE)</f>
        <v>5.5</v>
      </c>
      <c r="K178" s="69">
        <f>VLOOKUP(A:A,'Seam Tariffs'!A:AB,12,FALSE)</f>
        <v>7</v>
      </c>
      <c r="L178" s="69">
        <f>VLOOKUP(A:A,'Seam Tariffs'!A:AB,13,FALSE)</f>
        <v>0</v>
      </c>
      <c r="M178" s="69">
        <f>VLOOKUP(A:A,'Seam Tariffs'!A:AB,14,FALSE)</f>
        <v>0.5</v>
      </c>
      <c r="N178" s="69">
        <f>VLOOKUP(A:A,'Seam Tariffs'!A:AB,28,FALSE)</f>
        <v>2.5</v>
      </c>
      <c r="O178" s="69">
        <f>COSTS!$W$6</f>
        <v>1.8958333333333335</v>
      </c>
      <c r="P178" s="69">
        <f>VLOOKUP(G178,COSTS!$V$11:$X$14,3,FALSE)</f>
        <v>0</v>
      </c>
      <c r="Q178" s="69">
        <f t="shared" si="14"/>
        <v>20.395833333333332</v>
      </c>
      <c r="R178" s="69">
        <f t="shared" si="15"/>
        <v>4.3958333333333339</v>
      </c>
      <c r="S178" s="87">
        <f>VLOOKUP(A:A,'Flat Bed &amp; Late Fees'!A:J,6,FALSE)</f>
        <v>0</v>
      </c>
      <c r="T178" s="87">
        <f>VLOOKUP(A:A,'Flat Bed &amp; Late Fees'!A:J,7,FALSE)</f>
        <v>0</v>
      </c>
      <c r="U178" s="68">
        <f>VLOOKUP(C178&amp;G178,OTR!E:J,6,FALSE)/88</f>
        <v>21.933579545454549</v>
      </c>
      <c r="V178" s="87"/>
      <c r="W178" s="68">
        <f t="shared" si="16"/>
        <v>21.933579545454549</v>
      </c>
      <c r="X178" s="69">
        <f>VLOOKUP(G178,COSTS!$Z$18:$AC$23,2,FALSE)</f>
        <v>2.6</v>
      </c>
      <c r="Y178" s="87">
        <f>VLOOKUP(G178,COSTS!$Z$18:$AC$23,4,FALSE)</f>
        <v>2.52</v>
      </c>
      <c r="Z178" s="69">
        <f>(COSTS!$W$3*COSTS!$W$4*500)/52*COSTS!$AE$17</f>
        <v>1.3125</v>
      </c>
      <c r="AB178" s="69">
        <f t="shared" si="17"/>
        <v>6.4325000000000001</v>
      </c>
      <c r="AC178" s="69">
        <f>VLOOKUP(G178,COSTS!$Z$11:$AE$14,5,FALSE)</f>
        <v>5.5113636363636367</v>
      </c>
      <c r="AD178" s="69">
        <f>VLOOKUP(G178,COSTS!$Z$4:$AD$7,4,FALSE)</f>
        <v>5.3522727272727275</v>
      </c>
      <c r="AE178" s="69"/>
      <c r="AF178" s="69">
        <f t="shared" si="18"/>
        <v>10.863636363636363</v>
      </c>
      <c r="AG178" s="87">
        <f>((COSTS!$C$5*88)/20)/88</f>
        <v>1.4407150000000002</v>
      </c>
      <c r="AH178" s="69">
        <f>(COSTS!$X$38/88)*20</f>
        <v>0.34865702479338845</v>
      </c>
      <c r="AI178" s="87">
        <f>((COSTS!$E$5*88)/20)/88</f>
        <v>0.62936587135988387</v>
      </c>
      <c r="AJ178" s="87">
        <f>((COSTS!$D$5*88)/20)/88</f>
        <v>0.33676</v>
      </c>
      <c r="AL178" s="387">
        <f t="shared" si="19"/>
        <v>2.7554978961532726</v>
      </c>
      <c r="AM178" s="69">
        <f>(COSTS!$W$3+0.1)*500*0.01</f>
        <v>3.9999999999999996</v>
      </c>
      <c r="AN178" s="387">
        <f>((COSTS!$G$5/20)*88)/88</f>
        <v>1.308904109589041</v>
      </c>
      <c r="AR178" s="69">
        <f t="shared" si="20"/>
        <v>5.3089041095890401</v>
      </c>
      <c r="AT178" s="1" t="e">
        <f>VLOOKUP(C178&amp;$AT$1,OTR!E:J,6,FALSE)/88</f>
        <v>#N/A</v>
      </c>
      <c r="AU178" s="1">
        <f>VLOOKUP(C178&amp;$AU$1,OTR!E:J,6,FALSE)/88</f>
        <v>19.318181818181817</v>
      </c>
    </row>
    <row r="179" spans="1:47">
      <c r="A179" s="1">
        <v>201505</v>
      </c>
      <c r="B179" s="1" t="s">
        <v>463</v>
      </c>
      <c r="C179" s="1" t="s">
        <v>460</v>
      </c>
      <c r="D179" s="1" t="s">
        <v>461</v>
      </c>
      <c r="E179" s="1" t="str">
        <f>VLOOKUP(A:A,'Regions and Ports'!A:G,5,FALSE)</f>
        <v>Eastern Rule 5</v>
      </c>
      <c r="F179" s="1" t="str">
        <f>VLOOKUP(A:A,'Regions and Ports'!A:F,6,FALSE)</f>
        <v>ER5</v>
      </c>
      <c r="G179" s="1" t="str">
        <f>VLOOKUP(A:A,'Regions and Ports'!A:G,7,FALSE)</f>
        <v>Savannah</v>
      </c>
      <c r="H179" s="87">
        <v>1</v>
      </c>
      <c r="I179" s="69">
        <f>VLOOKUP(A:A,'Seam Tariffs'!A:AB,9,FALSE)</f>
        <v>3.25</v>
      </c>
      <c r="J179" s="69">
        <f>VLOOKUP(A:A,'Seam Tariffs'!A:AB,11,FALSE)</f>
        <v>5.5</v>
      </c>
      <c r="K179" s="69">
        <f>VLOOKUP(A:A,'Seam Tariffs'!A:AB,12,FALSE)</f>
        <v>7</v>
      </c>
      <c r="L179" s="69">
        <f>VLOOKUP(A:A,'Seam Tariffs'!A:AB,13,FALSE)</f>
        <v>0</v>
      </c>
      <c r="M179" s="69">
        <f>VLOOKUP(A:A,'Seam Tariffs'!A:AB,14,FALSE)</f>
        <v>1</v>
      </c>
      <c r="N179" s="69">
        <f>VLOOKUP(A:A,'Seam Tariffs'!A:AB,28,FALSE)</f>
        <v>2.75</v>
      </c>
      <c r="O179" s="69">
        <f>COSTS!$W$6</f>
        <v>1.8958333333333335</v>
      </c>
      <c r="P179" s="69">
        <f>VLOOKUP(G179,COSTS!$V$11:$X$14,3,FALSE)</f>
        <v>0</v>
      </c>
      <c r="Q179" s="69">
        <f t="shared" si="14"/>
        <v>21.395833333333332</v>
      </c>
      <c r="R179" s="69">
        <f t="shared" si="15"/>
        <v>4.6458333333333339</v>
      </c>
      <c r="S179" s="87">
        <f>VLOOKUP(A:A,'Flat Bed &amp; Late Fees'!A:J,6,FALSE)</f>
        <v>0</v>
      </c>
      <c r="T179" s="87">
        <f>VLOOKUP(A:A,'Flat Bed &amp; Late Fees'!A:J,7,FALSE)</f>
        <v>0</v>
      </c>
      <c r="U179" s="68">
        <f>VLOOKUP(C179&amp;G179,OTR!E:J,6,FALSE)/88</f>
        <v>21.933579545454549</v>
      </c>
      <c r="V179" s="87"/>
      <c r="W179" s="68">
        <f t="shared" si="16"/>
        <v>21.933579545454549</v>
      </c>
      <c r="X179" s="69">
        <f>VLOOKUP(G179,COSTS!$Z$18:$AC$23,2,FALSE)</f>
        <v>2.6</v>
      </c>
      <c r="Y179" s="87">
        <f>VLOOKUP(G179,COSTS!$Z$18:$AC$23,4,FALSE)</f>
        <v>2.52</v>
      </c>
      <c r="Z179" s="69">
        <f>(COSTS!$W$3*COSTS!$W$4*500)/52*COSTS!$AE$17</f>
        <v>1.3125</v>
      </c>
      <c r="AB179" s="69">
        <f t="shared" si="17"/>
        <v>6.4325000000000001</v>
      </c>
      <c r="AC179" s="69">
        <f>VLOOKUP(G179,COSTS!$Z$11:$AE$14,5,FALSE)</f>
        <v>5.5113636363636367</v>
      </c>
      <c r="AD179" s="69">
        <f>VLOOKUP(G179,COSTS!$Z$4:$AD$7,4,FALSE)</f>
        <v>5.3522727272727275</v>
      </c>
      <c r="AE179" s="69"/>
      <c r="AF179" s="69">
        <f t="shared" si="18"/>
        <v>10.863636363636363</v>
      </c>
      <c r="AG179" s="87">
        <f>((COSTS!$C$5*88)/20)/88</f>
        <v>1.4407150000000002</v>
      </c>
      <c r="AH179" s="69">
        <f>(COSTS!$X$38/88)*20</f>
        <v>0.34865702479338845</v>
      </c>
      <c r="AI179" s="87">
        <f>((COSTS!$E$5*88)/20)/88</f>
        <v>0.62936587135988387</v>
      </c>
      <c r="AJ179" s="87">
        <f>((COSTS!$D$5*88)/20)/88</f>
        <v>0.33676</v>
      </c>
      <c r="AL179" s="387">
        <f t="shared" si="19"/>
        <v>2.7554978961532726</v>
      </c>
      <c r="AM179" s="69">
        <f>(COSTS!$W$3+0.1)*500*0.01</f>
        <v>3.9999999999999996</v>
      </c>
      <c r="AN179" s="387">
        <f>((COSTS!$G$5/20)*88)/88</f>
        <v>1.308904109589041</v>
      </c>
      <c r="AR179" s="69">
        <f t="shared" si="20"/>
        <v>5.3089041095890401</v>
      </c>
      <c r="AT179" s="1" t="e">
        <f>VLOOKUP(C179&amp;$AT$1,OTR!E:J,6,FALSE)/88</f>
        <v>#N/A</v>
      </c>
      <c r="AU179" s="1">
        <f>VLOOKUP(C179&amp;$AU$1,OTR!E:J,6,FALSE)/88</f>
        <v>19.318181818181817</v>
      </c>
    </row>
    <row r="180" spans="1:47">
      <c r="A180" s="1">
        <v>578010</v>
      </c>
      <c r="B180" s="1" t="s">
        <v>467</v>
      </c>
      <c r="C180" s="1" t="s">
        <v>465</v>
      </c>
      <c r="D180" s="1" t="s">
        <v>136</v>
      </c>
      <c r="E180" s="1" t="str">
        <f>VLOOKUP(A:A,'Regions and Ports'!A:G,5,FALSE)</f>
        <v>Eastern Rule 5</v>
      </c>
      <c r="F180" s="1" t="str">
        <f>VLOOKUP(A:A,'Regions and Ports'!A:F,6,FALSE)</f>
        <v>ER5</v>
      </c>
      <c r="G180" s="1" t="str">
        <f>VLOOKUP(A:A,'Regions and Ports'!A:G,7,FALSE)</f>
        <v>Savannah</v>
      </c>
      <c r="H180" s="87">
        <v>1</v>
      </c>
      <c r="I180" s="69">
        <f>VLOOKUP(A:A,'Seam Tariffs'!A:AB,9,FALSE)</f>
        <v>3.5</v>
      </c>
      <c r="J180" s="69">
        <f>VLOOKUP(A:A,'Seam Tariffs'!A:AB,11,FALSE)</f>
        <v>4.5</v>
      </c>
      <c r="K180" s="69">
        <f>VLOOKUP(A:A,'Seam Tariffs'!A:AB,12,FALSE)</f>
        <v>0</v>
      </c>
      <c r="L180" s="69">
        <f>VLOOKUP(A:A,'Seam Tariffs'!A:AB,13,FALSE)</f>
        <v>0</v>
      </c>
      <c r="M180" s="69">
        <f>VLOOKUP(A:A,'Seam Tariffs'!A:AB,14,FALSE)</f>
        <v>1</v>
      </c>
      <c r="N180" s="69">
        <f>VLOOKUP(A:A,'Seam Tariffs'!A:AB,28,FALSE)</f>
        <v>2</v>
      </c>
      <c r="O180" s="69">
        <f>COSTS!$W$6</f>
        <v>1.8958333333333335</v>
      </c>
      <c r="P180" s="69">
        <f>VLOOKUP(G180,COSTS!$V$11:$X$14,3,FALSE)</f>
        <v>0</v>
      </c>
      <c r="Q180" s="69">
        <f t="shared" si="14"/>
        <v>12.895833333333334</v>
      </c>
      <c r="R180" s="69">
        <f t="shared" si="15"/>
        <v>3.8958333333333335</v>
      </c>
      <c r="S180" s="87">
        <f>VLOOKUP(A:A,'Flat Bed &amp; Late Fees'!A:J,6,FALSE)</f>
        <v>0</v>
      </c>
      <c r="T180" s="87">
        <f>VLOOKUP(A:A,'Flat Bed &amp; Late Fees'!A:J,7,FALSE)</f>
        <v>0</v>
      </c>
      <c r="U180" s="68">
        <f>VLOOKUP(C180&amp;G180,OTR!E:J,6,FALSE)/88</f>
        <v>12.411789772727275</v>
      </c>
      <c r="V180" s="87"/>
      <c r="W180" s="68">
        <f t="shared" si="16"/>
        <v>12.411789772727275</v>
      </c>
      <c r="X180" s="69">
        <f>VLOOKUP(G180,COSTS!$Z$18:$AC$23,2,FALSE)</f>
        <v>2.6</v>
      </c>
      <c r="Y180" s="87">
        <f>VLOOKUP(G180,COSTS!$Z$18:$AC$23,4,FALSE)</f>
        <v>2.52</v>
      </c>
      <c r="Z180" s="69">
        <f>(COSTS!$W$3*COSTS!$W$4*500)/52*COSTS!$AE$17</f>
        <v>1.3125</v>
      </c>
      <c r="AB180" s="69">
        <f t="shared" si="17"/>
        <v>6.4325000000000001</v>
      </c>
      <c r="AC180" s="69">
        <f>VLOOKUP(G180,COSTS!$Z$11:$AE$14,5,FALSE)</f>
        <v>5.5113636363636367</v>
      </c>
      <c r="AD180" s="69">
        <f>VLOOKUP(G180,COSTS!$Z$4:$AD$7,4,FALSE)</f>
        <v>5.3522727272727275</v>
      </c>
      <c r="AE180" s="69"/>
      <c r="AF180" s="69">
        <f t="shared" si="18"/>
        <v>10.863636363636363</v>
      </c>
      <c r="AG180" s="87">
        <f>((COSTS!$C$5*88)/20)/88</f>
        <v>1.4407150000000002</v>
      </c>
      <c r="AH180" s="69">
        <f>(COSTS!$X$38/88)*20</f>
        <v>0.34865702479338845</v>
      </c>
      <c r="AI180" s="87">
        <f>((COSTS!$E$5*88)/20)/88</f>
        <v>0.62936587135988387</v>
      </c>
      <c r="AJ180" s="87">
        <f>((COSTS!$D$5*88)/20)/88</f>
        <v>0.33676</v>
      </c>
      <c r="AL180" s="387">
        <f t="shared" si="19"/>
        <v>2.7554978961532726</v>
      </c>
      <c r="AM180" s="69">
        <f>(COSTS!$W$3+0.1)*500*0.01</f>
        <v>3.9999999999999996</v>
      </c>
      <c r="AN180" s="387">
        <f>((COSTS!$G$5/20)*88)/88</f>
        <v>1.308904109589041</v>
      </c>
      <c r="AR180" s="69">
        <f t="shared" si="20"/>
        <v>5.3089041095890401</v>
      </c>
      <c r="AT180" s="1" t="e">
        <f>VLOOKUP(C180&amp;$AT$1,OTR!E:J,6,FALSE)/88</f>
        <v>#N/A</v>
      </c>
      <c r="AU180" s="1" t="e">
        <f>VLOOKUP(C180&amp;$AU$1,OTR!E:J,6,FALSE)/88</f>
        <v>#N/A</v>
      </c>
    </row>
    <row r="181" spans="1:47">
      <c r="A181" s="1">
        <v>720600</v>
      </c>
      <c r="B181" s="1" t="s">
        <v>468</v>
      </c>
      <c r="C181" s="1" t="s">
        <v>469</v>
      </c>
      <c r="D181" s="1" t="s">
        <v>132</v>
      </c>
      <c r="E181" s="1" t="str">
        <f>VLOOKUP(A:A,'Regions and Ports'!A:G,5,FALSE)</f>
        <v>Eastern Rule 5</v>
      </c>
      <c r="F181" s="1" t="str">
        <f>VLOOKUP(A:A,'Regions and Ports'!A:F,6,FALSE)</f>
        <v>ER5</v>
      </c>
      <c r="G181" s="1" t="str">
        <f>VLOOKUP(A:A,'Regions and Ports'!A:G,7,FALSE)</f>
        <v>Savannah</v>
      </c>
      <c r="H181" s="87">
        <v>1</v>
      </c>
      <c r="I181" s="69">
        <f>VLOOKUP(A:A,'Seam Tariffs'!A:AB,9,FALSE)</f>
        <v>3</v>
      </c>
      <c r="J181" s="69">
        <f>VLOOKUP(A:A,'Seam Tariffs'!A:AB,11,FALSE)</f>
        <v>6</v>
      </c>
      <c r="K181" s="69">
        <f>VLOOKUP(A:A,'Seam Tariffs'!A:AB,12,FALSE)</f>
        <v>0</v>
      </c>
      <c r="L181" s="69">
        <f>VLOOKUP(A:A,'Seam Tariffs'!A:AB,13,FALSE)</f>
        <v>0</v>
      </c>
      <c r="M181" s="69">
        <f>VLOOKUP(A:A,'Seam Tariffs'!A:AB,14,FALSE)</f>
        <v>0.5</v>
      </c>
      <c r="N181" s="69">
        <f>VLOOKUP(A:A,'Seam Tariffs'!A:AB,28,FALSE)</f>
        <v>2.75</v>
      </c>
      <c r="O181" s="69">
        <f>COSTS!$W$6</f>
        <v>1.8958333333333335</v>
      </c>
      <c r="P181" s="69">
        <f>VLOOKUP(G181,COSTS!$V$11:$X$14,3,FALSE)</f>
        <v>0</v>
      </c>
      <c r="Q181" s="69">
        <f t="shared" si="14"/>
        <v>14.145833333333334</v>
      </c>
      <c r="R181" s="69">
        <f t="shared" si="15"/>
        <v>4.6458333333333339</v>
      </c>
      <c r="S181" s="87">
        <f>VLOOKUP(A:A,'Flat Bed &amp; Late Fees'!A:J,6,FALSE)</f>
        <v>0</v>
      </c>
      <c r="T181" s="87">
        <f>VLOOKUP(A:A,'Flat Bed &amp; Late Fees'!A:J,7,FALSE)</f>
        <v>0</v>
      </c>
      <c r="U181" s="68">
        <f>VLOOKUP(C181&amp;G181,OTR!E:J,6,FALSE)/88</f>
        <v>9.8766193181818185</v>
      </c>
      <c r="V181" s="87"/>
      <c r="W181" s="68">
        <f t="shared" si="16"/>
        <v>9.8766193181818185</v>
      </c>
      <c r="X181" s="69">
        <f>VLOOKUP(G181,COSTS!$Z$18:$AC$23,2,FALSE)</f>
        <v>2.6</v>
      </c>
      <c r="Y181" s="87">
        <f>VLOOKUP(G181,COSTS!$Z$18:$AC$23,4,FALSE)</f>
        <v>2.52</v>
      </c>
      <c r="Z181" s="69">
        <f>(COSTS!$W$3*COSTS!$W$4*500)/52*COSTS!$AE$17</f>
        <v>1.3125</v>
      </c>
      <c r="AB181" s="69">
        <f t="shared" si="17"/>
        <v>6.4325000000000001</v>
      </c>
      <c r="AC181" s="69">
        <f>VLOOKUP(G181,COSTS!$Z$11:$AE$14,5,FALSE)</f>
        <v>5.5113636363636367</v>
      </c>
      <c r="AD181" s="69">
        <f>VLOOKUP(G181,COSTS!$Z$4:$AD$7,4,FALSE)</f>
        <v>5.3522727272727275</v>
      </c>
      <c r="AE181" s="69"/>
      <c r="AF181" s="69">
        <f t="shared" si="18"/>
        <v>10.863636363636363</v>
      </c>
      <c r="AG181" s="87">
        <f>((COSTS!$C$5*88)/20)/88</f>
        <v>1.4407150000000002</v>
      </c>
      <c r="AH181" s="69">
        <f>(COSTS!$X$38/88)*20</f>
        <v>0.34865702479338845</v>
      </c>
      <c r="AI181" s="87">
        <f>((COSTS!$E$5*88)/20)/88</f>
        <v>0.62936587135988387</v>
      </c>
      <c r="AJ181" s="87">
        <f>((COSTS!$D$5*88)/20)/88</f>
        <v>0.33676</v>
      </c>
      <c r="AL181" s="387">
        <f t="shared" si="19"/>
        <v>2.7554978961532726</v>
      </c>
      <c r="AM181" s="69">
        <f>(COSTS!$W$3+0.1)*500*0.01</f>
        <v>3.9999999999999996</v>
      </c>
      <c r="AN181" s="387">
        <f>((COSTS!$G$5/20)*88)/88</f>
        <v>1.308904109589041</v>
      </c>
      <c r="AR181" s="69">
        <f t="shared" si="20"/>
        <v>5.3089041095890401</v>
      </c>
      <c r="AT181" s="1" t="e">
        <f>VLOOKUP(C181&amp;$AT$1,OTR!E:J,6,FALSE)/88</f>
        <v>#N/A</v>
      </c>
      <c r="AU181" s="1">
        <f>VLOOKUP(C181&amp;$AU$1,OTR!E:J,6,FALSE)/88</f>
        <v>9.6022727272727266</v>
      </c>
    </row>
    <row r="182" spans="1:47">
      <c r="A182" s="1">
        <v>721180</v>
      </c>
      <c r="B182" s="1" t="s">
        <v>471</v>
      </c>
      <c r="C182" s="1" t="s">
        <v>469</v>
      </c>
      <c r="D182" s="1" t="s">
        <v>132</v>
      </c>
      <c r="E182" s="1" t="str">
        <f>VLOOKUP(A:A,'Regions and Ports'!A:G,5,FALSE)</f>
        <v>Eastern Rule 5</v>
      </c>
      <c r="F182" s="1" t="str">
        <f>VLOOKUP(A:A,'Regions and Ports'!A:F,6,FALSE)</f>
        <v>ER5</v>
      </c>
      <c r="G182" s="1" t="str">
        <f>VLOOKUP(A:A,'Regions and Ports'!A:G,7,FALSE)</f>
        <v>Savannah</v>
      </c>
      <c r="H182" s="87">
        <v>1</v>
      </c>
      <c r="I182" s="69">
        <f>VLOOKUP(A:A,'Seam Tariffs'!A:AB,9,FALSE)</f>
        <v>2</v>
      </c>
      <c r="J182" s="69">
        <f>VLOOKUP(A:A,'Seam Tariffs'!A:AB,11,FALSE)</f>
        <v>3</v>
      </c>
      <c r="K182" s="69">
        <f>VLOOKUP(A:A,'Seam Tariffs'!A:AB,12,FALSE)</f>
        <v>0</v>
      </c>
      <c r="L182" s="69">
        <f>VLOOKUP(A:A,'Seam Tariffs'!A:AB,13,FALSE)</f>
        <v>0</v>
      </c>
      <c r="M182" s="69">
        <f>VLOOKUP(A:A,'Seam Tariffs'!A:AB,14,FALSE)</f>
        <v>0</v>
      </c>
      <c r="N182" s="69">
        <f>VLOOKUP(A:A,'Seam Tariffs'!A:AB,28,FALSE)</f>
        <v>2</v>
      </c>
      <c r="O182" s="69">
        <f>COSTS!$W$6</f>
        <v>1.8958333333333335</v>
      </c>
      <c r="P182" s="69">
        <f>VLOOKUP(G182,COSTS!$V$11:$X$14,3,FALSE)</f>
        <v>0</v>
      </c>
      <c r="Q182" s="69">
        <f t="shared" si="14"/>
        <v>8.8958333333333339</v>
      </c>
      <c r="R182" s="69">
        <f t="shared" si="15"/>
        <v>3.8958333333333335</v>
      </c>
      <c r="S182" s="87">
        <f>VLOOKUP(A:A,'Flat Bed &amp; Late Fees'!A:J,6,FALSE)</f>
        <v>0</v>
      </c>
      <c r="T182" s="87">
        <f>VLOOKUP(A:A,'Flat Bed &amp; Late Fees'!A:J,7,FALSE)</f>
        <v>0</v>
      </c>
      <c r="U182" s="68">
        <f>VLOOKUP(C182&amp;G182,OTR!E:J,6,FALSE)/88</f>
        <v>9.8766193181818185</v>
      </c>
      <c r="V182" s="87"/>
      <c r="W182" s="68">
        <f t="shared" si="16"/>
        <v>9.8766193181818185</v>
      </c>
      <c r="X182" s="69">
        <f>VLOOKUP(G182,COSTS!$Z$18:$AC$23,2,FALSE)</f>
        <v>2.6</v>
      </c>
      <c r="Y182" s="87">
        <f>VLOOKUP(G182,COSTS!$Z$18:$AC$23,4,FALSE)</f>
        <v>2.52</v>
      </c>
      <c r="Z182" s="69">
        <f>(COSTS!$W$3*COSTS!$W$4*500)/52*COSTS!$AE$17</f>
        <v>1.3125</v>
      </c>
      <c r="AB182" s="69">
        <f t="shared" si="17"/>
        <v>6.4325000000000001</v>
      </c>
      <c r="AC182" s="69">
        <f>VLOOKUP(G182,COSTS!$Z$11:$AE$14,5,FALSE)</f>
        <v>5.5113636363636367</v>
      </c>
      <c r="AD182" s="69">
        <f>VLOOKUP(G182,COSTS!$Z$4:$AD$7,4,FALSE)</f>
        <v>5.3522727272727275</v>
      </c>
      <c r="AE182" s="69"/>
      <c r="AF182" s="69">
        <f t="shared" si="18"/>
        <v>10.863636363636363</v>
      </c>
      <c r="AG182" s="87">
        <f>((COSTS!$C$5*88)/20)/88</f>
        <v>1.4407150000000002</v>
      </c>
      <c r="AH182" s="69">
        <f>(COSTS!$X$38/88)*20</f>
        <v>0.34865702479338845</v>
      </c>
      <c r="AI182" s="87">
        <f>((COSTS!$E$5*88)/20)/88</f>
        <v>0.62936587135988387</v>
      </c>
      <c r="AJ182" s="87">
        <f>((COSTS!$D$5*88)/20)/88</f>
        <v>0.33676</v>
      </c>
      <c r="AL182" s="387">
        <f t="shared" si="19"/>
        <v>2.7554978961532726</v>
      </c>
      <c r="AM182" s="69">
        <f>(COSTS!$W$3+0.1)*500*0.01</f>
        <v>3.9999999999999996</v>
      </c>
      <c r="AN182" s="387">
        <f>((COSTS!$G$5/20)*88)/88</f>
        <v>1.308904109589041</v>
      </c>
      <c r="AR182" s="69">
        <f t="shared" si="20"/>
        <v>5.3089041095890401</v>
      </c>
      <c r="AT182" s="1" t="e">
        <f>VLOOKUP(C182&amp;$AT$1,OTR!E:J,6,FALSE)/88</f>
        <v>#N/A</v>
      </c>
      <c r="AU182" s="1">
        <f>VLOOKUP(C182&amp;$AU$1,OTR!E:J,6,FALSE)/88</f>
        <v>9.6022727272727266</v>
      </c>
    </row>
    <row r="183" spans="1:47">
      <c r="A183" s="1">
        <v>410020</v>
      </c>
      <c r="B183" s="1" t="s">
        <v>472</v>
      </c>
      <c r="C183" s="1" t="s">
        <v>473</v>
      </c>
      <c r="D183" s="1" t="s">
        <v>80</v>
      </c>
      <c r="E183" s="1" t="str">
        <f>VLOOKUP(A:A,'Regions and Ports'!A:G,5,FALSE)</f>
        <v>Memphis Rule 5</v>
      </c>
      <c r="F183" s="1" t="str">
        <f>VLOOKUP(A:A,'Regions and Ports'!A:F,6,FALSE)</f>
        <v>MR5</v>
      </c>
      <c r="G183" s="1" t="str">
        <f>VLOOKUP(A:A,'Regions and Ports'!A:G,7,FALSE)</f>
        <v>Houston</v>
      </c>
      <c r="H183" s="87">
        <v>1</v>
      </c>
      <c r="I183" s="69">
        <f>VLOOKUP(A:A,'Seam Tariffs'!A:AB,9,FALSE)</f>
        <v>2.35</v>
      </c>
      <c r="J183" s="69">
        <f>VLOOKUP(A:A,'Seam Tariffs'!A:AB,11,FALSE)</f>
        <v>9</v>
      </c>
      <c r="K183" s="69">
        <f>VLOOKUP(A:A,'Seam Tariffs'!A:AB,12,FALSE)</f>
        <v>8</v>
      </c>
      <c r="L183" s="69">
        <f>VLOOKUP(A:A,'Seam Tariffs'!A:AB,13,FALSE)</f>
        <v>3.05</v>
      </c>
      <c r="M183" s="69">
        <f>VLOOKUP(A:A,'Seam Tariffs'!A:AB,14,FALSE)</f>
        <v>0</v>
      </c>
      <c r="N183" s="69">
        <f>VLOOKUP(A:A,'Seam Tariffs'!A:AB,28,FALSE)</f>
        <v>3.5</v>
      </c>
      <c r="O183" s="69">
        <f>COSTS!$W$6</f>
        <v>1.8958333333333335</v>
      </c>
      <c r="P183" s="69">
        <f>VLOOKUP(G183,COSTS!$V$11:$X$14,3,FALSE)</f>
        <v>0</v>
      </c>
      <c r="Q183" s="69">
        <f t="shared" si="14"/>
        <v>27.795833333333334</v>
      </c>
      <c r="R183" s="69">
        <f t="shared" si="15"/>
        <v>5.3958333333333339</v>
      </c>
      <c r="S183" s="87">
        <f>VLOOKUP(A:A,'Flat Bed &amp; Late Fees'!A:J,6,FALSE)</f>
        <v>0</v>
      </c>
      <c r="T183" s="87">
        <f>VLOOKUP(A:A,'Flat Bed &amp; Late Fees'!A:J,7,FALSE)</f>
        <v>0</v>
      </c>
      <c r="U183" s="68">
        <f>VLOOKUP(C183&amp;G183,OTR!E:J,6,FALSE)/88</f>
        <v>17.1875</v>
      </c>
      <c r="V183" s="87"/>
      <c r="W183" s="68">
        <f t="shared" si="16"/>
        <v>17.1875</v>
      </c>
      <c r="X183" s="69">
        <f>VLOOKUP(G183,COSTS!$Z$18:$AC$23,2,FALSE)</f>
        <v>2.7</v>
      </c>
      <c r="Y183" s="87">
        <f>VLOOKUP(G183,COSTS!$Z$18:$AC$23,4,FALSE)</f>
        <v>2.52</v>
      </c>
      <c r="Z183" s="69">
        <f>(COSTS!$W$3*COSTS!$W$4*500)/52*COSTS!$AE$17</f>
        <v>1.3125</v>
      </c>
      <c r="AB183" s="69">
        <f t="shared" si="17"/>
        <v>6.5325000000000006</v>
      </c>
      <c r="AC183" s="69">
        <f>VLOOKUP(G183,COSTS!$Z$11:$AE$14,5,FALSE)</f>
        <v>6.6477272727272725</v>
      </c>
      <c r="AD183" s="69">
        <f>VLOOKUP(G183,COSTS!$Z$4:$AD$7,4,FALSE)</f>
        <v>9.8977272727272734</v>
      </c>
      <c r="AE183" s="69"/>
      <c r="AF183" s="69">
        <f t="shared" si="18"/>
        <v>16.545454545454547</v>
      </c>
      <c r="AG183" s="87">
        <f>((COSTS!$C$5*88)/20)/88</f>
        <v>1.4407150000000002</v>
      </c>
      <c r="AH183" s="69">
        <f>(COSTS!$X$38/88)*20</f>
        <v>0.34865702479338845</v>
      </c>
      <c r="AI183" s="87">
        <f>((COSTS!$E$5*88)/20)/88</f>
        <v>0.62936587135988387</v>
      </c>
      <c r="AJ183" s="87">
        <f>((COSTS!$D$5*88)/20)/88</f>
        <v>0.33676</v>
      </c>
      <c r="AL183" s="387">
        <f t="shared" si="19"/>
        <v>2.7554978961532726</v>
      </c>
      <c r="AM183" s="69">
        <f>(COSTS!$W$3+0.1)*500*0.01</f>
        <v>3.9999999999999996</v>
      </c>
      <c r="AN183" s="387">
        <f>((COSTS!$G$5/20)*88)/88</f>
        <v>1.308904109589041</v>
      </c>
      <c r="AR183" s="69">
        <f t="shared" si="20"/>
        <v>5.3089041095890401</v>
      </c>
      <c r="AT183" s="1">
        <f>VLOOKUP(C183&amp;$AT$1,OTR!E:J,6,FALSE)/88</f>
        <v>18.497613636363635</v>
      </c>
      <c r="AU183" s="1">
        <f>VLOOKUP(C183&amp;$AU$1,OTR!E:J,6,FALSE)/88</f>
        <v>25.113636363636363</v>
      </c>
    </row>
    <row r="184" spans="1:47">
      <c r="A184" s="1">
        <v>880533</v>
      </c>
      <c r="B184" s="1" t="s">
        <v>475</v>
      </c>
      <c r="C184" s="1" t="s">
        <v>476</v>
      </c>
      <c r="D184" s="1" t="s">
        <v>71</v>
      </c>
      <c r="E184" s="1" t="str">
        <f>VLOOKUP(A:A,'Regions and Ports'!A:G,5,FALSE)</f>
        <v>WTX</v>
      </c>
      <c r="F184" s="1" t="str">
        <f>VLOOKUP(A:A,'Regions and Ports'!A:F,6,FALSE)</f>
        <v>WTX</v>
      </c>
      <c r="G184" s="1" t="str">
        <f>VLOOKUP(A:A,'Regions and Ports'!A:G,7,FALSE)</f>
        <v>Dallas</v>
      </c>
      <c r="H184" s="87">
        <v>2</v>
      </c>
      <c r="I184" s="69">
        <f>VLOOKUP(A:A,'Seam Tariffs'!A:AB,9,FALSE)</f>
        <v>4.75</v>
      </c>
      <c r="J184" s="69">
        <f>VLOOKUP(A:A,'Seam Tariffs'!A:AB,11,FALSE)</f>
        <v>5.45</v>
      </c>
      <c r="K184" s="69">
        <f>VLOOKUP(A:A,'Seam Tariffs'!A:AB,12,FALSE)</f>
        <v>9.75</v>
      </c>
      <c r="L184" s="69">
        <f>VLOOKUP(A:A,'Seam Tariffs'!A:AB,13,FALSE)</f>
        <v>0</v>
      </c>
      <c r="M184" s="69">
        <f>VLOOKUP(A:A,'Seam Tariffs'!A:AB,14,FALSE)</f>
        <v>1</v>
      </c>
      <c r="N184" s="69">
        <f>VLOOKUP(A:A,'Seam Tariffs'!A:AB,28,FALSE)</f>
        <v>2.4</v>
      </c>
      <c r="O184" s="69">
        <f>COSTS!$W$6</f>
        <v>1.8958333333333335</v>
      </c>
      <c r="P184" s="69">
        <f>VLOOKUP(G184,COSTS!$V$11:$X$14,3,FALSE)</f>
        <v>0</v>
      </c>
      <c r="Q184" s="69">
        <f t="shared" si="14"/>
        <v>25.24583333333333</v>
      </c>
      <c r="R184" s="69">
        <f t="shared" si="15"/>
        <v>14.045833333333334</v>
      </c>
      <c r="S184" s="87">
        <f>VLOOKUP(A:A,'Flat Bed &amp; Late Fees'!A:J,6,FALSE)</f>
        <v>0</v>
      </c>
      <c r="T184" s="87">
        <f>VLOOKUP(A:A,'Flat Bed &amp; Late Fees'!A:J,7,FALSE)</f>
        <v>0</v>
      </c>
      <c r="U184" s="68">
        <f>VLOOKUP(C184&amp;G184,OTR!E:J,6,FALSE)/88</f>
        <v>9.7727272727272734</v>
      </c>
      <c r="V184" s="87"/>
      <c r="W184" s="68">
        <f t="shared" si="16"/>
        <v>9.7727272727272734</v>
      </c>
      <c r="X184" s="69">
        <f>VLOOKUP(G184,COSTS!$Z$18:$AC$23,2,FALSE)</f>
        <v>2.7</v>
      </c>
      <c r="Y184" s="87">
        <f>VLOOKUP(G184,COSTS!$Z$18:$AC$23,4,FALSE)</f>
        <v>2.52</v>
      </c>
      <c r="Z184" s="69">
        <f>(COSTS!$W$3*COSTS!$W$4*500)/52*COSTS!$AE$17</f>
        <v>1.3125</v>
      </c>
      <c r="AB184" s="69">
        <f t="shared" si="17"/>
        <v>6.5325000000000006</v>
      </c>
      <c r="AC184" s="69">
        <f>VLOOKUP(G184,COSTS!$Z$11:$AE$14,5,FALSE)</f>
        <v>8.125</v>
      </c>
      <c r="AD184" s="69">
        <f>VLOOKUP(G184,COSTS!$Z$4:$AD$7,4,FALSE)</f>
        <v>13.409090909090908</v>
      </c>
      <c r="AE184" s="69"/>
      <c r="AF184" s="69">
        <f t="shared" si="18"/>
        <v>21.534090909090907</v>
      </c>
      <c r="AG184" s="87">
        <f>((COSTS!$C$5*88)/20)/88</f>
        <v>1.4407150000000002</v>
      </c>
      <c r="AH184" s="69">
        <f>(COSTS!$X$38/88)*20</f>
        <v>0.34865702479338845</v>
      </c>
      <c r="AI184" s="87">
        <f>((COSTS!$E$5*88)/20)/88</f>
        <v>0.62936587135988387</v>
      </c>
      <c r="AJ184" s="87">
        <f>((COSTS!$D$5*88)/20)/88</f>
        <v>0.33676</v>
      </c>
      <c r="AL184" s="387">
        <f t="shared" si="19"/>
        <v>2.7554978961532726</v>
      </c>
      <c r="AM184" s="69">
        <f>(COSTS!$W$3+0.1)*500*0.01</f>
        <v>3.9999999999999996</v>
      </c>
      <c r="AN184" s="387">
        <f>((COSTS!$G$5/20)*88)/88</f>
        <v>1.308904109589041</v>
      </c>
      <c r="AR184" s="69">
        <f t="shared" si="20"/>
        <v>5.3089041095890401</v>
      </c>
      <c r="AT184" s="1">
        <f>VLOOKUP(C184&amp;$AT$1,OTR!E:J,6,FALSE)/88</f>
        <v>16.895340909090908</v>
      </c>
      <c r="AU184" s="1" t="e">
        <f>VLOOKUP(C184&amp;$AU$1,OTR!E:J,6,FALSE)/88</f>
        <v>#N/A</v>
      </c>
    </row>
    <row r="185" spans="1:47">
      <c r="A185" s="125">
        <v>880533</v>
      </c>
      <c r="B185" s="1" t="s">
        <v>475</v>
      </c>
      <c r="C185" s="1" t="s">
        <v>476</v>
      </c>
      <c r="D185" s="1" t="s">
        <v>71</v>
      </c>
      <c r="E185" s="1" t="s">
        <v>2067</v>
      </c>
      <c r="F185" s="1" t="str">
        <f>VLOOKUP(A:A,'Regions and Ports'!A:F,6,FALSE)</f>
        <v>WTX</v>
      </c>
      <c r="G185" s="1" t="s">
        <v>439</v>
      </c>
      <c r="H185" s="87">
        <v>2</v>
      </c>
      <c r="I185" s="69">
        <f>VLOOKUP(A:A,'Seam Tariffs'!A:AB,9,FALSE)</f>
        <v>4.75</v>
      </c>
      <c r="J185" s="69">
        <f>VLOOKUP(A:A,'Seam Tariffs'!A:AB,11,FALSE)</f>
        <v>5.45</v>
      </c>
      <c r="K185" s="69">
        <f>VLOOKUP(A:A,'Seam Tariffs'!A:AB,12,FALSE)</f>
        <v>9.75</v>
      </c>
      <c r="L185" s="69">
        <f>VLOOKUP(A:A,'Seam Tariffs'!A:AB,13,FALSE)</f>
        <v>0</v>
      </c>
      <c r="M185" s="69">
        <f>VLOOKUP(A:A,'Seam Tariffs'!A:AB,14,FALSE)</f>
        <v>1</v>
      </c>
      <c r="N185" s="69">
        <f>VLOOKUP(A:A,'Seam Tariffs'!A:AB,28,FALSE)</f>
        <v>2.4</v>
      </c>
      <c r="O185" s="69">
        <f>COSTS!$W$6</f>
        <v>1.8958333333333335</v>
      </c>
      <c r="P185" s="69">
        <f>VLOOKUP(G185,COSTS!$V$11:$X$14,3,FALSE)</f>
        <v>0</v>
      </c>
      <c r="Q185" s="69">
        <f t="shared" si="14"/>
        <v>25.24583333333333</v>
      </c>
      <c r="R185" s="69">
        <f t="shared" si="15"/>
        <v>14.045833333333334</v>
      </c>
      <c r="S185" s="87">
        <f>VLOOKUP(A:A,'Flat Bed &amp; Late Fees'!A:J,6,FALSE)</f>
        <v>0</v>
      </c>
      <c r="T185" s="87">
        <f>VLOOKUP(A:A,'Flat Bed &amp; Late Fees'!A:J,7,FALSE)</f>
        <v>0</v>
      </c>
      <c r="U185" s="68">
        <f>VLOOKUP(C185&amp;G185,OTR!E:J,6,FALSE)/88</f>
        <v>13.352272727272727</v>
      </c>
      <c r="V185" s="87"/>
      <c r="W185" s="68">
        <f t="shared" si="16"/>
        <v>13.352272727272727</v>
      </c>
      <c r="X185" s="69">
        <f>VLOOKUP(G185,COSTS!$Z$18:$AC$23,2,FALSE)</f>
        <v>2.7</v>
      </c>
      <c r="Y185" s="87">
        <f>VLOOKUP(G185,COSTS!$Z$18:$AC$23,4,FALSE)</f>
        <v>2.52</v>
      </c>
      <c r="Z185" s="69">
        <f>(COSTS!$W$3*COSTS!$W$4*500)/52*COSTS!$AE$17</f>
        <v>1.3125</v>
      </c>
      <c r="AB185" s="69">
        <f t="shared" si="17"/>
        <v>6.5325000000000006</v>
      </c>
      <c r="AC185" s="69">
        <f>VLOOKUP(G185,COSTS!$Z$11:$AE$14,5,FALSE)</f>
        <v>6.6477272727272725</v>
      </c>
      <c r="AD185" s="69">
        <f>VLOOKUP(G185,COSTS!$Z$4:$AD$7,4,FALSE)</f>
        <v>9.8977272727272734</v>
      </c>
      <c r="AE185" s="69"/>
      <c r="AF185" s="69">
        <f t="shared" si="18"/>
        <v>16.545454545454547</v>
      </c>
      <c r="AG185" s="87">
        <f>((COSTS!$C$5*88)/20)/88</f>
        <v>1.4407150000000002</v>
      </c>
      <c r="AH185" s="69">
        <f>(COSTS!$X$38/88)*20</f>
        <v>0.34865702479338845</v>
      </c>
      <c r="AI185" s="87">
        <f>((COSTS!$E$5*88)/20)/88</f>
        <v>0.62936587135988387</v>
      </c>
      <c r="AJ185" s="87">
        <f>((COSTS!$D$5*88)/20)/88</f>
        <v>0.33676</v>
      </c>
      <c r="AL185" s="387">
        <f t="shared" si="19"/>
        <v>2.7554978961532726</v>
      </c>
      <c r="AM185" s="69">
        <f>(COSTS!$W$3+0.1)*500*0.01</f>
        <v>3.9999999999999996</v>
      </c>
      <c r="AN185" s="387">
        <f>((COSTS!$G$5/20)*88)/88</f>
        <v>1.308904109589041</v>
      </c>
      <c r="AR185" s="69">
        <f t="shared" si="20"/>
        <v>5.3089041095890401</v>
      </c>
      <c r="AT185" s="1">
        <f>VLOOKUP(C185&amp;$AT$1,OTR!E:J,6,FALSE)/88</f>
        <v>16.895340909090908</v>
      </c>
      <c r="AU185" s="1" t="e">
        <f>VLOOKUP(C185&amp;$AU$1,OTR!E:J,6,FALSE)/88</f>
        <v>#N/A</v>
      </c>
    </row>
    <row r="186" spans="1:47">
      <c r="A186" s="1">
        <v>886623</v>
      </c>
      <c r="B186" s="1" t="s">
        <v>478</v>
      </c>
      <c r="C186" s="1" t="s">
        <v>479</v>
      </c>
      <c r="D186" s="1" t="s">
        <v>71</v>
      </c>
      <c r="E186" s="1" t="str">
        <f>VLOOKUP(A:A,'Regions and Ports'!A:G,5,FALSE)</f>
        <v>STEX</v>
      </c>
      <c r="F186" s="1" t="str">
        <f>VLOOKUP(A:A,'Regions and Ports'!A:F,6,FALSE)</f>
        <v>STX</v>
      </c>
      <c r="G186" s="1" t="str">
        <f>VLOOKUP(A:A,'Regions and Ports'!A:G,7,FALSE)</f>
        <v>Houston</v>
      </c>
      <c r="H186" s="87">
        <v>3</v>
      </c>
      <c r="I186" s="69">
        <f>VLOOKUP(A:A,'Seam Tariffs'!A:AB,9,FALSE)</f>
        <v>4.75</v>
      </c>
      <c r="J186" s="69">
        <f>VLOOKUP(A:A,'Seam Tariffs'!A:AB,11,FALSE)</f>
        <v>7.5</v>
      </c>
      <c r="K186" s="69">
        <f>VLOOKUP(A:A,'Seam Tariffs'!A:AB,12,FALSE)</f>
        <v>0</v>
      </c>
      <c r="L186" s="69">
        <f>VLOOKUP(A:A,'Seam Tariffs'!A:AB,13,FALSE)</f>
        <v>0</v>
      </c>
      <c r="M186" s="69">
        <f>VLOOKUP(A:A,'Seam Tariffs'!A:AB,14,FALSE)</f>
        <v>0</v>
      </c>
      <c r="N186" s="69">
        <f>VLOOKUP(A:A,'Seam Tariffs'!A:AB,28,FALSE)</f>
        <v>4.25</v>
      </c>
      <c r="O186" s="69">
        <f>COSTS!$W$6</f>
        <v>1.8958333333333335</v>
      </c>
      <c r="P186" s="69">
        <f>VLOOKUP(G186,COSTS!$V$11:$X$14,3,FALSE)</f>
        <v>0</v>
      </c>
      <c r="Q186" s="69">
        <f t="shared" si="14"/>
        <v>18.395833333333332</v>
      </c>
      <c r="R186" s="69">
        <f t="shared" si="15"/>
        <v>13.645833333333334</v>
      </c>
      <c r="S186" s="87">
        <f>VLOOKUP(A:A,'Flat Bed &amp; Late Fees'!A:J,6,FALSE)</f>
        <v>0</v>
      </c>
      <c r="T186" s="87">
        <f>VLOOKUP(A:A,'Flat Bed &amp; Late Fees'!A:J,7,FALSE)</f>
        <v>0</v>
      </c>
      <c r="U186" s="68">
        <f>VLOOKUP(C186&amp;G186,OTR!E:J,6,FALSE)/88</f>
        <v>15.909090909090908</v>
      </c>
      <c r="V186" s="87"/>
      <c r="W186" s="68">
        <f t="shared" si="16"/>
        <v>15.909090909090908</v>
      </c>
      <c r="X186" s="69">
        <f>VLOOKUP(G186,COSTS!$Z$18:$AC$23,2,FALSE)</f>
        <v>2.7</v>
      </c>
      <c r="Y186" s="87">
        <f>VLOOKUP(G186,COSTS!$Z$18:$AC$23,4,FALSE)</f>
        <v>2.52</v>
      </c>
      <c r="Z186" s="69">
        <f>(COSTS!$W$3*COSTS!$W$4*500)/52*COSTS!$AE$17</f>
        <v>1.3125</v>
      </c>
      <c r="AB186" s="69">
        <f t="shared" si="17"/>
        <v>6.5325000000000006</v>
      </c>
      <c r="AC186" s="69">
        <f>VLOOKUP(G186,COSTS!$Z$11:$AE$14,5,FALSE)</f>
        <v>6.6477272727272725</v>
      </c>
      <c r="AD186" s="69">
        <f>VLOOKUP(G186,COSTS!$Z$4:$AD$7,4,FALSE)</f>
        <v>9.8977272727272734</v>
      </c>
      <c r="AE186" s="69"/>
      <c r="AF186" s="69">
        <f t="shared" si="18"/>
        <v>16.545454545454547</v>
      </c>
      <c r="AG186" s="87">
        <f>((COSTS!$C$5*88)/20)/88</f>
        <v>1.4407150000000002</v>
      </c>
      <c r="AH186" s="69">
        <f>(COSTS!$X$38/88)*20</f>
        <v>0.34865702479338845</v>
      </c>
      <c r="AI186" s="87">
        <f>((COSTS!$E$5*88)/20)/88</f>
        <v>0.62936587135988387</v>
      </c>
      <c r="AJ186" s="87">
        <f>((COSTS!$D$5*88)/20)/88</f>
        <v>0.33676</v>
      </c>
      <c r="AL186" s="387">
        <f t="shared" si="19"/>
        <v>2.7554978961532726</v>
      </c>
      <c r="AM186" s="69">
        <f>(COSTS!$W$3+0.1)*500*0.01</f>
        <v>3.9999999999999996</v>
      </c>
      <c r="AN186" s="387">
        <f>((COSTS!$G$5/20)*88)/88</f>
        <v>1.308904109589041</v>
      </c>
      <c r="AR186" s="69">
        <f t="shared" si="20"/>
        <v>5.3089041095890401</v>
      </c>
      <c r="AT186" s="1" t="e">
        <f>VLOOKUP(C186&amp;$AT$1,OTR!E:J,6,FALSE)/88</f>
        <v>#N/A</v>
      </c>
      <c r="AU186" s="1" t="e">
        <f>VLOOKUP(C186&amp;$AU$1,OTR!E:J,6,FALSE)/88</f>
        <v>#N/A</v>
      </c>
    </row>
    <row r="187" spans="1:47">
      <c r="A187" s="1">
        <v>101020</v>
      </c>
      <c r="B187" s="1" t="s">
        <v>481</v>
      </c>
      <c r="C187" s="1" t="s">
        <v>482</v>
      </c>
      <c r="D187" s="1" t="s">
        <v>65</v>
      </c>
      <c r="E187" s="1" t="str">
        <f>VLOOKUP(A:A,'Regions and Ports'!A:G,5,FALSE)</f>
        <v>Eastern Rule 5</v>
      </c>
      <c r="F187" s="1" t="str">
        <f>VLOOKUP(A:A,'Regions and Ports'!A:F,6,FALSE)</f>
        <v>ER5</v>
      </c>
      <c r="G187" s="1" t="str">
        <f>VLOOKUP(A:A,'Regions and Ports'!A:G,7,FALSE)</f>
        <v>Memphis</v>
      </c>
      <c r="H187" s="87">
        <v>1</v>
      </c>
      <c r="I187" s="69">
        <f>VLOOKUP(A:A,'Seam Tariffs'!A:AB,9,FALSE)</f>
        <v>7.6</v>
      </c>
      <c r="J187" s="69">
        <f>VLOOKUP(A:A,'Seam Tariffs'!A:AB,11,FALSE)</f>
        <v>6</v>
      </c>
      <c r="K187" s="69">
        <f>VLOOKUP(A:A,'Seam Tariffs'!A:AB,12,FALSE)</f>
        <v>7.5</v>
      </c>
      <c r="L187" s="69">
        <f>VLOOKUP(A:A,'Seam Tariffs'!A:AB,13,FALSE)</f>
        <v>0</v>
      </c>
      <c r="M187" s="69">
        <f>VLOOKUP(A:A,'Seam Tariffs'!A:AB,14,FALSE)</f>
        <v>0</v>
      </c>
      <c r="N187" s="69">
        <f>VLOOKUP(A:A,'Seam Tariffs'!A:AB,28,FALSE)</f>
        <v>2.5</v>
      </c>
      <c r="O187" s="69">
        <f>COSTS!$W$6</f>
        <v>1.8958333333333335</v>
      </c>
      <c r="P187" s="69">
        <f>VLOOKUP(G187,COSTS!$V$11:$X$14,3,FALSE)</f>
        <v>0</v>
      </c>
      <c r="Q187" s="69">
        <f t="shared" si="14"/>
        <v>25.495833333333334</v>
      </c>
      <c r="R187" s="69">
        <f t="shared" si="15"/>
        <v>4.3958333333333339</v>
      </c>
      <c r="S187" s="87">
        <f>VLOOKUP(A:A,'Flat Bed &amp; Late Fees'!A:J,6,FALSE)</f>
        <v>0</v>
      </c>
      <c r="T187" s="87">
        <f>VLOOKUP(A:A,'Flat Bed &amp; Late Fees'!A:J,7,FALSE)</f>
        <v>0</v>
      </c>
      <c r="U187" s="68">
        <f>VLOOKUP(C187&amp;G187,OTR!E:J,6,FALSE)/88</f>
        <v>11.392045454545455</v>
      </c>
      <c r="V187" s="87"/>
      <c r="W187" s="68">
        <f t="shared" si="16"/>
        <v>11.392045454545455</v>
      </c>
      <c r="X187" s="69">
        <f>VLOOKUP(G187,COSTS!$Z$18:$AC$23,2,FALSE)</f>
        <v>2.5</v>
      </c>
      <c r="Y187" s="87">
        <f>VLOOKUP(G187,COSTS!$Z$18:$AC$23,4,FALSE)</f>
        <v>1.68</v>
      </c>
      <c r="Z187" s="69">
        <f>(COSTS!$W$3*COSTS!$W$4*500)/52*COSTS!$AE$17</f>
        <v>1.3125</v>
      </c>
      <c r="AB187" s="69">
        <f t="shared" si="17"/>
        <v>5.4924999999999997</v>
      </c>
      <c r="AC187" s="69">
        <f>VLOOKUP(G187,COSTS!$Z$11:$AE$14,5,FALSE)</f>
        <v>7.3011363636363633</v>
      </c>
      <c r="AD187" s="69">
        <f>VLOOKUP(G187,COSTS!$Z$4:$AD$7,4,FALSE)</f>
        <v>9.1363636363636367</v>
      </c>
      <c r="AE187" s="69"/>
      <c r="AF187" s="69">
        <f t="shared" si="18"/>
        <v>16.4375</v>
      </c>
      <c r="AG187" s="87">
        <f>((COSTS!$C$5*88)/20)/88</f>
        <v>1.4407150000000002</v>
      </c>
      <c r="AH187" s="69">
        <f>(COSTS!$X$38/88)*20</f>
        <v>0.34865702479338845</v>
      </c>
      <c r="AI187" s="87">
        <f>((COSTS!$E$5*88)/20)/88</f>
        <v>0.62936587135988387</v>
      </c>
      <c r="AJ187" s="87">
        <f>((COSTS!$D$5*88)/20)/88</f>
        <v>0.33676</v>
      </c>
      <c r="AL187" s="387">
        <f t="shared" si="19"/>
        <v>2.7554978961532726</v>
      </c>
      <c r="AM187" s="69">
        <f>(COSTS!$W$3+0.1)*500*0.01</f>
        <v>3.9999999999999996</v>
      </c>
      <c r="AN187" s="387">
        <f>((COSTS!$G$5/20)*88)/88</f>
        <v>1.308904109589041</v>
      </c>
      <c r="AR187" s="69">
        <f t="shared" si="20"/>
        <v>5.3089041095890401</v>
      </c>
      <c r="AT187" s="1" t="e">
        <f>VLOOKUP(C187&amp;$AT$1,OTR!E:J,6,FALSE)/88</f>
        <v>#N/A</v>
      </c>
      <c r="AU187" s="1">
        <f>VLOOKUP(C187&amp;$AU$1,OTR!E:J,6,FALSE)/88</f>
        <v>18.46590909090909</v>
      </c>
    </row>
    <row r="188" spans="1:47">
      <c r="A188" s="1">
        <v>282101</v>
      </c>
      <c r="B188" s="1" t="s">
        <v>483</v>
      </c>
      <c r="C188" s="1" t="s">
        <v>484</v>
      </c>
      <c r="D188" s="1" t="s">
        <v>76</v>
      </c>
      <c r="E188" s="1" t="str">
        <f>VLOOKUP(A:A,'Regions and Ports'!A:G,5,FALSE)</f>
        <v>GA 30 Day</v>
      </c>
      <c r="F188" s="1" t="str">
        <f>VLOOKUP(A:A,'Regions and Ports'!A:F,6,FALSE)</f>
        <v>ER5</v>
      </c>
      <c r="G188" s="1" t="str">
        <f>VLOOKUP(A:A,'Regions and Ports'!A:G,7,FALSE)</f>
        <v>Savannah</v>
      </c>
      <c r="H188" s="87">
        <v>4</v>
      </c>
      <c r="I188" s="69">
        <f>VLOOKUP(A:A,'Seam Tariffs'!A:AB,9,FALSE)</f>
        <v>3.5</v>
      </c>
      <c r="J188" s="69">
        <f>VLOOKUP(A:A,'Seam Tariffs'!A:AB,11,FALSE)</f>
        <v>5.5</v>
      </c>
      <c r="K188" s="69">
        <f>VLOOKUP(A:A,'Seam Tariffs'!A:AB,12,FALSE)</f>
        <v>0</v>
      </c>
      <c r="L188" s="69">
        <f>VLOOKUP(A:A,'Seam Tariffs'!A:AB,13,FALSE)</f>
        <v>0</v>
      </c>
      <c r="M188" s="69">
        <f>VLOOKUP(A:A,'Seam Tariffs'!A:AB,14,FALSE)</f>
        <v>1</v>
      </c>
      <c r="N188" s="69">
        <f>VLOOKUP(A:A,'Seam Tariffs'!A:AB,28,FALSE)</f>
        <v>3.5</v>
      </c>
      <c r="O188" s="69">
        <f>COSTS!$W$6</f>
        <v>1.8958333333333335</v>
      </c>
      <c r="P188" s="69">
        <f>VLOOKUP(G188,COSTS!$V$11:$X$14,3,FALSE)</f>
        <v>0</v>
      </c>
      <c r="Q188" s="69">
        <f t="shared" si="14"/>
        <v>15.395833333333334</v>
      </c>
      <c r="R188" s="69">
        <f t="shared" si="15"/>
        <v>1.8958333333333335</v>
      </c>
      <c r="S188" s="87">
        <f>VLOOKUP(A:A,'Flat Bed &amp; Late Fees'!A:J,6,FALSE)</f>
        <v>0</v>
      </c>
      <c r="T188" s="87">
        <f>VLOOKUP(A:A,'Flat Bed &amp; Late Fees'!A:J,7,FALSE)</f>
        <v>0</v>
      </c>
      <c r="U188" s="68">
        <f>VLOOKUP(C188&amp;G188,OTR!E:J,6,FALSE)/88</f>
        <v>8.7367045454545451</v>
      </c>
      <c r="V188" s="87"/>
      <c r="W188" s="68">
        <f t="shared" si="16"/>
        <v>8.7367045454545451</v>
      </c>
      <c r="X188" s="69">
        <f>VLOOKUP(G188,COSTS!$Z$18:$AC$23,2,FALSE)</f>
        <v>2.6</v>
      </c>
      <c r="Y188" s="87">
        <f>VLOOKUP(G188,COSTS!$Z$18:$AC$23,4,FALSE)</f>
        <v>2.52</v>
      </c>
      <c r="Z188" s="69">
        <f>(COSTS!$W$3*COSTS!$W$4*500)/52*COSTS!$AE$17</f>
        <v>1.3125</v>
      </c>
      <c r="AB188" s="69">
        <f t="shared" si="17"/>
        <v>6.4325000000000001</v>
      </c>
      <c r="AC188" s="69">
        <f>VLOOKUP(G188,COSTS!$Z$11:$AE$14,5,FALSE)</f>
        <v>5.5113636363636367</v>
      </c>
      <c r="AD188" s="69">
        <f>VLOOKUP(G188,COSTS!$Z$4:$AD$7,4,FALSE)</f>
        <v>5.3522727272727275</v>
      </c>
      <c r="AE188" s="69"/>
      <c r="AF188" s="69">
        <f t="shared" si="18"/>
        <v>10.863636363636363</v>
      </c>
      <c r="AG188" s="87">
        <f>((COSTS!$C$5*88)/20)/88</f>
        <v>1.4407150000000002</v>
      </c>
      <c r="AH188" s="69">
        <f>(COSTS!$X$38/88)*20</f>
        <v>0.34865702479338845</v>
      </c>
      <c r="AI188" s="87">
        <f>((COSTS!$E$5*88)/20)/88</f>
        <v>0.62936587135988387</v>
      </c>
      <c r="AJ188" s="87">
        <f>((COSTS!$D$5*88)/20)/88</f>
        <v>0.33676</v>
      </c>
      <c r="AL188" s="387">
        <f t="shared" si="19"/>
        <v>2.7554978961532726</v>
      </c>
      <c r="AM188" s="69">
        <f>(COSTS!$W$3+0.1)*500*0.01</f>
        <v>3.9999999999999996</v>
      </c>
      <c r="AN188" s="387">
        <f>((COSTS!$G$5/20)*88)/88</f>
        <v>1.308904109589041</v>
      </c>
      <c r="AR188" s="69">
        <f t="shared" si="20"/>
        <v>5.3089041095890401</v>
      </c>
      <c r="AT188" s="1" t="e">
        <f>VLOOKUP(C188&amp;$AT$1,OTR!E:J,6,FALSE)/88</f>
        <v>#N/A</v>
      </c>
      <c r="AU188" s="1">
        <f>VLOOKUP(C188&amp;$AU$1,OTR!E:J,6,FALSE)/88</f>
        <v>15.823863636363637</v>
      </c>
    </row>
    <row r="189" spans="1:47">
      <c r="A189" s="1">
        <v>882008</v>
      </c>
      <c r="B189" s="1" t="s">
        <v>486</v>
      </c>
      <c r="C189" s="1" t="s">
        <v>487</v>
      </c>
      <c r="D189" s="1" t="s">
        <v>71</v>
      </c>
      <c r="E189" s="1" t="str">
        <f>VLOOKUP(A:A,'Regions and Ports'!A:G,5,FALSE)</f>
        <v>WTX</v>
      </c>
      <c r="F189" s="1" t="str">
        <f>VLOOKUP(A:A,'Regions and Ports'!A:F,6,FALSE)</f>
        <v>WTX</v>
      </c>
      <c r="G189" s="1" t="str">
        <f>VLOOKUP(A:A,'Regions and Ports'!A:G,7,FALSE)</f>
        <v>Dallas</v>
      </c>
      <c r="H189" s="87">
        <v>2</v>
      </c>
      <c r="I189" s="69">
        <f>VLOOKUP(A:A,'Seam Tariffs'!A:AB,9,FALSE)</f>
        <v>4.3499999999999996</v>
      </c>
      <c r="J189" s="69">
        <f>VLOOKUP(A:A,'Seam Tariffs'!A:AB,11,FALSE)</f>
        <v>5.75</v>
      </c>
      <c r="K189" s="69">
        <f>VLOOKUP(A:A,'Seam Tariffs'!A:AB,12,FALSE)</f>
        <v>11.25</v>
      </c>
      <c r="L189" s="69">
        <f>VLOOKUP(A:A,'Seam Tariffs'!A:AB,13,FALSE)</f>
        <v>0</v>
      </c>
      <c r="M189" s="69">
        <f>VLOOKUP(A:A,'Seam Tariffs'!A:AB,14,FALSE)</f>
        <v>0</v>
      </c>
      <c r="N189" s="69">
        <f>VLOOKUP(A:A,'Seam Tariffs'!A:AB,28,FALSE)</f>
        <v>2.25</v>
      </c>
      <c r="O189" s="69">
        <f>COSTS!$W$6</f>
        <v>1.8958333333333335</v>
      </c>
      <c r="P189" s="69">
        <f>VLOOKUP(G189,COSTS!$V$11:$X$14,3,FALSE)</f>
        <v>0</v>
      </c>
      <c r="Q189" s="69">
        <f t="shared" si="14"/>
        <v>25.495833333333334</v>
      </c>
      <c r="R189" s="69">
        <f t="shared" si="15"/>
        <v>15.395833333333334</v>
      </c>
      <c r="S189" s="87">
        <f>VLOOKUP(A:A,'Flat Bed &amp; Late Fees'!A:J,6,FALSE)</f>
        <v>0</v>
      </c>
      <c r="T189" s="87">
        <f>VLOOKUP(A:A,'Flat Bed &amp; Late Fees'!A:J,7,FALSE)</f>
        <v>0</v>
      </c>
      <c r="U189" s="68">
        <f>VLOOKUP(C189&amp;G189,OTR!E:J,6,FALSE)/88</f>
        <v>9.9431818181818183</v>
      </c>
      <c r="V189" s="87"/>
      <c r="W189" s="68">
        <f t="shared" si="16"/>
        <v>9.9431818181818183</v>
      </c>
      <c r="X189" s="69">
        <f>VLOOKUP(G189,COSTS!$Z$18:$AC$23,2,FALSE)</f>
        <v>2.7</v>
      </c>
      <c r="Y189" s="87">
        <f>VLOOKUP(G189,COSTS!$Z$18:$AC$23,4,FALSE)</f>
        <v>2.52</v>
      </c>
      <c r="Z189" s="69">
        <f>(COSTS!$W$3*COSTS!$W$4*500)/52*COSTS!$AE$17</f>
        <v>1.3125</v>
      </c>
      <c r="AB189" s="69">
        <f t="shared" si="17"/>
        <v>6.5325000000000006</v>
      </c>
      <c r="AC189" s="69">
        <f>VLOOKUP(G189,COSTS!$Z$11:$AE$14,5,FALSE)</f>
        <v>8.125</v>
      </c>
      <c r="AD189" s="69">
        <f>VLOOKUP(G189,COSTS!$Z$4:$AD$7,4,FALSE)</f>
        <v>13.409090909090908</v>
      </c>
      <c r="AE189" s="69"/>
      <c r="AF189" s="69">
        <f t="shared" si="18"/>
        <v>21.534090909090907</v>
      </c>
      <c r="AG189" s="87">
        <f>((COSTS!$C$5*88)/20)/88</f>
        <v>1.4407150000000002</v>
      </c>
      <c r="AH189" s="69">
        <f>(COSTS!$X$38/88)*20</f>
        <v>0.34865702479338845</v>
      </c>
      <c r="AI189" s="87">
        <f>((COSTS!$E$5*88)/20)/88</f>
        <v>0.62936587135988387</v>
      </c>
      <c r="AJ189" s="87">
        <f>((COSTS!$D$5*88)/20)/88</f>
        <v>0.33676</v>
      </c>
      <c r="AL189" s="387">
        <f t="shared" si="19"/>
        <v>2.7554978961532726</v>
      </c>
      <c r="AM189" s="69">
        <f>(COSTS!$W$3+0.1)*500*0.01</f>
        <v>3.9999999999999996</v>
      </c>
      <c r="AN189" s="387">
        <f>((COSTS!$G$5/20)*88)/88</f>
        <v>1.308904109589041</v>
      </c>
      <c r="AR189" s="69">
        <f t="shared" si="20"/>
        <v>5.3089041095890401</v>
      </c>
      <c r="AT189" s="1" t="e">
        <f>VLOOKUP(C189&amp;$AT$1,OTR!E:J,6,FALSE)/88</f>
        <v>#N/A</v>
      </c>
      <c r="AU189" s="1" t="e">
        <f>VLOOKUP(C189&amp;$AU$1,OTR!E:J,6,FALSE)/88</f>
        <v>#N/A</v>
      </c>
    </row>
    <row r="190" spans="1:47">
      <c r="A190" s="125">
        <v>882008</v>
      </c>
      <c r="B190" s="1" t="s">
        <v>486</v>
      </c>
      <c r="C190" s="1" t="s">
        <v>487</v>
      </c>
      <c r="D190" s="1" t="s">
        <v>71</v>
      </c>
      <c r="E190" s="1" t="s">
        <v>2067</v>
      </c>
      <c r="F190" s="1" t="str">
        <f>VLOOKUP(A:A,'Regions and Ports'!A:F,6,FALSE)</f>
        <v>WTX</v>
      </c>
      <c r="G190" s="1" t="s">
        <v>439</v>
      </c>
      <c r="H190" s="87">
        <v>2</v>
      </c>
      <c r="I190" s="69">
        <f>VLOOKUP(A:A,'Seam Tariffs'!A:AB,9,FALSE)</f>
        <v>4.3499999999999996</v>
      </c>
      <c r="J190" s="69">
        <f>VLOOKUP(A:A,'Seam Tariffs'!A:AB,11,FALSE)</f>
        <v>5.75</v>
      </c>
      <c r="K190" s="69">
        <f>VLOOKUP(A:A,'Seam Tariffs'!A:AB,12,FALSE)</f>
        <v>11.25</v>
      </c>
      <c r="L190" s="69">
        <f>VLOOKUP(A:A,'Seam Tariffs'!A:AB,13,FALSE)</f>
        <v>0</v>
      </c>
      <c r="M190" s="69">
        <f>VLOOKUP(A:A,'Seam Tariffs'!A:AB,14,FALSE)</f>
        <v>0</v>
      </c>
      <c r="N190" s="69">
        <f>VLOOKUP(A:A,'Seam Tariffs'!A:AB,28,FALSE)</f>
        <v>2.25</v>
      </c>
      <c r="O190" s="69">
        <f>COSTS!$W$6</f>
        <v>1.8958333333333335</v>
      </c>
      <c r="P190" s="69">
        <f>VLOOKUP(G190,COSTS!$V$11:$X$14,3,FALSE)</f>
        <v>0</v>
      </c>
      <c r="Q190" s="69">
        <f t="shared" si="14"/>
        <v>25.495833333333334</v>
      </c>
      <c r="R190" s="69">
        <f t="shared" si="15"/>
        <v>15.395833333333334</v>
      </c>
      <c r="S190" s="87">
        <f>VLOOKUP(A:A,'Flat Bed &amp; Late Fees'!A:J,6,FALSE)</f>
        <v>0</v>
      </c>
      <c r="T190" s="87">
        <f>VLOOKUP(A:A,'Flat Bed &amp; Late Fees'!A:J,7,FALSE)</f>
        <v>0</v>
      </c>
      <c r="U190" s="68">
        <f>VLOOKUP(C190&amp;G190,OTR!E:J,6,FALSE)/88</f>
        <v>14.204545454545455</v>
      </c>
      <c r="V190" s="87"/>
      <c r="W190" s="68">
        <f t="shared" si="16"/>
        <v>14.204545454545455</v>
      </c>
      <c r="X190" s="69">
        <f>VLOOKUP(G190,COSTS!$Z$18:$AC$23,2,FALSE)</f>
        <v>2.7</v>
      </c>
      <c r="Y190" s="87">
        <f>VLOOKUP(G190,COSTS!$Z$18:$AC$23,4,FALSE)</f>
        <v>2.52</v>
      </c>
      <c r="Z190" s="69">
        <f>(COSTS!$W$3*COSTS!$W$4*500)/52*COSTS!$AE$17</f>
        <v>1.3125</v>
      </c>
      <c r="AB190" s="69">
        <f t="shared" si="17"/>
        <v>6.5325000000000006</v>
      </c>
      <c r="AC190" s="69">
        <f>VLOOKUP(G190,COSTS!$Z$11:$AE$14,5,FALSE)</f>
        <v>6.6477272727272725</v>
      </c>
      <c r="AD190" s="69">
        <f>VLOOKUP(G190,COSTS!$Z$4:$AD$7,4,FALSE)</f>
        <v>9.8977272727272734</v>
      </c>
      <c r="AE190" s="69"/>
      <c r="AF190" s="69">
        <f t="shared" si="18"/>
        <v>16.545454545454547</v>
      </c>
      <c r="AG190" s="87">
        <f>((COSTS!$C$5*88)/20)/88</f>
        <v>1.4407150000000002</v>
      </c>
      <c r="AH190" s="69">
        <f>(COSTS!$X$38/88)*20</f>
        <v>0.34865702479338845</v>
      </c>
      <c r="AI190" s="87">
        <f>((COSTS!$E$5*88)/20)/88</f>
        <v>0.62936587135988387</v>
      </c>
      <c r="AJ190" s="87">
        <f>((COSTS!$D$5*88)/20)/88</f>
        <v>0.33676</v>
      </c>
      <c r="AL190" s="387">
        <f t="shared" si="19"/>
        <v>2.7554978961532726</v>
      </c>
      <c r="AM190" s="69">
        <f>(COSTS!$W$3+0.1)*500*0.01</f>
        <v>3.9999999999999996</v>
      </c>
      <c r="AN190" s="387">
        <f>((COSTS!$G$5/20)*88)/88</f>
        <v>1.308904109589041</v>
      </c>
      <c r="AR190" s="69">
        <f t="shared" si="20"/>
        <v>5.3089041095890401</v>
      </c>
      <c r="AT190" s="1" t="e">
        <f>VLOOKUP(C190&amp;$AT$1,OTR!E:J,6,FALSE)/88</f>
        <v>#N/A</v>
      </c>
      <c r="AU190" s="1" t="e">
        <f>VLOOKUP(C190&amp;$AU$1,OTR!E:J,6,FALSE)/88</f>
        <v>#N/A</v>
      </c>
    </row>
    <row r="191" spans="1:47">
      <c r="A191" s="1">
        <v>385000</v>
      </c>
      <c r="B191" s="1" t="s">
        <v>83</v>
      </c>
      <c r="C191" s="1" t="s">
        <v>489</v>
      </c>
      <c r="D191" s="1" t="s">
        <v>205</v>
      </c>
      <c r="E191" s="1" t="str">
        <f>VLOOKUP(A:A,'Regions and Ports'!A:G,5,FALSE)</f>
        <v>WTX</v>
      </c>
      <c r="F191" s="1" t="str">
        <f>VLOOKUP(A:A,'Regions and Ports'!A:F,6,FALSE)</f>
        <v>WTX</v>
      </c>
      <c r="G191" s="1" t="str">
        <f>VLOOKUP(A:A,'Regions and Ports'!A:G,7,FALSE)</f>
        <v>Dallas</v>
      </c>
      <c r="H191" s="87">
        <v>2</v>
      </c>
      <c r="I191" s="69">
        <f>VLOOKUP(A:A,'Seam Tariffs'!A:AB,9,FALSE)</f>
        <v>5.15</v>
      </c>
      <c r="J191" s="69">
        <f>VLOOKUP(A:A,'Seam Tariffs'!A:AB,11,FALSE)</f>
        <v>6.25</v>
      </c>
      <c r="K191" s="69">
        <f>VLOOKUP(A:A,'Seam Tariffs'!A:AB,12,FALSE)</f>
        <v>12</v>
      </c>
      <c r="L191" s="69">
        <f>VLOOKUP(A:A,'Seam Tariffs'!A:AB,13,FALSE)</f>
        <v>0</v>
      </c>
      <c r="M191" s="69">
        <f>VLOOKUP(A:A,'Seam Tariffs'!A:AB,14,FALSE)</f>
        <v>0</v>
      </c>
      <c r="N191" s="69">
        <f>VLOOKUP(A:A,'Seam Tariffs'!A:AB,28,FALSE)</f>
        <v>1.9500000000000002</v>
      </c>
      <c r="O191" s="69">
        <f>COSTS!$W$6</f>
        <v>1.8958333333333335</v>
      </c>
      <c r="P191" s="69">
        <f>VLOOKUP(G191,COSTS!$V$11:$X$14,3,FALSE)</f>
        <v>0</v>
      </c>
      <c r="Q191" s="69">
        <f t="shared" si="14"/>
        <v>27.24583333333333</v>
      </c>
      <c r="R191" s="69">
        <f t="shared" si="15"/>
        <v>15.845833333333333</v>
      </c>
      <c r="S191" s="87">
        <f>VLOOKUP(A:A,'Flat Bed &amp; Late Fees'!A:J,6,FALSE)</f>
        <v>1</v>
      </c>
      <c r="T191" s="87">
        <f>VLOOKUP(A:A,'Flat Bed &amp; Late Fees'!A:J,7,FALSE)</f>
        <v>0.25</v>
      </c>
      <c r="U191" s="68">
        <f>VLOOKUP(C191&amp;G191,OTR!E:J,6,FALSE)/88</f>
        <v>15.397727272727273</v>
      </c>
      <c r="V191" s="87"/>
      <c r="W191" s="68">
        <f t="shared" si="16"/>
        <v>16.647727272727273</v>
      </c>
      <c r="X191" s="69">
        <f>VLOOKUP(G191,COSTS!$Z$18:$AC$23,2,FALSE)</f>
        <v>2.7</v>
      </c>
      <c r="Y191" s="87">
        <f>VLOOKUP(G191,COSTS!$Z$18:$AC$23,4,FALSE)</f>
        <v>2.52</v>
      </c>
      <c r="Z191" s="69">
        <f>(COSTS!$W$3*COSTS!$W$4*500)/52*COSTS!$AE$17</f>
        <v>1.3125</v>
      </c>
      <c r="AB191" s="69">
        <f t="shared" si="17"/>
        <v>6.5325000000000006</v>
      </c>
      <c r="AC191" s="69">
        <f>VLOOKUP(G191,COSTS!$Z$11:$AE$14,5,FALSE)</f>
        <v>8.125</v>
      </c>
      <c r="AD191" s="69">
        <f>VLOOKUP(G191,COSTS!$Z$4:$AD$7,4,FALSE)</f>
        <v>13.409090909090908</v>
      </c>
      <c r="AE191" s="69"/>
      <c r="AF191" s="69">
        <f t="shared" si="18"/>
        <v>21.534090909090907</v>
      </c>
      <c r="AG191" s="87">
        <f>((COSTS!$C$5*88)/20)/88</f>
        <v>1.4407150000000002</v>
      </c>
      <c r="AH191" s="69">
        <f>(COSTS!$X$38/88)*20</f>
        <v>0.34865702479338845</v>
      </c>
      <c r="AI191" s="87">
        <f>((COSTS!$E$5*88)/20)/88</f>
        <v>0.62936587135988387</v>
      </c>
      <c r="AJ191" s="87">
        <f>((COSTS!$D$5*88)/20)/88</f>
        <v>0.33676</v>
      </c>
      <c r="AL191" s="387">
        <f t="shared" si="19"/>
        <v>2.7554978961532726</v>
      </c>
      <c r="AM191" s="69">
        <f>(COSTS!$W$3+0.1)*500*0.01</f>
        <v>3.9999999999999996</v>
      </c>
      <c r="AN191" s="387">
        <f>((COSTS!$G$5/20)*88)/88</f>
        <v>1.308904109589041</v>
      </c>
      <c r="AR191" s="69">
        <f t="shared" si="20"/>
        <v>5.3089041095890401</v>
      </c>
      <c r="AT191" s="1">
        <f>VLOOKUP(C191&amp;$AT$1,OTR!E:J,6,FALSE)/88</f>
        <v>24.650340909090911</v>
      </c>
      <c r="AU191" s="1" t="e">
        <f>VLOOKUP(C191&amp;$AU$1,OTR!E:J,6,FALSE)/88</f>
        <v>#N/A</v>
      </c>
    </row>
    <row r="192" spans="1:47">
      <c r="A192" s="125">
        <v>385000</v>
      </c>
      <c r="B192" s="1" t="s">
        <v>83</v>
      </c>
      <c r="C192" s="1" t="s">
        <v>489</v>
      </c>
      <c r="D192" s="1" t="s">
        <v>205</v>
      </c>
      <c r="E192" s="1" t="s">
        <v>2067</v>
      </c>
      <c r="F192" s="1" t="str">
        <f>VLOOKUP(A:A,'Regions and Ports'!A:F,6,FALSE)</f>
        <v>WTX</v>
      </c>
      <c r="G192" s="1" t="s">
        <v>439</v>
      </c>
      <c r="H192" s="87">
        <v>2</v>
      </c>
      <c r="I192" s="69">
        <f>VLOOKUP(A:A,'Seam Tariffs'!A:AB,9,FALSE)</f>
        <v>5.15</v>
      </c>
      <c r="J192" s="69">
        <f>VLOOKUP(A:A,'Seam Tariffs'!A:AB,11,FALSE)</f>
        <v>6.25</v>
      </c>
      <c r="K192" s="69">
        <f>VLOOKUP(A:A,'Seam Tariffs'!A:AB,12,FALSE)</f>
        <v>12</v>
      </c>
      <c r="L192" s="69">
        <f>VLOOKUP(A:A,'Seam Tariffs'!A:AB,13,FALSE)</f>
        <v>0</v>
      </c>
      <c r="M192" s="69">
        <f>VLOOKUP(A:A,'Seam Tariffs'!A:AB,14,FALSE)</f>
        <v>0</v>
      </c>
      <c r="N192" s="69">
        <f>VLOOKUP(A:A,'Seam Tariffs'!A:AB,28,FALSE)</f>
        <v>1.9500000000000002</v>
      </c>
      <c r="O192" s="69">
        <f>COSTS!$W$6</f>
        <v>1.8958333333333335</v>
      </c>
      <c r="P192" s="69">
        <f>VLOOKUP(G192,COSTS!$V$11:$X$14,3,FALSE)</f>
        <v>0</v>
      </c>
      <c r="Q192" s="69">
        <f t="shared" si="14"/>
        <v>27.24583333333333</v>
      </c>
      <c r="R192" s="69">
        <f t="shared" si="15"/>
        <v>15.845833333333333</v>
      </c>
      <c r="S192" s="87">
        <f>VLOOKUP(A:A,'Flat Bed &amp; Late Fees'!A:J,6,FALSE)</f>
        <v>1</v>
      </c>
      <c r="T192" s="87">
        <f>VLOOKUP(A:A,'Flat Bed &amp; Late Fees'!A:J,7,FALSE)</f>
        <v>0.25</v>
      </c>
      <c r="U192" s="68">
        <f>VLOOKUP(C192&amp;G192,OTR!E:J,6,FALSE)/88</f>
        <v>21.022727272727273</v>
      </c>
      <c r="V192" s="87"/>
      <c r="W192" s="68">
        <f t="shared" si="16"/>
        <v>22.272727272727273</v>
      </c>
      <c r="X192" s="69">
        <f>VLOOKUP(G192,COSTS!$Z$18:$AC$23,2,FALSE)</f>
        <v>2.7</v>
      </c>
      <c r="Y192" s="87">
        <f>VLOOKUP(G192,COSTS!$Z$18:$AC$23,4,FALSE)</f>
        <v>2.52</v>
      </c>
      <c r="Z192" s="69">
        <f>(COSTS!$W$3*COSTS!$W$4*500)/52*COSTS!$AE$17</f>
        <v>1.3125</v>
      </c>
      <c r="AB192" s="69">
        <f t="shared" si="17"/>
        <v>6.5325000000000006</v>
      </c>
      <c r="AC192" s="69">
        <f>VLOOKUP(G192,COSTS!$Z$11:$AE$14,5,FALSE)</f>
        <v>6.6477272727272725</v>
      </c>
      <c r="AD192" s="69">
        <f>VLOOKUP(G192,COSTS!$Z$4:$AD$7,4,FALSE)</f>
        <v>9.8977272727272734</v>
      </c>
      <c r="AE192" s="69"/>
      <c r="AF192" s="69">
        <f t="shared" si="18"/>
        <v>16.545454545454547</v>
      </c>
      <c r="AG192" s="87">
        <f>((COSTS!$C$5*88)/20)/88</f>
        <v>1.4407150000000002</v>
      </c>
      <c r="AH192" s="69">
        <f>(COSTS!$X$38/88)*20</f>
        <v>0.34865702479338845</v>
      </c>
      <c r="AI192" s="87">
        <f>((COSTS!$E$5*88)/20)/88</f>
        <v>0.62936587135988387</v>
      </c>
      <c r="AJ192" s="87">
        <f>((COSTS!$D$5*88)/20)/88</f>
        <v>0.33676</v>
      </c>
      <c r="AL192" s="387">
        <f t="shared" si="19"/>
        <v>2.7554978961532726</v>
      </c>
      <c r="AM192" s="69">
        <f>(COSTS!$W$3+0.1)*500*0.01</f>
        <v>3.9999999999999996</v>
      </c>
      <c r="AN192" s="387">
        <f>((COSTS!$G$5/20)*88)/88</f>
        <v>1.308904109589041</v>
      </c>
      <c r="AR192" s="69">
        <f t="shared" si="20"/>
        <v>5.3089041095890401</v>
      </c>
      <c r="AT192" s="1">
        <f>VLOOKUP(C192&amp;$AT$1,OTR!E:J,6,FALSE)/88</f>
        <v>24.650340909090911</v>
      </c>
      <c r="AU192" s="1" t="e">
        <f>VLOOKUP(C192&amp;$AU$1,OTR!E:J,6,FALSE)/88</f>
        <v>#N/A</v>
      </c>
    </row>
    <row r="193" spans="1:47">
      <c r="A193" s="1">
        <v>884033</v>
      </c>
      <c r="B193" s="1" t="s">
        <v>491</v>
      </c>
      <c r="C193" s="1" t="s">
        <v>492</v>
      </c>
      <c r="D193" s="1" t="s">
        <v>71</v>
      </c>
      <c r="E193" s="1" t="str">
        <f>VLOOKUP(A:A,'Regions and Ports'!A:G,5,FALSE)</f>
        <v>WTX</v>
      </c>
      <c r="F193" s="1" t="str">
        <f>VLOOKUP(A:A,'Regions and Ports'!A:F,6,FALSE)</f>
        <v>WTX</v>
      </c>
      <c r="G193" s="1" t="str">
        <f>VLOOKUP(A:A,'Regions and Ports'!A:G,7,FALSE)</f>
        <v>Dallas</v>
      </c>
      <c r="H193" s="87">
        <v>2</v>
      </c>
      <c r="I193" s="69">
        <f>VLOOKUP(A:A,'Seam Tariffs'!A:AB,9,FALSE)</f>
        <v>4.0999999999999996</v>
      </c>
      <c r="J193" s="69">
        <f>VLOOKUP(A:A,'Seam Tariffs'!A:AB,11,FALSE)</f>
        <v>5</v>
      </c>
      <c r="K193" s="69">
        <f>VLOOKUP(A:A,'Seam Tariffs'!A:AB,12,FALSE)</f>
        <v>11.25</v>
      </c>
      <c r="L193" s="69">
        <f>VLOOKUP(A:A,'Seam Tariffs'!A:AB,13,FALSE)</f>
        <v>0</v>
      </c>
      <c r="M193" s="69">
        <f>VLOOKUP(A:A,'Seam Tariffs'!A:AB,14,FALSE)</f>
        <v>0.5</v>
      </c>
      <c r="N193" s="69">
        <f>VLOOKUP(A:A,'Seam Tariffs'!A:AB,28,FALSE)</f>
        <v>2.4</v>
      </c>
      <c r="O193" s="69">
        <f>COSTS!$W$6</f>
        <v>1.8958333333333335</v>
      </c>
      <c r="P193" s="69">
        <f>VLOOKUP(G193,COSTS!$V$11:$X$14,3,FALSE)</f>
        <v>0</v>
      </c>
      <c r="Q193" s="69">
        <f t="shared" si="14"/>
        <v>25.145833333333332</v>
      </c>
      <c r="R193" s="69">
        <f t="shared" si="15"/>
        <v>15.545833333333334</v>
      </c>
      <c r="S193" s="87">
        <f>VLOOKUP(A:A,'Flat Bed &amp; Late Fees'!A:J,6,FALSE)</f>
        <v>0</v>
      </c>
      <c r="T193" s="87">
        <f>VLOOKUP(A:A,'Flat Bed &amp; Late Fees'!A:J,7,FALSE)</f>
        <v>0</v>
      </c>
      <c r="U193" s="68">
        <f>VLOOKUP(C193&amp;G193,OTR!E:J,6,FALSE)/88</f>
        <v>9.4318181818181817</v>
      </c>
      <c r="V193" s="87"/>
      <c r="W193" s="68">
        <f t="shared" si="16"/>
        <v>9.4318181818181817</v>
      </c>
      <c r="X193" s="69">
        <f>VLOOKUP(G193,COSTS!$Z$18:$AC$23,2,FALSE)</f>
        <v>2.7</v>
      </c>
      <c r="Y193" s="87">
        <f>VLOOKUP(G193,COSTS!$Z$18:$AC$23,4,FALSE)</f>
        <v>2.52</v>
      </c>
      <c r="Z193" s="69">
        <f>(COSTS!$W$3*COSTS!$W$4*500)/52*COSTS!$AE$17</f>
        <v>1.3125</v>
      </c>
      <c r="AB193" s="69">
        <f t="shared" si="17"/>
        <v>6.5325000000000006</v>
      </c>
      <c r="AC193" s="69">
        <f>VLOOKUP(G193,COSTS!$Z$11:$AE$14,5,FALSE)</f>
        <v>8.125</v>
      </c>
      <c r="AD193" s="69">
        <f>VLOOKUP(G193,COSTS!$Z$4:$AD$7,4,FALSE)</f>
        <v>13.409090909090908</v>
      </c>
      <c r="AE193" s="69"/>
      <c r="AF193" s="69">
        <f t="shared" si="18"/>
        <v>21.534090909090907</v>
      </c>
      <c r="AG193" s="87">
        <f>((COSTS!$C$5*88)/20)/88</f>
        <v>1.4407150000000002</v>
      </c>
      <c r="AH193" s="69">
        <f>(COSTS!$X$38/88)*20</f>
        <v>0.34865702479338845</v>
      </c>
      <c r="AI193" s="87">
        <f>((COSTS!$E$5*88)/20)/88</f>
        <v>0.62936587135988387</v>
      </c>
      <c r="AJ193" s="87">
        <f>((COSTS!$D$5*88)/20)/88</f>
        <v>0.33676</v>
      </c>
      <c r="AL193" s="387">
        <f t="shared" si="19"/>
        <v>2.7554978961532726</v>
      </c>
      <c r="AM193" s="69">
        <f>(COSTS!$W$3+0.1)*500*0.01</f>
        <v>3.9999999999999996</v>
      </c>
      <c r="AN193" s="387">
        <f>((COSTS!$G$5/20)*88)/88</f>
        <v>1.308904109589041</v>
      </c>
      <c r="AR193" s="69">
        <f t="shared" si="20"/>
        <v>5.3089041095890401</v>
      </c>
      <c r="AT193" s="1">
        <f>VLOOKUP(C193&amp;$AT$1,OTR!E:J,6,FALSE)/88</f>
        <v>17.712499999999999</v>
      </c>
      <c r="AU193" s="1" t="e">
        <f>VLOOKUP(C193&amp;$AU$1,OTR!E:J,6,FALSE)/88</f>
        <v>#N/A</v>
      </c>
    </row>
    <row r="194" spans="1:47">
      <c r="A194" s="125">
        <v>884033</v>
      </c>
      <c r="B194" s="1" t="s">
        <v>491</v>
      </c>
      <c r="C194" s="1" t="s">
        <v>492</v>
      </c>
      <c r="D194" s="1" t="s">
        <v>71</v>
      </c>
      <c r="E194" s="1" t="s">
        <v>2067</v>
      </c>
      <c r="F194" s="1" t="str">
        <f>VLOOKUP(A:A,'Regions and Ports'!A:F,6,FALSE)</f>
        <v>WTX</v>
      </c>
      <c r="G194" s="1" t="s">
        <v>439</v>
      </c>
      <c r="H194" s="87">
        <v>2</v>
      </c>
      <c r="I194" s="69">
        <f>VLOOKUP(A:A,'Seam Tariffs'!A:AB,9,FALSE)</f>
        <v>4.0999999999999996</v>
      </c>
      <c r="J194" s="69">
        <f>VLOOKUP(A:A,'Seam Tariffs'!A:AB,11,FALSE)</f>
        <v>5</v>
      </c>
      <c r="K194" s="69">
        <f>VLOOKUP(A:A,'Seam Tariffs'!A:AB,12,FALSE)</f>
        <v>11.25</v>
      </c>
      <c r="L194" s="69">
        <f>VLOOKUP(A:A,'Seam Tariffs'!A:AB,13,FALSE)</f>
        <v>0</v>
      </c>
      <c r="M194" s="69">
        <f>VLOOKUP(A:A,'Seam Tariffs'!A:AB,14,FALSE)</f>
        <v>0.5</v>
      </c>
      <c r="N194" s="69">
        <f>VLOOKUP(A:A,'Seam Tariffs'!A:AB,28,FALSE)</f>
        <v>2.4</v>
      </c>
      <c r="O194" s="69">
        <f>COSTS!$W$6</f>
        <v>1.8958333333333335</v>
      </c>
      <c r="P194" s="69">
        <f>VLOOKUP(G194,COSTS!$V$11:$X$14,3,FALSE)</f>
        <v>0</v>
      </c>
      <c r="Q194" s="69">
        <f t="shared" si="14"/>
        <v>25.145833333333332</v>
      </c>
      <c r="R194" s="69">
        <f t="shared" si="15"/>
        <v>15.545833333333334</v>
      </c>
      <c r="S194" s="87">
        <f>VLOOKUP(A:A,'Flat Bed &amp; Late Fees'!A:J,6,FALSE)</f>
        <v>0</v>
      </c>
      <c r="T194" s="87">
        <f>VLOOKUP(A:A,'Flat Bed &amp; Late Fees'!A:J,7,FALSE)</f>
        <v>0</v>
      </c>
      <c r="U194" s="68">
        <f>VLOOKUP(C194&amp;G194,OTR!E:J,6,FALSE)/88</f>
        <v>13.352272727272727</v>
      </c>
      <c r="V194" s="87"/>
      <c r="W194" s="68">
        <f t="shared" si="16"/>
        <v>13.352272727272727</v>
      </c>
      <c r="X194" s="69">
        <f>VLOOKUP(G194,COSTS!$Z$18:$AC$23,2,FALSE)</f>
        <v>2.7</v>
      </c>
      <c r="Y194" s="87">
        <f>VLOOKUP(G194,COSTS!$Z$18:$AC$23,4,FALSE)</f>
        <v>2.52</v>
      </c>
      <c r="Z194" s="69">
        <f>(COSTS!$W$3*COSTS!$W$4*500)/52*COSTS!$AE$17</f>
        <v>1.3125</v>
      </c>
      <c r="AB194" s="69">
        <f t="shared" si="17"/>
        <v>6.5325000000000006</v>
      </c>
      <c r="AC194" s="69">
        <f>VLOOKUP(G194,COSTS!$Z$11:$AE$14,5,FALSE)</f>
        <v>6.6477272727272725</v>
      </c>
      <c r="AD194" s="69">
        <f>VLOOKUP(G194,COSTS!$Z$4:$AD$7,4,FALSE)</f>
        <v>9.8977272727272734</v>
      </c>
      <c r="AE194" s="69"/>
      <c r="AF194" s="69">
        <f t="shared" si="18"/>
        <v>16.545454545454547</v>
      </c>
      <c r="AG194" s="87">
        <f>((COSTS!$C$5*88)/20)/88</f>
        <v>1.4407150000000002</v>
      </c>
      <c r="AH194" s="69">
        <f>(COSTS!$X$38/88)*20</f>
        <v>0.34865702479338845</v>
      </c>
      <c r="AI194" s="87">
        <f>((COSTS!$E$5*88)/20)/88</f>
        <v>0.62936587135988387</v>
      </c>
      <c r="AJ194" s="87">
        <f>((COSTS!$D$5*88)/20)/88</f>
        <v>0.33676</v>
      </c>
      <c r="AL194" s="387">
        <f t="shared" si="19"/>
        <v>2.7554978961532726</v>
      </c>
      <c r="AM194" s="69">
        <f>(COSTS!$W$3+0.1)*500*0.01</f>
        <v>3.9999999999999996</v>
      </c>
      <c r="AN194" s="387">
        <f>((COSTS!$G$5/20)*88)/88</f>
        <v>1.308904109589041</v>
      </c>
      <c r="AR194" s="69">
        <f t="shared" si="20"/>
        <v>5.3089041095890401</v>
      </c>
      <c r="AT194" s="1">
        <f>VLOOKUP(C194&amp;$AT$1,OTR!E:J,6,FALSE)/88</f>
        <v>17.712499999999999</v>
      </c>
      <c r="AU194" s="1" t="e">
        <f>VLOOKUP(C194&amp;$AU$1,OTR!E:J,6,FALSE)/88</f>
        <v>#N/A</v>
      </c>
    </row>
    <row r="195" spans="1:47">
      <c r="A195" s="1">
        <v>538013</v>
      </c>
      <c r="B195" s="1" t="s">
        <v>83</v>
      </c>
      <c r="C195" s="1" t="s">
        <v>494</v>
      </c>
      <c r="D195" s="1" t="s">
        <v>253</v>
      </c>
      <c r="E195" s="1" t="str">
        <f>VLOOKUP(A:A,'Regions and Ports'!A:G,5,FALSE)</f>
        <v>WTX</v>
      </c>
      <c r="F195" s="1" t="str">
        <f>VLOOKUP(A:A,'Regions and Ports'!A:F,6,FALSE)</f>
        <v>WTX</v>
      </c>
      <c r="G195" s="1" t="str">
        <f>VLOOKUP(A:A,'Regions and Ports'!A:G,7,FALSE)</f>
        <v>Los Angeles</v>
      </c>
      <c r="H195" s="87">
        <v>2</v>
      </c>
      <c r="I195" s="69">
        <f>VLOOKUP(A:A,'Seam Tariffs'!A:AB,9,FALSE)</f>
        <v>5.15</v>
      </c>
      <c r="J195" s="69">
        <f>VLOOKUP(A:A,'Seam Tariffs'!A:AB,11,FALSE)</f>
        <v>6.25</v>
      </c>
      <c r="K195" s="69">
        <f>VLOOKUP(A:A,'Seam Tariffs'!A:AB,12,FALSE)</f>
        <v>12</v>
      </c>
      <c r="L195" s="69">
        <f>VLOOKUP(A:A,'Seam Tariffs'!A:AB,13,FALSE)</f>
        <v>0</v>
      </c>
      <c r="M195" s="69">
        <f>VLOOKUP(A:A,'Seam Tariffs'!A:AB,14,FALSE)</f>
        <v>0</v>
      </c>
      <c r="N195" s="69">
        <f>VLOOKUP(A:A,'Seam Tariffs'!A:AB,28,FALSE)</f>
        <v>1.9500000000000002</v>
      </c>
      <c r="O195" s="69">
        <f>COSTS!$W$6</f>
        <v>1.8958333333333335</v>
      </c>
      <c r="P195" s="69" t="e">
        <f>VLOOKUP(G195,COSTS!$V$11:$X$14,3,FALSE)</f>
        <v>#N/A</v>
      </c>
      <c r="Q195" s="69" t="e">
        <f t="shared" ref="Q195:Q258" si="21">I195+J195+K195+L195+M195+N195+O195+P195</f>
        <v>#N/A</v>
      </c>
      <c r="R195" s="69" t="e">
        <f t="shared" ref="R195:R258" si="22">IF(H195=1,SUM(N195),IF(H195=2,SUM(K195,N195),IF(H195=3,SUM(J195,K195,L195,N195),IF(H195=4,SUM(L195),"ERROR"))))+O195+P195</f>
        <v>#N/A</v>
      </c>
      <c r="S195" s="87">
        <f>VLOOKUP(A:A,'Flat Bed &amp; Late Fees'!A:J,6,FALSE)</f>
        <v>1</v>
      </c>
      <c r="T195" s="87">
        <f>VLOOKUP(A:A,'Flat Bed &amp; Late Fees'!A:J,7,FALSE)</f>
        <v>0.25</v>
      </c>
      <c r="U195" s="68" t="e">
        <f>VLOOKUP(C195&amp;G195,OTR!E:J,6,FALSE)/88</f>
        <v>#N/A</v>
      </c>
      <c r="V195" s="87"/>
      <c r="W195" s="68" t="e">
        <f t="shared" ref="W195:W258" si="23">S195+T195+U195+V195</f>
        <v>#N/A</v>
      </c>
      <c r="X195" s="69" t="e">
        <f>VLOOKUP(G195,COSTS!$Z$18:$AC$23,2,FALSE)</f>
        <v>#N/A</v>
      </c>
      <c r="Y195" s="87" t="e">
        <f>VLOOKUP(G195,COSTS!$Z$18:$AC$23,4,FALSE)</f>
        <v>#N/A</v>
      </c>
      <c r="Z195" s="69">
        <f>(COSTS!$W$3*COSTS!$W$4*500)/52*COSTS!$AE$17</f>
        <v>1.3125</v>
      </c>
      <c r="AB195" s="69" t="e">
        <f t="shared" ref="AB195:AB258" si="24">X195+Y195+Z195+AA195</f>
        <v>#N/A</v>
      </c>
      <c r="AC195" s="69" t="e">
        <f>VLOOKUP(G195,COSTS!$Z$11:$AE$14,5,FALSE)</f>
        <v>#N/A</v>
      </c>
      <c r="AD195" s="69" t="e">
        <f>VLOOKUP(G195,COSTS!$Z$4:$AD$7,4,FALSE)</f>
        <v>#N/A</v>
      </c>
      <c r="AE195" s="69"/>
      <c r="AF195" s="69" t="e">
        <f t="shared" ref="AF195:AF258" si="25">AC195+AD195+AE195</f>
        <v>#N/A</v>
      </c>
      <c r="AG195" s="87">
        <f>((COSTS!$C$5*88)/20)/88</f>
        <v>1.4407150000000002</v>
      </c>
      <c r="AH195" s="69">
        <f>(COSTS!$X$38/88)*20</f>
        <v>0.34865702479338845</v>
      </c>
      <c r="AI195" s="87">
        <f>((COSTS!$E$5*88)/20)/88</f>
        <v>0.62936587135988387</v>
      </c>
      <c r="AJ195" s="87">
        <f>((COSTS!$D$5*88)/20)/88</f>
        <v>0.33676</v>
      </c>
      <c r="AL195" s="387">
        <f t="shared" ref="AL195:AL258" si="26">AG195+AH195+AI195+AJ195+AK195</f>
        <v>2.7554978961532726</v>
      </c>
      <c r="AM195" s="69">
        <f>(COSTS!$W$3+0.1)*500*0.01</f>
        <v>3.9999999999999996</v>
      </c>
      <c r="AN195" s="387">
        <f>((COSTS!$G$5/20)*88)/88</f>
        <v>1.308904109589041</v>
      </c>
      <c r="AR195" s="69">
        <f t="shared" ref="AR195:AR258" si="27">AM195+AN195+AO195+AP195+AQ195</f>
        <v>5.3089041095890401</v>
      </c>
      <c r="AT195" s="1" t="e">
        <f>VLOOKUP(C195&amp;$AT$1,OTR!E:J,6,FALSE)/88</f>
        <v>#N/A</v>
      </c>
      <c r="AU195" s="1" t="e">
        <f>VLOOKUP(C195&amp;$AU$1,OTR!E:J,6,FALSE)/88</f>
        <v>#N/A</v>
      </c>
    </row>
    <row r="196" spans="1:47">
      <c r="A196" s="1">
        <v>62306</v>
      </c>
      <c r="B196" s="1" t="s">
        <v>496</v>
      </c>
      <c r="C196" s="1" t="s">
        <v>497</v>
      </c>
      <c r="D196" s="1" t="s">
        <v>65</v>
      </c>
      <c r="E196" s="1" t="str">
        <f>VLOOKUP(A:A,'Regions and Ports'!A:G,5,FALSE)</f>
        <v>Eastern Rule 5</v>
      </c>
      <c r="F196" s="1" t="str">
        <f>VLOOKUP(A:A,'Regions and Ports'!A:F,6,FALSE)</f>
        <v>ER5</v>
      </c>
      <c r="G196" s="1" t="str">
        <f>VLOOKUP(A:A,'Regions and Ports'!A:G,7,FALSE)</f>
        <v>Savannah</v>
      </c>
      <c r="H196" s="87">
        <v>1</v>
      </c>
      <c r="I196" s="69">
        <f>VLOOKUP(A:A,'Seam Tariffs'!A:AB,9,FALSE)</f>
        <v>3.45</v>
      </c>
      <c r="J196" s="69">
        <f>VLOOKUP(A:A,'Seam Tariffs'!A:AB,11,FALSE)</f>
        <v>5</v>
      </c>
      <c r="K196" s="69">
        <f>VLOOKUP(A:A,'Seam Tariffs'!A:AB,12,FALSE)</f>
        <v>0</v>
      </c>
      <c r="L196" s="69">
        <f>VLOOKUP(A:A,'Seam Tariffs'!A:AB,13,FALSE)</f>
        <v>0</v>
      </c>
      <c r="M196" s="69">
        <f>VLOOKUP(A:A,'Seam Tariffs'!A:AB,14,FALSE)</f>
        <v>1</v>
      </c>
      <c r="N196" s="69">
        <f>VLOOKUP(A:A,'Seam Tariffs'!A:AB,28,FALSE)</f>
        <v>2.25</v>
      </c>
      <c r="O196" s="69">
        <f>COSTS!$W$6</f>
        <v>1.8958333333333335</v>
      </c>
      <c r="P196" s="69">
        <f>VLOOKUP(G196,COSTS!$V$11:$X$14,3,FALSE)</f>
        <v>0</v>
      </c>
      <c r="Q196" s="69">
        <f t="shared" si="21"/>
        <v>13.595833333333333</v>
      </c>
      <c r="R196" s="69">
        <f t="shared" si="22"/>
        <v>4.1458333333333339</v>
      </c>
      <c r="S196" s="87">
        <f>VLOOKUP(A:A,'Flat Bed &amp; Late Fees'!A:J,6,FALSE)</f>
        <v>0</v>
      </c>
      <c r="T196" s="87">
        <f>VLOOKUP(A:A,'Flat Bed &amp; Late Fees'!A:J,7,FALSE)</f>
        <v>0</v>
      </c>
      <c r="U196" s="68">
        <f>VLOOKUP(C196&amp;G196,OTR!E:J,6,FALSE)/88</f>
        <v>17.693579545454547</v>
      </c>
      <c r="V196" s="87"/>
      <c r="W196" s="68">
        <f t="shared" si="23"/>
        <v>17.693579545454547</v>
      </c>
      <c r="X196" s="69">
        <f>VLOOKUP(G196,COSTS!$Z$18:$AC$23,2,FALSE)</f>
        <v>2.6</v>
      </c>
      <c r="Y196" s="87">
        <f>VLOOKUP(G196,COSTS!$Z$18:$AC$23,4,FALSE)</f>
        <v>2.52</v>
      </c>
      <c r="Z196" s="69">
        <f>(COSTS!$W$3*COSTS!$W$4*500)/52*COSTS!$AE$17</f>
        <v>1.3125</v>
      </c>
      <c r="AB196" s="69">
        <f t="shared" si="24"/>
        <v>6.4325000000000001</v>
      </c>
      <c r="AC196" s="69">
        <f>VLOOKUP(G196,COSTS!$Z$11:$AE$14,5,FALSE)</f>
        <v>5.5113636363636367</v>
      </c>
      <c r="AD196" s="69">
        <f>VLOOKUP(G196,COSTS!$Z$4:$AD$7,4,FALSE)</f>
        <v>5.3522727272727275</v>
      </c>
      <c r="AE196" s="69"/>
      <c r="AF196" s="69">
        <f t="shared" si="25"/>
        <v>10.863636363636363</v>
      </c>
      <c r="AG196" s="87">
        <f>((COSTS!$C$5*88)/20)/88</f>
        <v>1.4407150000000002</v>
      </c>
      <c r="AH196" s="69">
        <f>(COSTS!$X$38/88)*20</f>
        <v>0.34865702479338845</v>
      </c>
      <c r="AI196" s="87">
        <f>((COSTS!$E$5*88)/20)/88</f>
        <v>0.62936587135988387</v>
      </c>
      <c r="AJ196" s="87">
        <f>((COSTS!$D$5*88)/20)/88</f>
        <v>0.33676</v>
      </c>
      <c r="AL196" s="387">
        <f t="shared" si="26"/>
        <v>2.7554978961532726</v>
      </c>
      <c r="AM196" s="69">
        <f>(COSTS!$W$3+0.1)*500*0.01</f>
        <v>3.9999999999999996</v>
      </c>
      <c r="AN196" s="387">
        <f>((COSTS!$G$5/20)*88)/88</f>
        <v>1.308904109589041</v>
      </c>
      <c r="AR196" s="69">
        <f t="shared" si="27"/>
        <v>5.3089041095890401</v>
      </c>
      <c r="AT196" s="1" t="e">
        <f>VLOOKUP(C196&amp;$AT$1,OTR!E:J,6,FALSE)/88</f>
        <v>#N/A</v>
      </c>
      <c r="AU196" s="1">
        <f>VLOOKUP(C196&amp;$AU$1,OTR!E:J,6,FALSE)/88</f>
        <v>19.232954545454547</v>
      </c>
    </row>
    <row r="197" spans="1:47">
      <c r="A197" s="1">
        <v>886506</v>
      </c>
      <c r="B197" s="1" t="s">
        <v>499</v>
      </c>
      <c r="C197" s="1" t="s">
        <v>500</v>
      </c>
      <c r="D197" s="1" t="s">
        <v>71</v>
      </c>
      <c r="E197" s="1" t="str">
        <f>VLOOKUP(A:A,'Regions and Ports'!A:G,5,FALSE)</f>
        <v>WTX</v>
      </c>
      <c r="F197" s="1" t="str">
        <f>VLOOKUP(A:A,'Regions and Ports'!A:F,6,FALSE)</f>
        <v>WTX</v>
      </c>
      <c r="G197" s="1" t="str">
        <f>VLOOKUP(A:A,'Regions and Ports'!A:G,7,FALSE)</f>
        <v>Dallas</v>
      </c>
      <c r="H197" s="87">
        <v>2</v>
      </c>
      <c r="I197" s="69">
        <f>VLOOKUP(A:A,'Seam Tariffs'!A:AB,9,FALSE)</f>
        <v>4.3499999999999996</v>
      </c>
      <c r="J197" s="69">
        <f>VLOOKUP(A:A,'Seam Tariffs'!A:AB,11,FALSE)</f>
        <v>5.75</v>
      </c>
      <c r="K197" s="69">
        <f>VLOOKUP(A:A,'Seam Tariffs'!A:AB,12,FALSE)</f>
        <v>11.25</v>
      </c>
      <c r="L197" s="69">
        <f>VLOOKUP(A:A,'Seam Tariffs'!A:AB,13,FALSE)</f>
        <v>0</v>
      </c>
      <c r="M197" s="69">
        <f>VLOOKUP(A:A,'Seam Tariffs'!A:AB,14,FALSE)</f>
        <v>0</v>
      </c>
      <c r="N197" s="69">
        <f>VLOOKUP(A:A,'Seam Tariffs'!A:AB,28,FALSE)</f>
        <v>2.25</v>
      </c>
      <c r="O197" s="69">
        <f>COSTS!$W$6</f>
        <v>1.8958333333333335</v>
      </c>
      <c r="P197" s="69">
        <f>VLOOKUP(G197,COSTS!$V$11:$X$14,3,FALSE)</f>
        <v>0</v>
      </c>
      <c r="Q197" s="69">
        <f t="shared" si="21"/>
        <v>25.495833333333334</v>
      </c>
      <c r="R197" s="69">
        <f t="shared" si="22"/>
        <v>15.395833333333334</v>
      </c>
      <c r="S197" s="87">
        <f>VLOOKUP(A:A,'Flat Bed &amp; Late Fees'!A:J,6,FALSE)</f>
        <v>1</v>
      </c>
      <c r="T197" s="87">
        <f>VLOOKUP(A:A,'Flat Bed &amp; Late Fees'!A:J,7,FALSE)</f>
        <v>0.25</v>
      </c>
      <c r="U197" s="68">
        <f>VLOOKUP(C197&amp;G197,OTR!E:J,6,FALSE)/88</f>
        <v>9.2613636363636367</v>
      </c>
      <c r="V197" s="87"/>
      <c r="W197" s="68">
        <f t="shared" si="23"/>
        <v>10.511363636363637</v>
      </c>
      <c r="X197" s="69">
        <f>VLOOKUP(G197,COSTS!$Z$18:$AC$23,2,FALSE)</f>
        <v>2.7</v>
      </c>
      <c r="Y197" s="87">
        <f>VLOOKUP(G197,COSTS!$Z$18:$AC$23,4,FALSE)</f>
        <v>2.52</v>
      </c>
      <c r="Z197" s="69">
        <f>(COSTS!$W$3*COSTS!$W$4*500)/52*COSTS!$AE$17</f>
        <v>1.3125</v>
      </c>
      <c r="AB197" s="69">
        <f t="shared" si="24"/>
        <v>6.5325000000000006</v>
      </c>
      <c r="AC197" s="69">
        <f>VLOOKUP(G197,COSTS!$Z$11:$AE$14,5,FALSE)</f>
        <v>8.125</v>
      </c>
      <c r="AD197" s="69">
        <f>VLOOKUP(G197,COSTS!$Z$4:$AD$7,4,FALSE)</f>
        <v>13.409090909090908</v>
      </c>
      <c r="AE197" s="69"/>
      <c r="AF197" s="69">
        <f t="shared" si="25"/>
        <v>21.534090909090907</v>
      </c>
      <c r="AG197" s="87">
        <f>((COSTS!$C$5*88)/20)/88</f>
        <v>1.4407150000000002</v>
      </c>
      <c r="AH197" s="69">
        <f>(COSTS!$X$38/88)*20</f>
        <v>0.34865702479338845</v>
      </c>
      <c r="AI197" s="87">
        <f>((COSTS!$E$5*88)/20)/88</f>
        <v>0.62936587135988387</v>
      </c>
      <c r="AJ197" s="87">
        <f>((COSTS!$D$5*88)/20)/88</f>
        <v>0.33676</v>
      </c>
      <c r="AL197" s="387">
        <f t="shared" si="26"/>
        <v>2.7554978961532726</v>
      </c>
      <c r="AM197" s="69">
        <f>(COSTS!$W$3+0.1)*500*0.01</f>
        <v>3.9999999999999996</v>
      </c>
      <c r="AN197" s="387">
        <f>((COSTS!$G$5/20)*88)/88</f>
        <v>1.308904109589041</v>
      </c>
      <c r="AR197" s="69">
        <f t="shared" si="27"/>
        <v>5.3089041095890401</v>
      </c>
      <c r="AT197" s="1">
        <f>VLOOKUP(C197&amp;$AT$1,OTR!E:J,6,FALSE)/88</f>
        <v>17.536249999999999</v>
      </c>
      <c r="AU197" s="1" t="e">
        <f>VLOOKUP(C197&amp;$AU$1,OTR!E:J,6,FALSE)/88</f>
        <v>#N/A</v>
      </c>
    </row>
    <row r="198" spans="1:47">
      <c r="A198" s="1">
        <v>886509</v>
      </c>
      <c r="B198" s="1" t="s">
        <v>502</v>
      </c>
      <c r="C198" s="1" t="s">
        <v>500</v>
      </c>
      <c r="D198" s="1" t="s">
        <v>71</v>
      </c>
      <c r="E198" s="1" t="str">
        <f>VLOOKUP(A:A,'Regions and Ports'!A:G,5,FALSE)</f>
        <v>WTX</v>
      </c>
      <c r="F198" s="1" t="str">
        <f>VLOOKUP(A:A,'Regions and Ports'!A:F,6,FALSE)</f>
        <v>WTX</v>
      </c>
      <c r="G198" s="1" t="str">
        <f>VLOOKUP(A:A,'Regions and Ports'!A:G,7,FALSE)</f>
        <v>Dallas</v>
      </c>
      <c r="H198" s="87">
        <v>2</v>
      </c>
      <c r="I198" s="69">
        <f>VLOOKUP(A:A,'Seam Tariffs'!A:AB,9,FALSE)</f>
        <v>4.3499999999999996</v>
      </c>
      <c r="J198" s="69">
        <f>VLOOKUP(A:A,'Seam Tariffs'!A:AB,11,FALSE)</f>
        <v>5.75</v>
      </c>
      <c r="K198" s="69">
        <f>VLOOKUP(A:A,'Seam Tariffs'!A:AB,12,FALSE)</f>
        <v>11.25</v>
      </c>
      <c r="L198" s="69">
        <f>VLOOKUP(A:A,'Seam Tariffs'!A:AB,13,FALSE)</f>
        <v>0</v>
      </c>
      <c r="M198" s="69">
        <f>VLOOKUP(A:A,'Seam Tariffs'!A:AB,14,FALSE)</f>
        <v>0</v>
      </c>
      <c r="N198" s="69">
        <f>VLOOKUP(A:A,'Seam Tariffs'!A:AB,28,FALSE)</f>
        <v>2.25</v>
      </c>
      <c r="O198" s="69">
        <f>COSTS!$W$6</f>
        <v>1.8958333333333335</v>
      </c>
      <c r="P198" s="69">
        <f>VLOOKUP(G198,COSTS!$V$11:$X$14,3,FALSE)</f>
        <v>0</v>
      </c>
      <c r="Q198" s="69">
        <f t="shared" si="21"/>
        <v>25.495833333333334</v>
      </c>
      <c r="R198" s="69">
        <f t="shared" si="22"/>
        <v>15.395833333333334</v>
      </c>
      <c r="S198" s="87">
        <f>VLOOKUP(A:A,'Flat Bed &amp; Late Fees'!A:J,6,FALSE)</f>
        <v>1</v>
      </c>
      <c r="T198" s="87">
        <f>VLOOKUP(A:A,'Flat Bed &amp; Late Fees'!A:J,7,FALSE)</f>
        <v>0.25</v>
      </c>
      <c r="U198" s="68">
        <f>VLOOKUP(C198&amp;G198,OTR!E:J,6,FALSE)/88</f>
        <v>9.2613636363636367</v>
      </c>
      <c r="V198" s="87"/>
      <c r="W198" s="68">
        <f t="shared" si="23"/>
        <v>10.511363636363637</v>
      </c>
      <c r="X198" s="69">
        <f>VLOOKUP(G198,COSTS!$Z$18:$AC$23,2,FALSE)</f>
        <v>2.7</v>
      </c>
      <c r="Y198" s="87">
        <f>VLOOKUP(G198,COSTS!$Z$18:$AC$23,4,FALSE)</f>
        <v>2.52</v>
      </c>
      <c r="Z198" s="69">
        <f>(COSTS!$W$3*COSTS!$W$4*500)/52*COSTS!$AE$17</f>
        <v>1.3125</v>
      </c>
      <c r="AB198" s="69">
        <f t="shared" si="24"/>
        <v>6.5325000000000006</v>
      </c>
      <c r="AC198" s="69">
        <f>VLOOKUP(G198,COSTS!$Z$11:$AE$14,5,FALSE)</f>
        <v>8.125</v>
      </c>
      <c r="AD198" s="69">
        <f>VLOOKUP(G198,COSTS!$Z$4:$AD$7,4,FALSE)</f>
        <v>13.409090909090908</v>
      </c>
      <c r="AE198" s="69"/>
      <c r="AF198" s="69">
        <f t="shared" si="25"/>
        <v>21.534090909090907</v>
      </c>
      <c r="AG198" s="87">
        <f>((COSTS!$C$5*88)/20)/88</f>
        <v>1.4407150000000002</v>
      </c>
      <c r="AH198" s="69">
        <f>(COSTS!$X$38/88)*20</f>
        <v>0.34865702479338845</v>
      </c>
      <c r="AI198" s="87">
        <f>((COSTS!$E$5*88)/20)/88</f>
        <v>0.62936587135988387</v>
      </c>
      <c r="AJ198" s="87">
        <f>((COSTS!$D$5*88)/20)/88</f>
        <v>0.33676</v>
      </c>
      <c r="AL198" s="387">
        <f t="shared" si="26"/>
        <v>2.7554978961532726</v>
      </c>
      <c r="AM198" s="69">
        <f>(COSTS!$W$3+0.1)*500*0.01</f>
        <v>3.9999999999999996</v>
      </c>
      <c r="AN198" s="387">
        <f>((COSTS!$G$5/20)*88)/88</f>
        <v>1.308904109589041</v>
      </c>
      <c r="AR198" s="69">
        <f t="shared" si="27"/>
        <v>5.3089041095890401</v>
      </c>
      <c r="AT198" s="1">
        <f>VLOOKUP(C198&amp;$AT$1,OTR!E:J,6,FALSE)/88</f>
        <v>17.536249999999999</v>
      </c>
      <c r="AU198" s="1" t="e">
        <f>VLOOKUP(C198&amp;$AU$1,OTR!E:J,6,FALSE)/88</f>
        <v>#N/A</v>
      </c>
    </row>
    <row r="199" spans="1:47">
      <c r="A199" s="1">
        <v>886512</v>
      </c>
      <c r="B199" s="1" t="s">
        <v>503</v>
      </c>
      <c r="C199" s="1" t="s">
        <v>500</v>
      </c>
      <c r="D199" s="1" t="s">
        <v>71</v>
      </c>
      <c r="E199" s="1" t="str">
        <f>VLOOKUP(A:A,'Regions and Ports'!A:G,5,FALSE)</f>
        <v>WTX</v>
      </c>
      <c r="F199" s="1" t="str">
        <f>VLOOKUP(A:A,'Regions and Ports'!A:F,6,FALSE)</f>
        <v>WTX</v>
      </c>
      <c r="G199" s="1" t="str">
        <f>VLOOKUP(A:A,'Regions and Ports'!A:G,7,FALSE)</f>
        <v>Dallas</v>
      </c>
      <c r="H199" s="87">
        <v>2</v>
      </c>
      <c r="I199" s="69">
        <f>VLOOKUP(A:A,'Seam Tariffs'!A:AB,9,FALSE)</f>
        <v>4.3499999999999996</v>
      </c>
      <c r="J199" s="69">
        <f>VLOOKUP(A:A,'Seam Tariffs'!A:AB,11,FALSE)</f>
        <v>5.75</v>
      </c>
      <c r="K199" s="69">
        <f>VLOOKUP(A:A,'Seam Tariffs'!A:AB,12,FALSE)</f>
        <v>11.25</v>
      </c>
      <c r="L199" s="69">
        <f>VLOOKUP(A:A,'Seam Tariffs'!A:AB,13,FALSE)</f>
        <v>0</v>
      </c>
      <c r="M199" s="69">
        <f>VLOOKUP(A:A,'Seam Tariffs'!A:AB,14,FALSE)</f>
        <v>0</v>
      </c>
      <c r="N199" s="69">
        <f>VLOOKUP(A:A,'Seam Tariffs'!A:AB,28,FALSE)</f>
        <v>2.25</v>
      </c>
      <c r="O199" s="69">
        <f>COSTS!$W$6</f>
        <v>1.8958333333333335</v>
      </c>
      <c r="P199" s="69">
        <f>VLOOKUP(G199,COSTS!$V$11:$X$14,3,FALSE)</f>
        <v>0</v>
      </c>
      <c r="Q199" s="69">
        <f t="shared" si="21"/>
        <v>25.495833333333334</v>
      </c>
      <c r="R199" s="69">
        <f t="shared" si="22"/>
        <v>15.395833333333334</v>
      </c>
      <c r="S199" s="87">
        <f>VLOOKUP(A:A,'Flat Bed &amp; Late Fees'!A:J,6,FALSE)</f>
        <v>1</v>
      </c>
      <c r="T199" s="87">
        <f>VLOOKUP(A:A,'Flat Bed &amp; Late Fees'!A:J,7,FALSE)</f>
        <v>0.25</v>
      </c>
      <c r="U199" s="68">
        <f>VLOOKUP(C199&amp;G199,OTR!E:J,6,FALSE)/88</f>
        <v>9.2613636363636367</v>
      </c>
      <c r="V199" s="87"/>
      <c r="W199" s="68">
        <f t="shared" si="23"/>
        <v>10.511363636363637</v>
      </c>
      <c r="X199" s="69">
        <f>VLOOKUP(G199,COSTS!$Z$18:$AC$23,2,FALSE)</f>
        <v>2.7</v>
      </c>
      <c r="Y199" s="87">
        <f>VLOOKUP(G199,COSTS!$Z$18:$AC$23,4,FALSE)</f>
        <v>2.52</v>
      </c>
      <c r="Z199" s="69">
        <f>(COSTS!$W$3*COSTS!$W$4*500)/52*COSTS!$AE$17</f>
        <v>1.3125</v>
      </c>
      <c r="AB199" s="69">
        <f t="shared" si="24"/>
        <v>6.5325000000000006</v>
      </c>
      <c r="AC199" s="69">
        <f>VLOOKUP(G199,COSTS!$Z$11:$AE$14,5,FALSE)</f>
        <v>8.125</v>
      </c>
      <c r="AD199" s="69">
        <f>VLOOKUP(G199,COSTS!$Z$4:$AD$7,4,FALSE)</f>
        <v>13.409090909090908</v>
      </c>
      <c r="AE199" s="69"/>
      <c r="AF199" s="69">
        <f t="shared" si="25"/>
        <v>21.534090909090907</v>
      </c>
      <c r="AG199" s="87">
        <f>((COSTS!$C$5*88)/20)/88</f>
        <v>1.4407150000000002</v>
      </c>
      <c r="AH199" s="69">
        <f>(COSTS!$X$38/88)*20</f>
        <v>0.34865702479338845</v>
      </c>
      <c r="AI199" s="87">
        <f>((COSTS!$E$5*88)/20)/88</f>
        <v>0.62936587135988387</v>
      </c>
      <c r="AJ199" s="87">
        <f>((COSTS!$D$5*88)/20)/88</f>
        <v>0.33676</v>
      </c>
      <c r="AL199" s="387">
        <f t="shared" si="26"/>
        <v>2.7554978961532726</v>
      </c>
      <c r="AM199" s="69">
        <f>(COSTS!$W$3+0.1)*500*0.01</f>
        <v>3.9999999999999996</v>
      </c>
      <c r="AN199" s="387">
        <f>((COSTS!$G$5/20)*88)/88</f>
        <v>1.308904109589041</v>
      </c>
      <c r="AR199" s="69">
        <f t="shared" si="27"/>
        <v>5.3089041095890401</v>
      </c>
      <c r="AT199" s="1">
        <f>VLOOKUP(C199&amp;$AT$1,OTR!E:J,6,FALSE)/88</f>
        <v>17.536249999999999</v>
      </c>
      <c r="AU199" s="1" t="e">
        <f>VLOOKUP(C199&amp;$AU$1,OTR!E:J,6,FALSE)/88</f>
        <v>#N/A</v>
      </c>
    </row>
    <row r="200" spans="1:47">
      <c r="A200" s="1">
        <v>886517</v>
      </c>
      <c r="B200" s="1" t="s">
        <v>504</v>
      </c>
      <c r="C200" s="1" t="s">
        <v>500</v>
      </c>
      <c r="D200" s="1" t="s">
        <v>71</v>
      </c>
      <c r="E200" s="1" t="str">
        <f>VLOOKUP(A:A,'Regions and Ports'!A:G,5,FALSE)</f>
        <v>WTX</v>
      </c>
      <c r="F200" s="1" t="str">
        <f>VLOOKUP(A:A,'Regions and Ports'!A:F,6,FALSE)</f>
        <v>WTX</v>
      </c>
      <c r="G200" s="1" t="str">
        <f>VLOOKUP(A:A,'Regions and Ports'!A:G,7,FALSE)</f>
        <v>Dallas</v>
      </c>
      <c r="H200" s="87">
        <v>2</v>
      </c>
      <c r="I200" s="69">
        <f>VLOOKUP(A:A,'Seam Tariffs'!A:AB,9,FALSE)</f>
        <v>4.3499999999999996</v>
      </c>
      <c r="J200" s="69">
        <f>VLOOKUP(A:A,'Seam Tariffs'!A:AB,11,FALSE)</f>
        <v>5.75</v>
      </c>
      <c r="K200" s="69">
        <f>VLOOKUP(A:A,'Seam Tariffs'!A:AB,12,FALSE)</f>
        <v>11.25</v>
      </c>
      <c r="L200" s="69">
        <f>VLOOKUP(A:A,'Seam Tariffs'!A:AB,13,FALSE)</f>
        <v>0</v>
      </c>
      <c r="M200" s="69">
        <f>VLOOKUP(A:A,'Seam Tariffs'!A:AB,14,FALSE)</f>
        <v>0</v>
      </c>
      <c r="N200" s="69">
        <f>VLOOKUP(A:A,'Seam Tariffs'!A:AB,28,FALSE)</f>
        <v>2.25</v>
      </c>
      <c r="O200" s="69">
        <f>COSTS!$W$6</f>
        <v>1.8958333333333335</v>
      </c>
      <c r="P200" s="69">
        <f>VLOOKUP(G200,COSTS!$V$11:$X$14,3,FALSE)</f>
        <v>0</v>
      </c>
      <c r="Q200" s="69">
        <f t="shared" si="21"/>
        <v>25.495833333333334</v>
      </c>
      <c r="R200" s="69">
        <f t="shared" si="22"/>
        <v>15.395833333333334</v>
      </c>
      <c r="S200" s="87">
        <f>VLOOKUP(A:A,'Flat Bed &amp; Late Fees'!A:J,6,FALSE)</f>
        <v>1</v>
      </c>
      <c r="T200" s="87">
        <f>VLOOKUP(A:A,'Flat Bed &amp; Late Fees'!A:J,7,FALSE)</f>
        <v>0.25</v>
      </c>
      <c r="U200" s="68">
        <f>VLOOKUP(C200&amp;G200,OTR!E:J,6,FALSE)/88</f>
        <v>9.2613636363636367</v>
      </c>
      <c r="V200" s="87"/>
      <c r="W200" s="68">
        <f t="shared" si="23"/>
        <v>10.511363636363637</v>
      </c>
      <c r="X200" s="69">
        <f>VLOOKUP(G200,COSTS!$Z$18:$AC$23,2,FALSE)</f>
        <v>2.7</v>
      </c>
      <c r="Y200" s="87">
        <f>VLOOKUP(G200,COSTS!$Z$18:$AC$23,4,FALSE)</f>
        <v>2.52</v>
      </c>
      <c r="Z200" s="69">
        <f>(COSTS!$W$3*COSTS!$W$4*500)/52*COSTS!$AE$17</f>
        <v>1.3125</v>
      </c>
      <c r="AB200" s="69">
        <f t="shared" si="24"/>
        <v>6.5325000000000006</v>
      </c>
      <c r="AC200" s="69">
        <f>VLOOKUP(G200,COSTS!$Z$11:$AE$14,5,FALSE)</f>
        <v>8.125</v>
      </c>
      <c r="AD200" s="69">
        <f>VLOOKUP(G200,COSTS!$Z$4:$AD$7,4,FALSE)</f>
        <v>13.409090909090908</v>
      </c>
      <c r="AE200" s="69"/>
      <c r="AF200" s="69">
        <f t="shared" si="25"/>
        <v>21.534090909090907</v>
      </c>
      <c r="AG200" s="87">
        <f>((COSTS!$C$5*88)/20)/88</f>
        <v>1.4407150000000002</v>
      </c>
      <c r="AH200" s="69">
        <f>(COSTS!$X$38/88)*20</f>
        <v>0.34865702479338845</v>
      </c>
      <c r="AI200" s="87">
        <f>((COSTS!$E$5*88)/20)/88</f>
        <v>0.62936587135988387</v>
      </c>
      <c r="AJ200" s="87">
        <f>((COSTS!$D$5*88)/20)/88</f>
        <v>0.33676</v>
      </c>
      <c r="AL200" s="387">
        <f t="shared" si="26"/>
        <v>2.7554978961532726</v>
      </c>
      <c r="AM200" s="69">
        <f>(COSTS!$W$3+0.1)*500*0.01</f>
        <v>3.9999999999999996</v>
      </c>
      <c r="AN200" s="387">
        <f>((COSTS!$G$5/20)*88)/88</f>
        <v>1.308904109589041</v>
      </c>
      <c r="AR200" s="69">
        <f t="shared" si="27"/>
        <v>5.3089041095890401</v>
      </c>
      <c r="AT200" s="1">
        <f>VLOOKUP(C200&amp;$AT$1,OTR!E:J,6,FALSE)/88</f>
        <v>17.536249999999999</v>
      </c>
      <c r="AU200" s="1" t="e">
        <f>VLOOKUP(C200&amp;$AU$1,OTR!E:J,6,FALSE)/88</f>
        <v>#N/A</v>
      </c>
    </row>
    <row r="201" spans="1:47">
      <c r="A201" s="1">
        <v>886520</v>
      </c>
      <c r="B201" s="1" t="s">
        <v>505</v>
      </c>
      <c r="C201" s="1" t="s">
        <v>500</v>
      </c>
      <c r="D201" s="1" t="s">
        <v>71</v>
      </c>
      <c r="E201" s="1" t="str">
        <f>VLOOKUP(A:A,'Regions and Ports'!A:G,5,FALSE)</f>
        <v>WTX</v>
      </c>
      <c r="F201" s="1" t="str">
        <f>VLOOKUP(A:A,'Regions and Ports'!A:F,6,FALSE)</f>
        <v>WTX</v>
      </c>
      <c r="G201" s="1" t="str">
        <f>VLOOKUP(A:A,'Regions and Ports'!A:G,7,FALSE)</f>
        <v>Dallas</v>
      </c>
      <c r="H201" s="87">
        <v>2</v>
      </c>
      <c r="I201" s="69">
        <f>VLOOKUP(A:A,'Seam Tariffs'!A:AB,9,FALSE)</f>
        <v>4.3499999999999996</v>
      </c>
      <c r="J201" s="69">
        <f>VLOOKUP(A:A,'Seam Tariffs'!A:AB,11,FALSE)</f>
        <v>5.75</v>
      </c>
      <c r="K201" s="69">
        <f>VLOOKUP(A:A,'Seam Tariffs'!A:AB,12,FALSE)</f>
        <v>11.25</v>
      </c>
      <c r="L201" s="69">
        <f>VLOOKUP(A:A,'Seam Tariffs'!A:AB,13,FALSE)</f>
        <v>0</v>
      </c>
      <c r="M201" s="69">
        <f>VLOOKUP(A:A,'Seam Tariffs'!A:AB,14,FALSE)</f>
        <v>0</v>
      </c>
      <c r="N201" s="69">
        <f>VLOOKUP(A:A,'Seam Tariffs'!A:AB,28,FALSE)</f>
        <v>2.25</v>
      </c>
      <c r="O201" s="69">
        <f>COSTS!$W$6</f>
        <v>1.8958333333333335</v>
      </c>
      <c r="P201" s="69">
        <f>VLOOKUP(G201,COSTS!$V$11:$X$14,3,FALSE)</f>
        <v>0</v>
      </c>
      <c r="Q201" s="69">
        <f t="shared" si="21"/>
        <v>25.495833333333334</v>
      </c>
      <c r="R201" s="69">
        <f t="shared" si="22"/>
        <v>15.395833333333334</v>
      </c>
      <c r="S201" s="87">
        <f>VLOOKUP(A:A,'Flat Bed &amp; Late Fees'!A:J,6,FALSE)</f>
        <v>1</v>
      </c>
      <c r="T201" s="87">
        <f>VLOOKUP(A:A,'Flat Bed &amp; Late Fees'!A:J,7,FALSE)</f>
        <v>0.25</v>
      </c>
      <c r="U201" s="68">
        <f>VLOOKUP(C201&amp;G201,OTR!E:J,6,FALSE)/88</f>
        <v>9.2613636363636367</v>
      </c>
      <c r="V201" s="87"/>
      <c r="W201" s="68">
        <f t="shared" si="23"/>
        <v>10.511363636363637</v>
      </c>
      <c r="X201" s="69">
        <f>VLOOKUP(G201,COSTS!$Z$18:$AC$23,2,FALSE)</f>
        <v>2.7</v>
      </c>
      <c r="Y201" s="87">
        <f>VLOOKUP(G201,COSTS!$Z$18:$AC$23,4,FALSE)</f>
        <v>2.52</v>
      </c>
      <c r="Z201" s="69">
        <f>(COSTS!$W$3*COSTS!$W$4*500)/52*COSTS!$AE$17</f>
        <v>1.3125</v>
      </c>
      <c r="AB201" s="69">
        <f t="shared" si="24"/>
        <v>6.5325000000000006</v>
      </c>
      <c r="AC201" s="69">
        <f>VLOOKUP(G201,COSTS!$Z$11:$AE$14,5,FALSE)</f>
        <v>8.125</v>
      </c>
      <c r="AD201" s="69">
        <f>VLOOKUP(G201,COSTS!$Z$4:$AD$7,4,FALSE)</f>
        <v>13.409090909090908</v>
      </c>
      <c r="AE201" s="69"/>
      <c r="AF201" s="69">
        <f t="shared" si="25"/>
        <v>21.534090909090907</v>
      </c>
      <c r="AG201" s="87">
        <f>((COSTS!$C$5*88)/20)/88</f>
        <v>1.4407150000000002</v>
      </c>
      <c r="AH201" s="69">
        <f>(COSTS!$X$38/88)*20</f>
        <v>0.34865702479338845</v>
      </c>
      <c r="AI201" s="87">
        <f>((COSTS!$E$5*88)/20)/88</f>
        <v>0.62936587135988387</v>
      </c>
      <c r="AJ201" s="87">
        <f>((COSTS!$D$5*88)/20)/88</f>
        <v>0.33676</v>
      </c>
      <c r="AL201" s="387">
        <f t="shared" si="26"/>
        <v>2.7554978961532726</v>
      </c>
      <c r="AM201" s="69">
        <f>(COSTS!$W$3+0.1)*500*0.01</f>
        <v>3.9999999999999996</v>
      </c>
      <c r="AN201" s="387">
        <f>((COSTS!$G$5/20)*88)/88</f>
        <v>1.308904109589041</v>
      </c>
      <c r="AR201" s="69">
        <f t="shared" si="27"/>
        <v>5.3089041095890401</v>
      </c>
      <c r="AT201" s="1">
        <f>VLOOKUP(C201&amp;$AT$1,OTR!E:J,6,FALSE)/88</f>
        <v>17.536249999999999</v>
      </c>
      <c r="AU201" s="1" t="e">
        <f>VLOOKUP(C201&amp;$AU$1,OTR!E:J,6,FALSE)/88</f>
        <v>#N/A</v>
      </c>
    </row>
    <row r="202" spans="1:47">
      <c r="A202" s="1">
        <v>886533</v>
      </c>
      <c r="B202" s="1" t="s">
        <v>506</v>
      </c>
      <c r="C202" s="1" t="s">
        <v>500</v>
      </c>
      <c r="D202" s="1" t="s">
        <v>71</v>
      </c>
      <c r="E202" s="1" t="str">
        <f>VLOOKUP(A:A,'Regions and Ports'!A:G,5,FALSE)</f>
        <v>WTX</v>
      </c>
      <c r="F202" s="1" t="str">
        <f>VLOOKUP(A:A,'Regions and Ports'!A:F,6,FALSE)</f>
        <v>WTX</v>
      </c>
      <c r="G202" s="1" t="str">
        <f>VLOOKUP(A:A,'Regions and Ports'!A:G,7,FALSE)</f>
        <v>Dallas</v>
      </c>
      <c r="H202" s="87">
        <v>2</v>
      </c>
      <c r="I202" s="69">
        <f>VLOOKUP(A:A,'Seam Tariffs'!A:AB,9,FALSE)</f>
        <v>4.75</v>
      </c>
      <c r="J202" s="69">
        <f>VLOOKUP(A:A,'Seam Tariffs'!A:AB,11,FALSE)</f>
        <v>5.45</v>
      </c>
      <c r="K202" s="69">
        <f>VLOOKUP(A:A,'Seam Tariffs'!A:AB,12,FALSE)</f>
        <v>9.75</v>
      </c>
      <c r="L202" s="69">
        <f>VLOOKUP(A:A,'Seam Tariffs'!A:AB,13,FALSE)</f>
        <v>0</v>
      </c>
      <c r="M202" s="69">
        <f>VLOOKUP(A:A,'Seam Tariffs'!A:AB,14,FALSE)</f>
        <v>1</v>
      </c>
      <c r="N202" s="69">
        <f>VLOOKUP(A:A,'Seam Tariffs'!A:AB,28,FALSE)</f>
        <v>2.4</v>
      </c>
      <c r="O202" s="69">
        <f>COSTS!$W$6</f>
        <v>1.8958333333333335</v>
      </c>
      <c r="P202" s="69">
        <f>VLOOKUP(G202,COSTS!$V$11:$X$14,3,FALSE)</f>
        <v>0</v>
      </c>
      <c r="Q202" s="69">
        <f t="shared" si="21"/>
        <v>25.24583333333333</v>
      </c>
      <c r="R202" s="69">
        <f t="shared" si="22"/>
        <v>14.045833333333334</v>
      </c>
      <c r="S202" s="87">
        <f>VLOOKUP(A:A,'Flat Bed &amp; Late Fees'!A:J,6,FALSE)</f>
        <v>0</v>
      </c>
      <c r="T202" s="87">
        <f>VLOOKUP(A:A,'Flat Bed &amp; Late Fees'!A:J,7,FALSE)</f>
        <v>0</v>
      </c>
      <c r="U202" s="68">
        <f>VLOOKUP(C202&amp;G202,OTR!E:J,6,FALSE)/88</f>
        <v>9.2613636363636367</v>
      </c>
      <c r="V202" s="87"/>
      <c r="W202" s="68">
        <f t="shared" si="23"/>
        <v>9.2613636363636367</v>
      </c>
      <c r="X202" s="69">
        <f>VLOOKUP(G202,COSTS!$Z$18:$AC$23,2,FALSE)</f>
        <v>2.7</v>
      </c>
      <c r="Y202" s="87">
        <f>VLOOKUP(G202,COSTS!$Z$18:$AC$23,4,FALSE)</f>
        <v>2.52</v>
      </c>
      <c r="Z202" s="69">
        <f>(COSTS!$W$3*COSTS!$W$4*500)/52*COSTS!$AE$17</f>
        <v>1.3125</v>
      </c>
      <c r="AB202" s="69">
        <f t="shared" si="24"/>
        <v>6.5325000000000006</v>
      </c>
      <c r="AC202" s="69">
        <f>VLOOKUP(G202,COSTS!$Z$11:$AE$14,5,FALSE)</f>
        <v>8.125</v>
      </c>
      <c r="AD202" s="69">
        <f>VLOOKUP(G202,COSTS!$Z$4:$AD$7,4,FALSE)</f>
        <v>13.409090909090908</v>
      </c>
      <c r="AE202" s="69"/>
      <c r="AF202" s="69">
        <f t="shared" si="25"/>
        <v>21.534090909090907</v>
      </c>
      <c r="AG202" s="87">
        <f>((COSTS!$C$5*88)/20)/88</f>
        <v>1.4407150000000002</v>
      </c>
      <c r="AH202" s="69">
        <f>(COSTS!$X$38/88)*20</f>
        <v>0.34865702479338845</v>
      </c>
      <c r="AI202" s="87">
        <f>((COSTS!$E$5*88)/20)/88</f>
        <v>0.62936587135988387</v>
      </c>
      <c r="AJ202" s="87">
        <f>((COSTS!$D$5*88)/20)/88</f>
        <v>0.33676</v>
      </c>
      <c r="AL202" s="387">
        <f t="shared" si="26"/>
        <v>2.7554978961532726</v>
      </c>
      <c r="AM202" s="69">
        <f>(COSTS!$W$3+0.1)*500*0.01</f>
        <v>3.9999999999999996</v>
      </c>
      <c r="AN202" s="387">
        <f>((COSTS!$G$5/20)*88)/88</f>
        <v>1.308904109589041</v>
      </c>
      <c r="AR202" s="69">
        <f t="shared" si="27"/>
        <v>5.3089041095890401</v>
      </c>
      <c r="AT202" s="1">
        <f>VLOOKUP(C202&amp;$AT$1,OTR!E:J,6,FALSE)/88</f>
        <v>17.536249999999999</v>
      </c>
      <c r="AU202" s="1" t="e">
        <f>VLOOKUP(C202&amp;$AU$1,OTR!E:J,6,FALSE)/88</f>
        <v>#N/A</v>
      </c>
    </row>
    <row r="203" spans="1:47">
      <c r="A203" s="1">
        <v>886570</v>
      </c>
      <c r="B203" s="1" t="s">
        <v>507</v>
      </c>
      <c r="C203" s="1" t="s">
        <v>500</v>
      </c>
      <c r="D203" s="1" t="s">
        <v>71</v>
      </c>
      <c r="E203" s="1" t="str">
        <f>VLOOKUP(A:A,'Regions and Ports'!A:G,5,FALSE)</f>
        <v>WTX</v>
      </c>
      <c r="F203" s="1" t="str">
        <f>VLOOKUP(A:A,'Regions and Ports'!A:F,6,FALSE)</f>
        <v>WTX</v>
      </c>
      <c r="G203" s="1" t="str">
        <f>VLOOKUP(A:A,'Regions and Ports'!A:G,7,FALSE)</f>
        <v>Dallas</v>
      </c>
      <c r="H203" s="87">
        <v>2</v>
      </c>
      <c r="I203" s="69">
        <f>VLOOKUP(A:A,'Seam Tariffs'!A:AB,9,FALSE)</f>
        <v>4.0999999999999996</v>
      </c>
      <c r="J203" s="69">
        <f>VLOOKUP(A:A,'Seam Tariffs'!A:AB,11,FALSE)</f>
        <v>5</v>
      </c>
      <c r="K203" s="69">
        <f>VLOOKUP(A:A,'Seam Tariffs'!A:AB,12,FALSE)</f>
        <v>11.25</v>
      </c>
      <c r="L203" s="69">
        <f>VLOOKUP(A:A,'Seam Tariffs'!A:AB,13,FALSE)</f>
        <v>0</v>
      </c>
      <c r="M203" s="69">
        <f>VLOOKUP(A:A,'Seam Tariffs'!A:AB,14,FALSE)</f>
        <v>0.5</v>
      </c>
      <c r="N203" s="69">
        <f>VLOOKUP(A:A,'Seam Tariffs'!A:AB,28,FALSE)</f>
        <v>2.4</v>
      </c>
      <c r="O203" s="69">
        <f>COSTS!$W$6</f>
        <v>1.8958333333333335</v>
      </c>
      <c r="P203" s="69">
        <f>VLOOKUP(G203,COSTS!$V$11:$X$14,3,FALSE)</f>
        <v>0</v>
      </c>
      <c r="Q203" s="69">
        <f t="shared" si="21"/>
        <v>25.145833333333332</v>
      </c>
      <c r="R203" s="69">
        <f t="shared" si="22"/>
        <v>15.545833333333334</v>
      </c>
      <c r="S203" s="87">
        <f>VLOOKUP(A:A,'Flat Bed &amp; Late Fees'!A:J,6,FALSE)</f>
        <v>0</v>
      </c>
      <c r="T203" s="87">
        <f>VLOOKUP(A:A,'Flat Bed &amp; Late Fees'!A:J,7,FALSE)</f>
        <v>0</v>
      </c>
      <c r="U203" s="68">
        <f>VLOOKUP(C203&amp;G203,OTR!E:J,6,FALSE)/88</f>
        <v>9.2613636363636367</v>
      </c>
      <c r="V203" s="87"/>
      <c r="W203" s="68">
        <f t="shared" si="23"/>
        <v>9.2613636363636367</v>
      </c>
      <c r="X203" s="69">
        <f>VLOOKUP(G203,COSTS!$Z$18:$AC$23,2,FALSE)</f>
        <v>2.7</v>
      </c>
      <c r="Y203" s="87">
        <f>VLOOKUP(G203,COSTS!$Z$18:$AC$23,4,FALSE)</f>
        <v>2.52</v>
      </c>
      <c r="Z203" s="69">
        <f>(COSTS!$W$3*COSTS!$W$4*500)/52*COSTS!$AE$17</f>
        <v>1.3125</v>
      </c>
      <c r="AB203" s="69">
        <f t="shared" si="24"/>
        <v>6.5325000000000006</v>
      </c>
      <c r="AC203" s="69">
        <f>VLOOKUP(G203,COSTS!$Z$11:$AE$14,5,FALSE)</f>
        <v>8.125</v>
      </c>
      <c r="AD203" s="69">
        <f>VLOOKUP(G203,COSTS!$Z$4:$AD$7,4,FALSE)</f>
        <v>13.409090909090908</v>
      </c>
      <c r="AE203" s="69"/>
      <c r="AF203" s="69">
        <f t="shared" si="25"/>
        <v>21.534090909090907</v>
      </c>
      <c r="AG203" s="87">
        <f>((COSTS!$C$5*88)/20)/88</f>
        <v>1.4407150000000002</v>
      </c>
      <c r="AH203" s="69">
        <f>(COSTS!$X$38/88)*20</f>
        <v>0.34865702479338845</v>
      </c>
      <c r="AI203" s="87">
        <f>((COSTS!$E$5*88)/20)/88</f>
        <v>0.62936587135988387</v>
      </c>
      <c r="AJ203" s="87">
        <f>((COSTS!$D$5*88)/20)/88</f>
        <v>0.33676</v>
      </c>
      <c r="AL203" s="387">
        <f t="shared" si="26"/>
        <v>2.7554978961532726</v>
      </c>
      <c r="AM203" s="69">
        <f>(COSTS!$W$3+0.1)*500*0.01</f>
        <v>3.9999999999999996</v>
      </c>
      <c r="AN203" s="387">
        <f>((COSTS!$G$5/20)*88)/88</f>
        <v>1.308904109589041</v>
      </c>
      <c r="AR203" s="69">
        <f t="shared" si="27"/>
        <v>5.3089041095890401</v>
      </c>
      <c r="AT203" s="1">
        <f>VLOOKUP(C203&amp;$AT$1,OTR!E:J,6,FALSE)/88</f>
        <v>17.536249999999999</v>
      </c>
      <c r="AU203" s="1" t="e">
        <f>VLOOKUP(C203&amp;$AU$1,OTR!E:J,6,FALSE)/88</f>
        <v>#N/A</v>
      </c>
    </row>
    <row r="204" spans="1:47">
      <c r="A204" s="125">
        <v>886506</v>
      </c>
      <c r="B204" s="1" t="s">
        <v>499</v>
      </c>
      <c r="C204" s="1" t="s">
        <v>500</v>
      </c>
      <c r="D204" s="1" t="s">
        <v>71</v>
      </c>
      <c r="E204" s="1" t="s">
        <v>2067</v>
      </c>
      <c r="F204" s="1" t="str">
        <f>VLOOKUP(A:A,'Regions and Ports'!A:F,6,FALSE)</f>
        <v>WTX</v>
      </c>
      <c r="G204" s="1" t="s">
        <v>439</v>
      </c>
      <c r="H204" s="87">
        <v>2</v>
      </c>
      <c r="I204" s="69">
        <f>VLOOKUP(A:A,'Seam Tariffs'!A:AB,9,FALSE)</f>
        <v>4.3499999999999996</v>
      </c>
      <c r="J204" s="69">
        <f>VLOOKUP(A:A,'Seam Tariffs'!A:AB,11,FALSE)</f>
        <v>5.75</v>
      </c>
      <c r="K204" s="69">
        <f>VLOOKUP(A:A,'Seam Tariffs'!A:AB,12,FALSE)</f>
        <v>11.25</v>
      </c>
      <c r="L204" s="69">
        <f>VLOOKUP(A:A,'Seam Tariffs'!A:AB,13,FALSE)</f>
        <v>0</v>
      </c>
      <c r="M204" s="69">
        <f>VLOOKUP(A:A,'Seam Tariffs'!A:AB,14,FALSE)</f>
        <v>0</v>
      </c>
      <c r="N204" s="69">
        <f>VLOOKUP(A:A,'Seam Tariffs'!A:AB,28,FALSE)</f>
        <v>2.25</v>
      </c>
      <c r="O204" s="69">
        <f>COSTS!$W$6</f>
        <v>1.8958333333333335</v>
      </c>
      <c r="P204" s="69">
        <f>VLOOKUP(G204,COSTS!$V$11:$X$14,3,FALSE)</f>
        <v>0</v>
      </c>
      <c r="Q204" s="69">
        <f t="shared" si="21"/>
        <v>25.495833333333334</v>
      </c>
      <c r="R204" s="69">
        <f t="shared" si="22"/>
        <v>15.395833333333334</v>
      </c>
      <c r="S204" s="87">
        <f>VLOOKUP(A:A,'Flat Bed &amp; Late Fees'!A:J,6,FALSE)</f>
        <v>1</v>
      </c>
      <c r="T204" s="87">
        <f>VLOOKUP(A:A,'Flat Bed &amp; Late Fees'!A:J,7,FALSE)</f>
        <v>0.25</v>
      </c>
      <c r="U204" s="68">
        <f>VLOOKUP(C204&amp;G204,OTR!E:J,6,FALSE)/88</f>
        <v>13.352272727272727</v>
      </c>
      <c r="V204" s="87"/>
      <c r="W204" s="68">
        <f t="shared" si="23"/>
        <v>14.602272727272727</v>
      </c>
      <c r="X204" s="69">
        <f>VLOOKUP(G204,COSTS!$Z$18:$AC$23,2,FALSE)</f>
        <v>2.7</v>
      </c>
      <c r="Y204" s="87">
        <f>VLOOKUP(G204,COSTS!$Z$18:$AC$23,4,FALSE)</f>
        <v>2.52</v>
      </c>
      <c r="Z204" s="69">
        <f>(COSTS!$W$3*COSTS!$W$4*500)/52*COSTS!$AE$17</f>
        <v>1.3125</v>
      </c>
      <c r="AB204" s="69">
        <f t="shared" si="24"/>
        <v>6.5325000000000006</v>
      </c>
      <c r="AC204" s="69">
        <f>VLOOKUP(G204,COSTS!$Z$11:$AE$14,5,FALSE)</f>
        <v>6.6477272727272725</v>
      </c>
      <c r="AD204" s="69">
        <f>VLOOKUP(G204,COSTS!$Z$4:$AD$7,4,FALSE)</f>
        <v>9.8977272727272734</v>
      </c>
      <c r="AE204" s="69"/>
      <c r="AF204" s="69">
        <f t="shared" si="25"/>
        <v>16.545454545454547</v>
      </c>
      <c r="AG204" s="87">
        <f>((COSTS!$C$5*88)/20)/88</f>
        <v>1.4407150000000002</v>
      </c>
      <c r="AH204" s="69">
        <f>(COSTS!$X$38/88)*20</f>
        <v>0.34865702479338845</v>
      </c>
      <c r="AI204" s="87">
        <f>((COSTS!$E$5*88)/20)/88</f>
        <v>0.62936587135988387</v>
      </c>
      <c r="AJ204" s="87">
        <f>((COSTS!$D$5*88)/20)/88</f>
        <v>0.33676</v>
      </c>
      <c r="AL204" s="387">
        <f t="shared" si="26"/>
        <v>2.7554978961532726</v>
      </c>
      <c r="AM204" s="69">
        <f>(COSTS!$W$3+0.1)*500*0.01</f>
        <v>3.9999999999999996</v>
      </c>
      <c r="AN204" s="387">
        <f>((COSTS!$G$5/20)*88)/88</f>
        <v>1.308904109589041</v>
      </c>
      <c r="AR204" s="69">
        <f t="shared" si="27"/>
        <v>5.3089041095890401</v>
      </c>
      <c r="AT204" s="1">
        <f>VLOOKUP(C204&amp;$AT$1,OTR!E:J,6,FALSE)/88</f>
        <v>17.536249999999999</v>
      </c>
      <c r="AU204" s="1" t="e">
        <f>VLOOKUP(C204&amp;$AU$1,OTR!E:J,6,FALSE)/88</f>
        <v>#N/A</v>
      </c>
    </row>
    <row r="205" spans="1:47">
      <c r="A205" s="125">
        <v>886509</v>
      </c>
      <c r="B205" s="1" t="s">
        <v>502</v>
      </c>
      <c r="C205" s="1" t="s">
        <v>500</v>
      </c>
      <c r="D205" s="1" t="s">
        <v>71</v>
      </c>
      <c r="E205" s="1" t="s">
        <v>2067</v>
      </c>
      <c r="F205" s="1" t="str">
        <f>VLOOKUP(A:A,'Regions and Ports'!A:F,6,FALSE)</f>
        <v>WTX</v>
      </c>
      <c r="G205" s="1" t="s">
        <v>439</v>
      </c>
      <c r="H205" s="87">
        <v>2</v>
      </c>
      <c r="I205" s="69">
        <f>VLOOKUP(A:A,'Seam Tariffs'!A:AB,9,FALSE)</f>
        <v>4.3499999999999996</v>
      </c>
      <c r="J205" s="69">
        <f>VLOOKUP(A:A,'Seam Tariffs'!A:AB,11,FALSE)</f>
        <v>5.75</v>
      </c>
      <c r="K205" s="69">
        <f>VLOOKUP(A:A,'Seam Tariffs'!A:AB,12,FALSE)</f>
        <v>11.25</v>
      </c>
      <c r="L205" s="69">
        <f>VLOOKUP(A:A,'Seam Tariffs'!A:AB,13,FALSE)</f>
        <v>0</v>
      </c>
      <c r="M205" s="69">
        <f>VLOOKUP(A:A,'Seam Tariffs'!A:AB,14,FALSE)</f>
        <v>0</v>
      </c>
      <c r="N205" s="69">
        <f>VLOOKUP(A:A,'Seam Tariffs'!A:AB,28,FALSE)</f>
        <v>2.25</v>
      </c>
      <c r="O205" s="69">
        <f>COSTS!$W$6</f>
        <v>1.8958333333333335</v>
      </c>
      <c r="P205" s="69">
        <f>VLOOKUP(G205,COSTS!$V$11:$X$14,3,FALSE)</f>
        <v>0</v>
      </c>
      <c r="Q205" s="69">
        <f t="shared" si="21"/>
        <v>25.495833333333334</v>
      </c>
      <c r="R205" s="69">
        <f t="shared" si="22"/>
        <v>15.395833333333334</v>
      </c>
      <c r="S205" s="87">
        <f>VLOOKUP(A:A,'Flat Bed &amp; Late Fees'!A:J,6,FALSE)</f>
        <v>1</v>
      </c>
      <c r="T205" s="87">
        <f>VLOOKUP(A:A,'Flat Bed &amp; Late Fees'!A:J,7,FALSE)</f>
        <v>0.25</v>
      </c>
      <c r="U205" s="68">
        <f>VLOOKUP(C205&amp;G205,OTR!E:J,6,FALSE)/88</f>
        <v>13.352272727272727</v>
      </c>
      <c r="V205" s="87"/>
      <c r="W205" s="68">
        <f t="shared" si="23"/>
        <v>14.602272727272727</v>
      </c>
      <c r="X205" s="69">
        <f>VLOOKUP(G205,COSTS!$Z$18:$AC$23,2,FALSE)</f>
        <v>2.7</v>
      </c>
      <c r="Y205" s="87">
        <f>VLOOKUP(G205,COSTS!$Z$18:$AC$23,4,FALSE)</f>
        <v>2.52</v>
      </c>
      <c r="Z205" s="69">
        <f>(COSTS!$W$3*COSTS!$W$4*500)/52*COSTS!$AE$17</f>
        <v>1.3125</v>
      </c>
      <c r="AB205" s="69">
        <f t="shared" si="24"/>
        <v>6.5325000000000006</v>
      </c>
      <c r="AC205" s="69">
        <f>VLOOKUP(G205,COSTS!$Z$11:$AE$14,5,FALSE)</f>
        <v>6.6477272727272725</v>
      </c>
      <c r="AD205" s="69">
        <f>VLOOKUP(G205,COSTS!$Z$4:$AD$7,4,FALSE)</f>
        <v>9.8977272727272734</v>
      </c>
      <c r="AE205" s="69"/>
      <c r="AF205" s="69">
        <f t="shared" si="25"/>
        <v>16.545454545454547</v>
      </c>
      <c r="AG205" s="87">
        <f>((COSTS!$C$5*88)/20)/88</f>
        <v>1.4407150000000002</v>
      </c>
      <c r="AH205" s="69">
        <f>(COSTS!$X$38/88)*20</f>
        <v>0.34865702479338845</v>
      </c>
      <c r="AI205" s="87">
        <f>((COSTS!$E$5*88)/20)/88</f>
        <v>0.62936587135988387</v>
      </c>
      <c r="AJ205" s="87">
        <f>((COSTS!$D$5*88)/20)/88</f>
        <v>0.33676</v>
      </c>
      <c r="AL205" s="387">
        <f t="shared" si="26"/>
        <v>2.7554978961532726</v>
      </c>
      <c r="AM205" s="69">
        <f>(COSTS!$W$3+0.1)*500*0.01</f>
        <v>3.9999999999999996</v>
      </c>
      <c r="AN205" s="387">
        <f>((COSTS!$G$5/20)*88)/88</f>
        <v>1.308904109589041</v>
      </c>
      <c r="AR205" s="69">
        <f t="shared" si="27"/>
        <v>5.3089041095890401</v>
      </c>
      <c r="AT205" s="1">
        <f>VLOOKUP(C205&amp;$AT$1,OTR!E:J,6,FALSE)/88</f>
        <v>17.536249999999999</v>
      </c>
      <c r="AU205" s="1" t="e">
        <f>VLOOKUP(C205&amp;$AU$1,OTR!E:J,6,FALSE)/88</f>
        <v>#N/A</v>
      </c>
    </row>
    <row r="206" spans="1:47">
      <c r="A206" s="125">
        <v>886512</v>
      </c>
      <c r="B206" s="1" t="s">
        <v>503</v>
      </c>
      <c r="C206" s="1" t="s">
        <v>500</v>
      </c>
      <c r="D206" s="1" t="s">
        <v>71</v>
      </c>
      <c r="E206" s="1" t="s">
        <v>2067</v>
      </c>
      <c r="F206" s="1" t="str">
        <f>VLOOKUP(A:A,'Regions and Ports'!A:F,6,FALSE)</f>
        <v>WTX</v>
      </c>
      <c r="G206" s="1" t="s">
        <v>439</v>
      </c>
      <c r="H206" s="87">
        <v>2</v>
      </c>
      <c r="I206" s="69">
        <f>VLOOKUP(A:A,'Seam Tariffs'!A:AB,9,FALSE)</f>
        <v>4.3499999999999996</v>
      </c>
      <c r="J206" s="69">
        <f>VLOOKUP(A:A,'Seam Tariffs'!A:AB,11,FALSE)</f>
        <v>5.75</v>
      </c>
      <c r="K206" s="69">
        <f>VLOOKUP(A:A,'Seam Tariffs'!A:AB,12,FALSE)</f>
        <v>11.25</v>
      </c>
      <c r="L206" s="69">
        <f>VLOOKUP(A:A,'Seam Tariffs'!A:AB,13,FALSE)</f>
        <v>0</v>
      </c>
      <c r="M206" s="69">
        <f>VLOOKUP(A:A,'Seam Tariffs'!A:AB,14,FALSE)</f>
        <v>0</v>
      </c>
      <c r="N206" s="69">
        <f>VLOOKUP(A:A,'Seam Tariffs'!A:AB,28,FALSE)</f>
        <v>2.25</v>
      </c>
      <c r="O206" s="69">
        <f>COSTS!$W$6</f>
        <v>1.8958333333333335</v>
      </c>
      <c r="P206" s="69">
        <f>VLOOKUP(G206,COSTS!$V$11:$X$14,3,FALSE)</f>
        <v>0</v>
      </c>
      <c r="Q206" s="69">
        <f t="shared" si="21"/>
        <v>25.495833333333334</v>
      </c>
      <c r="R206" s="69">
        <f t="shared" si="22"/>
        <v>15.395833333333334</v>
      </c>
      <c r="S206" s="87">
        <f>VLOOKUP(A:A,'Flat Bed &amp; Late Fees'!A:J,6,FALSE)</f>
        <v>1</v>
      </c>
      <c r="T206" s="87">
        <f>VLOOKUP(A:A,'Flat Bed &amp; Late Fees'!A:J,7,FALSE)</f>
        <v>0.25</v>
      </c>
      <c r="U206" s="68">
        <f>VLOOKUP(C206&amp;G206,OTR!E:J,6,FALSE)/88</f>
        <v>13.352272727272727</v>
      </c>
      <c r="V206" s="87"/>
      <c r="W206" s="68">
        <f t="shared" si="23"/>
        <v>14.602272727272727</v>
      </c>
      <c r="X206" s="69">
        <f>VLOOKUP(G206,COSTS!$Z$18:$AC$23,2,FALSE)</f>
        <v>2.7</v>
      </c>
      <c r="Y206" s="87">
        <f>VLOOKUP(G206,COSTS!$Z$18:$AC$23,4,FALSE)</f>
        <v>2.52</v>
      </c>
      <c r="Z206" s="69">
        <f>(COSTS!$W$3*COSTS!$W$4*500)/52*COSTS!$AE$17</f>
        <v>1.3125</v>
      </c>
      <c r="AB206" s="69">
        <f t="shared" si="24"/>
        <v>6.5325000000000006</v>
      </c>
      <c r="AC206" s="69">
        <f>VLOOKUP(G206,COSTS!$Z$11:$AE$14,5,FALSE)</f>
        <v>6.6477272727272725</v>
      </c>
      <c r="AD206" s="69">
        <f>VLOOKUP(G206,COSTS!$Z$4:$AD$7,4,FALSE)</f>
        <v>9.8977272727272734</v>
      </c>
      <c r="AE206" s="69"/>
      <c r="AF206" s="69">
        <f t="shared" si="25"/>
        <v>16.545454545454547</v>
      </c>
      <c r="AG206" s="87">
        <f>((COSTS!$C$5*88)/20)/88</f>
        <v>1.4407150000000002</v>
      </c>
      <c r="AH206" s="69">
        <f>(COSTS!$X$38/88)*20</f>
        <v>0.34865702479338845</v>
      </c>
      <c r="AI206" s="87">
        <f>((COSTS!$E$5*88)/20)/88</f>
        <v>0.62936587135988387</v>
      </c>
      <c r="AJ206" s="87">
        <f>((COSTS!$D$5*88)/20)/88</f>
        <v>0.33676</v>
      </c>
      <c r="AL206" s="387">
        <f t="shared" si="26"/>
        <v>2.7554978961532726</v>
      </c>
      <c r="AM206" s="69">
        <f>(COSTS!$W$3+0.1)*500*0.01</f>
        <v>3.9999999999999996</v>
      </c>
      <c r="AN206" s="387">
        <f>((COSTS!$G$5/20)*88)/88</f>
        <v>1.308904109589041</v>
      </c>
      <c r="AR206" s="69">
        <f t="shared" si="27"/>
        <v>5.3089041095890401</v>
      </c>
      <c r="AT206" s="1">
        <f>VLOOKUP(C206&amp;$AT$1,OTR!E:J,6,FALSE)/88</f>
        <v>17.536249999999999</v>
      </c>
      <c r="AU206" s="1" t="e">
        <f>VLOOKUP(C206&amp;$AU$1,OTR!E:J,6,FALSE)/88</f>
        <v>#N/A</v>
      </c>
    </row>
    <row r="207" spans="1:47">
      <c r="A207" s="125">
        <v>886517</v>
      </c>
      <c r="B207" s="1" t="s">
        <v>504</v>
      </c>
      <c r="C207" s="1" t="s">
        <v>500</v>
      </c>
      <c r="D207" s="1" t="s">
        <v>71</v>
      </c>
      <c r="E207" s="1" t="s">
        <v>2067</v>
      </c>
      <c r="F207" s="1" t="str">
        <f>VLOOKUP(A:A,'Regions and Ports'!A:F,6,FALSE)</f>
        <v>WTX</v>
      </c>
      <c r="G207" s="1" t="s">
        <v>439</v>
      </c>
      <c r="H207" s="87">
        <v>2</v>
      </c>
      <c r="I207" s="69">
        <f>VLOOKUP(A:A,'Seam Tariffs'!A:AB,9,FALSE)</f>
        <v>4.3499999999999996</v>
      </c>
      <c r="J207" s="69">
        <f>VLOOKUP(A:A,'Seam Tariffs'!A:AB,11,FALSE)</f>
        <v>5.75</v>
      </c>
      <c r="K207" s="69">
        <f>VLOOKUP(A:A,'Seam Tariffs'!A:AB,12,FALSE)</f>
        <v>11.25</v>
      </c>
      <c r="L207" s="69">
        <f>VLOOKUP(A:A,'Seam Tariffs'!A:AB,13,FALSE)</f>
        <v>0</v>
      </c>
      <c r="M207" s="69">
        <f>VLOOKUP(A:A,'Seam Tariffs'!A:AB,14,FALSE)</f>
        <v>0</v>
      </c>
      <c r="N207" s="69">
        <f>VLOOKUP(A:A,'Seam Tariffs'!A:AB,28,FALSE)</f>
        <v>2.25</v>
      </c>
      <c r="O207" s="69">
        <f>COSTS!$W$6</f>
        <v>1.8958333333333335</v>
      </c>
      <c r="P207" s="69">
        <f>VLOOKUP(G207,COSTS!$V$11:$X$14,3,FALSE)</f>
        <v>0</v>
      </c>
      <c r="Q207" s="69">
        <f t="shared" si="21"/>
        <v>25.495833333333334</v>
      </c>
      <c r="R207" s="69">
        <f t="shared" si="22"/>
        <v>15.395833333333334</v>
      </c>
      <c r="S207" s="87">
        <f>VLOOKUP(A:A,'Flat Bed &amp; Late Fees'!A:J,6,FALSE)</f>
        <v>1</v>
      </c>
      <c r="T207" s="87">
        <f>VLOOKUP(A:A,'Flat Bed &amp; Late Fees'!A:J,7,FALSE)</f>
        <v>0.25</v>
      </c>
      <c r="U207" s="68">
        <f>VLOOKUP(C207&amp;G207,OTR!E:J,6,FALSE)/88</f>
        <v>13.352272727272727</v>
      </c>
      <c r="V207" s="87"/>
      <c r="W207" s="68">
        <f t="shared" si="23"/>
        <v>14.602272727272727</v>
      </c>
      <c r="X207" s="69">
        <f>VLOOKUP(G207,COSTS!$Z$18:$AC$23,2,FALSE)</f>
        <v>2.7</v>
      </c>
      <c r="Y207" s="87">
        <f>VLOOKUP(G207,COSTS!$Z$18:$AC$23,4,FALSE)</f>
        <v>2.52</v>
      </c>
      <c r="Z207" s="69">
        <f>(COSTS!$W$3*COSTS!$W$4*500)/52*COSTS!$AE$17</f>
        <v>1.3125</v>
      </c>
      <c r="AB207" s="69">
        <f t="shared" si="24"/>
        <v>6.5325000000000006</v>
      </c>
      <c r="AC207" s="69">
        <f>VLOOKUP(G207,COSTS!$Z$11:$AE$14,5,FALSE)</f>
        <v>6.6477272727272725</v>
      </c>
      <c r="AD207" s="69">
        <f>VLOOKUP(G207,COSTS!$Z$4:$AD$7,4,FALSE)</f>
        <v>9.8977272727272734</v>
      </c>
      <c r="AE207" s="69"/>
      <c r="AF207" s="69">
        <f t="shared" si="25"/>
        <v>16.545454545454547</v>
      </c>
      <c r="AG207" s="87">
        <f>((COSTS!$C$5*88)/20)/88</f>
        <v>1.4407150000000002</v>
      </c>
      <c r="AH207" s="69">
        <f>(COSTS!$X$38/88)*20</f>
        <v>0.34865702479338845</v>
      </c>
      <c r="AI207" s="87">
        <f>((COSTS!$E$5*88)/20)/88</f>
        <v>0.62936587135988387</v>
      </c>
      <c r="AJ207" s="87">
        <f>((COSTS!$D$5*88)/20)/88</f>
        <v>0.33676</v>
      </c>
      <c r="AL207" s="387">
        <f t="shared" si="26"/>
        <v>2.7554978961532726</v>
      </c>
      <c r="AM207" s="69">
        <f>(COSTS!$W$3+0.1)*500*0.01</f>
        <v>3.9999999999999996</v>
      </c>
      <c r="AN207" s="387">
        <f>((COSTS!$G$5/20)*88)/88</f>
        <v>1.308904109589041</v>
      </c>
      <c r="AR207" s="69">
        <f t="shared" si="27"/>
        <v>5.3089041095890401</v>
      </c>
      <c r="AT207" s="1">
        <f>VLOOKUP(C207&amp;$AT$1,OTR!E:J,6,FALSE)/88</f>
        <v>17.536249999999999</v>
      </c>
      <c r="AU207" s="1" t="e">
        <f>VLOOKUP(C207&amp;$AU$1,OTR!E:J,6,FALSE)/88</f>
        <v>#N/A</v>
      </c>
    </row>
    <row r="208" spans="1:47">
      <c r="A208" s="125">
        <v>886520</v>
      </c>
      <c r="B208" s="1" t="s">
        <v>505</v>
      </c>
      <c r="C208" s="1" t="s">
        <v>500</v>
      </c>
      <c r="D208" s="1" t="s">
        <v>71</v>
      </c>
      <c r="E208" s="1" t="s">
        <v>2067</v>
      </c>
      <c r="F208" s="1" t="str">
        <f>VLOOKUP(A:A,'Regions and Ports'!A:F,6,FALSE)</f>
        <v>WTX</v>
      </c>
      <c r="G208" s="1" t="s">
        <v>439</v>
      </c>
      <c r="H208" s="87">
        <v>2</v>
      </c>
      <c r="I208" s="69">
        <f>VLOOKUP(A:A,'Seam Tariffs'!A:AB,9,FALSE)</f>
        <v>4.3499999999999996</v>
      </c>
      <c r="J208" s="69">
        <f>VLOOKUP(A:A,'Seam Tariffs'!A:AB,11,FALSE)</f>
        <v>5.75</v>
      </c>
      <c r="K208" s="69">
        <f>VLOOKUP(A:A,'Seam Tariffs'!A:AB,12,FALSE)</f>
        <v>11.25</v>
      </c>
      <c r="L208" s="69">
        <f>VLOOKUP(A:A,'Seam Tariffs'!A:AB,13,FALSE)</f>
        <v>0</v>
      </c>
      <c r="M208" s="69">
        <f>VLOOKUP(A:A,'Seam Tariffs'!A:AB,14,FALSE)</f>
        <v>0</v>
      </c>
      <c r="N208" s="69">
        <f>VLOOKUP(A:A,'Seam Tariffs'!A:AB,28,FALSE)</f>
        <v>2.25</v>
      </c>
      <c r="O208" s="69">
        <f>COSTS!$W$6</f>
        <v>1.8958333333333335</v>
      </c>
      <c r="P208" s="69">
        <f>VLOOKUP(G208,COSTS!$V$11:$X$14,3,FALSE)</f>
        <v>0</v>
      </c>
      <c r="Q208" s="69">
        <f t="shared" si="21"/>
        <v>25.495833333333334</v>
      </c>
      <c r="R208" s="69">
        <f t="shared" si="22"/>
        <v>15.395833333333334</v>
      </c>
      <c r="S208" s="87">
        <f>VLOOKUP(A:A,'Flat Bed &amp; Late Fees'!A:J,6,FALSE)</f>
        <v>1</v>
      </c>
      <c r="T208" s="87">
        <f>VLOOKUP(A:A,'Flat Bed &amp; Late Fees'!A:J,7,FALSE)</f>
        <v>0.25</v>
      </c>
      <c r="U208" s="68">
        <f>VLOOKUP(C208&amp;G208,OTR!E:J,6,FALSE)/88</f>
        <v>13.352272727272727</v>
      </c>
      <c r="V208" s="87"/>
      <c r="W208" s="68">
        <f t="shared" si="23"/>
        <v>14.602272727272727</v>
      </c>
      <c r="X208" s="69">
        <f>VLOOKUP(G208,COSTS!$Z$18:$AC$23,2,FALSE)</f>
        <v>2.7</v>
      </c>
      <c r="Y208" s="87">
        <f>VLOOKUP(G208,COSTS!$Z$18:$AC$23,4,FALSE)</f>
        <v>2.52</v>
      </c>
      <c r="Z208" s="69">
        <f>(COSTS!$W$3*COSTS!$W$4*500)/52*COSTS!$AE$17</f>
        <v>1.3125</v>
      </c>
      <c r="AB208" s="69">
        <f t="shared" si="24"/>
        <v>6.5325000000000006</v>
      </c>
      <c r="AC208" s="69">
        <f>VLOOKUP(G208,COSTS!$Z$11:$AE$14,5,FALSE)</f>
        <v>6.6477272727272725</v>
      </c>
      <c r="AD208" s="69">
        <f>VLOOKUP(G208,COSTS!$Z$4:$AD$7,4,FALSE)</f>
        <v>9.8977272727272734</v>
      </c>
      <c r="AE208" s="69"/>
      <c r="AF208" s="69">
        <f t="shared" si="25"/>
        <v>16.545454545454547</v>
      </c>
      <c r="AG208" s="87">
        <f>((COSTS!$C$5*88)/20)/88</f>
        <v>1.4407150000000002</v>
      </c>
      <c r="AH208" s="69">
        <f>(COSTS!$X$38/88)*20</f>
        <v>0.34865702479338845</v>
      </c>
      <c r="AI208" s="87">
        <f>((COSTS!$E$5*88)/20)/88</f>
        <v>0.62936587135988387</v>
      </c>
      <c r="AJ208" s="87">
        <f>((COSTS!$D$5*88)/20)/88</f>
        <v>0.33676</v>
      </c>
      <c r="AL208" s="387">
        <f t="shared" si="26"/>
        <v>2.7554978961532726</v>
      </c>
      <c r="AM208" s="69">
        <f>(COSTS!$W$3+0.1)*500*0.01</f>
        <v>3.9999999999999996</v>
      </c>
      <c r="AN208" s="387">
        <f>((COSTS!$G$5/20)*88)/88</f>
        <v>1.308904109589041</v>
      </c>
      <c r="AR208" s="69">
        <f t="shared" si="27"/>
        <v>5.3089041095890401</v>
      </c>
      <c r="AT208" s="1">
        <f>VLOOKUP(C208&amp;$AT$1,OTR!E:J,6,FALSE)/88</f>
        <v>17.536249999999999</v>
      </c>
      <c r="AU208" s="1" t="e">
        <f>VLOOKUP(C208&amp;$AU$1,OTR!E:J,6,FALSE)/88</f>
        <v>#N/A</v>
      </c>
    </row>
    <row r="209" spans="1:47">
      <c r="A209" s="125">
        <v>886533</v>
      </c>
      <c r="B209" s="1" t="s">
        <v>506</v>
      </c>
      <c r="C209" s="1" t="s">
        <v>500</v>
      </c>
      <c r="D209" s="1" t="s">
        <v>71</v>
      </c>
      <c r="E209" s="1" t="s">
        <v>2067</v>
      </c>
      <c r="F209" s="1" t="str">
        <f>VLOOKUP(A:A,'Regions and Ports'!A:F,6,FALSE)</f>
        <v>WTX</v>
      </c>
      <c r="G209" s="1" t="s">
        <v>439</v>
      </c>
      <c r="H209" s="87">
        <v>2</v>
      </c>
      <c r="I209" s="69">
        <f>VLOOKUP(A:A,'Seam Tariffs'!A:AB,9,FALSE)</f>
        <v>4.75</v>
      </c>
      <c r="J209" s="69">
        <f>VLOOKUP(A:A,'Seam Tariffs'!A:AB,11,FALSE)</f>
        <v>5.45</v>
      </c>
      <c r="K209" s="69">
        <f>VLOOKUP(A:A,'Seam Tariffs'!A:AB,12,FALSE)</f>
        <v>9.75</v>
      </c>
      <c r="L209" s="69">
        <f>VLOOKUP(A:A,'Seam Tariffs'!A:AB,13,FALSE)</f>
        <v>0</v>
      </c>
      <c r="M209" s="69">
        <f>VLOOKUP(A:A,'Seam Tariffs'!A:AB,14,FALSE)</f>
        <v>1</v>
      </c>
      <c r="N209" s="69">
        <f>VLOOKUP(A:A,'Seam Tariffs'!A:AB,28,FALSE)</f>
        <v>2.4</v>
      </c>
      <c r="O209" s="69">
        <f>COSTS!$W$6</f>
        <v>1.8958333333333335</v>
      </c>
      <c r="P209" s="69">
        <f>VLOOKUP(G209,COSTS!$V$11:$X$14,3,FALSE)</f>
        <v>0</v>
      </c>
      <c r="Q209" s="69">
        <f t="shared" si="21"/>
        <v>25.24583333333333</v>
      </c>
      <c r="R209" s="69">
        <f t="shared" si="22"/>
        <v>14.045833333333334</v>
      </c>
      <c r="S209" s="87">
        <f>VLOOKUP(A:A,'Flat Bed &amp; Late Fees'!A:J,6,FALSE)</f>
        <v>0</v>
      </c>
      <c r="T209" s="87">
        <f>VLOOKUP(A:A,'Flat Bed &amp; Late Fees'!A:J,7,FALSE)</f>
        <v>0</v>
      </c>
      <c r="U209" s="68">
        <f>VLOOKUP(C209&amp;G209,OTR!E:J,6,FALSE)/88</f>
        <v>13.352272727272727</v>
      </c>
      <c r="V209" s="87"/>
      <c r="W209" s="68">
        <f t="shared" si="23"/>
        <v>13.352272727272727</v>
      </c>
      <c r="X209" s="69">
        <f>VLOOKUP(G209,COSTS!$Z$18:$AC$23,2,FALSE)</f>
        <v>2.7</v>
      </c>
      <c r="Y209" s="87">
        <f>VLOOKUP(G209,COSTS!$Z$18:$AC$23,4,FALSE)</f>
        <v>2.52</v>
      </c>
      <c r="Z209" s="69">
        <f>(COSTS!$W$3*COSTS!$W$4*500)/52*COSTS!$AE$17</f>
        <v>1.3125</v>
      </c>
      <c r="AB209" s="69">
        <f t="shared" si="24"/>
        <v>6.5325000000000006</v>
      </c>
      <c r="AC209" s="69">
        <f>VLOOKUP(G209,COSTS!$Z$11:$AE$14,5,FALSE)</f>
        <v>6.6477272727272725</v>
      </c>
      <c r="AD209" s="69">
        <f>VLOOKUP(G209,COSTS!$Z$4:$AD$7,4,FALSE)</f>
        <v>9.8977272727272734</v>
      </c>
      <c r="AE209" s="69"/>
      <c r="AF209" s="69">
        <f t="shared" si="25"/>
        <v>16.545454545454547</v>
      </c>
      <c r="AG209" s="87">
        <f>((COSTS!$C$5*88)/20)/88</f>
        <v>1.4407150000000002</v>
      </c>
      <c r="AH209" s="69">
        <f>(COSTS!$X$38/88)*20</f>
        <v>0.34865702479338845</v>
      </c>
      <c r="AI209" s="87">
        <f>((COSTS!$E$5*88)/20)/88</f>
        <v>0.62936587135988387</v>
      </c>
      <c r="AJ209" s="87">
        <f>((COSTS!$D$5*88)/20)/88</f>
        <v>0.33676</v>
      </c>
      <c r="AL209" s="387">
        <f t="shared" si="26"/>
        <v>2.7554978961532726</v>
      </c>
      <c r="AM209" s="69">
        <f>(COSTS!$W$3+0.1)*500*0.01</f>
        <v>3.9999999999999996</v>
      </c>
      <c r="AN209" s="387">
        <f>((COSTS!$G$5/20)*88)/88</f>
        <v>1.308904109589041</v>
      </c>
      <c r="AR209" s="69">
        <f t="shared" si="27"/>
        <v>5.3089041095890401</v>
      </c>
      <c r="AT209" s="1">
        <f>VLOOKUP(C209&amp;$AT$1,OTR!E:J,6,FALSE)/88</f>
        <v>17.536249999999999</v>
      </c>
      <c r="AU209" s="1" t="e">
        <f>VLOOKUP(C209&amp;$AU$1,OTR!E:J,6,FALSE)/88</f>
        <v>#N/A</v>
      </c>
    </row>
    <row r="210" spans="1:47">
      <c r="A210" s="125">
        <v>886570</v>
      </c>
      <c r="B210" s="1" t="s">
        <v>507</v>
      </c>
      <c r="C210" s="1" t="s">
        <v>500</v>
      </c>
      <c r="D210" s="1" t="s">
        <v>71</v>
      </c>
      <c r="E210" s="1" t="s">
        <v>2067</v>
      </c>
      <c r="F210" s="1" t="str">
        <f>VLOOKUP(A:A,'Regions and Ports'!A:F,6,FALSE)</f>
        <v>WTX</v>
      </c>
      <c r="G210" s="1" t="s">
        <v>439</v>
      </c>
      <c r="H210" s="87">
        <v>2</v>
      </c>
      <c r="I210" s="69">
        <f>VLOOKUP(A:A,'Seam Tariffs'!A:AB,9,FALSE)</f>
        <v>4.0999999999999996</v>
      </c>
      <c r="J210" s="69">
        <f>VLOOKUP(A:A,'Seam Tariffs'!A:AB,11,FALSE)</f>
        <v>5</v>
      </c>
      <c r="K210" s="69">
        <f>VLOOKUP(A:A,'Seam Tariffs'!A:AB,12,FALSE)</f>
        <v>11.25</v>
      </c>
      <c r="L210" s="69">
        <f>VLOOKUP(A:A,'Seam Tariffs'!A:AB,13,FALSE)</f>
        <v>0</v>
      </c>
      <c r="M210" s="69">
        <f>VLOOKUP(A:A,'Seam Tariffs'!A:AB,14,FALSE)</f>
        <v>0.5</v>
      </c>
      <c r="N210" s="69">
        <f>VLOOKUP(A:A,'Seam Tariffs'!A:AB,28,FALSE)</f>
        <v>2.4</v>
      </c>
      <c r="O210" s="69">
        <f>COSTS!$W$6</f>
        <v>1.8958333333333335</v>
      </c>
      <c r="P210" s="69">
        <f>VLOOKUP(G210,COSTS!$V$11:$X$14,3,FALSE)</f>
        <v>0</v>
      </c>
      <c r="Q210" s="69">
        <f t="shared" si="21"/>
        <v>25.145833333333332</v>
      </c>
      <c r="R210" s="69">
        <f t="shared" si="22"/>
        <v>15.545833333333334</v>
      </c>
      <c r="S210" s="87">
        <f>VLOOKUP(A:A,'Flat Bed &amp; Late Fees'!A:J,6,FALSE)</f>
        <v>0</v>
      </c>
      <c r="T210" s="87">
        <f>VLOOKUP(A:A,'Flat Bed &amp; Late Fees'!A:J,7,FALSE)</f>
        <v>0</v>
      </c>
      <c r="U210" s="68">
        <f>VLOOKUP(C210&amp;G210,OTR!E:J,6,FALSE)/88</f>
        <v>13.352272727272727</v>
      </c>
      <c r="V210" s="87"/>
      <c r="W210" s="68">
        <f t="shared" si="23"/>
        <v>13.352272727272727</v>
      </c>
      <c r="X210" s="69">
        <f>VLOOKUP(G210,COSTS!$Z$18:$AC$23,2,FALSE)</f>
        <v>2.7</v>
      </c>
      <c r="Y210" s="87">
        <f>VLOOKUP(G210,COSTS!$Z$18:$AC$23,4,FALSE)</f>
        <v>2.52</v>
      </c>
      <c r="Z210" s="69">
        <f>(COSTS!$W$3*COSTS!$W$4*500)/52*COSTS!$AE$17</f>
        <v>1.3125</v>
      </c>
      <c r="AB210" s="69">
        <f t="shared" si="24"/>
        <v>6.5325000000000006</v>
      </c>
      <c r="AC210" s="69">
        <f>VLOOKUP(G210,COSTS!$Z$11:$AE$14,5,FALSE)</f>
        <v>6.6477272727272725</v>
      </c>
      <c r="AD210" s="69">
        <f>VLOOKUP(G210,COSTS!$Z$4:$AD$7,4,FALSE)</f>
        <v>9.8977272727272734</v>
      </c>
      <c r="AE210" s="69"/>
      <c r="AF210" s="69">
        <f t="shared" si="25"/>
        <v>16.545454545454547</v>
      </c>
      <c r="AG210" s="87">
        <f>((COSTS!$C$5*88)/20)/88</f>
        <v>1.4407150000000002</v>
      </c>
      <c r="AH210" s="69">
        <f>(COSTS!$X$38/88)*20</f>
        <v>0.34865702479338845</v>
      </c>
      <c r="AI210" s="87">
        <f>((COSTS!$E$5*88)/20)/88</f>
        <v>0.62936587135988387</v>
      </c>
      <c r="AJ210" s="87">
        <f>((COSTS!$D$5*88)/20)/88</f>
        <v>0.33676</v>
      </c>
      <c r="AL210" s="387">
        <f t="shared" si="26"/>
        <v>2.7554978961532726</v>
      </c>
      <c r="AM210" s="69">
        <f>(COSTS!$W$3+0.1)*500*0.01</f>
        <v>3.9999999999999996</v>
      </c>
      <c r="AN210" s="387">
        <f>((COSTS!$G$5/20)*88)/88</f>
        <v>1.308904109589041</v>
      </c>
      <c r="AR210" s="69">
        <f t="shared" si="27"/>
        <v>5.3089041095890401</v>
      </c>
      <c r="AT210" s="1">
        <f>VLOOKUP(C210&amp;$AT$1,OTR!E:J,6,FALSE)/88</f>
        <v>17.536249999999999</v>
      </c>
      <c r="AU210" s="1" t="e">
        <f>VLOOKUP(C210&amp;$AU$1,OTR!E:J,6,FALSE)/88</f>
        <v>#N/A</v>
      </c>
    </row>
    <row r="211" spans="1:47">
      <c r="A211" s="1">
        <v>582003</v>
      </c>
      <c r="B211" s="1" t="s">
        <v>195</v>
      </c>
      <c r="C211" s="1" t="s">
        <v>508</v>
      </c>
      <c r="D211" s="1" t="s">
        <v>136</v>
      </c>
      <c r="E211" s="1" t="str">
        <f>VLOOKUP(A:A,'Regions and Ports'!A:G,5,FALSE)</f>
        <v>Eastern Rule 5</v>
      </c>
      <c r="F211" s="1" t="str">
        <f>VLOOKUP(A:A,'Regions and Ports'!A:F,6,FALSE)</f>
        <v>ER5</v>
      </c>
      <c r="G211" s="1" t="str">
        <f>VLOOKUP(A:A,'Regions and Ports'!A:G,7,FALSE)</f>
        <v>Savannah</v>
      </c>
      <c r="H211" s="87">
        <v>1</v>
      </c>
      <c r="I211" s="69">
        <f>VLOOKUP(A:A,'Seam Tariffs'!A:AB,9,FALSE)</f>
        <v>3.75</v>
      </c>
      <c r="J211" s="69">
        <f>VLOOKUP(A:A,'Seam Tariffs'!A:AB,11,FALSE)</f>
        <v>4.25</v>
      </c>
      <c r="K211" s="69">
        <f>VLOOKUP(A:A,'Seam Tariffs'!A:AB,12,FALSE)</f>
        <v>0</v>
      </c>
      <c r="L211" s="69">
        <f>VLOOKUP(A:A,'Seam Tariffs'!A:AB,13,FALSE)</f>
        <v>0</v>
      </c>
      <c r="M211" s="69">
        <f>VLOOKUP(A:A,'Seam Tariffs'!A:AB,14,FALSE)</f>
        <v>0.25</v>
      </c>
      <c r="N211" s="69">
        <f>VLOOKUP(A:A,'Seam Tariffs'!A:AB,28,FALSE)</f>
        <v>2.5</v>
      </c>
      <c r="O211" s="69">
        <f>COSTS!$W$6</f>
        <v>1.8958333333333335</v>
      </c>
      <c r="P211" s="69">
        <f>VLOOKUP(G211,COSTS!$V$11:$X$14,3,FALSE)</f>
        <v>0</v>
      </c>
      <c r="Q211" s="69">
        <f t="shared" si="21"/>
        <v>12.645833333333334</v>
      </c>
      <c r="R211" s="69">
        <f t="shared" si="22"/>
        <v>4.3958333333333339</v>
      </c>
      <c r="S211" s="87">
        <f>VLOOKUP(A:A,'Flat Bed &amp; Late Fees'!A:J,6,FALSE)</f>
        <v>0</v>
      </c>
      <c r="T211" s="87">
        <f>VLOOKUP(A:A,'Flat Bed &amp; Late Fees'!A:J,7,FALSE)</f>
        <v>0</v>
      </c>
      <c r="U211" s="68">
        <f>VLOOKUP(C211&amp;G211,OTR!E:J,6,FALSE)/88</f>
        <v>11.064431818181818</v>
      </c>
      <c r="V211" s="87"/>
      <c r="W211" s="68">
        <f t="shared" si="23"/>
        <v>11.064431818181818</v>
      </c>
      <c r="X211" s="69">
        <f>VLOOKUP(G211,COSTS!$Z$18:$AC$23,2,FALSE)</f>
        <v>2.6</v>
      </c>
      <c r="Y211" s="87">
        <f>VLOOKUP(G211,COSTS!$Z$18:$AC$23,4,FALSE)</f>
        <v>2.52</v>
      </c>
      <c r="Z211" s="69">
        <f>(COSTS!$W$3*COSTS!$W$4*500)/52*COSTS!$AE$17</f>
        <v>1.3125</v>
      </c>
      <c r="AB211" s="69">
        <f t="shared" si="24"/>
        <v>6.4325000000000001</v>
      </c>
      <c r="AC211" s="69">
        <f>VLOOKUP(G211,COSTS!$Z$11:$AE$14,5,FALSE)</f>
        <v>5.5113636363636367</v>
      </c>
      <c r="AD211" s="69">
        <f>VLOOKUP(G211,COSTS!$Z$4:$AD$7,4,FALSE)</f>
        <v>5.3522727272727275</v>
      </c>
      <c r="AE211" s="69"/>
      <c r="AF211" s="69">
        <f t="shared" si="25"/>
        <v>10.863636363636363</v>
      </c>
      <c r="AG211" s="87">
        <f>((COSTS!$C$5*88)/20)/88</f>
        <v>1.4407150000000002</v>
      </c>
      <c r="AH211" s="69">
        <f>(COSTS!$X$38/88)*20</f>
        <v>0.34865702479338845</v>
      </c>
      <c r="AI211" s="87">
        <f>((COSTS!$E$5*88)/20)/88</f>
        <v>0.62936587135988387</v>
      </c>
      <c r="AJ211" s="87">
        <f>((COSTS!$D$5*88)/20)/88</f>
        <v>0.33676</v>
      </c>
      <c r="AL211" s="387">
        <f t="shared" si="26"/>
        <v>2.7554978961532726</v>
      </c>
      <c r="AM211" s="69">
        <f>(COSTS!$W$3+0.1)*500*0.01</f>
        <v>3.9999999999999996</v>
      </c>
      <c r="AN211" s="387">
        <f>((COSTS!$G$5/20)*88)/88</f>
        <v>1.308904109589041</v>
      </c>
      <c r="AR211" s="69">
        <f t="shared" si="27"/>
        <v>5.3089041095890401</v>
      </c>
      <c r="AT211" s="1" t="e">
        <f>VLOOKUP(C211&amp;$AT$1,OTR!E:J,6,FALSE)/88</f>
        <v>#N/A</v>
      </c>
      <c r="AU211" s="1">
        <f>VLOOKUP(C211&amp;$AU$1,OTR!E:J,6,FALSE)/88</f>
        <v>9.517045454545455</v>
      </c>
    </row>
    <row r="212" spans="1:47">
      <c r="A212" s="1">
        <v>304553</v>
      </c>
      <c r="B212" s="1" t="s">
        <v>510</v>
      </c>
      <c r="C212" s="1" t="s">
        <v>511</v>
      </c>
      <c r="D212" s="1" t="s">
        <v>76</v>
      </c>
      <c r="E212" s="1" t="str">
        <f>VLOOKUP(A:A,'Regions and Ports'!A:G,5,FALSE)</f>
        <v>GA 30 Day</v>
      </c>
      <c r="F212" s="1" t="str">
        <f>VLOOKUP(A:A,'Regions and Ports'!A:F,6,FALSE)</f>
        <v>ER5</v>
      </c>
      <c r="G212" s="1" t="str">
        <f>VLOOKUP(A:A,'Regions and Ports'!A:G,7,FALSE)</f>
        <v>Savannah</v>
      </c>
      <c r="H212" s="87">
        <v>4</v>
      </c>
      <c r="I212" s="69">
        <f>VLOOKUP(A:A,'Seam Tariffs'!A:AB,9,FALSE)</f>
        <v>3.5</v>
      </c>
      <c r="J212" s="69">
        <f>VLOOKUP(A:A,'Seam Tariffs'!A:AB,11,FALSE)</f>
        <v>5.25</v>
      </c>
      <c r="K212" s="69">
        <f>VLOOKUP(A:A,'Seam Tariffs'!A:AB,12,FALSE)</f>
        <v>0</v>
      </c>
      <c r="L212" s="69">
        <f>VLOOKUP(A:A,'Seam Tariffs'!A:AB,13,FALSE)</f>
        <v>0</v>
      </c>
      <c r="M212" s="69">
        <f>VLOOKUP(A:A,'Seam Tariffs'!A:AB,14,FALSE)</f>
        <v>0</v>
      </c>
      <c r="N212" s="69">
        <f>VLOOKUP(A:A,'Seam Tariffs'!A:AB,28,FALSE)</f>
        <v>2.25</v>
      </c>
      <c r="O212" s="69">
        <f>COSTS!$W$6</f>
        <v>1.8958333333333335</v>
      </c>
      <c r="P212" s="69">
        <f>VLOOKUP(G212,COSTS!$V$11:$X$14,3,FALSE)</f>
        <v>0</v>
      </c>
      <c r="Q212" s="69">
        <f t="shared" si="21"/>
        <v>12.895833333333334</v>
      </c>
      <c r="R212" s="69">
        <f t="shared" si="22"/>
        <v>1.8958333333333335</v>
      </c>
      <c r="S212" s="87">
        <f>VLOOKUP(A:A,'Flat Bed &amp; Late Fees'!A:J,6,FALSE)</f>
        <v>0</v>
      </c>
      <c r="T212" s="87">
        <f>VLOOKUP(A:A,'Flat Bed &amp; Late Fees'!A:J,7,FALSE)</f>
        <v>0</v>
      </c>
      <c r="U212" s="68">
        <f>VLOOKUP(C212&amp;G212,OTR!E:J,6,FALSE)/88</f>
        <v>11.573181818181819</v>
      </c>
      <c r="V212" s="87"/>
      <c r="W212" s="68">
        <f t="shared" si="23"/>
        <v>11.573181818181819</v>
      </c>
      <c r="X212" s="69">
        <f>VLOOKUP(G212,COSTS!$Z$18:$AC$23,2,FALSE)</f>
        <v>2.6</v>
      </c>
      <c r="Y212" s="87">
        <f>VLOOKUP(G212,COSTS!$Z$18:$AC$23,4,FALSE)</f>
        <v>2.52</v>
      </c>
      <c r="Z212" s="69">
        <f>(COSTS!$W$3*COSTS!$W$4*500)/52*COSTS!$AE$17</f>
        <v>1.3125</v>
      </c>
      <c r="AB212" s="69">
        <f t="shared" si="24"/>
        <v>6.4325000000000001</v>
      </c>
      <c r="AC212" s="69">
        <f>VLOOKUP(G212,COSTS!$Z$11:$AE$14,5,FALSE)</f>
        <v>5.5113636363636367</v>
      </c>
      <c r="AD212" s="69">
        <f>VLOOKUP(G212,COSTS!$Z$4:$AD$7,4,FALSE)</f>
        <v>5.3522727272727275</v>
      </c>
      <c r="AE212" s="69"/>
      <c r="AF212" s="69">
        <f t="shared" si="25"/>
        <v>10.863636363636363</v>
      </c>
      <c r="AG212" s="87">
        <f>((COSTS!$C$5*88)/20)/88</f>
        <v>1.4407150000000002</v>
      </c>
      <c r="AH212" s="69">
        <f>(COSTS!$X$38/88)*20</f>
        <v>0.34865702479338845</v>
      </c>
      <c r="AI212" s="87">
        <f>((COSTS!$E$5*88)/20)/88</f>
        <v>0.62936587135988387</v>
      </c>
      <c r="AJ212" s="87">
        <f>((COSTS!$D$5*88)/20)/88</f>
        <v>0.33676</v>
      </c>
      <c r="AL212" s="387">
        <f t="shared" si="26"/>
        <v>2.7554978961532726</v>
      </c>
      <c r="AM212" s="69">
        <f>(COSTS!$W$3+0.1)*500*0.01</f>
        <v>3.9999999999999996</v>
      </c>
      <c r="AN212" s="387">
        <f>((COSTS!$G$5/20)*88)/88</f>
        <v>1.308904109589041</v>
      </c>
      <c r="AR212" s="69">
        <f t="shared" si="27"/>
        <v>5.3089041095890401</v>
      </c>
      <c r="AT212" s="1" t="e">
        <f>VLOOKUP(C212&amp;$AT$1,OTR!E:J,6,FALSE)/88</f>
        <v>#N/A</v>
      </c>
      <c r="AU212" s="1">
        <f>VLOOKUP(C212&amp;$AU$1,OTR!E:J,6,FALSE)/88</f>
        <v>11.221590909090908</v>
      </c>
    </row>
    <row r="213" spans="1:47">
      <c r="A213" s="1">
        <v>517813</v>
      </c>
      <c r="B213" s="1" t="s">
        <v>512</v>
      </c>
      <c r="C213" s="1" t="s">
        <v>513</v>
      </c>
      <c r="D213" s="1" t="s">
        <v>190</v>
      </c>
      <c r="E213" s="1" t="str">
        <f>VLOOKUP(A:A,'Regions and Ports'!A:G,5,FALSE)</f>
        <v>Memphis Rule 5</v>
      </c>
      <c r="F213" s="1" t="str">
        <f>VLOOKUP(A:A,'Regions and Ports'!A:F,6,FALSE)</f>
        <v>MR5</v>
      </c>
      <c r="G213" s="1" t="str">
        <f>VLOOKUP(A:A,'Regions and Ports'!A:G,7,FALSE)</f>
        <v>Memphis</v>
      </c>
      <c r="H213" s="87">
        <v>1</v>
      </c>
      <c r="I213" s="69">
        <f>VLOOKUP(A:A,'Seam Tariffs'!A:AB,9,FALSE)</f>
        <v>0</v>
      </c>
      <c r="J213" s="69">
        <f>VLOOKUP(A:A,'Seam Tariffs'!A:AB,11,FALSE)</f>
        <v>19.75</v>
      </c>
      <c r="K213" s="69">
        <f>VLOOKUP(A:A,'Seam Tariffs'!A:AB,12,FALSE)</f>
        <v>0</v>
      </c>
      <c r="L213" s="69">
        <f>VLOOKUP(A:A,'Seam Tariffs'!A:AB,13,FALSE)</f>
        <v>0</v>
      </c>
      <c r="M213" s="69">
        <f>VLOOKUP(A:A,'Seam Tariffs'!A:AB,14,FALSE)</f>
        <v>0</v>
      </c>
      <c r="N213" s="69">
        <f>VLOOKUP(A:A,'Seam Tariffs'!A:AB,28,FALSE)</f>
        <v>3.25</v>
      </c>
      <c r="O213" s="69">
        <f>COSTS!$W$6</f>
        <v>1.8958333333333335</v>
      </c>
      <c r="P213" s="69">
        <f>VLOOKUP(G213,COSTS!$V$11:$X$14,3,FALSE)</f>
        <v>0</v>
      </c>
      <c r="Q213" s="69">
        <f t="shared" si="21"/>
        <v>24.895833333333332</v>
      </c>
      <c r="R213" s="69">
        <f t="shared" si="22"/>
        <v>5.1458333333333339</v>
      </c>
      <c r="S213" s="87">
        <f>VLOOKUP(A:A,'Flat Bed &amp; Late Fees'!A:J,6,FALSE)</f>
        <v>0</v>
      </c>
      <c r="T213" s="87">
        <f>VLOOKUP(A:A,'Flat Bed &amp; Late Fees'!A:J,7,FALSE)</f>
        <v>0</v>
      </c>
      <c r="U213" s="68">
        <f>VLOOKUP(C213&amp;G213,OTR!E:J,6,FALSE)/88</f>
        <v>12.073863636363637</v>
      </c>
      <c r="V213" s="87"/>
      <c r="W213" s="68">
        <f t="shared" si="23"/>
        <v>12.073863636363637</v>
      </c>
      <c r="X213" s="69">
        <f>VLOOKUP(G213,COSTS!$Z$18:$AC$23,2,FALSE)</f>
        <v>2.5</v>
      </c>
      <c r="Y213" s="87">
        <f>VLOOKUP(G213,COSTS!$Z$18:$AC$23,4,FALSE)</f>
        <v>1.68</v>
      </c>
      <c r="Z213" s="69">
        <f>(COSTS!$W$3*COSTS!$W$4*500)/52*COSTS!$AE$17</f>
        <v>1.3125</v>
      </c>
      <c r="AB213" s="69">
        <f t="shared" si="24"/>
        <v>5.4924999999999997</v>
      </c>
      <c r="AC213" s="69">
        <f>VLOOKUP(G213,COSTS!$Z$11:$AE$14,5,FALSE)</f>
        <v>7.3011363636363633</v>
      </c>
      <c r="AD213" s="69">
        <f>VLOOKUP(G213,COSTS!$Z$4:$AD$7,4,FALSE)</f>
        <v>9.1363636363636367</v>
      </c>
      <c r="AE213" s="69"/>
      <c r="AF213" s="69">
        <f t="shared" si="25"/>
        <v>16.4375</v>
      </c>
      <c r="AG213" s="87">
        <f>((COSTS!$C$5*88)/20)/88</f>
        <v>1.4407150000000002</v>
      </c>
      <c r="AH213" s="69">
        <f>(COSTS!$X$38/88)*20</f>
        <v>0.34865702479338845</v>
      </c>
      <c r="AI213" s="87">
        <f>((COSTS!$E$5*88)/20)/88</f>
        <v>0.62936587135988387</v>
      </c>
      <c r="AJ213" s="87">
        <f>((COSTS!$D$5*88)/20)/88</f>
        <v>0.33676</v>
      </c>
      <c r="AL213" s="387">
        <f t="shared" si="26"/>
        <v>2.7554978961532726</v>
      </c>
      <c r="AM213" s="69">
        <f>(COSTS!$W$3+0.1)*500*0.01</f>
        <v>3.9999999999999996</v>
      </c>
      <c r="AN213" s="387">
        <f>((COSTS!$G$5/20)*88)/88</f>
        <v>1.308904109589041</v>
      </c>
      <c r="AR213" s="69">
        <f t="shared" si="27"/>
        <v>5.3089041095890401</v>
      </c>
      <c r="AT213" s="1">
        <f>VLOOKUP(C213&amp;$AT$1,OTR!E:J,6,FALSE)/88</f>
        <v>28.992500000000003</v>
      </c>
      <c r="AU213" s="1">
        <f>VLOOKUP(C213&amp;$AU$1,OTR!E:J,6,FALSE)/88</f>
        <v>26.119318181818183</v>
      </c>
    </row>
    <row r="214" spans="1:47">
      <c r="A214" s="1">
        <v>517814</v>
      </c>
      <c r="B214" s="1" t="s">
        <v>515</v>
      </c>
      <c r="C214" s="1" t="s">
        <v>513</v>
      </c>
      <c r="D214" s="1" t="s">
        <v>190</v>
      </c>
      <c r="E214" s="1" t="str">
        <f>VLOOKUP(A:A,'Regions and Ports'!A:G,5,FALSE)</f>
        <v>Memphis Rule 5</v>
      </c>
      <c r="F214" s="1" t="str">
        <f>VLOOKUP(A:A,'Regions and Ports'!A:F,6,FALSE)</f>
        <v>MR5</v>
      </c>
      <c r="G214" s="1" t="str">
        <f>VLOOKUP(A:A,'Regions and Ports'!A:G,7,FALSE)</f>
        <v>Memphis</v>
      </c>
      <c r="H214" s="87">
        <v>1</v>
      </c>
      <c r="I214" s="69">
        <f>VLOOKUP(A:A,'Seam Tariffs'!A:AB,9,FALSE)</f>
        <v>1.6</v>
      </c>
      <c r="J214" s="69">
        <f>VLOOKUP(A:A,'Seam Tariffs'!A:AB,11,FALSE)</f>
        <v>11.25</v>
      </c>
      <c r="K214" s="69">
        <f>VLOOKUP(A:A,'Seam Tariffs'!A:AB,12,FALSE)</f>
        <v>8</v>
      </c>
      <c r="L214" s="69">
        <f>VLOOKUP(A:A,'Seam Tariffs'!A:AB,13,FALSE)</f>
        <v>0</v>
      </c>
      <c r="M214" s="69">
        <f>VLOOKUP(A:A,'Seam Tariffs'!A:AB,14,FALSE)</f>
        <v>0.5</v>
      </c>
      <c r="N214" s="69">
        <f>VLOOKUP(A:A,'Seam Tariffs'!A:AB,28,FALSE)</f>
        <v>3.25</v>
      </c>
      <c r="O214" s="69">
        <f>COSTS!$W$6</f>
        <v>1.8958333333333335</v>
      </c>
      <c r="P214" s="69">
        <f>VLOOKUP(G214,COSTS!$V$11:$X$14,3,FALSE)</f>
        <v>0</v>
      </c>
      <c r="Q214" s="69">
        <f t="shared" si="21"/>
        <v>26.495833333333334</v>
      </c>
      <c r="R214" s="69">
        <f t="shared" si="22"/>
        <v>5.1458333333333339</v>
      </c>
      <c r="S214" s="87">
        <f>VLOOKUP(A:A,'Flat Bed &amp; Late Fees'!A:J,6,FALSE)</f>
        <v>0</v>
      </c>
      <c r="T214" s="87">
        <f>VLOOKUP(A:A,'Flat Bed &amp; Late Fees'!A:J,7,FALSE)</f>
        <v>0</v>
      </c>
      <c r="U214" s="68">
        <f>VLOOKUP(C214&amp;G214,OTR!E:J,6,FALSE)/88</f>
        <v>12.073863636363637</v>
      </c>
      <c r="V214" s="87"/>
      <c r="W214" s="68">
        <f t="shared" si="23"/>
        <v>12.073863636363637</v>
      </c>
      <c r="X214" s="69">
        <f>VLOOKUP(G214,COSTS!$Z$18:$AC$23,2,FALSE)</f>
        <v>2.5</v>
      </c>
      <c r="Y214" s="87">
        <f>VLOOKUP(G214,COSTS!$Z$18:$AC$23,4,FALSE)</f>
        <v>1.68</v>
      </c>
      <c r="Z214" s="69">
        <f>(COSTS!$W$3*COSTS!$W$4*500)/52*COSTS!$AE$17</f>
        <v>1.3125</v>
      </c>
      <c r="AB214" s="69">
        <f t="shared" si="24"/>
        <v>5.4924999999999997</v>
      </c>
      <c r="AC214" s="69">
        <f>VLOOKUP(G214,COSTS!$Z$11:$AE$14,5,FALSE)</f>
        <v>7.3011363636363633</v>
      </c>
      <c r="AD214" s="69">
        <f>VLOOKUP(G214,COSTS!$Z$4:$AD$7,4,FALSE)</f>
        <v>9.1363636363636367</v>
      </c>
      <c r="AE214" s="69"/>
      <c r="AF214" s="69">
        <f t="shared" si="25"/>
        <v>16.4375</v>
      </c>
      <c r="AG214" s="87">
        <f>((COSTS!$C$5*88)/20)/88</f>
        <v>1.4407150000000002</v>
      </c>
      <c r="AH214" s="69">
        <f>(COSTS!$X$38/88)*20</f>
        <v>0.34865702479338845</v>
      </c>
      <c r="AI214" s="87">
        <f>((COSTS!$E$5*88)/20)/88</f>
        <v>0.62936587135988387</v>
      </c>
      <c r="AJ214" s="87">
        <f>((COSTS!$D$5*88)/20)/88</f>
        <v>0.33676</v>
      </c>
      <c r="AL214" s="387">
        <f t="shared" si="26"/>
        <v>2.7554978961532726</v>
      </c>
      <c r="AM214" s="69">
        <f>(COSTS!$W$3+0.1)*500*0.01</f>
        <v>3.9999999999999996</v>
      </c>
      <c r="AN214" s="387">
        <f>((COSTS!$G$5/20)*88)/88</f>
        <v>1.308904109589041</v>
      </c>
      <c r="AR214" s="69">
        <f t="shared" si="27"/>
        <v>5.3089041095890401</v>
      </c>
      <c r="AT214" s="1">
        <f>VLOOKUP(C214&amp;$AT$1,OTR!E:J,6,FALSE)/88</f>
        <v>28.992500000000003</v>
      </c>
      <c r="AU214" s="1">
        <f>VLOOKUP(C214&amp;$AU$1,OTR!E:J,6,FALSE)/88</f>
        <v>26.119318181818183</v>
      </c>
    </row>
    <row r="215" spans="1:47">
      <c r="A215" s="1">
        <v>152705</v>
      </c>
      <c r="B215" s="1" t="s">
        <v>516</v>
      </c>
      <c r="C215" s="1" t="s">
        <v>517</v>
      </c>
      <c r="D215" s="1" t="s">
        <v>149</v>
      </c>
      <c r="E215" s="1" t="str">
        <f>VLOOKUP(A:A,'Regions and Ports'!A:G,5,FALSE)</f>
        <v>Memphis Rule 5</v>
      </c>
      <c r="F215" s="1" t="str">
        <f>VLOOKUP(A:A,'Regions and Ports'!A:F,6,FALSE)</f>
        <v>MR5</v>
      </c>
      <c r="G215" s="1" t="str">
        <f>VLOOKUP(A:A,'Regions and Ports'!A:G,7,FALSE)</f>
        <v>Memphis</v>
      </c>
      <c r="H215" s="87">
        <v>1</v>
      </c>
      <c r="I215" s="69">
        <f>VLOOKUP(A:A,'Seam Tariffs'!A:AB,9,FALSE)</f>
        <v>1</v>
      </c>
      <c r="J215" s="69">
        <f>VLOOKUP(A:A,'Seam Tariffs'!A:AB,11,FALSE)</f>
        <v>19.5</v>
      </c>
      <c r="K215" s="69">
        <f>VLOOKUP(A:A,'Seam Tariffs'!A:AB,12,FALSE)</f>
        <v>0</v>
      </c>
      <c r="L215" s="69">
        <f>VLOOKUP(A:A,'Seam Tariffs'!A:AB,13,FALSE)</f>
        <v>0</v>
      </c>
      <c r="M215" s="69">
        <f>VLOOKUP(A:A,'Seam Tariffs'!A:AB,14,FALSE)</f>
        <v>0.5</v>
      </c>
      <c r="N215" s="69">
        <f>VLOOKUP(A:A,'Seam Tariffs'!A:AB,28,FALSE)</f>
        <v>3.5</v>
      </c>
      <c r="O215" s="69">
        <f>COSTS!$W$6</f>
        <v>1.8958333333333335</v>
      </c>
      <c r="P215" s="69">
        <f>VLOOKUP(G215,COSTS!$V$11:$X$14,3,FALSE)</f>
        <v>0</v>
      </c>
      <c r="Q215" s="69">
        <f t="shared" si="21"/>
        <v>26.395833333333332</v>
      </c>
      <c r="R215" s="69">
        <f t="shared" si="22"/>
        <v>5.3958333333333339</v>
      </c>
      <c r="S215" s="87">
        <f>VLOOKUP(A:A,'Flat Bed &amp; Late Fees'!A:J,6,FALSE)</f>
        <v>0</v>
      </c>
      <c r="T215" s="87">
        <f>VLOOKUP(A:A,'Flat Bed &amp; Late Fees'!A:J,7,FALSE)</f>
        <v>0</v>
      </c>
      <c r="U215" s="68">
        <f>VLOOKUP(C215&amp;G215,OTR!E:J,6,FALSE)/88</f>
        <v>8.8352272727272734</v>
      </c>
      <c r="V215" s="87"/>
      <c r="W215" s="68">
        <f t="shared" si="23"/>
        <v>8.8352272727272734</v>
      </c>
      <c r="X215" s="69">
        <f>VLOOKUP(G215,COSTS!$Z$18:$AC$23,2,FALSE)</f>
        <v>2.5</v>
      </c>
      <c r="Y215" s="87">
        <f>VLOOKUP(G215,COSTS!$Z$18:$AC$23,4,FALSE)</f>
        <v>1.68</v>
      </c>
      <c r="Z215" s="69">
        <f>(COSTS!$W$3*COSTS!$W$4*500)/52*COSTS!$AE$17</f>
        <v>1.3125</v>
      </c>
      <c r="AB215" s="69">
        <f t="shared" si="24"/>
        <v>5.4924999999999997</v>
      </c>
      <c r="AC215" s="69">
        <f>VLOOKUP(G215,COSTS!$Z$11:$AE$14,5,FALSE)</f>
        <v>7.3011363636363633</v>
      </c>
      <c r="AD215" s="69">
        <f>VLOOKUP(G215,COSTS!$Z$4:$AD$7,4,FALSE)</f>
        <v>9.1363636363636367</v>
      </c>
      <c r="AE215" s="69"/>
      <c r="AF215" s="69">
        <f t="shared" si="25"/>
        <v>16.4375</v>
      </c>
      <c r="AG215" s="87">
        <f>((COSTS!$C$5*88)/20)/88</f>
        <v>1.4407150000000002</v>
      </c>
      <c r="AH215" s="69">
        <f>(COSTS!$X$38/88)*20</f>
        <v>0.34865702479338845</v>
      </c>
      <c r="AI215" s="87">
        <f>((COSTS!$E$5*88)/20)/88</f>
        <v>0.62936587135988387</v>
      </c>
      <c r="AJ215" s="87">
        <f>((COSTS!$D$5*88)/20)/88</f>
        <v>0.33676</v>
      </c>
      <c r="AL215" s="387">
        <f t="shared" si="26"/>
        <v>2.7554978961532726</v>
      </c>
      <c r="AM215" s="69">
        <f>(COSTS!$W$3+0.1)*500*0.01</f>
        <v>3.9999999999999996</v>
      </c>
      <c r="AN215" s="387">
        <f>((COSTS!$G$5/20)*88)/88</f>
        <v>1.308904109589041</v>
      </c>
      <c r="AR215" s="69">
        <f t="shared" si="27"/>
        <v>5.3089041095890401</v>
      </c>
      <c r="AT215" s="1" t="e">
        <f>VLOOKUP(C215&amp;$AT$1,OTR!E:J,6,FALSE)/88</f>
        <v>#N/A</v>
      </c>
      <c r="AU215" s="1">
        <f>VLOOKUP(C215&amp;$AU$1,OTR!E:J,6,FALSE)/88</f>
        <v>23.40909090909091</v>
      </c>
    </row>
    <row r="216" spans="1:47">
      <c r="A216" s="1">
        <v>729020</v>
      </c>
      <c r="B216" s="1" t="s">
        <v>518</v>
      </c>
      <c r="C216" s="1" t="s">
        <v>519</v>
      </c>
      <c r="D216" s="1" t="s">
        <v>132</v>
      </c>
      <c r="E216" s="1" t="str">
        <f>VLOOKUP(A:A,'Regions and Ports'!A:G,5,FALSE)</f>
        <v>Eastern Rule 5</v>
      </c>
      <c r="F216" s="1" t="str">
        <f>VLOOKUP(A:A,'Regions and Ports'!A:F,6,FALSE)</f>
        <v>ER5</v>
      </c>
      <c r="G216" s="1" t="str">
        <f>VLOOKUP(A:A,'Regions and Ports'!A:G,7,FALSE)</f>
        <v>Savannah</v>
      </c>
      <c r="H216" s="87">
        <v>1</v>
      </c>
      <c r="I216" s="69">
        <f>VLOOKUP(A:A,'Seam Tariffs'!A:AB,9,FALSE)</f>
        <v>3.9</v>
      </c>
      <c r="J216" s="69">
        <f>VLOOKUP(A:A,'Seam Tariffs'!A:AB,11,FALSE)</f>
        <v>4.3499999999999996</v>
      </c>
      <c r="K216" s="69">
        <f>VLOOKUP(A:A,'Seam Tariffs'!A:AB,12,FALSE)</f>
        <v>0</v>
      </c>
      <c r="L216" s="69">
        <f>VLOOKUP(A:A,'Seam Tariffs'!A:AB,13,FALSE)</f>
        <v>0</v>
      </c>
      <c r="M216" s="69">
        <f>VLOOKUP(A:A,'Seam Tariffs'!A:AB,14,FALSE)</f>
        <v>1.25</v>
      </c>
      <c r="N216" s="69">
        <f>VLOOKUP(A:A,'Seam Tariffs'!A:AB,28,FALSE)</f>
        <v>2.95</v>
      </c>
      <c r="O216" s="69">
        <f>COSTS!$W$6</f>
        <v>1.8958333333333335</v>
      </c>
      <c r="P216" s="69">
        <f>VLOOKUP(G216,COSTS!$V$11:$X$14,3,FALSE)</f>
        <v>0</v>
      </c>
      <c r="Q216" s="69">
        <f t="shared" si="21"/>
        <v>14.345833333333333</v>
      </c>
      <c r="R216" s="69">
        <f t="shared" si="22"/>
        <v>4.8458333333333332</v>
      </c>
      <c r="S216" s="87">
        <f>VLOOKUP(A:A,'Flat Bed &amp; Late Fees'!A:J,6,FALSE)</f>
        <v>0</v>
      </c>
      <c r="T216" s="87">
        <f>VLOOKUP(A:A,'Flat Bed &amp; Late Fees'!A:J,7,FALSE)</f>
        <v>0</v>
      </c>
      <c r="U216" s="68">
        <f>VLOOKUP(C216&amp;G216,OTR!E:J,6,FALSE)/88</f>
        <v>9.5553977272727266</v>
      </c>
      <c r="V216" s="87"/>
      <c r="W216" s="68">
        <f t="shared" si="23"/>
        <v>9.5553977272727266</v>
      </c>
      <c r="X216" s="69">
        <f>VLOOKUP(G216,COSTS!$Z$18:$AC$23,2,FALSE)</f>
        <v>2.6</v>
      </c>
      <c r="Y216" s="87">
        <f>VLOOKUP(G216,COSTS!$Z$18:$AC$23,4,FALSE)</f>
        <v>2.52</v>
      </c>
      <c r="Z216" s="69">
        <f>(COSTS!$W$3*COSTS!$W$4*500)/52*COSTS!$AE$17</f>
        <v>1.3125</v>
      </c>
      <c r="AB216" s="69">
        <f t="shared" si="24"/>
        <v>6.4325000000000001</v>
      </c>
      <c r="AC216" s="69">
        <f>VLOOKUP(G216,COSTS!$Z$11:$AE$14,5,FALSE)</f>
        <v>5.5113636363636367</v>
      </c>
      <c r="AD216" s="69">
        <f>VLOOKUP(G216,COSTS!$Z$4:$AD$7,4,FALSE)</f>
        <v>5.3522727272727275</v>
      </c>
      <c r="AE216" s="69"/>
      <c r="AF216" s="69">
        <f t="shared" si="25"/>
        <v>10.863636363636363</v>
      </c>
      <c r="AG216" s="87">
        <f>((COSTS!$C$5*88)/20)/88</f>
        <v>1.4407150000000002</v>
      </c>
      <c r="AH216" s="69">
        <f>(COSTS!$X$38/88)*20</f>
        <v>0.34865702479338845</v>
      </c>
      <c r="AI216" s="87">
        <f>((COSTS!$E$5*88)/20)/88</f>
        <v>0.62936587135988387</v>
      </c>
      <c r="AJ216" s="87">
        <f>((COSTS!$D$5*88)/20)/88</f>
        <v>0.33676</v>
      </c>
      <c r="AL216" s="387">
        <f t="shared" si="26"/>
        <v>2.7554978961532726</v>
      </c>
      <c r="AM216" s="69">
        <f>(COSTS!$W$3+0.1)*500*0.01</f>
        <v>3.9999999999999996</v>
      </c>
      <c r="AN216" s="387">
        <f>((COSTS!$G$5/20)*88)/88</f>
        <v>1.308904109589041</v>
      </c>
      <c r="AR216" s="69">
        <f t="shared" si="27"/>
        <v>5.3089041095890401</v>
      </c>
      <c r="AT216" s="1" t="e">
        <f>VLOOKUP(C216&amp;$AT$1,OTR!E:J,6,FALSE)/88</f>
        <v>#N/A</v>
      </c>
      <c r="AU216" s="1">
        <f>VLOOKUP(C216&amp;$AU$1,OTR!E:J,6,FALSE)/88</f>
        <v>9.9431818181818183</v>
      </c>
    </row>
    <row r="217" spans="1:47">
      <c r="A217" s="1">
        <v>153005</v>
      </c>
      <c r="B217" s="1" t="s">
        <v>521</v>
      </c>
      <c r="C217" s="1" t="s">
        <v>522</v>
      </c>
      <c r="D217" s="1" t="s">
        <v>149</v>
      </c>
      <c r="E217" s="1" t="str">
        <f>VLOOKUP(A:A,'Regions and Ports'!A:G,5,FALSE)</f>
        <v>Memphis Rule 5</v>
      </c>
      <c r="F217" s="1" t="str">
        <f>VLOOKUP(A:A,'Regions and Ports'!A:F,6,FALSE)</f>
        <v>MR5</v>
      </c>
      <c r="G217" s="1" t="str">
        <f>VLOOKUP(A:A,'Regions and Ports'!A:G,7,FALSE)</f>
        <v>Memphis</v>
      </c>
      <c r="H217" s="87">
        <v>1</v>
      </c>
      <c r="I217" s="69">
        <f>VLOOKUP(A:A,'Seam Tariffs'!A:AB,9,FALSE)</f>
        <v>1.75</v>
      </c>
      <c r="J217" s="69">
        <f>VLOOKUP(A:A,'Seam Tariffs'!A:AB,11,FALSE)</f>
        <v>18.25</v>
      </c>
      <c r="K217" s="69">
        <f>VLOOKUP(A:A,'Seam Tariffs'!A:AB,12,FALSE)</f>
        <v>0</v>
      </c>
      <c r="L217" s="69">
        <f>VLOOKUP(A:A,'Seam Tariffs'!A:AB,13,FALSE)</f>
        <v>3.05</v>
      </c>
      <c r="M217" s="69">
        <f>VLOOKUP(A:A,'Seam Tariffs'!A:AB,14,FALSE)</f>
        <v>0</v>
      </c>
      <c r="N217" s="69">
        <f>VLOOKUP(A:A,'Seam Tariffs'!A:AB,28,FALSE)</f>
        <v>3.5</v>
      </c>
      <c r="O217" s="69">
        <f>COSTS!$W$6</f>
        <v>1.8958333333333335</v>
      </c>
      <c r="P217" s="69">
        <f>VLOOKUP(G217,COSTS!$V$11:$X$14,3,FALSE)</f>
        <v>0</v>
      </c>
      <c r="Q217" s="69">
        <f t="shared" si="21"/>
        <v>28.445833333333333</v>
      </c>
      <c r="R217" s="69">
        <f t="shared" si="22"/>
        <v>5.3958333333333339</v>
      </c>
      <c r="S217" s="87">
        <f>VLOOKUP(A:A,'Flat Bed &amp; Late Fees'!A:J,6,FALSE)</f>
        <v>0</v>
      </c>
      <c r="T217" s="87">
        <f>VLOOKUP(A:A,'Flat Bed &amp; Late Fees'!A:J,7,FALSE)</f>
        <v>0</v>
      </c>
      <c r="U217" s="68">
        <f>VLOOKUP(C217&amp;G217,OTR!E:J,6,FALSE)/88</f>
        <v>8.6647727272727266</v>
      </c>
      <c r="V217" s="87"/>
      <c r="W217" s="68">
        <f t="shared" si="23"/>
        <v>8.6647727272727266</v>
      </c>
      <c r="X217" s="69">
        <f>VLOOKUP(G217,COSTS!$Z$18:$AC$23,2,FALSE)</f>
        <v>2.5</v>
      </c>
      <c r="Y217" s="87">
        <f>VLOOKUP(G217,COSTS!$Z$18:$AC$23,4,FALSE)</f>
        <v>1.68</v>
      </c>
      <c r="Z217" s="69">
        <f>(COSTS!$W$3*COSTS!$W$4*500)/52*COSTS!$AE$17</f>
        <v>1.3125</v>
      </c>
      <c r="AB217" s="69">
        <f t="shared" si="24"/>
        <v>5.4924999999999997</v>
      </c>
      <c r="AC217" s="69">
        <f>VLOOKUP(G217,COSTS!$Z$11:$AE$14,5,FALSE)</f>
        <v>7.3011363636363633</v>
      </c>
      <c r="AD217" s="69">
        <f>VLOOKUP(G217,COSTS!$Z$4:$AD$7,4,FALSE)</f>
        <v>9.1363636363636367</v>
      </c>
      <c r="AE217" s="69"/>
      <c r="AF217" s="69">
        <f t="shared" si="25"/>
        <v>16.4375</v>
      </c>
      <c r="AG217" s="87">
        <f>((COSTS!$C$5*88)/20)/88</f>
        <v>1.4407150000000002</v>
      </c>
      <c r="AH217" s="69">
        <f>(COSTS!$X$38/88)*20</f>
        <v>0.34865702479338845</v>
      </c>
      <c r="AI217" s="87">
        <f>((COSTS!$E$5*88)/20)/88</f>
        <v>0.62936587135988387</v>
      </c>
      <c r="AJ217" s="87">
        <f>((COSTS!$D$5*88)/20)/88</f>
        <v>0.33676</v>
      </c>
      <c r="AL217" s="387">
        <f t="shared" si="26"/>
        <v>2.7554978961532726</v>
      </c>
      <c r="AM217" s="69">
        <f>(COSTS!$W$3+0.1)*500*0.01</f>
        <v>3.9999999999999996</v>
      </c>
      <c r="AN217" s="387">
        <f>((COSTS!$G$5/20)*88)/88</f>
        <v>1.308904109589041</v>
      </c>
      <c r="AR217" s="69">
        <f t="shared" si="27"/>
        <v>5.3089041095890401</v>
      </c>
      <c r="AT217" s="1" t="e">
        <f>VLOOKUP(C217&amp;$AT$1,OTR!E:J,6,FALSE)/88</f>
        <v>#N/A</v>
      </c>
      <c r="AU217" s="1">
        <f>VLOOKUP(C217&amp;$AU$1,OTR!E:J,6,FALSE)/88</f>
        <v>24.09090909090909</v>
      </c>
    </row>
    <row r="218" spans="1:47">
      <c r="A218" s="1">
        <v>156006</v>
      </c>
      <c r="B218" s="1" t="s">
        <v>523</v>
      </c>
      <c r="C218" s="1" t="s">
        <v>522</v>
      </c>
      <c r="D218" s="1" t="s">
        <v>149</v>
      </c>
      <c r="E218" s="1" t="str">
        <f>VLOOKUP(A:A,'Regions and Ports'!A:G,5,FALSE)</f>
        <v>Memphis Rule 5</v>
      </c>
      <c r="F218" s="1" t="str">
        <f>VLOOKUP(A:A,'Regions and Ports'!A:F,6,FALSE)</f>
        <v>MR5</v>
      </c>
      <c r="G218" s="1" t="str">
        <f>VLOOKUP(A:A,'Regions and Ports'!A:G,7,FALSE)</f>
        <v>Memphis</v>
      </c>
      <c r="H218" s="87">
        <v>1</v>
      </c>
      <c r="I218" s="69">
        <f>VLOOKUP(A:A,'Seam Tariffs'!A:AB,9,FALSE)</f>
        <v>1.75</v>
      </c>
      <c r="J218" s="69">
        <f>VLOOKUP(A:A,'Seam Tariffs'!A:AB,11,FALSE)</f>
        <v>18.25</v>
      </c>
      <c r="K218" s="69">
        <f>VLOOKUP(A:A,'Seam Tariffs'!A:AB,12,FALSE)</f>
        <v>0</v>
      </c>
      <c r="L218" s="69">
        <f>VLOOKUP(A:A,'Seam Tariffs'!A:AB,13,FALSE)</f>
        <v>3.05</v>
      </c>
      <c r="M218" s="69">
        <f>VLOOKUP(A:A,'Seam Tariffs'!A:AB,14,FALSE)</f>
        <v>0</v>
      </c>
      <c r="N218" s="69">
        <f>VLOOKUP(A:A,'Seam Tariffs'!A:AB,28,FALSE)</f>
        <v>3.5</v>
      </c>
      <c r="O218" s="69">
        <f>COSTS!$W$6</f>
        <v>1.8958333333333335</v>
      </c>
      <c r="P218" s="69">
        <f>VLOOKUP(G218,COSTS!$V$11:$X$14,3,FALSE)</f>
        <v>0</v>
      </c>
      <c r="Q218" s="69">
        <f t="shared" si="21"/>
        <v>28.445833333333333</v>
      </c>
      <c r="R218" s="69">
        <f t="shared" si="22"/>
        <v>5.3958333333333339</v>
      </c>
      <c r="S218" s="87">
        <f>VLOOKUP(A:A,'Flat Bed &amp; Late Fees'!A:J,6,FALSE)</f>
        <v>0</v>
      </c>
      <c r="T218" s="87">
        <f>VLOOKUP(A:A,'Flat Bed &amp; Late Fees'!A:J,7,FALSE)</f>
        <v>0</v>
      </c>
      <c r="U218" s="68">
        <f>VLOOKUP(C218&amp;G218,OTR!E:J,6,FALSE)/88</f>
        <v>8.6647727272727266</v>
      </c>
      <c r="V218" s="87"/>
      <c r="W218" s="68">
        <f t="shared" si="23"/>
        <v>8.6647727272727266</v>
      </c>
      <c r="X218" s="69">
        <f>VLOOKUP(G218,COSTS!$Z$18:$AC$23,2,FALSE)</f>
        <v>2.5</v>
      </c>
      <c r="Y218" s="87">
        <f>VLOOKUP(G218,COSTS!$Z$18:$AC$23,4,FALSE)</f>
        <v>1.68</v>
      </c>
      <c r="Z218" s="69">
        <f>(COSTS!$W$3*COSTS!$W$4*500)/52*COSTS!$AE$17</f>
        <v>1.3125</v>
      </c>
      <c r="AB218" s="69">
        <f t="shared" si="24"/>
        <v>5.4924999999999997</v>
      </c>
      <c r="AC218" s="69">
        <f>VLOOKUP(G218,COSTS!$Z$11:$AE$14,5,FALSE)</f>
        <v>7.3011363636363633</v>
      </c>
      <c r="AD218" s="69">
        <f>VLOOKUP(G218,COSTS!$Z$4:$AD$7,4,FALSE)</f>
        <v>9.1363636363636367</v>
      </c>
      <c r="AE218" s="69"/>
      <c r="AF218" s="69">
        <f t="shared" si="25"/>
        <v>16.4375</v>
      </c>
      <c r="AG218" s="87">
        <f>((COSTS!$C$5*88)/20)/88</f>
        <v>1.4407150000000002</v>
      </c>
      <c r="AH218" s="69">
        <f>(COSTS!$X$38/88)*20</f>
        <v>0.34865702479338845</v>
      </c>
      <c r="AI218" s="87">
        <f>((COSTS!$E$5*88)/20)/88</f>
        <v>0.62936587135988387</v>
      </c>
      <c r="AJ218" s="87">
        <f>((COSTS!$D$5*88)/20)/88</f>
        <v>0.33676</v>
      </c>
      <c r="AL218" s="387">
        <f t="shared" si="26"/>
        <v>2.7554978961532726</v>
      </c>
      <c r="AM218" s="69">
        <f>(COSTS!$W$3+0.1)*500*0.01</f>
        <v>3.9999999999999996</v>
      </c>
      <c r="AN218" s="387">
        <f>((COSTS!$G$5/20)*88)/88</f>
        <v>1.308904109589041</v>
      </c>
      <c r="AR218" s="69">
        <f t="shared" si="27"/>
        <v>5.3089041095890401</v>
      </c>
      <c r="AT218" s="1" t="e">
        <f>VLOOKUP(C218&amp;$AT$1,OTR!E:J,6,FALSE)/88</f>
        <v>#N/A</v>
      </c>
      <c r="AU218" s="1">
        <f>VLOOKUP(C218&amp;$AU$1,OTR!E:J,6,FALSE)/88</f>
        <v>24.09090909090909</v>
      </c>
    </row>
    <row r="219" spans="1:47">
      <c r="A219" s="1">
        <v>794205</v>
      </c>
      <c r="B219" s="1" t="s">
        <v>524</v>
      </c>
      <c r="C219" s="1" t="s">
        <v>525</v>
      </c>
      <c r="D219" s="1" t="s">
        <v>168</v>
      </c>
      <c r="E219" s="1" t="str">
        <f>VLOOKUP(A:A,'Regions and Ports'!A:G,5,FALSE)</f>
        <v>Memphis Rule 5</v>
      </c>
      <c r="F219" s="1" t="str">
        <f>VLOOKUP(A:A,'Regions and Ports'!A:F,6,FALSE)</f>
        <v>MR5</v>
      </c>
      <c r="G219" s="1" t="str">
        <f>VLOOKUP(A:A,'Regions and Ports'!A:G,7,FALSE)</f>
        <v>Memphis</v>
      </c>
      <c r="H219" s="87">
        <v>1</v>
      </c>
      <c r="I219" s="69">
        <f>VLOOKUP(A:A,'Seam Tariffs'!A:AB,9,FALSE)</f>
        <v>0</v>
      </c>
      <c r="J219" s="69">
        <f>VLOOKUP(A:A,'Seam Tariffs'!A:AB,11,FALSE)</f>
        <v>13.75</v>
      </c>
      <c r="K219" s="69">
        <f>VLOOKUP(A:A,'Seam Tariffs'!A:AB,12,FALSE)</f>
        <v>0</v>
      </c>
      <c r="L219" s="69">
        <f>VLOOKUP(A:A,'Seam Tariffs'!A:AB,13,FALSE)</f>
        <v>3.05</v>
      </c>
      <c r="M219" s="69">
        <f>VLOOKUP(A:A,'Seam Tariffs'!A:AB,14,FALSE)</f>
        <v>0</v>
      </c>
      <c r="N219" s="69">
        <f>VLOOKUP(A:A,'Seam Tariffs'!A:AB,28,FALSE)</f>
        <v>3.75</v>
      </c>
      <c r="O219" s="69">
        <f>COSTS!$W$6</f>
        <v>1.8958333333333335</v>
      </c>
      <c r="P219" s="69">
        <f>VLOOKUP(G219,COSTS!$V$11:$X$14,3,FALSE)</f>
        <v>0</v>
      </c>
      <c r="Q219" s="69">
        <f t="shared" si="21"/>
        <v>22.445833333333333</v>
      </c>
      <c r="R219" s="69">
        <f t="shared" si="22"/>
        <v>5.6458333333333339</v>
      </c>
      <c r="S219" s="87">
        <f>VLOOKUP(A:A,'Flat Bed &amp; Late Fees'!A:J,6,FALSE)</f>
        <v>0</v>
      </c>
      <c r="T219" s="87">
        <f>VLOOKUP(A:A,'Flat Bed &amp; Late Fees'!A:J,7,FALSE)</f>
        <v>0</v>
      </c>
      <c r="U219" s="68">
        <f>VLOOKUP(C219&amp;G219,OTR!E:J,6,FALSE)/88</f>
        <v>9.5</v>
      </c>
      <c r="V219" s="87"/>
      <c r="W219" s="68">
        <f t="shared" si="23"/>
        <v>9.5</v>
      </c>
      <c r="X219" s="69">
        <f>VLOOKUP(G219,COSTS!$Z$18:$AC$23,2,FALSE)</f>
        <v>2.5</v>
      </c>
      <c r="Y219" s="87">
        <f>VLOOKUP(G219,COSTS!$Z$18:$AC$23,4,FALSE)</f>
        <v>1.68</v>
      </c>
      <c r="Z219" s="69">
        <f>(COSTS!$W$3*COSTS!$W$4*500)/52*COSTS!$AE$17</f>
        <v>1.3125</v>
      </c>
      <c r="AB219" s="69">
        <f t="shared" si="24"/>
        <v>5.4924999999999997</v>
      </c>
      <c r="AC219" s="69">
        <f>VLOOKUP(G219,COSTS!$Z$11:$AE$14,5,FALSE)</f>
        <v>7.3011363636363633</v>
      </c>
      <c r="AD219" s="69">
        <f>VLOOKUP(G219,COSTS!$Z$4:$AD$7,4,FALSE)</f>
        <v>9.1363636363636367</v>
      </c>
      <c r="AE219" s="69"/>
      <c r="AF219" s="69">
        <f t="shared" si="25"/>
        <v>16.4375</v>
      </c>
      <c r="AG219" s="87">
        <f>((COSTS!$C$5*88)/20)/88</f>
        <v>1.4407150000000002</v>
      </c>
      <c r="AH219" s="69">
        <f>(COSTS!$X$38/88)*20</f>
        <v>0.34865702479338845</v>
      </c>
      <c r="AI219" s="87">
        <f>((COSTS!$E$5*88)/20)/88</f>
        <v>0.62936587135988387</v>
      </c>
      <c r="AJ219" s="87">
        <f>((COSTS!$D$5*88)/20)/88</f>
        <v>0.33676</v>
      </c>
      <c r="AL219" s="387">
        <f t="shared" si="26"/>
        <v>2.7554978961532726</v>
      </c>
      <c r="AM219" s="69">
        <f>(COSTS!$W$3+0.1)*500*0.01</f>
        <v>3.9999999999999996</v>
      </c>
      <c r="AN219" s="387">
        <f>((COSTS!$G$5/20)*88)/88</f>
        <v>1.308904109589041</v>
      </c>
      <c r="AR219" s="69">
        <f t="shared" si="27"/>
        <v>5.3089041095890401</v>
      </c>
      <c r="AT219" s="1">
        <f>VLOOKUP(C219&amp;$AT$1,OTR!E:J,6,FALSE)/88</f>
        <v>26.412840909090907</v>
      </c>
      <c r="AU219" s="1">
        <f>VLOOKUP(C219&amp;$AU$1,OTR!E:J,6,FALSE)/88</f>
        <v>20.852272727272727</v>
      </c>
    </row>
    <row r="220" spans="1:47">
      <c r="A220" s="1">
        <v>63010</v>
      </c>
      <c r="B220" s="1" t="s">
        <v>527</v>
      </c>
      <c r="C220" s="1" t="s">
        <v>528</v>
      </c>
      <c r="D220" s="1" t="s">
        <v>65</v>
      </c>
      <c r="E220" s="1" t="str">
        <f>VLOOKUP(A:A,'Regions and Ports'!A:G,5,FALSE)</f>
        <v>Eastern Rule 5</v>
      </c>
      <c r="F220" s="1" t="str">
        <f>VLOOKUP(A:A,'Regions and Ports'!A:F,6,FALSE)</f>
        <v>ER5</v>
      </c>
      <c r="G220" s="1" t="str">
        <f>VLOOKUP(A:A,'Regions and Ports'!A:G,7,FALSE)</f>
        <v>Savannah</v>
      </c>
      <c r="H220" s="87">
        <v>1</v>
      </c>
      <c r="I220" s="69">
        <f>VLOOKUP(A:A,'Seam Tariffs'!A:AB,9,FALSE)</f>
        <v>3.75</v>
      </c>
      <c r="J220" s="69">
        <f>VLOOKUP(A:A,'Seam Tariffs'!A:AB,11,FALSE)</f>
        <v>5</v>
      </c>
      <c r="K220" s="69">
        <f>VLOOKUP(A:A,'Seam Tariffs'!A:AB,12,FALSE)</f>
        <v>0</v>
      </c>
      <c r="L220" s="69">
        <f>VLOOKUP(A:A,'Seam Tariffs'!A:AB,13,FALSE)</f>
        <v>0</v>
      </c>
      <c r="M220" s="69">
        <f>VLOOKUP(A:A,'Seam Tariffs'!A:AB,14,FALSE)</f>
        <v>0</v>
      </c>
      <c r="N220" s="69">
        <f>VLOOKUP(A:A,'Seam Tariffs'!A:AB,28,FALSE)</f>
        <v>2.75</v>
      </c>
      <c r="O220" s="69">
        <f>COSTS!$W$6</f>
        <v>1.8958333333333335</v>
      </c>
      <c r="P220" s="69">
        <f>VLOOKUP(G220,COSTS!$V$11:$X$14,3,FALSE)</f>
        <v>0</v>
      </c>
      <c r="Q220" s="69">
        <f t="shared" si="21"/>
        <v>13.395833333333334</v>
      </c>
      <c r="R220" s="69">
        <f t="shared" si="22"/>
        <v>4.6458333333333339</v>
      </c>
      <c r="S220" s="87">
        <f>VLOOKUP(A:A,'Flat Bed &amp; Late Fees'!A:J,6,FALSE)</f>
        <v>0</v>
      </c>
      <c r="T220" s="87">
        <f>VLOOKUP(A:A,'Flat Bed &amp; Late Fees'!A:J,7,FALSE)</f>
        <v>0</v>
      </c>
      <c r="U220" s="68">
        <f>VLOOKUP(C220&amp;G220,OTR!E:J,6,FALSE)/88</f>
        <v>16.764005681818183</v>
      </c>
      <c r="V220" s="87"/>
      <c r="W220" s="68">
        <f t="shared" si="23"/>
        <v>16.764005681818183</v>
      </c>
      <c r="X220" s="69">
        <f>VLOOKUP(G220,COSTS!$Z$18:$AC$23,2,FALSE)</f>
        <v>2.6</v>
      </c>
      <c r="Y220" s="87">
        <f>VLOOKUP(G220,COSTS!$Z$18:$AC$23,4,FALSE)</f>
        <v>2.52</v>
      </c>
      <c r="Z220" s="69">
        <f>(COSTS!$W$3*COSTS!$W$4*500)/52*COSTS!$AE$17</f>
        <v>1.3125</v>
      </c>
      <c r="AB220" s="69">
        <f t="shared" si="24"/>
        <v>6.4325000000000001</v>
      </c>
      <c r="AC220" s="69">
        <f>VLOOKUP(G220,COSTS!$Z$11:$AE$14,5,FALSE)</f>
        <v>5.5113636363636367</v>
      </c>
      <c r="AD220" s="69">
        <f>VLOOKUP(G220,COSTS!$Z$4:$AD$7,4,FALSE)</f>
        <v>5.3522727272727275</v>
      </c>
      <c r="AE220" s="69"/>
      <c r="AF220" s="69">
        <f t="shared" si="25"/>
        <v>10.863636363636363</v>
      </c>
      <c r="AG220" s="87">
        <f>((COSTS!$C$5*88)/20)/88</f>
        <v>1.4407150000000002</v>
      </c>
      <c r="AH220" s="69">
        <f>(COSTS!$X$38/88)*20</f>
        <v>0.34865702479338845</v>
      </c>
      <c r="AI220" s="87">
        <f>((COSTS!$E$5*88)/20)/88</f>
        <v>0.62936587135988387</v>
      </c>
      <c r="AJ220" s="87">
        <f>((COSTS!$D$5*88)/20)/88</f>
        <v>0.33676</v>
      </c>
      <c r="AL220" s="387">
        <f t="shared" si="26"/>
        <v>2.7554978961532726</v>
      </c>
      <c r="AM220" s="69">
        <f>(COSTS!$W$3+0.1)*500*0.01</f>
        <v>3.9999999999999996</v>
      </c>
      <c r="AN220" s="387">
        <f>((COSTS!$G$5/20)*88)/88</f>
        <v>1.308904109589041</v>
      </c>
      <c r="AR220" s="69">
        <f t="shared" si="27"/>
        <v>5.3089041095890401</v>
      </c>
      <c r="AT220" s="1" t="e">
        <f>VLOOKUP(C220&amp;$AT$1,OTR!E:J,6,FALSE)/88</f>
        <v>#N/A</v>
      </c>
      <c r="AU220" s="1">
        <f>VLOOKUP(C220&amp;$AU$1,OTR!E:J,6,FALSE)/88</f>
        <v>18.72159090909091</v>
      </c>
    </row>
    <row r="221" spans="1:47">
      <c r="A221" s="1">
        <v>178580</v>
      </c>
      <c r="B221" s="1" t="s">
        <v>530</v>
      </c>
      <c r="C221" s="1" t="s">
        <v>531</v>
      </c>
      <c r="D221" s="1" t="s">
        <v>108</v>
      </c>
      <c r="E221" s="1" t="str">
        <f>VLOOKUP(A:A,'Regions and Ports'!A:G,5,FALSE)</f>
        <v>Southwest</v>
      </c>
      <c r="F221" s="1">
        <f>VLOOKUP(A:A,'Regions and Ports'!A:F,6,FALSE)</f>
        <v>0</v>
      </c>
      <c r="G221" s="1" t="str">
        <f>VLOOKUP(A:A,'Regions and Ports'!A:G,7,FALSE)</f>
        <v>Los Angeles</v>
      </c>
      <c r="H221" s="87">
        <v>5</v>
      </c>
      <c r="I221" s="69">
        <f>VLOOKUP(A:A,'Seam Tariffs'!A:AB,9,FALSE)</f>
        <v>0</v>
      </c>
      <c r="J221" s="69">
        <f>VLOOKUP(A:A,'Seam Tariffs'!A:AB,11,FALSE)</f>
        <v>9.5</v>
      </c>
      <c r="K221" s="69">
        <f>VLOOKUP(A:A,'Seam Tariffs'!A:AB,12,FALSE)</f>
        <v>0</v>
      </c>
      <c r="L221" s="69">
        <f>VLOOKUP(A:A,'Seam Tariffs'!A:AB,13,FALSE)</f>
        <v>0</v>
      </c>
      <c r="M221" s="69">
        <f>VLOOKUP(A:A,'Seam Tariffs'!A:AB,14,FALSE)</f>
        <v>0.5</v>
      </c>
      <c r="N221" s="69">
        <f>VLOOKUP(A:A,'Seam Tariffs'!A:AB,28,FALSE)</f>
        <v>4.8</v>
      </c>
      <c r="O221" s="69">
        <f>COSTS!$W$6</f>
        <v>1.8958333333333335</v>
      </c>
      <c r="P221" s="69" t="e">
        <f>VLOOKUP(G221,COSTS!$V$11:$X$14,3,FALSE)</f>
        <v>#N/A</v>
      </c>
      <c r="Q221" s="69" t="e">
        <f t="shared" si="21"/>
        <v>#N/A</v>
      </c>
      <c r="R221" s="69" t="e">
        <f t="shared" si="22"/>
        <v>#VALUE!</v>
      </c>
      <c r="S221" s="87">
        <f>VLOOKUP(A:A,'Flat Bed &amp; Late Fees'!A:J,6,FALSE)</f>
        <v>0</v>
      </c>
      <c r="T221" s="87">
        <f>VLOOKUP(A:A,'Flat Bed &amp; Late Fees'!A:J,7,FALSE)</f>
        <v>0</v>
      </c>
      <c r="U221" s="68" t="e">
        <f>VLOOKUP(C221&amp;G221,OTR!E:J,6,FALSE)/88</f>
        <v>#N/A</v>
      </c>
      <c r="V221" s="87"/>
      <c r="W221" s="68" t="e">
        <f t="shared" si="23"/>
        <v>#N/A</v>
      </c>
      <c r="X221" s="69" t="e">
        <f>VLOOKUP(G221,COSTS!$Z$18:$AC$23,2,FALSE)</f>
        <v>#N/A</v>
      </c>
      <c r="Y221" s="87" t="e">
        <f>VLOOKUP(G221,COSTS!$Z$18:$AC$23,4,FALSE)</f>
        <v>#N/A</v>
      </c>
      <c r="Z221" s="69">
        <f>(COSTS!$W$3*COSTS!$W$4*500)/52*COSTS!$AE$17</f>
        <v>1.3125</v>
      </c>
      <c r="AB221" s="69" t="e">
        <f t="shared" si="24"/>
        <v>#N/A</v>
      </c>
      <c r="AC221" s="69" t="e">
        <f>VLOOKUP(G221,COSTS!$Z$11:$AE$14,5,FALSE)</f>
        <v>#N/A</v>
      </c>
      <c r="AD221" s="69" t="e">
        <f>VLOOKUP(G221,COSTS!$Z$4:$AD$7,4,FALSE)</f>
        <v>#N/A</v>
      </c>
      <c r="AE221" s="69"/>
      <c r="AF221" s="69" t="e">
        <f t="shared" si="25"/>
        <v>#N/A</v>
      </c>
      <c r="AG221" s="87">
        <f>((COSTS!$C$5*88)/20)/88</f>
        <v>1.4407150000000002</v>
      </c>
      <c r="AH221" s="69">
        <f>(COSTS!$X$38/88)*20</f>
        <v>0.34865702479338845</v>
      </c>
      <c r="AI221" s="87">
        <f>((COSTS!$E$5*88)/20)/88</f>
        <v>0.62936587135988387</v>
      </c>
      <c r="AJ221" s="87">
        <f>((COSTS!$D$5*88)/20)/88</f>
        <v>0.33676</v>
      </c>
      <c r="AL221" s="387">
        <f t="shared" si="26"/>
        <v>2.7554978961532726</v>
      </c>
      <c r="AM221" s="69">
        <f>(COSTS!$W$3+0.1)*500*0.01</f>
        <v>3.9999999999999996</v>
      </c>
      <c r="AN221" s="387">
        <f>((COSTS!$G$5/20)*88)/88</f>
        <v>1.308904109589041</v>
      </c>
      <c r="AR221" s="69">
        <f t="shared" si="27"/>
        <v>5.3089041095890401</v>
      </c>
      <c r="AT221" s="1" t="e">
        <f>VLOOKUP(C221&amp;$AT$1,OTR!E:J,6,FALSE)/88</f>
        <v>#N/A</v>
      </c>
      <c r="AU221" s="1" t="e">
        <f>VLOOKUP(C221&amp;$AU$1,OTR!E:J,6,FALSE)/88</f>
        <v>#N/A</v>
      </c>
    </row>
    <row r="222" spans="1:47">
      <c r="A222" s="1">
        <v>151005</v>
      </c>
      <c r="B222" s="1" t="s">
        <v>532</v>
      </c>
      <c r="C222" s="1" t="s">
        <v>533</v>
      </c>
      <c r="D222" s="1" t="s">
        <v>149</v>
      </c>
      <c r="E222" s="1" t="str">
        <f>VLOOKUP(A:A,'Regions and Ports'!A:G,5,FALSE)</f>
        <v>Memphis Rule 5</v>
      </c>
      <c r="F222" s="1" t="str">
        <f>VLOOKUP(A:A,'Regions and Ports'!A:F,6,FALSE)</f>
        <v>MR5</v>
      </c>
      <c r="G222" s="1" t="str">
        <f>VLOOKUP(A:A,'Regions and Ports'!A:G,7,FALSE)</f>
        <v>Memphis</v>
      </c>
      <c r="H222" s="87">
        <v>1</v>
      </c>
      <c r="I222" s="69">
        <f>VLOOKUP(A:A,'Seam Tariffs'!A:AB,9,FALSE)</f>
        <v>2.7</v>
      </c>
      <c r="J222" s="69">
        <f>VLOOKUP(A:A,'Seam Tariffs'!A:AB,11,FALSE)</f>
        <v>18.25</v>
      </c>
      <c r="K222" s="69">
        <f>VLOOKUP(A:A,'Seam Tariffs'!A:AB,12,FALSE)</f>
        <v>0</v>
      </c>
      <c r="L222" s="69">
        <f>VLOOKUP(A:A,'Seam Tariffs'!A:AB,13,FALSE)</f>
        <v>3.05</v>
      </c>
      <c r="M222" s="69">
        <f>VLOOKUP(A:A,'Seam Tariffs'!A:AB,14,FALSE)</f>
        <v>0.5</v>
      </c>
      <c r="N222" s="69">
        <f>VLOOKUP(A:A,'Seam Tariffs'!A:AB,28,FALSE)</f>
        <v>3.25</v>
      </c>
      <c r="O222" s="69">
        <f>COSTS!$W$6</f>
        <v>1.8958333333333335</v>
      </c>
      <c r="P222" s="69">
        <f>VLOOKUP(G222,COSTS!$V$11:$X$14,3,FALSE)</f>
        <v>0</v>
      </c>
      <c r="Q222" s="69">
        <f t="shared" si="21"/>
        <v>29.645833333333332</v>
      </c>
      <c r="R222" s="69">
        <f t="shared" si="22"/>
        <v>5.1458333333333339</v>
      </c>
      <c r="S222" s="87">
        <f>VLOOKUP(A:A,'Flat Bed &amp; Late Fees'!A:J,6,FALSE)</f>
        <v>0</v>
      </c>
      <c r="T222" s="87">
        <f>VLOOKUP(A:A,'Flat Bed &amp; Late Fees'!A:J,7,FALSE)</f>
        <v>0</v>
      </c>
      <c r="U222" s="68">
        <f>VLOOKUP(C222&amp;G222,OTR!E:J,6,FALSE)/88</f>
        <v>15.738636363636363</v>
      </c>
      <c r="V222" s="87"/>
      <c r="W222" s="68">
        <f t="shared" si="23"/>
        <v>15.738636363636363</v>
      </c>
      <c r="X222" s="69">
        <f>VLOOKUP(G222,COSTS!$Z$18:$AC$23,2,FALSE)</f>
        <v>2.5</v>
      </c>
      <c r="Y222" s="87">
        <f>VLOOKUP(G222,COSTS!$Z$18:$AC$23,4,FALSE)</f>
        <v>1.68</v>
      </c>
      <c r="Z222" s="69">
        <f>(COSTS!$W$3*COSTS!$W$4*500)/52*COSTS!$AE$17</f>
        <v>1.3125</v>
      </c>
      <c r="AB222" s="69">
        <f t="shared" si="24"/>
        <v>5.4924999999999997</v>
      </c>
      <c r="AC222" s="69">
        <f>VLOOKUP(G222,COSTS!$Z$11:$AE$14,5,FALSE)</f>
        <v>7.3011363636363633</v>
      </c>
      <c r="AD222" s="69">
        <f>VLOOKUP(G222,COSTS!$Z$4:$AD$7,4,FALSE)</f>
        <v>9.1363636363636367</v>
      </c>
      <c r="AE222" s="69"/>
      <c r="AF222" s="69">
        <f t="shared" si="25"/>
        <v>16.4375</v>
      </c>
      <c r="AG222" s="87">
        <f>((COSTS!$C$5*88)/20)/88</f>
        <v>1.4407150000000002</v>
      </c>
      <c r="AH222" s="69">
        <f>(COSTS!$X$38/88)*20</f>
        <v>0.34865702479338845</v>
      </c>
      <c r="AI222" s="87">
        <f>((COSTS!$E$5*88)/20)/88</f>
        <v>0.62936587135988387</v>
      </c>
      <c r="AJ222" s="87">
        <f>((COSTS!$D$5*88)/20)/88</f>
        <v>0.33676</v>
      </c>
      <c r="AL222" s="387">
        <f t="shared" si="26"/>
        <v>2.7554978961532726</v>
      </c>
      <c r="AM222" s="69">
        <f>(COSTS!$W$3+0.1)*500*0.01</f>
        <v>3.9999999999999996</v>
      </c>
      <c r="AN222" s="387">
        <f>((COSTS!$G$5/20)*88)/88</f>
        <v>1.308904109589041</v>
      </c>
      <c r="AR222" s="69">
        <f t="shared" si="27"/>
        <v>5.3089041095890401</v>
      </c>
      <c r="AT222" s="1" t="e">
        <f>VLOOKUP(C222&amp;$AT$1,OTR!E:J,6,FALSE)/88</f>
        <v>#N/A</v>
      </c>
      <c r="AU222" s="1">
        <f>VLOOKUP(C222&amp;$AU$1,OTR!E:J,6,FALSE)/88</f>
        <v>26.017045454545453</v>
      </c>
    </row>
    <row r="223" spans="1:47">
      <c r="A223" s="1">
        <v>297005</v>
      </c>
      <c r="B223" s="1" t="s">
        <v>534</v>
      </c>
      <c r="C223" s="1" t="s">
        <v>535</v>
      </c>
      <c r="D223" s="1" t="s">
        <v>76</v>
      </c>
      <c r="E223" s="1" t="str">
        <f>VLOOKUP(A:A,'Regions and Ports'!A:G,5,FALSE)</f>
        <v>GA 30 Day</v>
      </c>
      <c r="F223" s="1" t="str">
        <f>VLOOKUP(A:A,'Regions and Ports'!A:F,6,FALSE)</f>
        <v>ER5</v>
      </c>
      <c r="G223" s="1" t="str">
        <f>VLOOKUP(A:A,'Regions and Ports'!A:G,7,FALSE)</f>
        <v>Savannah</v>
      </c>
      <c r="H223" s="87">
        <v>4</v>
      </c>
      <c r="I223" s="69">
        <f>VLOOKUP(A:A,'Seam Tariffs'!A:AB,9,FALSE)</f>
        <v>3</v>
      </c>
      <c r="J223" s="69">
        <f>VLOOKUP(A:A,'Seam Tariffs'!A:AB,11,FALSE)</f>
        <v>5</v>
      </c>
      <c r="K223" s="69">
        <f>VLOOKUP(A:A,'Seam Tariffs'!A:AB,12,FALSE)</f>
        <v>0</v>
      </c>
      <c r="L223" s="69">
        <f>VLOOKUP(A:A,'Seam Tariffs'!A:AB,13,FALSE)</f>
        <v>0</v>
      </c>
      <c r="M223" s="69">
        <f>VLOOKUP(A:A,'Seam Tariffs'!A:AB,14,FALSE)</f>
        <v>1</v>
      </c>
      <c r="N223" s="69">
        <f>VLOOKUP(A:A,'Seam Tariffs'!A:AB,28,FALSE)</f>
        <v>3</v>
      </c>
      <c r="O223" s="69">
        <f>COSTS!$W$6</f>
        <v>1.8958333333333335</v>
      </c>
      <c r="P223" s="69">
        <f>VLOOKUP(G223,COSTS!$V$11:$X$14,3,FALSE)</f>
        <v>0</v>
      </c>
      <c r="Q223" s="69">
        <f t="shared" si="21"/>
        <v>13.895833333333334</v>
      </c>
      <c r="R223" s="69">
        <f t="shared" si="22"/>
        <v>1.8958333333333335</v>
      </c>
      <c r="S223" s="87">
        <f>VLOOKUP(A:A,'Flat Bed &amp; Late Fees'!A:J,6,FALSE)</f>
        <v>0</v>
      </c>
      <c r="T223" s="87">
        <f>VLOOKUP(A:A,'Flat Bed &amp; Late Fees'!A:J,7,FALSE)</f>
        <v>0</v>
      </c>
      <c r="U223" s="68">
        <f>VLOOKUP(C223&amp;G223,OTR!E:J,6,FALSE)/88</f>
        <v>11.582045454545455</v>
      </c>
      <c r="V223" s="87"/>
      <c r="W223" s="68">
        <f t="shared" si="23"/>
        <v>11.582045454545455</v>
      </c>
      <c r="X223" s="69">
        <f>VLOOKUP(G223,COSTS!$Z$18:$AC$23,2,FALSE)</f>
        <v>2.6</v>
      </c>
      <c r="Y223" s="87">
        <f>VLOOKUP(G223,COSTS!$Z$18:$AC$23,4,FALSE)</f>
        <v>2.52</v>
      </c>
      <c r="Z223" s="69">
        <f>(COSTS!$W$3*COSTS!$W$4*500)/52*COSTS!$AE$17</f>
        <v>1.3125</v>
      </c>
      <c r="AB223" s="69">
        <f t="shared" si="24"/>
        <v>6.4325000000000001</v>
      </c>
      <c r="AC223" s="69">
        <f>VLOOKUP(G223,COSTS!$Z$11:$AE$14,5,FALSE)</f>
        <v>5.5113636363636367</v>
      </c>
      <c r="AD223" s="69">
        <f>VLOOKUP(G223,COSTS!$Z$4:$AD$7,4,FALSE)</f>
        <v>5.3522727272727275</v>
      </c>
      <c r="AE223" s="69"/>
      <c r="AF223" s="69">
        <f t="shared" si="25"/>
        <v>10.863636363636363</v>
      </c>
      <c r="AG223" s="87">
        <f>((COSTS!$C$5*88)/20)/88</f>
        <v>1.4407150000000002</v>
      </c>
      <c r="AH223" s="69">
        <f>(COSTS!$X$38/88)*20</f>
        <v>0.34865702479338845</v>
      </c>
      <c r="AI223" s="87">
        <f>((COSTS!$E$5*88)/20)/88</f>
        <v>0.62936587135988387</v>
      </c>
      <c r="AJ223" s="87">
        <f>((COSTS!$D$5*88)/20)/88</f>
        <v>0.33676</v>
      </c>
      <c r="AL223" s="387">
        <f t="shared" si="26"/>
        <v>2.7554978961532726</v>
      </c>
      <c r="AM223" s="69">
        <f>(COSTS!$W$3+0.1)*500*0.01</f>
        <v>3.9999999999999996</v>
      </c>
      <c r="AN223" s="387">
        <f>((COSTS!$G$5/20)*88)/88</f>
        <v>1.308904109589041</v>
      </c>
      <c r="AR223" s="69">
        <f t="shared" si="27"/>
        <v>5.3089041095890401</v>
      </c>
      <c r="AT223" s="1">
        <f>VLOOKUP(C223&amp;$AT$1,OTR!E:J,6,FALSE)/88</f>
        <v>22.967954545454543</v>
      </c>
      <c r="AU223" s="1">
        <f>VLOOKUP(C223&amp;$AU$1,OTR!E:J,6,FALSE)/88</f>
        <v>16.931818181818183</v>
      </c>
    </row>
    <row r="224" spans="1:47">
      <c r="A224" s="1">
        <v>793960</v>
      </c>
      <c r="B224" s="1" t="s">
        <v>536</v>
      </c>
      <c r="C224" s="1" t="s">
        <v>537</v>
      </c>
      <c r="D224" s="1" t="s">
        <v>168</v>
      </c>
      <c r="E224" s="1" t="str">
        <f>VLOOKUP(A:A,'Regions and Ports'!A:G,5,FALSE)</f>
        <v>Memphis Rule 5</v>
      </c>
      <c r="F224" s="1" t="str">
        <f>VLOOKUP(A:A,'Regions and Ports'!A:F,6,FALSE)</f>
        <v>MR5</v>
      </c>
      <c r="G224" s="1" t="str">
        <f>VLOOKUP(A:A,'Regions and Ports'!A:G,7,FALSE)</f>
        <v>Memphis</v>
      </c>
      <c r="H224" s="87">
        <v>1</v>
      </c>
      <c r="I224" s="69">
        <f>VLOOKUP(A:A,'Seam Tariffs'!A:AB,9,FALSE)</f>
        <v>2.25</v>
      </c>
      <c r="J224" s="69">
        <f>VLOOKUP(A:A,'Seam Tariffs'!A:AB,11,FALSE)</f>
        <v>5.5</v>
      </c>
      <c r="K224" s="69">
        <f>VLOOKUP(A:A,'Seam Tariffs'!A:AB,12,FALSE)</f>
        <v>0</v>
      </c>
      <c r="L224" s="69">
        <f>VLOOKUP(A:A,'Seam Tariffs'!A:AB,13,FALSE)</f>
        <v>0</v>
      </c>
      <c r="M224" s="69">
        <f>VLOOKUP(A:A,'Seam Tariffs'!A:AB,14,FALSE)</f>
        <v>0</v>
      </c>
      <c r="N224" s="69">
        <f>VLOOKUP(A:A,'Seam Tariffs'!A:AB,28,FALSE)</f>
        <v>4</v>
      </c>
      <c r="O224" s="69">
        <f>COSTS!$W$6</f>
        <v>1.8958333333333335</v>
      </c>
      <c r="P224" s="69">
        <f>VLOOKUP(G224,COSTS!$V$11:$X$14,3,FALSE)</f>
        <v>0</v>
      </c>
      <c r="Q224" s="69">
        <f t="shared" si="21"/>
        <v>13.645833333333334</v>
      </c>
      <c r="R224" s="69">
        <f t="shared" si="22"/>
        <v>5.8958333333333339</v>
      </c>
      <c r="S224" s="87">
        <f>VLOOKUP(A:A,'Flat Bed &amp; Late Fees'!A:J,6,FALSE)</f>
        <v>0</v>
      </c>
      <c r="T224" s="87">
        <f>VLOOKUP(A:A,'Flat Bed &amp; Late Fees'!A:J,7,FALSE)</f>
        <v>0</v>
      </c>
      <c r="U224" s="68">
        <f>VLOOKUP(C224&amp;G224,OTR!E:J,6,FALSE)/88</f>
        <v>6.0568181818181817</v>
      </c>
      <c r="V224" s="87"/>
      <c r="W224" s="68">
        <f t="shared" si="23"/>
        <v>6.0568181818181817</v>
      </c>
      <c r="X224" s="69">
        <f>VLOOKUP(G224,COSTS!$Z$18:$AC$23,2,FALSE)</f>
        <v>2.5</v>
      </c>
      <c r="Y224" s="87">
        <f>VLOOKUP(G224,COSTS!$Z$18:$AC$23,4,FALSE)</f>
        <v>1.68</v>
      </c>
      <c r="Z224" s="69">
        <f>(COSTS!$W$3*COSTS!$W$4*500)/52*COSTS!$AE$17</f>
        <v>1.3125</v>
      </c>
      <c r="AB224" s="69">
        <f t="shared" si="24"/>
        <v>5.4924999999999997</v>
      </c>
      <c r="AC224" s="69">
        <f>VLOOKUP(G224,COSTS!$Z$11:$AE$14,5,FALSE)</f>
        <v>7.3011363636363633</v>
      </c>
      <c r="AD224" s="69">
        <f>VLOOKUP(G224,COSTS!$Z$4:$AD$7,4,FALSE)</f>
        <v>9.1363636363636367</v>
      </c>
      <c r="AE224" s="69"/>
      <c r="AF224" s="69">
        <f t="shared" si="25"/>
        <v>16.4375</v>
      </c>
      <c r="AG224" s="87">
        <f>((COSTS!$C$5*88)/20)/88</f>
        <v>1.4407150000000002</v>
      </c>
      <c r="AH224" s="69">
        <f>(COSTS!$X$38/88)*20</f>
        <v>0.34865702479338845</v>
      </c>
      <c r="AI224" s="87">
        <f>((COSTS!$E$5*88)/20)/88</f>
        <v>0.62936587135988387</v>
      </c>
      <c r="AJ224" s="87">
        <f>((COSTS!$D$5*88)/20)/88</f>
        <v>0.33676</v>
      </c>
      <c r="AL224" s="387">
        <f t="shared" si="26"/>
        <v>2.7554978961532726</v>
      </c>
      <c r="AM224" s="69">
        <f>(COSTS!$W$3+0.1)*500*0.01</f>
        <v>3.9999999999999996</v>
      </c>
      <c r="AN224" s="387">
        <f>((COSTS!$G$5/20)*88)/88</f>
        <v>1.308904109589041</v>
      </c>
      <c r="AR224" s="69">
        <f t="shared" si="27"/>
        <v>5.3089041095890401</v>
      </c>
      <c r="AT224" s="1">
        <f>VLOOKUP(C224&amp;$AT$1,OTR!E:J,6,FALSE)/88</f>
        <v>26.028295454545454</v>
      </c>
      <c r="AU224" s="1">
        <f>VLOOKUP(C224&amp;$AU$1,OTR!E:J,6,FALSE)/88</f>
        <v>21.875</v>
      </c>
    </row>
    <row r="225" spans="1:47">
      <c r="A225" s="1">
        <v>793961</v>
      </c>
      <c r="B225" s="1" t="s">
        <v>539</v>
      </c>
      <c r="C225" s="1" t="s">
        <v>537</v>
      </c>
      <c r="D225" s="1" t="s">
        <v>168</v>
      </c>
      <c r="E225" s="1" t="str">
        <f>VLOOKUP(A:A,'Regions and Ports'!A:G,5,FALSE)</f>
        <v>Memphis Rule 5</v>
      </c>
      <c r="F225" s="1" t="str">
        <f>VLOOKUP(A:A,'Regions and Ports'!A:F,6,FALSE)</f>
        <v>MR5</v>
      </c>
      <c r="G225" s="1" t="str">
        <f>VLOOKUP(A:A,'Regions and Ports'!A:G,7,FALSE)</f>
        <v>Memphis</v>
      </c>
      <c r="H225" s="87">
        <v>1</v>
      </c>
      <c r="I225" s="69">
        <f>VLOOKUP(A:A,'Seam Tariffs'!A:AB,9,FALSE)</f>
        <v>2.4500000000000002</v>
      </c>
      <c r="J225" s="69">
        <f>VLOOKUP(A:A,'Seam Tariffs'!A:AB,11,FALSE)</f>
        <v>13.75</v>
      </c>
      <c r="K225" s="69">
        <f>VLOOKUP(A:A,'Seam Tariffs'!A:AB,12,FALSE)</f>
        <v>8</v>
      </c>
      <c r="L225" s="69">
        <f>VLOOKUP(A:A,'Seam Tariffs'!A:AB,13,FALSE)</f>
        <v>3</v>
      </c>
      <c r="M225" s="69">
        <f>VLOOKUP(A:A,'Seam Tariffs'!A:AB,14,FALSE)</f>
        <v>0.5</v>
      </c>
      <c r="N225" s="69">
        <f>VLOOKUP(A:A,'Seam Tariffs'!A:AB,28,FALSE)</f>
        <v>4</v>
      </c>
      <c r="O225" s="69">
        <f>COSTS!$W$6</f>
        <v>1.8958333333333335</v>
      </c>
      <c r="P225" s="69">
        <f>VLOOKUP(G225,COSTS!$V$11:$X$14,3,FALSE)</f>
        <v>0</v>
      </c>
      <c r="Q225" s="69">
        <f t="shared" si="21"/>
        <v>33.595833333333331</v>
      </c>
      <c r="R225" s="69">
        <f t="shared" si="22"/>
        <v>5.8958333333333339</v>
      </c>
      <c r="S225" s="87">
        <f>VLOOKUP(A:A,'Flat Bed &amp; Late Fees'!A:J,6,FALSE)</f>
        <v>0</v>
      </c>
      <c r="T225" s="87">
        <f>VLOOKUP(A:A,'Flat Bed &amp; Late Fees'!A:J,7,FALSE)</f>
        <v>0</v>
      </c>
      <c r="U225" s="68">
        <f>VLOOKUP(C225&amp;G225,OTR!E:J,6,FALSE)/88</f>
        <v>6.0568181818181817</v>
      </c>
      <c r="V225" s="87"/>
      <c r="W225" s="68">
        <f t="shared" si="23"/>
        <v>6.0568181818181817</v>
      </c>
      <c r="X225" s="69">
        <f>VLOOKUP(G225,COSTS!$Z$18:$AC$23,2,FALSE)</f>
        <v>2.5</v>
      </c>
      <c r="Y225" s="87">
        <f>VLOOKUP(G225,COSTS!$Z$18:$AC$23,4,FALSE)</f>
        <v>1.68</v>
      </c>
      <c r="Z225" s="69">
        <f>(COSTS!$W$3*COSTS!$W$4*500)/52*COSTS!$AE$17</f>
        <v>1.3125</v>
      </c>
      <c r="AB225" s="69">
        <f t="shared" si="24"/>
        <v>5.4924999999999997</v>
      </c>
      <c r="AC225" s="69">
        <f>VLOOKUP(G225,COSTS!$Z$11:$AE$14,5,FALSE)</f>
        <v>7.3011363636363633</v>
      </c>
      <c r="AD225" s="69">
        <f>VLOOKUP(G225,COSTS!$Z$4:$AD$7,4,FALSE)</f>
        <v>9.1363636363636367</v>
      </c>
      <c r="AE225" s="69"/>
      <c r="AF225" s="69">
        <f t="shared" si="25"/>
        <v>16.4375</v>
      </c>
      <c r="AG225" s="87">
        <f>((COSTS!$C$5*88)/20)/88</f>
        <v>1.4407150000000002</v>
      </c>
      <c r="AH225" s="69">
        <f>(COSTS!$X$38/88)*20</f>
        <v>0.34865702479338845</v>
      </c>
      <c r="AI225" s="87">
        <f>((COSTS!$E$5*88)/20)/88</f>
        <v>0.62936587135988387</v>
      </c>
      <c r="AJ225" s="87">
        <f>((COSTS!$D$5*88)/20)/88</f>
        <v>0.33676</v>
      </c>
      <c r="AL225" s="387">
        <f t="shared" si="26"/>
        <v>2.7554978961532726</v>
      </c>
      <c r="AM225" s="69">
        <f>(COSTS!$W$3+0.1)*500*0.01</f>
        <v>3.9999999999999996</v>
      </c>
      <c r="AN225" s="387">
        <f>((COSTS!$G$5/20)*88)/88</f>
        <v>1.308904109589041</v>
      </c>
      <c r="AR225" s="69">
        <f t="shared" si="27"/>
        <v>5.3089041095890401</v>
      </c>
      <c r="AT225" s="1">
        <f>VLOOKUP(C225&amp;$AT$1,OTR!E:J,6,FALSE)/88</f>
        <v>26.028295454545454</v>
      </c>
      <c r="AU225" s="1">
        <f>VLOOKUP(C225&amp;$AU$1,OTR!E:J,6,FALSE)/88</f>
        <v>21.875</v>
      </c>
    </row>
    <row r="226" spans="1:47">
      <c r="A226" s="1">
        <v>793962</v>
      </c>
      <c r="B226" s="1" t="s">
        <v>540</v>
      </c>
      <c r="C226" s="1" t="s">
        <v>537</v>
      </c>
      <c r="D226" s="1" t="s">
        <v>168</v>
      </c>
      <c r="E226" s="1" t="str">
        <f>VLOOKUP(A:A,'Regions and Ports'!A:G,5,FALSE)</f>
        <v>Memphis Rule 5</v>
      </c>
      <c r="F226" s="1" t="str">
        <f>VLOOKUP(A:A,'Regions and Ports'!A:F,6,FALSE)</f>
        <v>MR5</v>
      </c>
      <c r="G226" s="1" t="str">
        <f>VLOOKUP(A:A,'Regions and Ports'!A:G,7,FALSE)</f>
        <v>Memphis</v>
      </c>
      <c r="H226" s="87">
        <v>1</v>
      </c>
      <c r="I226" s="69">
        <f>VLOOKUP(A:A,'Seam Tariffs'!A:AB,9,FALSE)</f>
        <v>2.4500000000000002</v>
      </c>
      <c r="J226" s="69">
        <f>VLOOKUP(A:A,'Seam Tariffs'!A:AB,11,FALSE)</f>
        <v>13.75</v>
      </c>
      <c r="K226" s="69">
        <f>VLOOKUP(A:A,'Seam Tariffs'!A:AB,12,FALSE)</f>
        <v>8</v>
      </c>
      <c r="L226" s="69">
        <f>VLOOKUP(A:A,'Seam Tariffs'!A:AB,13,FALSE)</f>
        <v>3</v>
      </c>
      <c r="M226" s="69">
        <f>VLOOKUP(A:A,'Seam Tariffs'!A:AB,14,FALSE)</f>
        <v>0.5</v>
      </c>
      <c r="N226" s="69">
        <f>VLOOKUP(A:A,'Seam Tariffs'!A:AB,28,FALSE)</f>
        <v>4</v>
      </c>
      <c r="O226" s="69">
        <f>COSTS!$W$6</f>
        <v>1.8958333333333335</v>
      </c>
      <c r="P226" s="69">
        <f>VLOOKUP(G226,COSTS!$V$11:$X$14,3,FALSE)</f>
        <v>0</v>
      </c>
      <c r="Q226" s="69">
        <f t="shared" si="21"/>
        <v>33.595833333333331</v>
      </c>
      <c r="R226" s="69">
        <f t="shared" si="22"/>
        <v>5.8958333333333339</v>
      </c>
      <c r="S226" s="87">
        <f>VLOOKUP(A:A,'Flat Bed &amp; Late Fees'!A:J,6,FALSE)</f>
        <v>0</v>
      </c>
      <c r="T226" s="87">
        <f>VLOOKUP(A:A,'Flat Bed &amp; Late Fees'!A:J,7,FALSE)</f>
        <v>0</v>
      </c>
      <c r="U226" s="68">
        <f>VLOOKUP(C226&amp;G226,OTR!E:J,6,FALSE)/88</f>
        <v>6.0568181818181817</v>
      </c>
      <c r="V226" s="87"/>
      <c r="W226" s="68">
        <f t="shared" si="23"/>
        <v>6.0568181818181817</v>
      </c>
      <c r="X226" s="69">
        <f>VLOOKUP(G226,COSTS!$Z$18:$AC$23,2,FALSE)</f>
        <v>2.5</v>
      </c>
      <c r="Y226" s="87">
        <f>VLOOKUP(G226,COSTS!$Z$18:$AC$23,4,FALSE)</f>
        <v>1.68</v>
      </c>
      <c r="Z226" s="69">
        <f>(COSTS!$W$3*COSTS!$W$4*500)/52*COSTS!$AE$17</f>
        <v>1.3125</v>
      </c>
      <c r="AB226" s="69">
        <f t="shared" si="24"/>
        <v>5.4924999999999997</v>
      </c>
      <c r="AC226" s="69">
        <f>VLOOKUP(G226,COSTS!$Z$11:$AE$14,5,FALSE)</f>
        <v>7.3011363636363633</v>
      </c>
      <c r="AD226" s="69">
        <f>VLOOKUP(G226,COSTS!$Z$4:$AD$7,4,FALSE)</f>
        <v>9.1363636363636367</v>
      </c>
      <c r="AE226" s="69"/>
      <c r="AF226" s="69">
        <f t="shared" si="25"/>
        <v>16.4375</v>
      </c>
      <c r="AG226" s="87">
        <f>((COSTS!$C$5*88)/20)/88</f>
        <v>1.4407150000000002</v>
      </c>
      <c r="AH226" s="69">
        <f>(COSTS!$X$38/88)*20</f>
        <v>0.34865702479338845</v>
      </c>
      <c r="AI226" s="87">
        <f>((COSTS!$E$5*88)/20)/88</f>
        <v>0.62936587135988387</v>
      </c>
      <c r="AJ226" s="87">
        <f>((COSTS!$D$5*88)/20)/88</f>
        <v>0.33676</v>
      </c>
      <c r="AL226" s="387">
        <f t="shared" si="26"/>
        <v>2.7554978961532726</v>
      </c>
      <c r="AM226" s="69">
        <f>(COSTS!$W$3+0.1)*500*0.01</f>
        <v>3.9999999999999996</v>
      </c>
      <c r="AN226" s="387">
        <f>((COSTS!$G$5/20)*88)/88</f>
        <v>1.308904109589041</v>
      </c>
      <c r="AR226" s="69">
        <f t="shared" si="27"/>
        <v>5.3089041095890401</v>
      </c>
      <c r="AT226" s="1">
        <f>VLOOKUP(C226&amp;$AT$1,OTR!E:J,6,FALSE)/88</f>
        <v>26.028295454545454</v>
      </c>
      <c r="AU226" s="1">
        <f>VLOOKUP(C226&amp;$AU$1,OTR!E:J,6,FALSE)/88</f>
        <v>21.875</v>
      </c>
    </row>
    <row r="227" spans="1:47">
      <c r="A227" s="1">
        <v>794505</v>
      </c>
      <c r="B227" s="1" t="s">
        <v>542</v>
      </c>
      <c r="C227" s="1" t="s">
        <v>537</v>
      </c>
      <c r="D227" s="1" t="s">
        <v>168</v>
      </c>
      <c r="E227" s="1" t="str">
        <f>VLOOKUP(A:A,'Regions and Ports'!A:G,5,FALSE)</f>
        <v>Memphis Rule 5</v>
      </c>
      <c r="F227" s="1" t="str">
        <f>VLOOKUP(A:A,'Regions and Ports'!A:F,6,FALSE)</f>
        <v>MR5</v>
      </c>
      <c r="G227" s="1" t="str">
        <f>VLOOKUP(A:A,'Regions and Ports'!A:G,7,FALSE)</f>
        <v>Memphis</v>
      </c>
      <c r="H227" s="87">
        <v>1</v>
      </c>
      <c r="I227" s="69">
        <f>VLOOKUP(A:A,'Seam Tariffs'!A:AB,9,FALSE)</f>
        <v>2.25</v>
      </c>
      <c r="J227" s="69">
        <f>VLOOKUP(A:A,'Seam Tariffs'!A:AB,11,FALSE)</f>
        <v>14.25</v>
      </c>
      <c r="K227" s="69">
        <f>VLOOKUP(A:A,'Seam Tariffs'!A:AB,12,FALSE)</f>
        <v>0</v>
      </c>
      <c r="L227" s="69">
        <f>VLOOKUP(A:A,'Seam Tariffs'!A:AB,13,FALSE)</f>
        <v>3</v>
      </c>
      <c r="M227" s="69">
        <f>VLOOKUP(A:A,'Seam Tariffs'!A:AB,14,FALSE)</f>
        <v>0</v>
      </c>
      <c r="N227" s="69">
        <f>VLOOKUP(A:A,'Seam Tariffs'!A:AB,28,FALSE)</f>
        <v>4.2</v>
      </c>
      <c r="O227" s="69">
        <f>COSTS!$W$6</f>
        <v>1.8958333333333335</v>
      </c>
      <c r="P227" s="69">
        <f>VLOOKUP(G227,COSTS!$V$11:$X$14,3,FALSE)</f>
        <v>0</v>
      </c>
      <c r="Q227" s="69">
        <f t="shared" si="21"/>
        <v>25.595833333333331</v>
      </c>
      <c r="R227" s="69">
        <f t="shared" si="22"/>
        <v>6.0958333333333332</v>
      </c>
      <c r="S227" s="87">
        <f>VLOOKUP(A:A,'Flat Bed &amp; Late Fees'!A:J,6,FALSE)</f>
        <v>0</v>
      </c>
      <c r="T227" s="87">
        <f>VLOOKUP(A:A,'Flat Bed &amp; Late Fees'!A:J,7,FALSE)</f>
        <v>0</v>
      </c>
      <c r="U227" s="68">
        <f>VLOOKUP(C227&amp;G227,OTR!E:J,6,FALSE)/88</f>
        <v>6.0568181818181817</v>
      </c>
      <c r="V227" s="87"/>
      <c r="W227" s="68">
        <f t="shared" si="23"/>
        <v>6.0568181818181817</v>
      </c>
      <c r="X227" s="69">
        <f>VLOOKUP(G227,COSTS!$Z$18:$AC$23,2,FALSE)</f>
        <v>2.5</v>
      </c>
      <c r="Y227" s="87">
        <f>VLOOKUP(G227,COSTS!$Z$18:$AC$23,4,FALSE)</f>
        <v>1.68</v>
      </c>
      <c r="Z227" s="69">
        <f>(COSTS!$W$3*COSTS!$W$4*500)/52*COSTS!$AE$17</f>
        <v>1.3125</v>
      </c>
      <c r="AB227" s="69">
        <f t="shared" si="24"/>
        <v>5.4924999999999997</v>
      </c>
      <c r="AC227" s="69">
        <f>VLOOKUP(G227,COSTS!$Z$11:$AE$14,5,FALSE)</f>
        <v>7.3011363636363633</v>
      </c>
      <c r="AD227" s="69">
        <f>VLOOKUP(G227,COSTS!$Z$4:$AD$7,4,FALSE)</f>
        <v>9.1363636363636367</v>
      </c>
      <c r="AE227" s="69"/>
      <c r="AF227" s="69">
        <f t="shared" si="25"/>
        <v>16.4375</v>
      </c>
      <c r="AG227" s="87">
        <f>((COSTS!$C$5*88)/20)/88</f>
        <v>1.4407150000000002</v>
      </c>
      <c r="AH227" s="69">
        <f>(COSTS!$X$38/88)*20</f>
        <v>0.34865702479338845</v>
      </c>
      <c r="AI227" s="87">
        <f>((COSTS!$E$5*88)/20)/88</f>
        <v>0.62936587135988387</v>
      </c>
      <c r="AJ227" s="87">
        <f>((COSTS!$D$5*88)/20)/88</f>
        <v>0.33676</v>
      </c>
      <c r="AL227" s="387">
        <f t="shared" si="26"/>
        <v>2.7554978961532726</v>
      </c>
      <c r="AM227" s="69">
        <f>(COSTS!$W$3+0.1)*500*0.01</f>
        <v>3.9999999999999996</v>
      </c>
      <c r="AN227" s="387">
        <f>((COSTS!$G$5/20)*88)/88</f>
        <v>1.308904109589041</v>
      </c>
      <c r="AR227" s="69">
        <f t="shared" si="27"/>
        <v>5.3089041095890401</v>
      </c>
      <c r="AT227" s="1">
        <f>VLOOKUP(C227&amp;$AT$1,OTR!E:J,6,FALSE)/88</f>
        <v>26.028295454545454</v>
      </c>
      <c r="AU227" s="1">
        <f>VLOOKUP(C227&amp;$AU$1,OTR!E:J,6,FALSE)/88</f>
        <v>21.875</v>
      </c>
    </row>
    <row r="228" spans="1:47">
      <c r="A228" s="1">
        <v>794540</v>
      </c>
      <c r="B228" s="1" t="s">
        <v>544</v>
      </c>
      <c r="C228" s="1" t="s">
        <v>537</v>
      </c>
      <c r="D228" s="1" t="s">
        <v>168</v>
      </c>
      <c r="E228" s="1" t="str">
        <f>VLOOKUP(A:A,'Regions and Ports'!A:G,5,FALSE)</f>
        <v>Memphis Rule 5</v>
      </c>
      <c r="F228" s="1" t="str">
        <f>VLOOKUP(A:A,'Regions and Ports'!A:F,6,FALSE)</f>
        <v>MR5</v>
      </c>
      <c r="G228" s="1" t="str">
        <f>VLOOKUP(A:A,'Regions and Ports'!A:G,7,FALSE)</f>
        <v>Memphis</v>
      </c>
      <c r="H228" s="87">
        <v>1</v>
      </c>
      <c r="I228" s="69">
        <f>VLOOKUP(A:A,'Seam Tariffs'!A:AB,9,FALSE)</f>
        <v>2.75</v>
      </c>
      <c r="J228" s="69">
        <f>VLOOKUP(A:A,'Seam Tariffs'!A:AB,11,FALSE)</f>
        <v>16</v>
      </c>
      <c r="K228" s="69">
        <f>VLOOKUP(A:A,'Seam Tariffs'!A:AB,12,FALSE)</f>
        <v>0</v>
      </c>
      <c r="L228" s="69">
        <f>VLOOKUP(A:A,'Seam Tariffs'!A:AB,13,FALSE)</f>
        <v>3.05</v>
      </c>
      <c r="M228" s="69">
        <f>VLOOKUP(A:A,'Seam Tariffs'!A:AB,14,FALSE)</f>
        <v>0.5</v>
      </c>
      <c r="N228" s="69">
        <f>VLOOKUP(A:A,'Seam Tariffs'!A:AB,28,FALSE)</f>
        <v>3.75</v>
      </c>
      <c r="O228" s="69">
        <f>COSTS!$W$6</f>
        <v>1.8958333333333335</v>
      </c>
      <c r="P228" s="69">
        <f>VLOOKUP(G228,COSTS!$V$11:$X$14,3,FALSE)</f>
        <v>0</v>
      </c>
      <c r="Q228" s="69">
        <f t="shared" si="21"/>
        <v>27.945833333333333</v>
      </c>
      <c r="R228" s="69">
        <f t="shared" si="22"/>
        <v>5.6458333333333339</v>
      </c>
      <c r="S228" s="87">
        <f>VLOOKUP(A:A,'Flat Bed &amp; Late Fees'!A:J,6,FALSE)</f>
        <v>0</v>
      </c>
      <c r="T228" s="87">
        <f>VLOOKUP(A:A,'Flat Bed &amp; Late Fees'!A:J,7,FALSE)</f>
        <v>0</v>
      </c>
      <c r="U228" s="68">
        <f>VLOOKUP(C228&amp;G228,OTR!E:J,6,FALSE)/88</f>
        <v>6.0568181818181817</v>
      </c>
      <c r="V228" s="87"/>
      <c r="W228" s="68">
        <f t="shared" si="23"/>
        <v>6.0568181818181817</v>
      </c>
      <c r="X228" s="69">
        <f>VLOOKUP(G228,COSTS!$Z$18:$AC$23,2,FALSE)</f>
        <v>2.5</v>
      </c>
      <c r="Y228" s="87">
        <f>VLOOKUP(G228,COSTS!$Z$18:$AC$23,4,FALSE)</f>
        <v>1.68</v>
      </c>
      <c r="Z228" s="69">
        <f>(COSTS!$W$3*COSTS!$W$4*500)/52*COSTS!$AE$17</f>
        <v>1.3125</v>
      </c>
      <c r="AB228" s="69">
        <f t="shared" si="24"/>
        <v>5.4924999999999997</v>
      </c>
      <c r="AC228" s="69">
        <f>VLOOKUP(G228,COSTS!$Z$11:$AE$14,5,FALSE)</f>
        <v>7.3011363636363633</v>
      </c>
      <c r="AD228" s="69">
        <f>VLOOKUP(G228,COSTS!$Z$4:$AD$7,4,FALSE)</f>
        <v>9.1363636363636367</v>
      </c>
      <c r="AE228" s="69"/>
      <c r="AF228" s="69">
        <f t="shared" si="25"/>
        <v>16.4375</v>
      </c>
      <c r="AG228" s="87">
        <f>((COSTS!$C$5*88)/20)/88</f>
        <v>1.4407150000000002</v>
      </c>
      <c r="AH228" s="69">
        <f>(COSTS!$X$38/88)*20</f>
        <v>0.34865702479338845</v>
      </c>
      <c r="AI228" s="87">
        <f>((COSTS!$E$5*88)/20)/88</f>
        <v>0.62936587135988387</v>
      </c>
      <c r="AJ228" s="87">
        <f>((COSTS!$D$5*88)/20)/88</f>
        <v>0.33676</v>
      </c>
      <c r="AL228" s="387">
        <f t="shared" si="26"/>
        <v>2.7554978961532726</v>
      </c>
      <c r="AM228" s="69">
        <f>(COSTS!$W$3+0.1)*500*0.01</f>
        <v>3.9999999999999996</v>
      </c>
      <c r="AN228" s="387">
        <f>((COSTS!$G$5/20)*88)/88</f>
        <v>1.308904109589041</v>
      </c>
      <c r="AR228" s="69">
        <f t="shared" si="27"/>
        <v>5.3089041095890401</v>
      </c>
      <c r="AT228" s="1">
        <f>VLOOKUP(C228&amp;$AT$1,OTR!E:J,6,FALSE)/88</f>
        <v>26.028295454545454</v>
      </c>
      <c r="AU228" s="1">
        <f>VLOOKUP(C228&amp;$AU$1,OTR!E:J,6,FALSE)/88</f>
        <v>21.875</v>
      </c>
    </row>
    <row r="229" spans="1:47">
      <c r="A229" s="1">
        <v>794550</v>
      </c>
      <c r="B229" s="1" t="s">
        <v>546</v>
      </c>
      <c r="C229" s="1" t="s">
        <v>537</v>
      </c>
      <c r="D229" s="1" t="s">
        <v>168</v>
      </c>
      <c r="E229" s="1" t="str">
        <f>VLOOKUP(A:A,'Regions and Ports'!A:G,5,FALSE)</f>
        <v>Memphis Rule 5</v>
      </c>
      <c r="F229" s="1" t="str">
        <f>VLOOKUP(A:A,'Regions and Ports'!A:F,6,FALSE)</f>
        <v>MR5</v>
      </c>
      <c r="G229" s="1" t="str">
        <f>VLOOKUP(A:A,'Regions and Ports'!A:G,7,FALSE)</f>
        <v>Memphis</v>
      </c>
      <c r="H229" s="87">
        <v>1</v>
      </c>
      <c r="I229" s="69">
        <f>VLOOKUP(A:A,'Seam Tariffs'!A:AB,9,FALSE)</f>
        <v>2.75</v>
      </c>
      <c r="J229" s="69">
        <f>VLOOKUP(A:A,'Seam Tariffs'!A:AB,11,FALSE)</f>
        <v>16</v>
      </c>
      <c r="K229" s="69">
        <f>VLOOKUP(A:A,'Seam Tariffs'!A:AB,12,FALSE)</f>
        <v>0</v>
      </c>
      <c r="L229" s="69">
        <f>VLOOKUP(A:A,'Seam Tariffs'!A:AB,13,FALSE)</f>
        <v>3.05</v>
      </c>
      <c r="M229" s="69">
        <f>VLOOKUP(A:A,'Seam Tariffs'!A:AB,14,FALSE)</f>
        <v>0.5</v>
      </c>
      <c r="N229" s="69">
        <f>VLOOKUP(A:A,'Seam Tariffs'!A:AB,28,FALSE)</f>
        <v>3.75</v>
      </c>
      <c r="O229" s="69">
        <f>COSTS!$W$6</f>
        <v>1.8958333333333335</v>
      </c>
      <c r="P229" s="69">
        <f>VLOOKUP(G229,COSTS!$V$11:$X$14,3,FALSE)</f>
        <v>0</v>
      </c>
      <c r="Q229" s="69">
        <f t="shared" si="21"/>
        <v>27.945833333333333</v>
      </c>
      <c r="R229" s="69">
        <f t="shared" si="22"/>
        <v>5.6458333333333339</v>
      </c>
      <c r="S229" s="87">
        <f>VLOOKUP(A:A,'Flat Bed &amp; Late Fees'!A:J,6,FALSE)</f>
        <v>0</v>
      </c>
      <c r="T229" s="87">
        <f>VLOOKUP(A:A,'Flat Bed &amp; Late Fees'!A:J,7,FALSE)</f>
        <v>0</v>
      </c>
      <c r="U229" s="68">
        <f>VLOOKUP(C229&amp;G229,OTR!E:J,6,FALSE)/88</f>
        <v>6.0568181818181817</v>
      </c>
      <c r="V229" s="87"/>
      <c r="W229" s="68">
        <f t="shared" si="23"/>
        <v>6.0568181818181817</v>
      </c>
      <c r="X229" s="69">
        <f>VLOOKUP(G229,COSTS!$Z$18:$AC$23,2,FALSE)</f>
        <v>2.5</v>
      </c>
      <c r="Y229" s="87">
        <f>VLOOKUP(G229,COSTS!$Z$18:$AC$23,4,FALSE)</f>
        <v>1.68</v>
      </c>
      <c r="Z229" s="69">
        <f>(COSTS!$W$3*COSTS!$W$4*500)/52*COSTS!$AE$17</f>
        <v>1.3125</v>
      </c>
      <c r="AB229" s="69">
        <f t="shared" si="24"/>
        <v>5.4924999999999997</v>
      </c>
      <c r="AC229" s="69">
        <f>VLOOKUP(G229,COSTS!$Z$11:$AE$14,5,FALSE)</f>
        <v>7.3011363636363633</v>
      </c>
      <c r="AD229" s="69">
        <f>VLOOKUP(G229,COSTS!$Z$4:$AD$7,4,FALSE)</f>
        <v>9.1363636363636367</v>
      </c>
      <c r="AE229" s="69"/>
      <c r="AF229" s="69">
        <f t="shared" si="25"/>
        <v>16.4375</v>
      </c>
      <c r="AG229" s="87">
        <f>((COSTS!$C$5*88)/20)/88</f>
        <v>1.4407150000000002</v>
      </c>
      <c r="AH229" s="69">
        <f>(COSTS!$X$38/88)*20</f>
        <v>0.34865702479338845</v>
      </c>
      <c r="AI229" s="87">
        <f>((COSTS!$E$5*88)/20)/88</f>
        <v>0.62936587135988387</v>
      </c>
      <c r="AJ229" s="87">
        <f>((COSTS!$D$5*88)/20)/88</f>
        <v>0.33676</v>
      </c>
      <c r="AL229" s="387">
        <f t="shared" si="26"/>
        <v>2.7554978961532726</v>
      </c>
      <c r="AM229" s="69">
        <f>(COSTS!$W$3+0.1)*500*0.01</f>
        <v>3.9999999999999996</v>
      </c>
      <c r="AN229" s="387">
        <f>((COSTS!$G$5/20)*88)/88</f>
        <v>1.308904109589041</v>
      </c>
      <c r="AR229" s="69">
        <f t="shared" si="27"/>
        <v>5.3089041095890401</v>
      </c>
      <c r="AT229" s="1">
        <f>VLOOKUP(C229&amp;$AT$1,OTR!E:J,6,FALSE)/88</f>
        <v>26.028295454545454</v>
      </c>
      <c r="AU229" s="1">
        <f>VLOOKUP(C229&amp;$AU$1,OTR!E:J,6,FALSE)/88</f>
        <v>21.875</v>
      </c>
    </row>
    <row r="230" spans="1:47">
      <c r="A230" s="1">
        <v>794553</v>
      </c>
      <c r="B230" s="1" t="s">
        <v>548</v>
      </c>
      <c r="C230" s="1" t="s">
        <v>537</v>
      </c>
      <c r="D230" s="1" t="s">
        <v>168</v>
      </c>
      <c r="E230" s="1" t="str">
        <f>VLOOKUP(A:A,'Regions and Ports'!A:G,5,FALSE)</f>
        <v>Memphis Rule 5</v>
      </c>
      <c r="F230" s="1" t="str">
        <f>VLOOKUP(A:A,'Regions and Ports'!A:F,6,FALSE)</f>
        <v>MR5</v>
      </c>
      <c r="G230" s="1" t="str">
        <f>VLOOKUP(A:A,'Regions and Ports'!A:G,7,FALSE)</f>
        <v>Memphis</v>
      </c>
      <c r="H230" s="87">
        <v>1</v>
      </c>
      <c r="I230" s="69">
        <f>VLOOKUP(A:A,'Seam Tariffs'!A:AB,9,FALSE)</f>
        <v>2.75</v>
      </c>
      <c r="J230" s="69">
        <f>VLOOKUP(A:A,'Seam Tariffs'!A:AB,11,FALSE)</f>
        <v>16</v>
      </c>
      <c r="K230" s="69">
        <f>VLOOKUP(A:A,'Seam Tariffs'!A:AB,12,FALSE)</f>
        <v>0</v>
      </c>
      <c r="L230" s="69">
        <f>VLOOKUP(A:A,'Seam Tariffs'!A:AB,13,FALSE)</f>
        <v>3.05</v>
      </c>
      <c r="M230" s="69">
        <f>VLOOKUP(A:A,'Seam Tariffs'!A:AB,14,FALSE)</f>
        <v>0.5</v>
      </c>
      <c r="N230" s="69">
        <f>VLOOKUP(A:A,'Seam Tariffs'!A:AB,28,FALSE)</f>
        <v>3.75</v>
      </c>
      <c r="O230" s="69">
        <f>COSTS!$W$6</f>
        <v>1.8958333333333335</v>
      </c>
      <c r="P230" s="69">
        <f>VLOOKUP(G230,COSTS!$V$11:$X$14,3,FALSE)</f>
        <v>0</v>
      </c>
      <c r="Q230" s="69">
        <f t="shared" si="21"/>
        <v>27.945833333333333</v>
      </c>
      <c r="R230" s="69">
        <f t="shared" si="22"/>
        <v>5.6458333333333339</v>
      </c>
      <c r="S230" s="87">
        <f>VLOOKUP(A:A,'Flat Bed &amp; Late Fees'!A:J,6,FALSE)</f>
        <v>0</v>
      </c>
      <c r="T230" s="87">
        <f>VLOOKUP(A:A,'Flat Bed &amp; Late Fees'!A:J,7,FALSE)</f>
        <v>0</v>
      </c>
      <c r="U230" s="68">
        <f>VLOOKUP(C230&amp;G230,OTR!E:J,6,FALSE)/88</f>
        <v>6.0568181818181817</v>
      </c>
      <c r="V230" s="87"/>
      <c r="W230" s="68">
        <f t="shared" si="23"/>
        <v>6.0568181818181817</v>
      </c>
      <c r="X230" s="69">
        <f>VLOOKUP(G230,COSTS!$Z$18:$AC$23,2,FALSE)</f>
        <v>2.5</v>
      </c>
      <c r="Y230" s="87">
        <f>VLOOKUP(G230,COSTS!$Z$18:$AC$23,4,FALSE)</f>
        <v>1.68</v>
      </c>
      <c r="Z230" s="69">
        <f>(COSTS!$W$3*COSTS!$W$4*500)/52*COSTS!$AE$17</f>
        <v>1.3125</v>
      </c>
      <c r="AB230" s="69">
        <f t="shared" si="24"/>
        <v>5.4924999999999997</v>
      </c>
      <c r="AC230" s="69">
        <f>VLOOKUP(G230,COSTS!$Z$11:$AE$14,5,FALSE)</f>
        <v>7.3011363636363633</v>
      </c>
      <c r="AD230" s="69">
        <f>VLOOKUP(G230,COSTS!$Z$4:$AD$7,4,FALSE)</f>
        <v>9.1363636363636367</v>
      </c>
      <c r="AE230" s="69"/>
      <c r="AF230" s="69">
        <f t="shared" si="25"/>
        <v>16.4375</v>
      </c>
      <c r="AG230" s="87">
        <f>((COSTS!$C$5*88)/20)/88</f>
        <v>1.4407150000000002</v>
      </c>
      <c r="AH230" s="69">
        <f>(COSTS!$X$38/88)*20</f>
        <v>0.34865702479338845</v>
      </c>
      <c r="AI230" s="87">
        <f>((COSTS!$E$5*88)/20)/88</f>
        <v>0.62936587135988387</v>
      </c>
      <c r="AJ230" s="87">
        <f>((COSTS!$D$5*88)/20)/88</f>
        <v>0.33676</v>
      </c>
      <c r="AL230" s="387">
        <f t="shared" si="26"/>
        <v>2.7554978961532726</v>
      </c>
      <c r="AM230" s="69">
        <f>(COSTS!$W$3+0.1)*500*0.01</f>
        <v>3.9999999999999996</v>
      </c>
      <c r="AN230" s="387">
        <f>((COSTS!$G$5/20)*88)/88</f>
        <v>1.308904109589041</v>
      </c>
      <c r="AR230" s="69">
        <f t="shared" si="27"/>
        <v>5.3089041095890401</v>
      </c>
      <c r="AT230" s="1">
        <f>VLOOKUP(C230&amp;$AT$1,OTR!E:J,6,FALSE)/88</f>
        <v>26.028295454545454</v>
      </c>
      <c r="AU230" s="1">
        <f>VLOOKUP(C230&amp;$AU$1,OTR!E:J,6,FALSE)/88</f>
        <v>21.875</v>
      </c>
    </row>
    <row r="231" spans="1:47">
      <c r="A231" s="1">
        <v>794555</v>
      </c>
      <c r="B231" s="1" t="s">
        <v>550</v>
      </c>
      <c r="C231" s="1" t="s">
        <v>537</v>
      </c>
      <c r="D231" s="1" t="s">
        <v>168</v>
      </c>
      <c r="E231" s="1" t="str">
        <f>VLOOKUP(A:A,'Regions and Ports'!A:G,5,FALSE)</f>
        <v>Memphis Rule 5</v>
      </c>
      <c r="F231" s="1" t="str">
        <f>VLOOKUP(A:A,'Regions and Ports'!A:F,6,FALSE)</f>
        <v>MR5</v>
      </c>
      <c r="G231" s="1" t="str">
        <f>VLOOKUP(A:A,'Regions and Ports'!A:G,7,FALSE)</f>
        <v>Memphis</v>
      </c>
      <c r="H231" s="87">
        <v>1</v>
      </c>
      <c r="I231" s="69">
        <f>VLOOKUP(A:A,'Seam Tariffs'!A:AB,9,FALSE)</f>
        <v>2.75</v>
      </c>
      <c r="J231" s="69">
        <f>VLOOKUP(A:A,'Seam Tariffs'!A:AB,11,FALSE)</f>
        <v>16</v>
      </c>
      <c r="K231" s="69">
        <f>VLOOKUP(A:A,'Seam Tariffs'!A:AB,12,FALSE)</f>
        <v>0</v>
      </c>
      <c r="L231" s="69">
        <f>VLOOKUP(A:A,'Seam Tariffs'!A:AB,13,FALSE)</f>
        <v>3.05</v>
      </c>
      <c r="M231" s="69">
        <f>VLOOKUP(A:A,'Seam Tariffs'!A:AB,14,FALSE)</f>
        <v>0.5</v>
      </c>
      <c r="N231" s="69">
        <f>VLOOKUP(A:A,'Seam Tariffs'!A:AB,28,FALSE)</f>
        <v>3.75</v>
      </c>
      <c r="O231" s="69">
        <f>COSTS!$W$6</f>
        <v>1.8958333333333335</v>
      </c>
      <c r="P231" s="69">
        <f>VLOOKUP(G231,COSTS!$V$11:$X$14,3,FALSE)</f>
        <v>0</v>
      </c>
      <c r="Q231" s="69">
        <f t="shared" si="21"/>
        <v>27.945833333333333</v>
      </c>
      <c r="R231" s="69">
        <f t="shared" si="22"/>
        <v>5.6458333333333339</v>
      </c>
      <c r="S231" s="87">
        <f>VLOOKUP(A:A,'Flat Bed &amp; Late Fees'!A:J,6,FALSE)</f>
        <v>0</v>
      </c>
      <c r="T231" s="87">
        <f>VLOOKUP(A:A,'Flat Bed &amp; Late Fees'!A:J,7,FALSE)</f>
        <v>0</v>
      </c>
      <c r="U231" s="68">
        <f>VLOOKUP(C231&amp;G231,OTR!E:J,6,FALSE)/88</f>
        <v>6.0568181818181817</v>
      </c>
      <c r="V231" s="87"/>
      <c r="W231" s="68">
        <f t="shared" si="23"/>
        <v>6.0568181818181817</v>
      </c>
      <c r="X231" s="69">
        <f>VLOOKUP(G231,COSTS!$Z$18:$AC$23,2,FALSE)</f>
        <v>2.5</v>
      </c>
      <c r="Y231" s="87">
        <f>VLOOKUP(G231,COSTS!$Z$18:$AC$23,4,FALSE)</f>
        <v>1.68</v>
      </c>
      <c r="Z231" s="69">
        <f>(COSTS!$W$3*COSTS!$W$4*500)/52*COSTS!$AE$17</f>
        <v>1.3125</v>
      </c>
      <c r="AB231" s="69">
        <f t="shared" si="24"/>
        <v>5.4924999999999997</v>
      </c>
      <c r="AC231" s="69">
        <f>VLOOKUP(G231,COSTS!$Z$11:$AE$14,5,FALSE)</f>
        <v>7.3011363636363633</v>
      </c>
      <c r="AD231" s="69">
        <f>VLOOKUP(G231,COSTS!$Z$4:$AD$7,4,FALSE)</f>
        <v>9.1363636363636367</v>
      </c>
      <c r="AE231" s="69"/>
      <c r="AF231" s="69">
        <f t="shared" si="25"/>
        <v>16.4375</v>
      </c>
      <c r="AG231" s="87">
        <f>((COSTS!$C$5*88)/20)/88</f>
        <v>1.4407150000000002</v>
      </c>
      <c r="AH231" s="69">
        <f>(COSTS!$X$38/88)*20</f>
        <v>0.34865702479338845</v>
      </c>
      <c r="AI231" s="87">
        <f>((COSTS!$E$5*88)/20)/88</f>
        <v>0.62936587135988387</v>
      </c>
      <c r="AJ231" s="87">
        <f>((COSTS!$D$5*88)/20)/88</f>
        <v>0.33676</v>
      </c>
      <c r="AL231" s="387">
        <f t="shared" si="26"/>
        <v>2.7554978961532726</v>
      </c>
      <c r="AM231" s="69">
        <f>(COSTS!$W$3+0.1)*500*0.01</f>
        <v>3.9999999999999996</v>
      </c>
      <c r="AN231" s="387">
        <f>((COSTS!$G$5/20)*88)/88</f>
        <v>1.308904109589041</v>
      </c>
      <c r="AR231" s="69">
        <f t="shared" si="27"/>
        <v>5.3089041095890401</v>
      </c>
      <c r="AT231" s="1">
        <f>VLOOKUP(C231&amp;$AT$1,OTR!E:J,6,FALSE)/88</f>
        <v>26.028295454545454</v>
      </c>
      <c r="AU231" s="1">
        <f>VLOOKUP(C231&amp;$AU$1,OTR!E:J,6,FALSE)/88</f>
        <v>21.875</v>
      </c>
    </row>
    <row r="232" spans="1:47">
      <c r="A232" s="1">
        <v>794560</v>
      </c>
      <c r="B232" s="1" t="s">
        <v>552</v>
      </c>
      <c r="C232" s="1" t="s">
        <v>537</v>
      </c>
      <c r="D232" s="1" t="s">
        <v>168</v>
      </c>
      <c r="E232" s="1" t="str">
        <f>VLOOKUP(A:A,'Regions and Ports'!A:G,5,FALSE)</f>
        <v>Memphis Rule 5</v>
      </c>
      <c r="F232" s="1" t="str">
        <f>VLOOKUP(A:A,'Regions and Ports'!A:F,6,FALSE)</f>
        <v>MR5</v>
      </c>
      <c r="G232" s="1" t="str">
        <f>VLOOKUP(A:A,'Regions and Ports'!A:G,7,FALSE)</f>
        <v>Memphis</v>
      </c>
      <c r="H232" s="87">
        <v>1</v>
      </c>
      <c r="I232" s="69">
        <f>VLOOKUP(A:A,'Seam Tariffs'!A:AB,9,FALSE)</f>
        <v>2.75</v>
      </c>
      <c r="J232" s="69">
        <f>VLOOKUP(A:A,'Seam Tariffs'!A:AB,11,FALSE)</f>
        <v>16</v>
      </c>
      <c r="K232" s="69">
        <f>VLOOKUP(A:A,'Seam Tariffs'!A:AB,12,FALSE)</f>
        <v>0</v>
      </c>
      <c r="L232" s="69">
        <f>VLOOKUP(A:A,'Seam Tariffs'!A:AB,13,FALSE)</f>
        <v>3.05</v>
      </c>
      <c r="M232" s="69">
        <f>VLOOKUP(A:A,'Seam Tariffs'!A:AB,14,FALSE)</f>
        <v>0.5</v>
      </c>
      <c r="N232" s="69">
        <f>VLOOKUP(A:A,'Seam Tariffs'!A:AB,28,FALSE)</f>
        <v>3.75</v>
      </c>
      <c r="O232" s="69">
        <f>COSTS!$W$6</f>
        <v>1.8958333333333335</v>
      </c>
      <c r="P232" s="69">
        <f>VLOOKUP(G232,COSTS!$V$11:$X$14,3,FALSE)</f>
        <v>0</v>
      </c>
      <c r="Q232" s="69">
        <f t="shared" si="21"/>
        <v>27.945833333333333</v>
      </c>
      <c r="R232" s="69">
        <f t="shared" si="22"/>
        <v>5.6458333333333339</v>
      </c>
      <c r="S232" s="87">
        <f>VLOOKUP(A:A,'Flat Bed &amp; Late Fees'!A:J,6,FALSE)</f>
        <v>0</v>
      </c>
      <c r="T232" s="87">
        <f>VLOOKUP(A:A,'Flat Bed &amp; Late Fees'!A:J,7,FALSE)</f>
        <v>0</v>
      </c>
      <c r="U232" s="68">
        <f>VLOOKUP(C232&amp;G232,OTR!E:J,6,FALSE)/88</f>
        <v>6.0568181818181817</v>
      </c>
      <c r="V232" s="87"/>
      <c r="W232" s="68">
        <f t="shared" si="23"/>
        <v>6.0568181818181817</v>
      </c>
      <c r="X232" s="69">
        <f>VLOOKUP(G232,COSTS!$Z$18:$AC$23,2,FALSE)</f>
        <v>2.5</v>
      </c>
      <c r="Y232" s="87">
        <f>VLOOKUP(G232,COSTS!$Z$18:$AC$23,4,FALSE)</f>
        <v>1.68</v>
      </c>
      <c r="Z232" s="69">
        <f>(COSTS!$W$3*COSTS!$W$4*500)/52*COSTS!$AE$17</f>
        <v>1.3125</v>
      </c>
      <c r="AB232" s="69">
        <f t="shared" si="24"/>
        <v>5.4924999999999997</v>
      </c>
      <c r="AC232" s="69">
        <f>VLOOKUP(G232,COSTS!$Z$11:$AE$14,5,FALSE)</f>
        <v>7.3011363636363633</v>
      </c>
      <c r="AD232" s="69">
        <f>VLOOKUP(G232,COSTS!$Z$4:$AD$7,4,FALSE)</f>
        <v>9.1363636363636367</v>
      </c>
      <c r="AE232" s="69"/>
      <c r="AF232" s="69">
        <f t="shared" si="25"/>
        <v>16.4375</v>
      </c>
      <c r="AG232" s="87">
        <f>((COSTS!$C$5*88)/20)/88</f>
        <v>1.4407150000000002</v>
      </c>
      <c r="AH232" s="69">
        <f>(COSTS!$X$38/88)*20</f>
        <v>0.34865702479338845</v>
      </c>
      <c r="AI232" s="87">
        <f>((COSTS!$E$5*88)/20)/88</f>
        <v>0.62936587135988387</v>
      </c>
      <c r="AJ232" s="87">
        <f>((COSTS!$D$5*88)/20)/88</f>
        <v>0.33676</v>
      </c>
      <c r="AL232" s="387">
        <f t="shared" si="26"/>
        <v>2.7554978961532726</v>
      </c>
      <c r="AM232" s="69">
        <f>(COSTS!$W$3+0.1)*500*0.01</f>
        <v>3.9999999999999996</v>
      </c>
      <c r="AN232" s="387">
        <f>((COSTS!$G$5/20)*88)/88</f>
        <v>1.308904109589041</v>
      </c>
      <c r="AR232" s="69">
        <f t="shared" si="27"/>
        <v>5.3089041095890401</v>
      </c>
      <c r="AT232" s="1">
        <f>VLOOKUP(C232&amp;$AT$1,OTR!E:J,6,FALSE)/88</f>
        <v>26.028295454545454</v>
      </c>
      <c r="AU232" s="1">
        <f>VLOOKUP(C232&amp;$AU$1,OTR!E:J,6,FALSE)/88</f>
        <v>21.875</v>
      </c>
    </row>
    <row r="233" spans="1:47">
      <c r="A233" s="1">
        <v>794598</v>
      </c>
      <c r="B233" s="1" t="s">
        <v>554</v>
      </c>
      <c r="C233" s="1" t="s">
        <v>537</v>
      </c>
      <c r="D233" s="1" t="s">
        <v>168</v>
      </c>
      <c r="E233" s="1" t="str">
        <f>VLOOKUP(A:A,'Regions and Ports'!A:G,5,FALSE)</f>
        <v>Memphis Rule 5</v>
      </c>
      <c r="F233" s="1" t="str">
        <f>VLOOKUP(A:A,'Regions and Ports'!A:F,6,FALSE)</f>
        <v>MR5</v>
      </c>
      <c r="G233" s="1" t="str">
        <f>VLOOKUP(A:A,'Regions and Ports'!A:G,7,FALSE)</f>
        <v>Memphis</v>
      </c>
      <c r="H233" s="87">
        <v>1</v>
      </c>
      <c r="I233" s="69">
        <f>VLOOKUP(A:A,'Seam Tariffs'!A:AB,9,FALSE)</f>
        <v>3.6</v>
      </c>
      <c r="J233" s="69">
        <f>VLOOKUP(A:A,'Seam Tariffs'!A:AB,11,FALSE)</f>
        <v>8.6</v>
      </c>
      <c r="K233" s="69">
        <f>VLOOKUP(A:A,'Seam Tariffs'!A:AB,12,FALSE)</f>
        <v>8</v>
      </c>
      <c r="L233" s="69">
        <f>VLOOKUP(A:A,'Seam Tariffs'!A:AB,13,FALSE)</f>
        <v>3</v>
      </c>
      <c r="M233" s="69">
        <f>VLOOKUP(A:A,'Seam Tariffs'!A:AB,14,FALSE)</f>
        <v>0.5</v>
      </c>
      <c r="N233" s="69">
        <f>VLOOKUP(A:A,'Seam Tariffs'!A:AB,28,FALSE)</f>
        <v>3.5</v>
      </c>
      <c r="O233" s="69">
        <f>COSTS!$W$6</f>
        <v>1.8958333333333335</v>
      </c>
      <c r="P233" s="69">
        <f>VLOOKUP(G233,COSTS!$V$11:$X$14,3,FALSE)</f>
        <v>0</v>
      </c>
      <c r="Q233" s="69">
        <f t="shared" si="21"/>
        <v>29.095833333333331</v>
      </c>
      <c r="R233" s="69">
        <f t="shared" si="22"/>
        <v>5.3958333333333339</v>
      </c>
      <c r="S233" s="87">
        <f>VLOOKUP(A:A,'Flat Bed &amp; Late Fees'!A:J,6,FALSE)</f>
        <v>0</v>
      </c>
      <c r="T233" s="87">
        <f>VLOOKUP(A:A,'Flat Bed &amp; Late Fees'!A:J,7,FALSE)</f>
        <v>0</v>
      </c>
      <c r="U233" s="68">
        <f>VLOOKUP(C233&amp;G233,OTR!E:J,6,FALSE)/88</f>
        <v>6.0568181818181817</v>
      </c>
      <c r="V233" s="87"/>
      <c r="W233" s="68">
        <f t="shared" si="23"/>
        <v>6.0568181818181817</v>
      </c>
      <c r="X233" s="69">
        <f>VLOOKUP(G233,COSTS!$Z$18:$AC$23,2,FALSE)</f>
        <v>2.5</v>
      </c>
      <c r="Y233" s="87">
        <f>VLOOKUP(G233,COSTS!$Z$18:$AC$23,4,FALSE)</f>
        <v>1.68</v>
      </c>
      <c r="Z233" s="69">
        <f>(COSTS!$W$3*COSTS!$W$4*500)/52*COSTS!$AE$17</f>
        <v>1.3125</v>
      </c>
      <c r="AB233" s="69">
        <f t="shared" si="24"/>
        <v>5.4924999999999997</v>
      </c>
      <c r="AC233" s="69">
        <f>VLOOKUP(G233,COSTS!$Z$11:$AE$14,5,FALSE)</f>
        <v>7.3011363636363633</v>
      </c>
      <c r="AD233" s="69">
        <f>VLOOKUP(G233,COSTS!$Z$4:$AD$7,4,FALSE)</f>
        <v>9.1363636363636367</v>
      </c>
      <c r="AE233" s="69"/>
      <c r="AF233" s="69">
        <f t="shared" si="25"/>
        <v>16.4375</v>
      </c>
      <c r="AG233" s="87">
        <f>((COSTS!$C$5*88)/20)/88</f>
        <v>1.4407150000000002</v>
      </c>
      <c r="AH233" s="69">
        <f>(COSTS!$X$38/88)*20</f>
        <v>0.34865702479338845</v>
      </c>
      <c r="AI233" s="87">
        <f>((COSTS!$E$5*88)/20)/88</f>
        <v>0.62936587135988387</v>
      </c>
      <c r="AJ233" s="87">
        <f>((COSTS!$D$5*88)/20)/88</f>
        <v>0.33676</v>
      </c>
      <c r="AL233" s="387">
        <f t="shared" si="26"/>
        <v>2.7554978961532726</v>
      </c>
      <c r="AM233" s="69">
        <f>(COSTS!$W$3+0.1)*500*0.01</f>
        <v>3.9999999999999996</v>
      </c>
      <c r="AN233" s="387">
        <f>((COSTS!$G$5/20)*88)/88</f>
        <v>1.308904109589041</v>
      </c>
      <c r="AR233" s="69">
        <f t="shared" si="27"/>
        <v>5.3089041095890401</v>
      </c>
      <c r="AT233" s="1">
        <f>VLOOKUP(C233&amp;$AT$1,OTR!E:J,6,FALSE)/88</f>
        <v>26.028295454545454</v>
      </c>
      <c r="AU233" s="1">
        <f>VLOOKUP(C233&amp;$AU$1,OTR!E:J,6,FALSE)/88</f>
        <v>21.875</v>
      </c>
    </row>
    <row r="234" spans="1:47">
      <c r="A234" s="1">
        <v>795007</v>
      </c>
      <c r="B234" s="1" t="s">
        <v>555</v>
      </c>
      <c r="C234" s="1" t="s">
        <v>537</v>
      </c>
      <c r="D234" s="1" t="s">
        <v>168</v>
      </c>
      <c r="E234" s="1" t="str">
        <f>VLOOKUP(A:A,'Regions and Ports'!A:G,5,FALSE)</f>
        <v>Memphis Rule 5</v>
      </c>
      <c r="F234" s="1" t="str">
        <f>VLOOKUP(A:A,'Regions and Ports'!A:F,6,FALSE)</f>
        <v>MR5</v>
      </c>
      <c r="G234" s="1" t="str">
        <f>VLOOKUP(A:A,'Regions and Ports'!A:G,7,FALSE)</f>
        <v>Memphis</v>
      </c>
      <c r="H234" s="87">
        <v>1</v>
      </c>
      <c r="I234" s="69">
        <f>VLOOKUP(A:A,'Seam Tariffs'!A:AB,9,FALSE)</f>
        <v>3.6</v>
      </c>
      <c r="J234" s="69">
        <f>VLOOKUP(A:A,'Seam Tariffs'!A:AB,11,FALSE)</f>
        <v>8.6</v>
      </c>
      <c r="K234" s="69">
        <f>VLOOKUP(A:A,'Seam Tariffs'!A:AB,12,FALSE)</f>
        <v>8</v>
      </c>
      <c r="L234" s="69">
        <f>VLOOKUP(A:A,'Seam Tariffs'!A:AB,13,FALSE)</f>
        <v>3.05</v>
      </c>
      <c r="M234" s="69">
        <f>VLOOKUP(A:A,'Seam Tariffs'!A:AB,14,FALSE)</f>
        <v>0.5</v>
      </c>
      <c r="N234" s="69">
        <f>VLOOKUP(A:A,'Seam Tariffs'!A:AB,28,FALSE)</f>
        <v>3.5</v>
      </c>
      <c r="O234" s="69">
        <f>COSTS!$W$6</f>
        <v>1.8958333333333335</v>
      </c>
      <c r="P234" s="69">
        <f>VLOOKUP(G234,COSTS!$V$11:$X$14,3,FALSE)</f>
        <v>0</v>
      </c>
      <c r="Q234" s="69">
        <f t="shared" si="21"/>
        <v>29.145833333333332</v>
      </c>
      <c r="R234" s="69">
        <f t="shared" si="22"/>
        <v>5.3958333333333339</v>
      </c>
      <c r="S234" s="87">
        <f>VLOOKUP(A:A,'Flat Bed &amp; Late Fees'!A:J,6,FALSE)</f>
        <v>0</v>
      </c>
      <c r="T234" s="87">
        <f>VLOOKUP(A:A,'Flat Bed &amp; Late Fees'!A:J,7,FALSE)</f>
        <v>0</v>
      </c>
      <c r="U234" s="68">
        <f>VLOOKUP(C234&amp;G234,OTR!E:J,6,FALSE)/88</f>
        <v>6.0568181818181817</v>
      </c>
      <c r="V234" s="87"/>
      <c r="W234" s="68">
        <f t="shared" si="23"/>
        <v>6.0568181818181817</v>
      </c>
      <c r="X234" s="69">
        <f>VLOOKUP(G234,COSTS!$Z$18:$AC$23,2,FALSE)</f>
        <v>2.5</v>
      </c>
      <c r="Y234" s="87">
        <f>VLOOKUP(G234,COSTS!$Z$18:$AC$23,4,FALSE)</f>
        <v>1.68</v>
      </c>
      <c r="Z234" s="69">
        <f>(COSTS!$W$3*COSTS!$W$4*500)/52*COSTS!$AE$17</f>
        <v>1.3125</v>
      </c>
      <c r="AB234" s="69">
        <f t="shared" si="24"/>
        <v>5.4924999999999997</v>
      </c>
      <c r="AC234" s="69">
        <f>VLOOKUP(G234,COSTS!$Z$11:$AE$14,5,FALSE)</f>
        <v>7.3011363636363633</v>
      </c>
      <c r="AD234" s="69">
        <f>VLOOKUP(G234,COSTS!$Z$4:$AD$7,4,FALSE)</f>
        <v>9.1363636363636367</v>
      </c>
      <c r="AE234" s="69"/>
      <c r="AF234" s="69">
        <f t="shared" si="25"/>
        <v>16.4375</v>
      </c>
      <c r="AG234" s="87">
        <f>((COSTS!$C$5*88)/20)/88</f>
        <v>1.4407150000000002</v>
      </c>
      <c r="AH234" s="69">
        <f>(COSTS!$X$38/88)*20</f>
        <v>0.34865702479338845</v>
      </c>
      <c r="AI234" s="87">
        <f>((COSTS!$E$5*88)/20)/88</f>
        <v>0.62936587135988387</v>
      </c>
      <c r="AJ234" s="87">
        <f>((COSTS!$D$5*88)/20)/88</f>
        <v>0.33676</v>
      </c>
      <c r="AL234" s="387">
        <f t="shared" si="26"/>
        <v>2.7554978961532726</v>
      </c>
      <c r="AM234" s="69">
        <f>(COSTS!$W$3+0.1)*500*0.01</f>
        <v>3.9999999999999996</v>
      </c>
      <c r="AN234" s="387">
        <f>((COSTS!$G$5/20)*88)/88</f>
        <v>1.308904109589041</v>
      </c>
      <c r="AR234" s="69">
        <f t="shared" si="27"/>
        <v>5.3089041095890401</v>
      </c>
      <c r="AT234" s="1">
        <f>VLOOKUP(C234&amp;$AT$1,OTR!E:J,6,FALSE)/88</f>
        <v>26.028295454545454</v>
      </c>
      <c r="AU234" s="1">
        <f>VLOOKUP(C234&amp;$AU$1,OTR!E:J,6,FALSE)/88</f>
        <v>21.875</v>
      </c>
    </row>
    <row r="235" spans="1:47">
      <c r="A235" s="1">
        <v>795026</v>
      </c>
      <c r="B235" s="1" t="s">
        <v>557</v>
      </c>
      <c r="C235" s="1" t="s">
        <v>537</v>
      </c>
      <c r="D235" s="1" t="s">
        <v>168</v>
      </c>
      <c r="E235" s="1" t="str">
        <f>VLOOKUP(A:A,'Regions and Ports'!A:G,5,FALSE)</f>
        <v>Memphis Rule 5</v>
      </c>
      <c r="F235" s="1" t="str">
        <f>VLOOKUP(A:A,'Regions and Ports'!A:F,6,FALSE)</f>
        <v>MR5</v>
      </c>
      <c r="G235" s="1" t="str">
        <f>VLOOKUP(A:A,'Regions and Ports'!A:G,7,FALSE)</f>
        <v>Memphis</v>
      </c>
      <c r="H235" s="87">
        <v>1</v>
      </c>
      <c r="I235" s="69">
        <f>VLOOKUP(A:A,'Seam Tariffs'!A:AB,9,FALSE)</f>
        <v>2.5</v>
      </c>
      <c r="J235" s="69">
        <f>VLOOKUP(A:A,'Seam Tariffs'!A:AB,11,FALSE)</f>
        <v>13</v>
      </c>
      <c r="K235" s="69">
        <f>VLOOKUP(A:A,'Seam Tariffs'!A:AB,12,FALSE)</f>
        <v>0</v>
      </c>
      <c r="L235" s="69">
        <f>VLOOKUP(A:A,'Seam Tariffs'!A:AB,13,FALSE)</f>
        <v>0</v>
      </c>
      <c r="M235" s="69">
        <f>VLOOKUP(A:A,'Seam Tariffs'!A:AB,14,FALSE)</f>
        <v>0.6</v>
      </c>
      <c r="N235" s="69">
        <f>VLOOKUP(A:A,'Seam Tariffs'!A:AB,28,FALSE)</f>
        <v>4</v>
      </c>
      <c r="O235" s="69">
        <f>COSTS!$W$6</f>
        <v>1.8958333333333335</v>
      </c>
      <c r="P235" s="69">
        <f>VLOOKUP(G235,COSTS!$V$11:$X$14,3,FALSE)</f>
        <v>0</v>
      </c>
      <c r="Q235" s="69">
        <f t="shared" si="21"/>
        <v>21.995833333333334</v>
      </c>
      <c r="R235" s="69">
        <f t="shared" si="22"/>
        <v>5.8958333333333339</v>
      </c>
      <c r="S235" s="87">
        <f>VLOOKUP(A:A,'Flat Bed &amp; Late Fees'!A:J,6,FALSE)</f>
        <v>0</v>
      </c>
      <c r="T235" s="87">
        <f>VLOOKUP(A:A,'Flat Bed &amp; Late Fees'!A:J,7,FALSE)</f>
        <v>0</v>
      </c>
      <c r="U235" s="68">
        <f>VLOOKUP(C235&amp;G235,OTR!E:J,6,FALSE)/88</f>
        <v>6.0568181818181817</v>
      </c>
      <c r="V235" s="87"/>
      <c r="W235" s="68">
        <f t="shared" si="23"/>
        <v>6.0568181818181817</v>
      </c>
      <c r="X235" s="69">
        <f>VLOOKUP(G235,COSTS!$Z$18:$AC$23,2,FALSE)</f>
        <v>2.5</v>
      </c>
      <c r="Y235" s="87">
        <f>VLOOKUP(G235,COSTS!$Z$18:$AC$23,4,FALSE)</f>
        <v>1.68</v>
      </c>
      <c r="Z235" s="69">
        <f>(COSTS!$W$3*COSTS!$W$4*500)/52*COSTS!$AE$17</f>
        <v>1.3125</v>
      </c>
      <c r="AB235" s="69">
        <f t="shared" si="24"/>
        <v>5.4924999999999997</v>
      </c>
      <c r="AC235" s="69">
        <f>VLOOKUP(G235,COSTS!$Z$11:$AE$14,5,FALSE)</f>
        <v>7.3011363636363633</v>
      </c>
      <c r="AD235" s="69">
        <f>VLOOKUP(G235,COSTS!$Z$4:$AD$7,4,FALSE)</f>
        <v>9.1363636363636367</v>
      </c>
      <c r="AE235" s="69"/>
      <c r="AF235" s="69">
        <f t="shared" si="25"/>
        <v>16.4375</v>
      </c>
      <c r="AG235" s="87">
        <f>((COSTS!$C$5*88)/20)/88</f>
        <v>1.4407150000000002</v>
      </c>
      <c r="AH235" s="69">
        <f>(COSTS!$X$38/88)*20</f>
        <v>0.34865702479338845</v>
      </c>
      <c r="AI235" s="87">
        <f>((COSTS!$E$5*88)/20)/88</f>
        <v>0.62936587135988387</v>
      </c>
      <c r="AJ235" s="87">
        <f>((COSTS!$D$5*88)/20)/88</f>
        <v>0.33676</v>
      </c>
      <c r="AL235" s="387">
        <f t="shared" si="26"/>
        <v>2.7554978961532726</v>
      </c>
      <c r="AM235" s="69">
        <f>(COSTS!$W$3+0.1)*500*0.01</f>
        <v>3.9999999999999996</v>
      </c>
      <c r="AN235" s="387">
        <f>((COSTS!$G$5/20)*88)/88</f>
        <v>1.308904109589041</v>
      </c>
      <c r="AR235" s="69">
        <f t="shared" si="27"/>
        <v>5.3089041095890401</v>
      </c>
      <c r="AT235" s="1">
        <f>VLOOKUP(C235&amp;$AT$1,OTR!E:J,6,FALSE)/88</f>
        <v>26.028295454545454</v>
      </c>
      <c r="AU235" s="1">
        <f>VLOOKUP(C235&amp;$AU$1,OTR!E:J,6,FALSE)/88</f>
        <v>21.875</v>
      </c>
    </row>
    <row r="236" spans="1:47">
      <c r="A236" s="1">
        <v>297507</v>
      </c>
      <c r="B236" s="1" t="s">
        <v>559</v>
      </c>
      <c r="C236" s="1" t="s">
        <v>560</v>
      </c>
      <c r="D236" s="1" t="s">
        <v>76</v>
      </c>
      <c r="E236" s="1" t="str">
        <f>VLOOKUP(A:A,'Regions and Ports'!A:G,5,FALSE)</f>
        <v>GA 30 Day</v>
      </c>
      <c r="F236" s="1" t="str">
        <f>VLOOKUP(A:A,'Regions and Ports'!A:F,6,FALSE)</f>
        <v>ER5</v>
      </c>
      <c r="G236" s="1" t="str">
        <f>VLOOKUP(A:A,'Regions and Ports'!A:G,7,FALSE)</f>
        <v>Savannah</v>
      </c>
      <c r="H236" s="87">
        <v>4</v>
      </c>
      <c r="I236" s="69">
        <f>VLOOKUP(A:A,'Seam Tariffs'!A:AB,9,FALSE)</f>
        <v>3</v>
      </c>
      <c r="J236" s="69">
        <f>VLOOKUP(A:A,'Seam Tariffs'!A:AB,11,FALSE)</f>
        <v>5</v>
      </c>
      <c r="K236" s="69">
        <f>VLOOKUP(A:A,'Seam Tariffs'!A:AB,12,FALSE)</f>
        <v>0</v>
      </c>
      <c r="L236" s="69">
        <f>VLOOKUP(A:A,'Seam Tariffs'!A:AB,13,FALSE)</f>
        <v>0</v>
      </c>
      <c r="M236" s="69">
        <f>VLOOKUP(A:A,'Seam Tariffs'!A:AB,14,FALSE)</f>
        <v>1</v>
      </c>
      <c r="N236" s="69">
        <f>VLOOKUP(A:A,'Seam Tariffs'!A:AB,28,FALSE)</f>
        <v>3</v>
      </c>
      <c r="O236" s="69">
        <f>COSTS!$W$6</f>
        <v>1.8958333333333335</v>
      </c>
      <c r="P236" s="69">
        <f>VLOOKUP(G236,COSTS!$V$11:$X$14,3,FALSE)</f>
        <v>0</v>
      </c>
      <c r="Q236" s="69">
        <f t="shared" si="21"/>
        <v>13.895833333333334</v>
      </c>
      <c r="R236" s="69">
        <f t="shared" si="22"/>
        <v>1.8958333333333335</v>
      </c>
      <c r="S236" s="87">
        <f>VLOOKUP(A:A,'Flat Bed &amp; Late Fees'!A:J,6,FALSE)</f>
        <v>0</v>
      </c>
      <c r="T236" s="87">
        <f>VLOOKUP(A:A,'Flat Bed &amp; Late Fees'!A:J,7,FALSE)</f>
        <v>0</v>
      </c>
      <c r="U236" s="68">
        <f>VLOOKUP(C236&amp;G236,OTR!E:J,6,FALSE)/88</f>
        <v>7.8373863636363641</v>
      </c>
      <c r="V236" s="87"/>
      <c r="W236" s="68">
        <f t="shared" si="23"/>
        <v>7.8373863636363641</v>
      </c>
      <c r="X236" s="69">
        <f>VLOOKUP(G236,COSTS!$Z$18:$AC$23,2,FALSE)</f>
        <v>2.6</v>
      </c>
      <c r="Y236" s="87">
        <f>VLOOKUP(G236,COSTS!$Z$18:$AC$23,4,FALSE)</f>
        <v>2.52</v>
      </c>
      <c r="Z236" s="69">
        <f>(COSTS!$W$3*COSTS!$W$4*500)/52*COSTS!$AE$17</f>
        <v>1.3125</v>
      </c>
      <c r="AB236" s="69">
        <f t="shared" si="24"/>
        <v>6.4325000000000001</v>
      </c>
      <c r="AC236" s="69">
        <f>VLOOKUP(G236,COSTS!$Z$11:$AE$14,5,FALSE)</f>
        <v>5.5113636363636367</v>
      </c>
      <c r="AD236" s="69">
        <f>VLOOKUP(G236,COSTS!$Z$4:$AD$7,4,FALSE)</f>
        <v>5.3522727272727275</v>
      </c>
      <c r="AE236" s="69"/>
      <c r="AF236" s="69">
        <f t="shared" si="25"/>
        <v>10.863636363636363</v>
      </c>
      <c r="AG236" s="87">
        <f>((COSTS!$C$5*88)/20)/88</f>
        <v>1.4407150000000002</v>
      </c>
      <c r="AH236" s="69">
        <f>(COSTS!$X$38/88)*20</f>
        <v>0.34865702479338845</v>
      </c>
      <c r="AI236" s="87">
        <f>((COSTS!$E$5*88)/20)/88</f>
        <v>0.62936587135988387</v>
      </c>
      <c r="AJ236" s="87">
        <f>((COSTS!$D$5*88)/20)/88</f>
        <v>0.33676</v>
      </c>
      <c r="AL236" s="387">
        <f t="shared" si="26"/>
        <v>2.7554978961532726</v>
      </c>
      <c r="AM236" s="69">
        <f>(COSTS!$W$3+0.1)*500*0.01</f>
        <v>3.9999999999999996</v>
      </c>
      <c r="AN236" s="387">
        <f>((COSTS!$G$5/20)*88)/88</f>
        <v>1.308904109589041</v>
      </c>
      <c r="AR236" s="69">
        <f t="shared" si="27"/>
        <v>5.3089041095890401</v>
      </c>
      <c r="AT236" s="1">
        <f>VLOOKUP(C236&amp;$AT$1,OTR!E:J,6,FALSE)/88</f>
        <v>27.133863636363632</v>
      </c>
      <c r="AU236" s="1">
        <f>VLOOKUP(C236&amp;$AU$1,OTR!E:J,6,FALSE)/88</f>
        <v>12.926136363636363</v>
      </c>
    </row>
    <row r="237" spans="1:47">
      <c r="A237" s="1">
        <v>297509</v>
      </c>
      <c r="B237" s="1" t="s">
        <v>562</v>
      </c>
      <c r="C237" s="1" t="s">
        <v>560</v>
      </c>
      <c r="D237" s="1" t="s">
        <v>76</v>
      </c>
      <c r="E237" s="1" t="str">
        <f>VLOOKUP(A:A,'Regions and Ports'!A:G,5,FALSE)</f>
        <v>GA 30 Day</v>
      </c>
      <c r="F237" s="1" t="str">
        <f>VLOOKUP(A:A,'Regions and Ports'!A:F,6,FALSE)</f>
        <v>ER5</v>
      </c>
      <c r="G237" s="1" t="str">
        <f>VLOOKUP(A:A,'Regions and Ports'!A:G,7,FALSE)</f>
        <v>Savannah</v>
      </c>
      <c r="H237" s="87">
        <v>4</v>
      </c>
      <c r="I237" s="69">
        <f>VLOOKUP(A:A,'Seam Tariffs'!A:AB,9,FALSE)</f>
        <v>3.5</v>
      </c>
      <c r="J237" s="69">
        <f>VLOOKUP(A:A,'Seam Tariffs'!A:AB,11,FALSE)</f>
        <v>4.5</v>
      </c>
      <c r="K237" s="69">
        <f>VLOOKUP(A:A,'Seam Tariffs'!A:AB,12,FALSE)</f>
        <v>0</v>
      </c>
      <c r="L237" s="69">
        <f>VLOOKUP(A:A,'Seam Tariffs'!A:AB,13,FALSE)</f>
        <v>0</v>
      </c>
      <c r="M237" s="69">
        <f>VLOOKUP(A:A,'Seam Tariffs'!A:AB,14,FALSE)</f>
        <v>1</v>
      </c>
      <c r="N237" s="69">
        <f>VLOOKUP(A:A,'Seam Tariffs'!A:AB,28,FALSE)</f>
        <v>2.65</v>
      </c>
      <c r="O237" s="69">
        <f>COSTS!$W$6</f>
        <v>1.8958333333333335</v>
      </c>
      <c r="P237" s="69">
        <f>VLOOKUP(G237,COSTS!$V$11:$X$14,3,FALSE)</f>
        <v>0</v>
      </c>
      <c r="Q237" s="69">
        <f t="shared" si="21"/>
        <v>13.545833333333334</v>
      </c>
      <c r="R237" s="69">
        <f t="shared" si="22"/>
        <v>1.8958333333333335</v>
      </c>
      <c r="S237" s="87">
        <f>VLOOKUP(A:A,'Flat Bed &amp; Late Fees'!A:J,6,FALSE)</f>
        <v>0</v>
      </c>
      <c r="T237" s="87">
        <f>VLOOKUP(A:A,'Flat Bed &amp; Late Fees'!A:J,7,FALSE)</f>
        <v>0</v>
      </c>
      <c r="U237" s="68">
        <f>VLOOKUP(C237&amp;G237,OTR!E:J,6,FALSE)/88</f>
        <v>7.8373863636363641</v>
      </c>
      <c r="V237" s="87"/>
      <c r="W237" s="68">
        <f t="shared" si="23"/>
        <v>7.8373863636363641</v>
      </c>
      <c r="X237" s="69">
        <f>VLOOKUP(G237,COSTS!$Z$18:$AC$23,2,FALSE)</f>
        <v>2.6</v>
      </c>
      <c r="Y237" s="87">
        <f>VLOOKUP(G237,COSTS!$Z$18:$AC$23,4,FALSE)</f>
        <v>2.52</v>
      </c>
      <c r="Z237" s="69">
        <f>(COSTS!$W$3*COSTS!$W$4*500)/52*COSTS!$AE$17</f>
        <v>1.3125</v>
      </c>
      <c r="AB237" s="69">
        <f t="shared" si="24"/>
        <v>6.4325000000000001</v>
      </c>
      <c r="AC237" s="69">
        <f>VLOOKUP(G237,COSTS!$Z$11:$AE$14,5,FALSE)</f>
        <v>5.5113636363636367</v>
      </c>
      <c r="AD237" s="69">
        <f>VLOOKUP(G237,COSTS!$Z$4:$AD$7,4,FALSE)</f>
        <v>5.3522727272727275</v>
      </c>
      <c r="AE237" s="69"/>
      <c r="AF237" s="69">
        <f t="shared" si="25"/>
        <v>10.863636363636363</v>
      </c>
      <c r="AG237" s="87">
        <f>((COSTS!$C$5*88)/20)/88</f>
        <v>1.4407150000000002</v>
      </c>
      <c r="AH237" s="69">
        <f>(COSTS!$X$38/88)*20</f>
        <v>0.34865702479338845</v>
      </c>
      <c r="AI237" s="87">
        <f>((COSTS!$E$5*88)/20)/88</f>
        <v>0.62936587135988387</v>
      </c>
      <c r="AJ237" s="87">
        <f>((COSTS!$D$5*88)/20)/88</f>
        <v>0.33676</v>
      </c>
      <c r="AL237" s="387">
        <f t="shared" si="26"/>
        <v>2.7554978961532726</v>
      </c>
      <c r="AM237" s="69">
        <f>(COSTS!$W$3+0.1)*500*0.01</f>
        <v>3.9999999999999996</v>
      </c>
      <c r="AN237" s="387">
        <f>((COSTS!$G$5/20)*88)/88</f>
        <v>1.308904109589041</v>
      </c>
      <c r="AR237" s="69">
        <f t="shared" si="27"/>
        <v>5.3089041095890401</v>
      </c>
      <c r="AT237" s="1">
        <f>VLOOKUP(C237&amp;$AT$1,OTR!E:J,6,FALSE)/88</f>
        <v>27.133863636363632</v>
      </c>
      <c r="AU237" s="1">
        <f>VLOOKUP(C237&amp;$AU$1,OTR!E:J,6,FALSE)/88</f>
        <v>12.926136363636363</v>
      </c>
    </row>
    <row r="238" spans="1:47">
      <c r="A238" s="1">
        <v>298007</v>
      </c>
      <c r="B238" s="1" t="s">
        <v>563</v>
      </c>
      <c r="C238" s="1" t="s">
        <v>564</v>
      </c>
      <c r="D238" s="1" t="s">
        <v>76</v>
      </c>
      <c r="E238" s="1" t="str">
        <f>VLOOKUP(A:A,'Regions and Ports'!A:G,5,FALSE)</f>
        <v>GA 30 Day</v>
      </c>
      <c r="F238" s="1" t="str">
        <f>VLOOKUP(A:A,'Regions and Ports'!A:F,6,FALSE)</f>
        <v>ER5</v>
      </c>
      <c r="G238" s="1" t="str">
        <f>VLOOKUP(A:A,'Regions and Ports'!A:G,7,FALSE)</f>
        <v>Savannah</v>
      </c>
      <c r="H238" s="87">
        <v>4</v>
      </c>
      <c r="I238" s="69">
        <f>VLOOKUP(A:A,'Seam Tariffs'!A:AB,9,FALSE)</f>
        <v>2.5</v>
      </c>
      <c r="J238" s="69">
        <f>VLOOKUP(A:A,'Seam Tariffs'!A:AB,11,FALSE)</f>
        <v>4.5</v>
      </c>
      <c r="K238" s="69">
        <f>VLOOKUP(A:A,'Seam Tariffs'!A:AB,12,FALSE)</f>
        <v>0</v>
      </c>
      <c r="L238" s="69">
        <f>VLOOKUP(A:A,'Seam Tariffs'!A:AB,13,FALSE)</f>
        <v>0</v>
      </c>
      <c r="M238" s="69">
        <f>VLOOKUP(A:A,'Seam Tariffs'!A:AB,14,FALSE)</f>
        <v>0</v>
      </c>
      <c r="N238" s="69">
        <f>VLOOKUP(A:A,'Seam Tariffs'!A:AB,28,FALSE)</f>
        <v>2</v>
      </c>
      <c r="O238" s="69">
        <f>COSTS!$W$6</f>
        <v>1.8958333333333335</v>
      </c>
      <c r="P238" s="69">
        <f>VLOOKUP(G238,COSTS!$V$11:$X$14,3,FALSE)</f>
        <v>0</v>
      </c>
      <c r="Q238" s="69">
        <f t="shared" si="21"/>
        <v>10.895833333333334</v>
      </c>
      <c r="R238" s="69">
        <f t="shared" si="22"/>
        <v>1.8958333333333335</v>
      </c>
      <c r="S238" s="87">
        <f>VLOOKUP(A:A,'Flat Bed &amp; Late Fees'!A:J,6,FALSE)</f>
        <v>0</v>
      </c>
      <c r="T238" s="87">
        <f>VLOOKUP(A:A,'Flat Bed &amp; Late Fees'!A:J,7,FALSE)</f>
        <v>0</v>
      </c>
      <c r="U238" s="68">
        <f>VLOOKUP(C238&amp;G238,OTR!E:J,6,FALSE)/88</f>
        <v>8.1782954545454558</v>
      </c>
      <c r="V238" s="87"/>
      <c r="W238" s="68">
        <f t="shared" si="23"/>
        <v>8.1782954545454558</v>
      </c>
      <c r="X238" s="69">
        <f>VLOOKUP(G238,COSTS!$Z$18:$AC$23,2,FALSE)</f>
        <v>2.6</v>
      </c>
      <c r="Y238" s="87">
        <f>VLOOKUP(G238,COSTS!$Z$18:$AC$23,4,FALSE)</f>
        <v>2.52</v>
      </c>
      <c r="Z238" s="69">
        <f>(COSTS!$W$3*COSTS!$W$4*500)/52*COSTS!$AE$17</f>
        <v>1.3125</v>
      </c>
      <c r="AB238" s="69">
        <f t="shared" si="24"/>
        <v>6.4325000000000001</v>
      </c>
      <c r="AC238" s="69">
        <f>VLOOKUP(G238,COSTS!$Z$11:$AE$14,5,FALSE)</f>
        <v>5.5113636363636367</v>
      </c>
      <c r="AD238" s="69">
        <f>VLOOKUP(G238,COSTS!$Z$4:$AD$7,4,FALSE)</f>
        <v>5.3522727272727275</v>
      </c>
      <c r="AE238" s="69"/>
      <c r="AF238" s="69">
        <f t="shared" si="25"/>
        <v>10.863636363636363</v>
      </c>
      <c r="AG238" s="87">
        <f>((COSTS!$C$5*88)/20)/88</f>
        <v>1.4407150000000002</v>
      </c>
      <c r="AH238" s="69">
        <f>(COSTS!$X$38/88)*20</f>
        <v>0.34865702479338845</v>
      </c>
      <c r="AI238" s="87">
        <f>((COSTS!$E$5*88)/20)/88</f>
        <v>0.62936587135988387</v>
      </c>
      <c r="AJ238" s="87">
        <f>((COSTS!$D$5*88)/20)/88</f>
        <v>0.33676</v>
      </c>
      <c r="AL238" s="387">
        <f t="shared" si="26"/>
        <v>2.7554978961532726</v>
      </c>
      <c r="AM238" s="69">
        <f>(COSTS!$W$3+0.1)*500*0.01</f>
        <v>3.9999999999999996</v>
      </c>
      <c r="AN238" s="387">
        <f>((COSTS!$G$5/20)*88)/88</f>
        <v>1.308904109589041</v>
      </c>
      <c r="AR238" s="69">
        <f t="shared" si="27"/>
        <v>5.3089041095890401</v>
      </c>
      <c r="AT238" s="1">
        <f>VLOOKUP(C238&amp;$AT$1,OTR!E:J,6,FALSE)/88</f>
        <v>27.149886363636359</v>
      </c>
      <c r="AU238" s="1">
        <f>VLOOKUP(C238&amp;$AU$1,OTR!E:J,6,FALSE)/88</f>
        <v>13.011363636363637</v>
      </c>
    </row>
    <row r="239" spans="1:47">
      <c r="A239" s="1">
        <v>298008</v>
      </c>
      <c r="B239" s="1" t="s">
        <v>566</v>
      </c>
      <c r="C239" s="1" t="s">
        <v>564</v>
      </c>
      <c r="D239" s="1" t="s">
        <v>76</v>
      </c>
      <c r="E239" s="1" t="str">
        <f>VLOOKUP(A:A,'Regions and Ports'!A:G,5,FALSE)</f>
        <v>GA 30 Day</v>
      </c>
      <c r="F239" s="1" t="str">
        <f>VLOOKUP(A:A,'Regions and Ports'!A:F,6,FALSE)</f>
        <v>ER5</v>
      </c>
      <c r="G239" s="1" t="str">
        <f>VLOOKUP(A:A,'Regions and Ports'!A:G,7,FALSE)</f>
        <v>Savannah</v>
      </c>
      <c r="H239" s="87">
        <v>4</v>
      </c>
      <c r="I239" s="69">
        <f>VLOOKUP(A:A,'Seam Tariffs'!A:AB,9,FALSE)</f>
        <v>3</v>
      </c>
      <c r="J239" s="69">
        <f>VLOOKUP(A:A,'Seam Tariffs'!A:AB,11,FALSE)</f>
        <v>6</v>
      </c>
      <c r="K239" s="69">
        <f>VLOOKUP(A:A,'Seam Tariffs'!A:AB,12,FALSE)</f>
        <v>0</v>
      </c>
      <c r="L239" s="69">
        <f>VLOOKUP(A:A,'Seam Tariffs'!A:AB,13,FALSE)</f>
        <v>0</v>
      </c>
      <c r="M239" s="69">
        <f>VLOOKUP(A:A,'Seam Tariffs'!A:AB,14,FALSE)</f>
        <v>0</v>
      </c>
      <c r="N239" s="69">
        <f>VLOOKUP(A:A,'Seam Tariffs'!A:AB,28,FALSE)</f>
        <v>3</v>
      </c>
      <c r="O239" s="69">
        <f>COSTS!$W$6</f>
        <v>1.8958333333333335</v>
      </c>
      <c r="P239" s="69">
        <f>VLOOKUP(G239,COSTS!$V$11:$X$14,3,FALSE)</f>
        <v>0</v>
      </c>
      <c r="Q239" s="69">
        <f t="shared" si="21"/>
        <v>13.895833333333334</v>
      </c>
      <c r="R239" s="69">
        <f t="shared" si="22"/>
        <v>1.8958333333333335</v>
      </c>
      <c r="S239" s="87">
        <f>VLOOKUP(A:A,'Flat Bed &amp; Late Fees'!A:J,6,FALSE)</f>
        <v>0</v>
      </c>
      <c r="T239" s="87">
        <f>VLOOKUP(A:A,'Flat Bed &amp; Late Fees'!A:J,7,FALSE)</f>
        <v>0</v>
      </c>
      <c r="U239" s="68">
        <f>VLOOKUP(C239&amp;G239,OTR!E:J,6,FALSE)/88</f>
        <v>8.1782954545454558</v>
      </c>
      <c r="V239" s="87"/>
      <c r="W239" s="68">
        <f t="shared" si="23"/>
        <v>8.1782954545454558</v>
      </c>
      <c r="X239" s="69">
        <f>VLOOKUP(G239,COSTS!$Z$18:$AC$23,2,FALSE)</f>
        <v>2.6</v>
      </c>
      <c r="Y239" s="87">
        <f>VLOOKUP(G239,COSTS!$Z$18:$AC$23,4,FALSE)</f>
        <v>2.52</v>
      </c>
      <c r="Z239" s="69">
        <f>(COSTS!$W$3*COSTS!$W$4*500)/52*COSTS!$AE$17</f>
        <v>1.3125</v>
      </c>
      <c r="AB239" s="69">
        <f t="shared" si="24"/>
        <v>6.4325000000000001</v>
      </c>
      <c r="AC239" s="69">
        <f>VLOOKUP(G239,COSTS!$Z$11:$AE$14,5,FALSE)</f>
        <v>5.5113636363636367</v>
      </c>
      <c r="AD239" s="69">
        <f>VLOOKUP(G239,COSTS!$Z$4:$AD$7,4,FALSE)</f>
        <v>5.3522727272727275</v>
      </c>
      <c r="AE239" s="69"/>
      <c r="AF239" s="69">
        <f t="shared" si="25"/>
        <v>10.863636363636363</v>
      </c>
      <c r="AG239" s="87">
        <f>((COSTS!$C$5*88)/20)/88</f>
        <v>1.4407150000000002</v>
      </c>
      <c r="AH239" s="69">
        <f>(COSTS!$X$38/88)*20</f>
        <v>0.34865702479338845</v>
      </c>
      <c r="AI239" s="87">
        <f>((COSTS!$E$5*88)/20)/88</f>
        <v>0.62936587135988387</v>
      </c>
      <c r="AJ239" s="87">
        <f>((COSTS!$D$5*88)/20)/88</f>
        <v>0.33676</v>
      </c>
      <c r="AL239" s="387">
        <f t="shared" si="26"/>
        <v>2.7554978961532726</v>
      </c>
      <c r="AM239" s="69">
        <f>(COSTS!$W$3+0.1)*500*0.01</f>
        <v>3.9999999999999996</v>
      </c>
      <c r="AN239" s="387">
        <f>((COSTS!$G$5/20)*88)/88</f>
        <v>1.308904109589041</v>
      </c>
      <c r="AR239" s="69">
        <f t="shared" si="27"/>
        <v>5.3089041095890401</v>
      </c>
      <c r="AT239" s="1">
        <f>VLOOKUP(C239&amp;$AT$1,OTR!E:J,6,FALSE)/88</f>
        <v>27.149886363636359</v>
      </c>
      <c r="AU239" s="1">
        <f>VLOOKUP(C239&amp;$AU$1,OTR!E:J,6,FALSE)/88</f>
        <v>13.011363636363637</v>
      </c>
    </row>
    <row r="240" spans="1:47">
      <c r="A240" s="1">
        <v>795005</v>
      </c>
      <c r="B240" s="1" t="s">
        <v>567</v>
      </c>
      <c r="C240" s="1" t="s">
        <v>568</v>
      </c>
      <c r="D240" s="1" t="s">
        <v>168</v>
      </c>
      <c r="E240" s="1" t="str">
        <f>VLOOKUP(A:A,'Regions and Ports'!A:G,5,FALSE)</f>
        <v>Memphis Rule 5</v>
      </c>
      <c r="F240" s="1" t="str">
        <f>VLOOKUP(A:A,'Regions and Ports'!A:F,6,FALSE)</f>
        <v>MR5</v>
      </c>
      <c r="G240" s="1" t="str">
        <f>VLOOKUP(A:A,'Regions and Ports'!A:G,7,FALSE)</f>
        <v>Memphis</v>
      </c>
      <c r="H240" s="87">
        <v>1</v>
      </c>
      <c r="I240" s="69">
        <f>VLOOKUP(A:A,'Seam Tariffs'!A:AB,9,FALSE)</f>
        <v>0</v>
      </c>
      <c r="J240" s="69">
        <f>VLOOKUP(A:A,'Seam Tariffs'!A:AB,11,FALSE)</f>
        <v>14.45</v>
      </c>
      <c r="K240" s="69">
        <f>VLOOKUP(A:A,'Seam Tariffs'!A:AB,12,FALSE)</f>
        <v>0</v>
      </c>
      <c r="L240" s="69">
        <f>VLOOKUP(A:A,'Seam Tariffs'!A:AB,13,FALSE)</f>
        <v>3.05</v>
      </c>
      <c r="M240" s="69">
        <f>VLOOKUP(A:A,'Seam Tariffs'!A:AB,14,FALSE)</f>
        <v>0</v>
      </c>
      <c r="N240" s="69">
        <f>VLOOKUP(A:A,'Seam Tariffs'!A:AB,28,FALSE)</f>
        <v>4</v>
      </c>
      <c r="O240" s="69">
        <f>COSTS!$W$6</f>
        <v>1.8958333333333335</v>
      </c>
      <c r="P240" s="69">
        <f>VLOOKUP(G240,COSTS!$V$11:$X$14,3,FALSE)</f>
        <v>0</v>
      </c>
      <c r="Q240" s="69">
        <f t="shared" si="21"/>
        <v>23.395833333333332</v>
      </c>
      <c r="R240" s="69">
        <f t="shared" si="22"/>
        <v>5.8958333333333339</v>
      </c>
      <c r="S240" s="87">
        <f>VLOOKUP(A:A,'Flat Bed &amp; Late Fees'!A:J,6,FALSE)</f>
        <v>0</v>
      </c>
      <c r="T240" s="87">
        <f>VLOOKUP(A:A,'Flat Bed &amp; Late Fees'!A:J,7,FALSE)</f>
        <v>0</v>
      </c>
      <c r="U240" s="68">
        <f>VLOOKUP(C240&amp;G240,OTR!E:J,6,FALSE)/88</f>
        <v>10.028409090909092</v>
      </c>
      <c r="V240" s="87"/>
      <c r="W240" s="68">
        <f t="shared" si="23"/>
        <v>10.028409090909092</v>
      </c>
      <c r="X240" s="69">
        <f>VLOOKUP(G240,COSTS!$Z$18:$AC$23,2,FALSE)</f>
        <v>2.5</v>
      </c>
      <c r="Y240" s="87">
        <f>VLOOKUP(G240,COSTS!$Z$18:$AC$23,4,FALSE)</f>
        <v>1.68</v>
      </c>
      <c r="Z240" s="69">
        <f>(COSTS!$W$3*COSTS!$W$4*500)/52*COSTS!$AE$17</f>
        <v>1.3125</v>
      </c>
      <c r="AB240" s="69">
        <f t="shared" si="24"/>
        <v>5.4924999999999997</v>
      </c>
      <c r="AC240" s="69">
        <f>VLOOKUP(G240,COSTS!$Z$11:$AE$14,5,FALSE)</f>
        <v>7.3011363636363633</v>
      </c>
      <c r="AD240" s="69">
        <f>VLOOKUP(G240,COSTS!$Z$4:$AD$7,4,FALSE)</f>
        <v>9.1363636363636367</v>
      </c>
      <c r="AE240" s="69"/>
      <c r="AF240" s="69">
        <f t="shared" si="25"/>
        <v>16.4375</v>
      </c>
      <c r="AG240" s="87">
        <f>((COSTS!$C$5*88)/20)/88</f>
        <v>1.4407150000000002</v>
      </c>
      <c r="AH240" s="69">
        <f>(COSTS!$X$38/88)*20</f>
        <v>0.34865702479338845</v>
      </c>
      <c r="AI240" s="87">
        <f>((COSTS!$E$5*88)/20)/88</f>
        <v>0.62936587135988387</v>
      </c>
      <c r="AJ240" s="87">
        <f>((COSTS!$D$5*88)/20)/88</f>
        <v>0.33676</v>
      </c>
      <c r="AL240" s="387">
        <f t="shared" si="26"/>
        <v>2.7554978961532726</v>
      </c>
      <c r="AM240" s="69">
        <f>(COSTS!$W$3+0.1)*500*0.01</f>
        <v>3.9999999999999996</v>
      </c>
      <c r="AN240" s="387">
        <f>((COSTS!$G$5/20)*88)/88</f>
        <v>1.308904109589041</v>
      </c>
      <c r="AR240" s="69">
        <f t="shared" si="27"/>
        <v>5.3089041095890401</v>
      </c>
      <c r="AT240" s="1">
        <f>VLOOKUP(C240&amp;$AT$1,OTR!E:J,6,FALSE)/88</f>
        <v>28.271477272727271</v>
      </c>
      <c r="AU240" s="1">
        <f>VLOOKUP(C240&amp;$AU$1,OTR!E:J,6,FALSE)/88</f>
        <v>20.170454545454547</v>
      </c>
    </row>
    <row r="241" spans="1:47">
      <c r="A241" s="1">
        <v>304552</v>
      </c>
      <c r="B241" s="1" t="s">
        <v>569</v>
      </c>
      <c r="C241" s="1" t="s">
        <v>570</v>
      </c>
      <c r="D241" s="1" t="s">
        <v>76</v>
      </c>
      <c r="E241" s="1" t="str">
        <f>VLOOKUP(A:A,'Regions and Ports'!A:G,5,FALSE)</f>
        <v>GA 30 Day</v>
      </c>
      <c r="F241" s="1" t="str">
        <f>VLOOKUP(A:A,'Regions and Ports'!A:F,6,FALSE)</f>
        <v>ER5</v>
      </c>
      <c r="G241" s="1" t="str">
        <f>VLOOKUP(A:A,'Regions and Ports'!A:G,7,FALSE)</f>
        <v>Savannah</v>
      </c>
      <c r="H241" s="87">
        <v>4</v>
      </c>
      <c r="I241" s="69">
        <f>VLOOKUP(A:A,'Seam Tariffs'!A:AB,9,FALSE)</f>
        <v>3.5</v>
      </c>
      <c r="J241" s="69">
        <f>VLOOKUP(A:A,'Seam Tariffs'!A:AB,11,FALSE)</f>
        <v>5</v>
      </c>
      <c r="K241" s="69">
        <f>VLOOKUP(A:A,'Seam Tariffs'!A:AB,12,FALSE)</f>
        <v>0</v>
      </c>
      <c r="L241" s="69">
        <f>VLOOKUP(A:A,'Seam Tariffs'!A:AB,13,FALSE)</f>
        <v>0</v>
      </c>
      <c r="M241" s="69">
        <f>VLOOKUP(A:A,'Seam Tariffs'!A:AB,14,FALSE)</f>
        <v>1.1000000000000001</v>
      </c>
      <c r="N241" s="69">
        <f>VLOOKUP(A:A,'Seam Tariffs'!A:AB,28,FALSE)</f>
        <v>3.85</v>
      </c>
      <c r="O241" s="69">
        <f>COSTS!$W$6</f>
        <v>1.8958333333333335</v>
      </c>
      <c r="P241" s="69">
        <f>VLOOKUP(G241,COSTS!$V$11:$X$14,3,FALSE)</f>
        <v>0</v>
      </c>
      <c r="Q241" s="69">
        <f t="shared" si="21"/>
        <v>15.345833333333333</v>
      </c>
      <c r="R241" s="69">
        <f t="shared" si="22"/>
        <v>1.8958333333333335</v>
      </c>
      <c r="S241" s="87">
        <f>VLOOKUP(A:A,'Flat Bed &amp; Late Fees'!A:J,6,FALSE)</f>
        <v>0</v>
      </c>
      <c r="T241" s="87">
        <f>VLOOKUP(A:A,'Flat Bed &amp; Late Fees'!A:J,7,FALSE)</f>
        <v>0</v>
      </c>
      <c r="U241" s="68">
        <f>VLOOKUP(C241&amp;G241,OTR!E:J,6,FALSE)/88</f>
        <v>6.9975568181818177</v>
      </c>
      <c r="V241" s="87"/>
      <c r="W241" s="68">
        <f t="shared" si="23"/>
        <v>6.9975568181818177</v>
      </c>
      <c r="X241" s="69">
        <f>VLOOKUP(G241,COSTS!$Z$18:$AC$23,2,FALSE)</f>
        <v>2.6</v>
      </c>
      <c r="Y241" s="87">
        <f>VLOOKUP(G241,COSTS!$Z$18:$AC$23,4,FALSE)</f>
        <v>2.52</v>
      </c>
      <c r="Z241" s="69">
        <f>(COSTS!$W$3*COSTS!$W$4*500)/52*COSTS!$AE$17</f>
        <v>1.3125</v>
      </c>
      <c r="AB241" s="69">
        <f t="shared" si="24"/>
        <v>6.4325000000000001</v>
      </c>
      <c r="AC241" s="69">
        <f>VLOOKUP(G241,COSTS!$Z$11:$AE$14,5,FALSE)</f>
        <v>5.5113636363636367</v>
      </c>
      <c r="AD241" s="69">
        <f>VLOOKUP(G241,COSTS!$Z$4:$AD$7,4,FALSE)</f>
        <v>5.3522727272727275</v>
      </c>
      <c r="AE241" s="69"/>
      <c r="AF241" s="69">
        <f t="shared" si="25"/>
        <v>10.863636363636363</v>
      </c>
      <c r="AG241" s="87">
        <f>((COSTS!$C$5*88)/20)/88</f>
        <v>1.4407150000000002</v>
      </c>
      <c r="AH241" s="69">
        <f>(COSTS!$X$38/88)*20</f>
        <v>0.34865702479338845</v>
      </c>
      <c r="AI241" s="87">
        <f>((COSTS!$E$5*88)/20)/88</f>
        <v>0.62936587135988387</v>
      </c>
      <c r="AJ241" s="87">
        <f>((COSTS!$D$5*88)/20)/88</f>
        <v>0.33676</v>
      </c>
      <c r="AL241" s="387">
        <f t="shared" si="26"/>
        <v>2.7554978961532726</v>
      </c>
      <c r="AM241" s="69">
        <f>(COSTS!$W$3+0.1)*500*0.01</f>
        <v>3.9999999999999996</v>
      </c>
      <c r="AN241" s="387">
        <f>((COSTS!$G$5/20)*88)/88</f>
        <v>1.308904109589041</v>
      </c>
      <c r="AR241" s="69">
        <f t="shared" si="27"/>
        <v>5.3089041095890401</v>
      </c>
      <c r="AT241" s="1">
        <f>VLOOKUP(C241&amp;$AT$1,OTR!E:J,6,FALSE)/88</f>
        <v>27.374204545454543</v>
      </c>
      <c r="AU241" s="1">
        <f>VLOOKUP(C241&amp;$AU$1,OTR!E:J,6,FALSE)/88</f>
        <v>13.147727272727273</v>
      </c>
    </row>
    <row r="242" spans="1:47">
      <c r="A242" s="1">
        <v>156002</v>
      </c>
      <c r="B242" s="1" t="s">
        <v>572</v>
      </c>
      <c r="C242" s="1" t="s">
        <v>573</v>
      </c>
      <c r="D242" s="1" t="s">
        <v>149</v>
      </c>
      <c r="E242" s="1" t="str">
        <f>VLOOKUP(A:A,'Regions and Ports'!A:G,5,FALSE)</f>
        <v>Memphis Rule 5</v>
      </c>
      <c r="F242" s="1" t="str">
        <f>VLOOKUP(A:A,'Regions and Ports'!A:F,6,FALSE)</f>
        <v>MR5</v>
      </c>
      <c r="G242" s="1" t="str">
        <f>VLOOKUP(A:A,'Regions and Ports'!A:G,7,FALSE)</f>
        <v>Memphis</v>
      </c>
      <c r="H242" s="87">
        <v>1</v>
      </c>
      <c r="I242" s="69">
        <f>VLOOKUP(A:A,'Seam Tariffs'!A:AB,9,FALSE)</f>
        <v>1.5</v>
      </c>
      <c r="J242" s="69">
        <f>VLOOKUP(A:A,'Seam Tariffs'!A:AB,11,FALSE)</f>
        <v>10.25</v>
      </c>
      <c r="K242" s="69">
        <f>VLOOKUP(A:A,'Seam Tariffs'!A:AB,12,FALSE)</f>
        <v>8</v>
      </c>
      <c r="L242" s="69">
        <f>VLOOKUP(A:A,'Seam Tariffs'!A:AB,13,FALSE)</f>
        <v>0</v>
      </c>
      <c r="M242" s="69">
        <f>VLOOKUP(A:A,'Seam Tariffs'!A:AB,14,FALSE)</f>
        <v>0</v>
      </c>
      <c r="N242" s="69">
        <f>VLOOKUP(A:A,'Seam Tariffs'!A:AB,28,FALSE)</f>
        <v>3</v>
      </c>
      <c r="O242" s="69">
        <f>COSTS!$W$6</f>
        <v>1.8958333333333335</v>
      </c>
      <c r="P242" s="69">
        <f>VLOOKUP(G242,COSTS!$V$11:$X$14,3,FALSE)</f>
        <v>0</v>
      </c>
      <c r="Q242" s="69">
        <f t="shared" si="21"/>
        <v>24.645833333333332</v>
      </c>
      <c r="R242" s="69">
        <f t="shared" si="22"/>
        <v>4.8958333333333339</v>
      </c>
      <c r="S242" s="87">
        <f>VLOOKUP(A:A,'Flat Bed &amp; Late Fees'!A:J,6,FALSE)</f>
        <v>0</v>
      </c>
      <c r="T242" s="87">
        <f>VLOOKUP(A:A,'Flat Bed &amp; Late Fees'!A:J,7,FALSE)</f>
        <v>0</v>
      </c>
      <c r="U242" s="68">
        <f>VLOOKUP(C242&amp;G242,OTR!E:J,6,FALSE)/88</f>
        <v>8.3238636363636367</v>
      </c>
      <c r="V242" s="87"/>
      <c r="W242" s="68">
        <f t="shared" si="23"/>
        <v>8.3238636363636367</v>
      </c>
      <c r="X242" s="69">
        <f>VLOOKUP(G242,COSTS!$Z$18:$AC$23,2,FALSE)</f>
        <v>2.5</v>
      </c>
      <c r="Y242" s="87">
        <f>VLOOKUP(G242,COSTS!$Z$18:$AC$23,4,FALSE)</f>
        <v>1.68</v>
      </c>
      <c r="Z242" s="69">
        <f>(COSTS!$W$3*COSTS!$W$4*500)/52*COSTS!$AE$17</f>
        <v>1.3125</v>
      </c>
      <c r="AB242" s="69">
        <f t="shared" si="24"/>
        <v>5.4924999999999997</v>
      </c>
      <c r="AC242" s="69">
        <f>VLOOKUP(G242,COSTS!$Z$11:$AE$14,5,FALSE)</f>
        <v>7.3011363636363633</v>
      </c>
      <c r="AD242" s="69">
        <f>VLOOKUP(G242,COSTS!$Z$4:$AD$7,4,FALSE)</f>
        <v>9.1363636363636367</v>
      </c>
      <c r="AE242" s="69"/>
      <c r="AF242" s="69">
        <f t="shared" si="25"/>
        <v>16.4375</v>
      </c>
      <c r="AG242" s="87">
        <f>((COSTS!$C$5*88)/20)/88</f>
        <v>1.4407150000000002</v>
      </c>
      <c r="AH242" s="69">
        <f>(COSTS!$X$38/88)*20</f>
        <v>0.34865702479338845</v>
      </c>
      <c r="AI242" s="87">
        <f>((COSTS!$E$5*88)/20)/88</f>
        <v>0.62936587135988387</v>
      </c>
      <c r="AJ242" s="87">
        <f>((COSTS!$D$5*88)/20)/88</f>
        <v>0.33676</v>
      </c>
      <c r="AL242" s="387">
        <f t="shared" si="26"/>
        <v>2.7554978961532726</v>
      </c>
      <c r="AM242" s="69">
        <f>(COSTS!$W$3+0.1)*500*0.01</f>
        <v>3.9999999999999996</v>
      </c>
      <c r="AN242" s="387">
        <f>((COSTS!$G$5/20)*88)/88</f>
        <v>1.308904109589041</v>
      </c>
      <c r="AR242" s="69">
        <f t="shared" si="27"/>
        <v>5.3089041095890401</v>
      </c>
      <c r="AT242" s="1" t="e">
        <f>VLOOKUP(C242&amp;$AT$1,OTR!E:J,6,FALSE)/88</f>
        <v>#N/A</v>
      </c>
      <c r="AU242" s="1">
        <f>VLOOKUP(C242&amp;$AU$1,OTR!E:J,6,FALSE)/88</f>
        <v>24.073863636363637</v>
      </c>
    </row>
    <row r="243" spans="1:47">
      <c r="A243" s="1">
        <v>291000</v>
      </c>
      <c r="B243" s="1" t="s">
        <v>575</v>
      </c>
      <c r="C243" s="1" t="s">
        <v>576</v>
      </c>
      <c r="D243" s="1" t="s">
        <v>76</v>
      </c>
      <c r="E243" s="1" t="str">
        <f>VLOOKUP(A:A,'Regions and Ports'!A:G,5,FALSE)</f>
        <v>GA 30 Day</v>
      </c>
      <c r="F243" s="1" t="str">
        <f>VLOOKUP(A:A,'Regions and Ports'!A:F,6,FALSE)</f>
        <v>ER5</v>
      </c>
      <c r="G243" s="1" t="str">
        <f>VLOOKUP(A:A,'Regions and Ports'!A:G,7,FALSE)</f>
        <v>Savannah</v>
      </c>
      <c r="H243" s="87">
        <v>4</v>
      </c>
      <c r="I243" s="69">
        <f>VLOOKUP(A:A,'Seam Tariffs'!A:AB,9,FALSE)</f>
        <v>6</v>
      </c>
      <c r="J243" s="69">
        <f>VLOOKUP(A:A,'Seam Tariffs'!A:AB,11,FALSE)</f>
        <v>4</v>
      </c>
      <c r="K243" s="69">
        <f>VLOOKUP(A:A,'Seam Tariffs'!A:AB,12,FALSE)</f>
        <v>0</v>
      </c>
      <c r="L243" s="69">
        <f>VLOOKUP(A:A,'Seam Tariffs'!A:AB,13,FALSE)</f>
        <v>0</v>
      </c>
      <c r="M243" s="69">
        <f>VLOOKUP(A:A,'Seam Tariffs'!A:AB,14,FALSE)</f>
        <v>1</v>
      </c>
      <c r="N243" s="69">
        <f>VLOOKUP(A:A,'Seam Tariffs'!A:AB,28,FALSE)</f>
        <v>2.75</v>
      </c>
      <c r="O243" s="69">
        <f>COSTS!$W$6</f>
        <v>1.8958333333333335</v>
      </c>
      <c r="P243" s="69">
        <f>VLOOKUP(G243,COSTS!$V$11:$X$14,3,FALSE)</f>
        <v>0</v>
      </c>
      <c r="Q243" s="69">
        <f t="shared" si="21"/>
        <v>15.645833333333334</v>
      </c>
      <c r="R243" s="69">
        <f t="shared" si="22"/>
        <v>1.8958333333333335</v>
      </c>
      <c r="S243" s="87">
        <f>VLOOKUP(A:A,'Flat Bed &amp; Late Fees'!A:J,6,FALSE)</f>
        <v>0</v>
      </c>
      <c r="T243" s="87">
        <f>VLOOKUP(A:A,'Flat Bed &amp; Late Fees'!A:J,7,FALSE)</f>
        <v>0</v>
      </c>
      <c r="U243" s="68">
        <f>VLOOKUP(C243&amp;G243,OTR!E:J,6,FALSE)/88</f>
        <v>11.269545454545455</v>
      </c>
      <c r="V243" s="87"/>
      <c r="W243" s="68">
        <f t="shared" si="23"/>
        <v>11.269545454545455</v>
      </c>
      <c r="X243" s="69">
        <f>VLOOKUP(G243,COSTS!$Z$18:$AC$23,2,FALSE)</f>
        <v>2.6</v>
      </c>
      <c r="Y243" s="87">
        <f>VLOOKUP(G243,COSTS!$Z$18:$AC$23,4,FALSE)</f>
        <v>2.52</v>
      </c>
      <c r="Z243" s="69">
        <f>(COSTS!$W$3*COSTS!$W$4*500)/52*COSTS!$AE$17</f>
        <v>1.3125</v>
      </c>
      <c r="AB243" s="69">
        <f t="shared" si="24"/>
        <v>6.4325000000000001</v>
      </c>
      <c r="AC243" s="69">
        <f>VLOOKUP(G243,COSTS!$Z$11:$AE$14,5,FALSE)</f>
        <v>5.5113636363636367</v>
      </c>
      <c r="AD243" s="69">
        <f>VLOOKUP(G243,COSTS!$Z$4:$AD$7,4,FALSE)</f>
        <v>5.3522727272727275</v>
      </c>
      <c r="AE243" s="69"/>
      <c r="AF243" s="69">
        <f t="shared" si="25"/>
        <v>10.863636363636363</v>
      </c>
      <c r="AG243" s="87">
        <f>((COSTS!$C$5*88)/20)/88</f>
        <v>1.4407150000000002</v>
      </c>
      <c r="AH243" s="69">
        <f>(COSTS!$X$38/88)*20</f>
        <v>0.34865702479338845</v>
      </c>
      <c r="AI243" s="87">
        <f>((COSTS!$E$5*88)/20)/88</f>
        <v>0.62936587135988387</v>
      </c>
      <c r="AJ243" s="87">
        <f>((COSTS!$D$5*88)/20)/88</f>
        <v>0.33676</v>
      </c>
      <c r="AL243" s="387">
        <f t="shared" si="26"/>
        <v>2.7554978961532726</v>
      </c>
      <c r="AM243" s="69">
        <f>(COSTS!$W$3+0.1)*500*0.01</f>
        <v>3.9999999999999996</v>
      </c>
      <c r="AN243" s="387">
        <f>((COSTS!$G$5/20)*88)/88</f>
        <v>1.308904109589041</v>
      </c>
      <c r="AR243" s="69">
        <f t="shared" si="27"/>
        <v>5.3089041095890401</v>
      </c>
      <c r="AT243" s="1">
        <f>VLOOKUP(C243&amp;$AT$1,OTR!E:J,6,FALSE)/88</f>
        <v>23.62488636363636</v>
      </c>
      <c r="AU243" s="1">
        <f>VLOOKUP(C243&amp;$AU$1,OTR!E:J,6,FALSE)/88</f>
        <v>15.994318181818182</v>
      </c>
    </row>
    <row r="244" spans="1:47">
      <c r="A244" s="1">
        <v>304495</v>
      </c>
      <c r="B244" s="1" t="s">
        <v>577</v>
      </c>
      <c r="C244" s="1" t="s">
        <v>576</v>
      </c>
      <c r="D244" s="1" t="s">
        <v>76</v>
      </c>
      <c r="E244" s="1" t="str">
        <f>VLOOKUP(A:A,'Regions and Ports'!A:G,5,FALSE)</f>
        <v>GA 30 Day</v>
      </c>
      <c r="F244" s="1" t="str">
        <f>VLOOKUP(A:A,'Regions and Ports'!A:F,6,FALSE)</f>
        <v>ER5</v>
      </c>
      <c r="G244" s="1" t="str">
        <f>VLOOKUP(A:A,'Regions and Ports'!A:G,7,FALSE)</f>
        <v>Savannah</v>
      </c>
      <c r="H244" s="87">
        <v>4</v>
      </c>
      <c r="I244" s="69">
        <f>VLOOKUP(A:A,'Seam Tariffs'!A:AB,9,FALSE)</f>
        <v>0</v>
      </c>
      <c r="J244" s="69">
        <f>VLOOKUP(A:A,'Seam Tariffs'!A:AB,11,FALSE)</f>
        <v>0</v>
      </c>
      <c r="K244" s="69">
        <f>VLOOKUP(A:A,'Seam Tariffs'!A:AB,12,FALSE)</f>
        <v>0</v>
      </c>
      <c r="L244" s="69">
        <f>VLOOKUP(A:A,'Seam Tariffs'!A:AB,13,FALSE)</f>
        <v>0</v>
      </c>
      <c r="M244" s="69">
        <f>VLOOKUP(A:A,'Seam Tariffs'!A:AB,14,FALSE)</f>
        <v>0.75</v>
      </c>
      <c r="N244" s="69">
        <f>VLOOKUP(A:A,'Seam Tariffs'!A:AB,28,FALSE)</f>
        <v>2.5</v>
      </c>
      <c r="O244" s="69">
        <f>COSTS!$W$6</f>
        <v>1.8958333333333335</v>
      </c>
      <c r="P244" s="69">
        <f>VLOOKUP(G244,COSTS!$V$11:$X$14,3,FALSE)</f>
        <v>0</v>
      </c>
      <c r="Q244" s="69">
        <f t="shared" si="21"/>
        <v>5.1458333333333339</v>
      </c>
      <c r="R244" s="69">
        <f t="shared" si="22"/>
        <v>1.8958333333333335</v>
      </c>
      <c r="S244" s="87">
        <f>VLOOKUP(A:A,'Flat Bed &amp; Late Fees'!A:J,6,FALSE)</f>
        <v>0</v>
      </c>
      <c r="T244" s="87">
        <f>VLOOKUP(A:A,'Flat Bed &amp; Late Fees'!A:J,7,FALSE)</f>
        <v>2.8409090909090908</v>
      </c>
      <c r="U244" s="68">
        <f>VLOOKUP(C244&amp;G244,OTR!E:J,6,FALSE)/88</f>
        <v>11.269545454545455</v>
      </c>
      <c r="V244" s="87"/>
      <c r="W244" s="68">
        <f t="shared" si="23"/>
        <v>14.110454545454544</v>
      </c>
      <c r="X244" s="69">
        <f>VLOOKUP(G244,COSTS!$Z$18:$AC$23,2,FALSE)</f>
        <v>2.6</v>
      </c>
      <c r="Y244" s="87">
        <f>VLOOKUP(G244,COSTS!$Z$18:$AC$23,4,FALSE)</f>
        <v>2.52</v>
      </c>
      <c r="Z244" s="69">
        <f>(COSTS!$W$3*COSTS!$W$4*500)/52*COSTS!$AE$17</f>
        <v>1.3125</v>
      </c>
      <c r="AB244" s="69">
        <f t="shared" si="24"/>
        <v>6.4325000000000001</v>
      </c>
      <c r="AC244" s="69">
        <f>VLOOKUP(G244,COSTS!$Z$11:$AE$14,5,FALSE)</f>
        <v>5.5113636363636367</v>
      </c>
      <c r="AD244" s="69">
        <f>VLOOKUP(G244,COSTS!$Z$4:$AD$7,4,FALSE)</f>
        <v>5.3522727272727275</v>
      </c>
      <c r="AE244" s="69"/>
      <c r="AF244" s="69">
        <f t="shared" si="25"/>
        <v>10.863636363636363</v>
      </c>
      <c r="AG244" s="87">
        <f>((COSTS!$C$5*88)/20)/88</f>
        <v>1.4407150000000002</v>
      </c>
      <c r="AH244" s="69">
        <f>(COSTS!$X$38/88)*20</f>
        <v>0.34865702479338845</v>
      </c>
      <c r="AI244" s="87">
        <f>((COSTS!$E$5*88)/20)/88</f>
        <v>0.62936587135988387</v>
      </c>
      <c r="AJ244" s="87">
        <f>((COSTS!$D$5*88)/20)/88</f>
        <v>0.33676</v>
      </c>
      <c r="AL244" s="387">
        <f t="shared" si="26"/>
        <v>2.7554978961532726</v>
      </c>
      <c r="AM244" s="69">
        <f>(COSTS!$W$3+0.1)*500*0.01</f>
        <v>3.9999999999999996</v>
      </c>
      <c r="AN244" s="387">
        <f>((COSTS!$G$5/20)*88)/88</f>
        <v>1.308904109589041</v>
      </c>
      <c r="AR244" s="69">
        <f t="shared" si="27"/>
        <v>5.3089041095890401</v>
      </c>
      <c r="AT244" s="1">
        <f>VLOOKUP(C244&amp;$AT$1,OTR!E:J,6,FALSE)/88</f>
        <v>23.62488636363636</v>
      </c>
      <c r="AU244" s="1">
        <f>VLOOKUP(C244&amp;$AU$1,OTR!E:J,6,FALSE)/88</f>
        <v>15.994318181818182</v>
      </c>
    </row>
    <row r="245" spans="1:47">
      <c r="A245" s="1">
        <v>304501</v>
      </c>
      <c r="B245" s="1" t="s">
        <v>578</v>
      </c>
      <c r="C245" s="1" t="s">
        <v>576</v>
      </c>
      <c r="D245" s="1" t="s">
        <v>76</v>
      </c>
      <c r="E245" s="1" t="str">
        <f>VLOOKUP(A:A,'Regions and Ports'!A:G,5,FALSE)</f>
        <v>GA 30 Day</v>
      </c>
      <c r="F245" s="1" t="str">
        <f>VLOOKUP(A:A,'Regions and Ports'!A:F,6,FALSE)</f>
        <v>ER5</v>
      </c>
      <c r="G245" s="1" t="str">
        <f>VLOOKUP(A:A,'Regions and Ports'!A:G,7,FALSE)</f>
        <v>Savannah</v>
      </c>
      <c r="H245" s="87">
        <v>4</v>
      </c>
      <c r="I245" s="69">
        <f>VLOOKUP(A:A,'Seam Tariffs'!A:AB,9,FALSE)</f>
        <v>3</v>
      </c>
      <c r="J245" s="69">
        <f>VLOOKUP(A:A,'Seam Tariffs'!A:AB,11,FALSE)</f>
        <v>5</v>
      </c>
      <c r="K245" s="69">
        <f>VLOOKUP(A:A,'Seam Tariffs'!A:AB,12,FALSE)</f>
        <v>0</v>
      </c>
      <c r="L245" s="69">
        <f>VLOOKUP(A:A,'Seam Tariffs'!A:AB,13,FALSE)</f>
        <v>0</v>
      </c>
      <c r="M245" s="69">
        <f>VLOOKUP(A:A,'Seam Tariffs'!A:AB,14,FALSE)</f>
        <v>2</v>
      </c>
      <c r="N245" s="69">
        <f>VLOOKUP(A:A,'Seam Tariffs'!A:AB,28,FALSE)</f>
        <v>3</v>
      </c>
      <c r="O245" s="69">
        <f>COSTS!$W$6</f>
        <v>1.8958333333333335</v>
      </c>
      <c r="P245" s="69">
        <f>VLOOKUP(G245,COSTS!$V$11:$X$14,3,FALSE)</f>
        <v>0</v>
      </c>
      <c r="Q245" s="69">
        <f t="shared" si="21"/>
        <v>14.895833333333334</v>
      </c>
      <c r="R245" s="69">
        <f t="shared" si="22"/>
        <v>1.8958333333333335</v>
      </c>
      <c r="S245" s="87">
        <f>VLOOKUP(A:A,'Flat Bed &amp; Late Fees'!A:J,6,FALSE)</f>
        <v>0</v>
      </c>
      <c r="T245" s="87">
        <f>VLOOKUP(A:A,'Flat Bed &amp; Late Fees'!A:J,7,FALSE)</f>
        <v>0</v>
      </c>
      <c r="U245" s="68">
        <f>VLOOKUP(C245&amp;G245,OTR!E:J,6,FALSE)/88</f>
        <v>11.269545454545455</v>
      </c>
      <c r="V245" s="87"/>
      <c r="W245" s="68">
        <f t="shared" si="23"/>
        <v>11.269545454545455</v>
      </c>
      <c r="X245" s="69">
        <f>VLOOKUP(G245,COSTS!$Z$18:$AC$23,2,FALSE)</f>
        <v>2.6</v>
      </c>
      <c r="Y245" s="87">
        <f>VLOOKUP(G245,COSTS!$Z$18:$AC$23,4,FALSE)</f>
        <v>2.52</v>
      </c>
      <c r="Z245" s="69">
        <f>(COSTS!$W$3*COSTS!$W$4*500)/52*COSTS!$AE$17</f>
        <v>1.3125</v>
      </c>
      <c r="AB245" s="69">
        <f t="shared" si="24"/>
        <v>6.4325000000000001</v>
      </c>
      <c r="AC245" s="69">
        <f>VLOOKUP(G245,COSTS!$Z$11:$AE$14,5,FALSE)</f>
        <v>5.5113636363636367</v>
      </c>
      <c r="AD245" s="69">
        <f>VLOOKUP(G245,COSTS!$Z$4:$AD$7,4,FALSE)</f>
        <v>5.3522727272727275</v>
      </c>
      <c r="AE245" s="69"/>
      <c r="AF245" s="69">
        <f t="shared" si="25"/>
        <v>10.863636363636363</v>
      </c>
      <c r="AG245" s="87">
        <f>((COSTS!$C$5*88)/20)/88</f>
        <v>1.4407150000000002</v>
      </c>
      <c r="AH245" s="69">
        <f>(COSTS!$X$38/88)*20</f>
        <v>0.34865702479338845</v>
      </c>
      <c r="AI245" s="87">
        <f>((COSTS!$E$5*88)/20)/88</f>
        <v>0.62936587135988387</v>
      </c>
      <c r="AJ245" s="87">
        <f>((COSTS!$D$5*88)/20)/88</f>
        <v>0.33676</v>
      </c>
      <c r="AL245" s="387">
        <f t="shared" si="26"/>
        <v>2.7554978961532726</v>
      </c>
      <c r="AM245" s="69">
        <f>(COSTS!$W$3+0.1)*500*0.01</f>
        <v>3.9999999999999996</v>
      </c>
      <c r="AN245" s="387">
        <f>((COSTS!$G$5/20)*88)/88</f>
        <v>1.308904109589041</v>
      </c>
      <c r="AR245" s="69">
        <f t="shared" si="27"/>
        <v>5.3089041095890401</v>
      </c>
      <c r="AT245" s="1">
        <f>VLOOKUP(C245&amp;$AT$1,OTR!E:J,6,FALSE)/88</f>
        <v>23.62488636363636</v>
      </c>
      <c r="AU245" s="1">
        <f>VLOOKUP(C245&amp;$AU$1,OTR!E:J,6,FALSE)/88</f>
        <v>15.994318181818182</v>
      </c>
    </row>
    <row r="246" spans="1:47">
      <c r="A246" s="1">
        <v>587875</v>
      </c>
      <c r="B246" s="1" t="s">
        <v>579</v>
      </c>
      <c r="C246" s="1" t="s">
        <v>580</v>
      </c>
      <c r="D246" s="1" t="s">
        <v>136</v>
      </c>
      <c r="E246" s="1" t="str">
        <f>VLOOKUP(A:A,'Regions and Ports'!A:G,5,FALSE)</f>
        <v>Eastern Rule 5</v>
      </c>
      <c r="F246" s="1" t="str">
        <f>VLOOKUP(A:A,'Regions and Ports'!A:F,6,FALSE)</f>
        <v>ER5</v>
      </c>
      <c r="G246" s="1" t="str">
        <f>VLOOKUP(A:A,'Regions and Ports'!A:G,7,FALSE)</f>
        <v>Savannah</v>
      </c>
      <c r="H246" s="87">
        <v>1</v>
      </c>
      <c r="I246" s="69">
        <f>VLOOKUP(A:A,'Seam Tariffs'!A:AB,9,FALSE)</f>
        <v>4</v>
      </c>
      <c r="J246" s="69">
        <f>VLOOKUP(A:A,'Seam Tariffs'!A:AB,11,FALSE)</f>
        <v>4.5</v>
      </c>
      <c r="K246" s="69">
        <f>VLOOKUP(A:A,'Seam Tariffs'!A:AB,12,FALSE)</f>
        <v>0</v>
      </c>
      <c r="L246" s="69">
        <f>VLOOKUP(A:A,'Seam Tariffs'!A:AB,13,FALSE)</f>
        <v>0</v>
      </c>
      <c r="M246" s="69">
        <f>VLOOKUP(A:A,'Seam Tariffs'!A:AB,14,FALSE)</f>
        <v>0.5</v>
      </c>
      <c r="N246" s="69">
        <f>VLOOKUP(A:A,'Seam Tariffs'!A:AB,28,FALSE)</f>
        <v>1.7</v>
      </c>
      <c r="O246" s="69">
        <f>COSTS!$W$6</f>
        <v>1.8958333333333335</v>
      </c>
      <c r="P246" s="69">
        <f>VLOOKUP(G246,COSTS!$V$11:$X$14,3,FALSE)</f>
        <v>0</v>
      </c>
      <c r="Q246" s="69">
        <f t="shared" si="21"/>
        <v>12.595833333333333</v>
      </c>
      <c r="R246" s="69">
        <f t="shared" si="22"/>
        <v>3.5958333333333332</v>
      </c>
      <c r="S246" s="87">
        <f>VLOOKUP(A:A,'Flat Bed &amp; Late Fees'!A:J,6,FALSE)</f>
        <v>0</v>
      </c>
      <c r="T246" s="87">
        <f>VLOOKUP(A:A,'Flat Bed &amp; Late Fees'!A:J,7,FALSE)</f>
        <v>0</v>
      </c>
      <c r="U246" s="68">
        <f>VLOOKUP(C246&amp;G246,OTR!E:J,6,FALSE)/88</f>
        <v>15.032528409090911</v>
      </c>
      <c r="V246" s="87"/>
      <c r="W246" s="68">
        <f t="shared" si="23"/>
        <v>15.032528409090911</v>
      </c>
      <c r="X246" s="69">
        <f>VLOOKUP(G246,COSTS!$Z$18:$AC$23,2,FALSE)</f>
        <v>2.6</v>
      </c>
      <c r="Y246" s="87">
        <f>VLOOKUP(G246,COSTS!$Z$18:$AC$23,4,FALSE)</f>
        <v>2.52</v>
      </c>
      <c r="Z246" s="69">
        <f>(COSTS!$W$3*COSTS!$W$4*500)/52*COSTS!$AE$17</f>
        <v>1.3125</v>
      </c>
      <c r="AB246" s="69">
        <f t="shared" si="24"/>
        <v>6.4325000000000001</v>
      </c>
      <c r="AC246" s="69">
        <f>VLOOKUP(G246,COSTS!$Z$11:$AE$14,5,FALSE)</f>
        <v>5.5113636363636367</v>
      </c>
      <c r="AD246" s="69">
        <f>VLOOKUP(G246,COSTS!$Z$4:$AD$7,4,FALSE)</f>
        <v>5.3522727272727275</v>
      </c>
      <c r="AE246" s="69"/>
      <c r="AF246" s="69">
        <f t="shared" si="25"/>
        <v>10.863636363636363</v>
      </c>
      <c r="AG246" s="87">
        <f>((COSTS!$C$5*88)/20)/88</f>
        <v>1.4407150000000002</v>
      </c>
      <c r="AH246" s="69">
        <f>(COSTS!$X$38/88)*20</f>
        <v>0.34865702479338845</v>
      </c>
      <c r="AI246" s="87">
        <f>((COSTS!$E$5*88)/20)/88</f>
        <v>0.62936587135988387</v>
      </c>
      <c r="AJ246" s="87">
        <f>((COSTS!$D$5*88)/20)/88</f>
        <v>0.33676</v>
      </c>
      <c r="AL246" s="387">
        <f t="shared" si="26"/>
        <v>2.7554978961532726</v>
      </c>
      <c r="AM246" s="69">
        <f>(COSTS!$W$3+0.1)*500*0.01</f>
        <v>3.9999999999999996</v>
      </c>
      <c r="AN246" s="387">
        <f>((COSTS!$G$5/20)*88)/88</f>
        <v>1.308904109589041</v>
      </c>
      <c r="AR246" s="69">
        <f t="shared" si="27"/>
        <v>5.3089041095890401</v>
      </c>
      <c r="AT246" s="1" t="e">
        <f>VLOOKUP(C246&amp;$AT$1,OTR!E:J,6,FALSE)/88</f>
        <v>#N/A</v>
      </c>
      <c r="AU246" s="1">
        <f>VLOOKUP(C246&amp;$AU$1,OTR!E:J,6,FALSE)/88</f>
        <v>13.25</v>
      </c>
    </row>
    <row r="247" spans="1:47">
      <c r="A247" s="1">
        <v>555225</v>
      </c>
      <c r="B247" s="1" t="s">
        <v>582</v>
      </c>
      <c r="C247" s="1" t="s">
        <v>583</v>
      </c>
      <c r="D247" s="1" t="s">
        <v>136</v>
      </c>
      <c r="E247" s="1" t="str">
        <f>VLOOKUP(A:A,'Regions and Ports'!A:G,5,FALSE)</f>
        <v>Eastern Rule 5</v>
      </c>
      <c r="F247" s="1" t="str">
        <f>VLOOKUP(A:A,'Regions and Ports'!A:F,6,FALSE)</f>
        <v>ER5</v>
      </c>
      <c r="G247" s="1" t="str">
        <f>VLOOKUP(A:A,'Regions and Ports'!A:G,7,FALSE)</f>
        <v>Savannah</v>
      </c>
      <c r="H247" s="87">
        <v>1</v>
      </c>
      <c r="I247" s="69">
        <f>VLOOKUP(A:A,'Seam Tariffs'!A:AB,9,FALSE)</f>
        <v>3.35</v>
      </c>
      <c r="J247" s="69">
        <f>VLOOKUP(A:A,'Seam Tariffs'!A:AB,11,FALSE)</f>
        <v>4</v>
      </c>
      <c r="K247" s="69">
        <f>VLOOKUP(A:A,'Seam Tariffs'!A:AB,12,FALSE)</f>
        <v>0</v>
      </c>
      <c r="L247" s="69">
        <f>VLOOKUP(A:A,'Seam Tariffs'!A:AB,13,FALSE)</f>
        <v>0</v>
      </c>
      <c r="M247" s="69">
        <f>VLOOKUP(A:A,'Seam Tariffs'!A:AB,14,FALSE)</f>
        <v>0</v>
      </c>
      <c r="N247" s="69">
        <f>VLOOKUP(A:A,'Seam Tariffs'!A:AB,28,FALSE)</f>
        <v>2.5</v>
      </c>
      <c r="O247" s="69">
        <f>COSTS!$W$6</f>
        <v>1.8958333333333335</v>
      </c>
      <c r="P247" s="69">
        <f>VLOOKUP(G247,COSTS!$V$11:$X$14,3,FALSE)</f>
        <v>0</v>
      </c>
      <c r="Q247" s="69">
        <f t="shared" si="21"/>
        <v>11.745833333333334</v>
      </c>
      <c r="R247" s="69">
        <f t="shared" si="22"/>
        <v>4.3958333333333339</v>
      </c>
      <c r="S247" s="87">
        <f>VLOOKUP(A:A,'Flat Bed &amp; Late Fees'!A:J,6,FALSE)</f>
        <v>0</v>
      </c>
      <c r="T247" s="87">
        <f>VLOOKUP(A:A,'Flat Bed &amp; Late Fees'!A:J,7,FALSE)</f>
        <v>0</v>
      </c>
      <c r="U247" s="68">
        <f>VLOOKUP(C247&amp;G247,OTR!E:J,6,FALSE)/88</f>
        <v>11.064431818181818</v>
      </c>
      <c r="V247" s="87"/>
      <c r="W247" s="68">
        <f t="shared" si="23"/>
        <v>11.064431818181818</v>
      </c>
      <c r="X247" s="69">
        <f>VLOOKUP(G247,COSTS!$Z$18:$AC$23,2,FALSE)</f>
        <v>2.6</v>
      </c>
      <c r="Y247" s="87">
        <f>VLOOKUP(G247,COSTS!$Z$18:$AC$23,4,FALSE)</f>
        <v>2.52</v>
      </c>
      <c r="Z247" s="69">
        <f>(COSTS!$W$3*COSTS!$W$4*500)/52*COSTS!$AE$17</f>
        <v>1.3125</v>
      </c>
      <c r="AB247" s="69">
        <f t="shared" si="24"/>
        <v>6.4325000000000001</v>
      </c>
      <c r="AC247" s="69">
        <f>VLOOKUP(G247,COSTS!$Z$11:$AE$14,5,FALSE)</f>
        <v>5.5113636363636367</v>
      </c>
      <c r="AD247" s="69">
        <f>VLOOKUP(G247,COSTS!$Z$4:$AD$7,4,FALSE)</f>
        <v>5.3522727272727275</v>
      </c>
      <c r="AE247" s="69"/>
      <c r="AF247" s="69">
        <f t="shared" si="25"/>
        <v>10.863636363636363</v>
      </c>
      <c r="AG247" s="87">
        <f>((COSTS!$C$5*88)/20)/88</f>
        <v>1.4407150000000002</v>
      </c>
      <c r="AH247" s="69">
        <f>(COSTS!$X$38/88)*20</f>
        <v>0.34865702479338845</v>
      </c>
      <c r="AI247" s="87">
        <f>((COSTS!$E$5*88)/20)/88</f>
        <v>0.62936587135988387</v>
      </c>
      <c r="AJ247" s="87">
        <f>((COSTS!$D$5*88)/20)/88</f>
        <v>0.33676</v>
      </c>
      <c r="AL247" s="387">
        <f t="shared" si="26"/>
        <v>2.7554978961532726</v>
      </c>
      <c r="AM247" s="69">
        <f>(COSTS!$W$3+0.1)*500*0.01</f>
        <v>3.9999999999999996</v>
      </c>
      <c r="AN247" s="387">
        <f>((COSTS!$G$5/20)*88)/88</f>
        <v>1.308904109589041</v>
      </c>
      <c r="AR247" s="69">
        <f t="shared" si="27"/>
        <v>5.3089041095890401</v>
      </c>
      <c r="AT247" s="1" t="e">
        <f>VLOOKUP(C247&amp;$AT$1,OTR!E:J,6,FALSE)/88</f>
        <v>#N/A</v>
      </c>
      <c r="AU247" s="1" t="e">
        <f>VLOOKUP(C247&amp;$AU$1,OTR!E:J,6,FALSE)/88</f>
        <v>#N/A</v>
      </c>
    </row>
    <row r="248" spans="1:47">
      <c r="A248" s="1">
        <v>518085</v>
      </c>
      <c r="B248" s="1" t="s">
        <v>585</v>
      </c>
      <c r="C248" s="1" t="s">
        <v>586</v>
      </c>
      <c r="D248" s="1" t="s">
        <v>190</v>
      </c>
      <c r="E248" s="1" t="str">
        <f>VLOOKUP(A:A,'Regions and Ports'!A:G,5,FALSE)</f>
        <v>Memphis Rule 5</v>
      </c>
      <c r="F248" s="1" t="str">
        <f>VLOOKUP(A:A,'Regions and Ports'!A:F,6,FALSE)</f>
        <v>MR5</v>
      </c>
      <c r="G248" s="1" t="str">
        <f>VLOOKUP(A:A,'Regions and Ports'!A:G,7,FALSE)</f>
        <v>Memphis</v>
      </c>
      <c r="H248" s="87">
        <v>1</v>
      </c>
      <c r="I248" s="69">
        <f>VLOOKUP(A:A,'Seam Tariffs'!A:AB,9,FALSE)</f>
        <v>1.6</v>
      </c>
      <c r="J248" s="69">
        <f>VLOOKUP(A:A,'Seam Tariffs'!A:AB,11,FALSE)</f>
        <v>11.25</v>
      </c>
      <c r="K248" s="69">
        <f>VLOOKUP(A:A,'Seam Tariffs'!A:AB,12,FALSE)</f>
        <v>8</v>
      </c>
      <c r="L248" s="69">
        <f>VLOOKUP(A:A,'Seam Tariffs'!A:AB,13,FALSE)</f>
        <v>0</v>
      </c>
      <c r="M248" s="69">
        <f>VLOOKUP(A:A,'Seam Tariffs'!A:AB,14,FALSE)</f>
        <v>0</v>
      </c>
      <c r="N248" s="69">
        <f>VLOOKUP(A:A,'Seam Tariffs'!A:AB,28,FALSE)</f>
        <v>3.25</v>
      </c>
      <c r="O248" s="69">
        <f>COSTS!$W$6</f>
        <v>1.8958333333333335</v>
      </c>
      <c r="P248" s="69">
        <f>VLOOKUP(G248,COSTS!$V$11:$X$14,3,FALSE)</f>
        <v>0</v>
      </c>
      <c r="Q248" s="69">
        <f t="shared" si="21"/>
        <v>25.995833333333334</v>
      </c>
      <c r="R248" s="69">
        <f t="shared" si="22"/>
        <v>5.1458333333333339</v>
      </c>
      <c r="S248" s="87">
        <f>VLOOKUP(A:A,'Flat Bed &amp; Late Fees'!A:J,6,FALSE)</f>
        <v>0</v>
      </c>
      <c r="T248" s="87">
        <f>VLOOKUP(A:A,'Flat Bed &amp; Late Fees'!A:J,7,FALSE)</f>
        <v>0</v>
      </c>
      <c r="U248" s="68">
        <f>VLOOKUP(C248&amp;G248,OTR!E:J,6,FALSE)/88</f>
        <v>11.732954545454545</v>
      </c>
      <c r="V248" s="87"/>
      <c r="W248" s="68">
        <f t="shared" si="23"/>
        <v>11.732954545454545</v>
      </c>
      <c r="X248" s="69">
        <f>VLOOKUP(G248,COSTS!$Z$18:$AC$23,2,FALSE)</f>
        <v>2.5</v>
      </c>
      <c r="Y248" s="87">
        <f>VLOOKUP(G248,COSTS!$Z$18:$AC$23,4,FALSE)</f>
        <v>1.68</v>
      </c>
      <c r="Z248" s="69">
        <f>(COSTS!$W$3*COSTS!$W$4*500)/52*COSTS!$AE$17</f>
        <v>1.3125</v>
      </c>
      <c r="AB248" s="69">
        <f t="shared" si="24"/>
        <v>5.4924999999999997</v>
      </c>
      <c r="AC248" s="69">
        <f>VLOOKUP(G248,COSTS!$Z$11:$AE$14,5,FALSE)</f>
        <v>7.3011363636363633</v>
      </c>
      <c r="AD248" s="69">
        <f>VLOOKUP(G248,COSTS!$Z$4:$AD$7,4,FALSE)</f>
        <v>9.1363636363636367</v>
      </c>
      <c r="AE248" s="69"/>
      <c r="AF248" s="69">
        <f t="shared" si="25"/>
        <v>16.4375</v>
      </c>
      <c r="AG248" s="87">
        <f>((COSTS!$C$5*88)/20)/88</f>
        <v>1.4407150000000002</v>
      </c>
      <c r="AH248" s="69">
        <f>(COSTS!$X$38/88)*20</f>
        <v>0.34865702479338845</v>
      </c>
      <c r="AI248" s="87">
        <f>((COSTS!$E$5*88)/20)/88</f>
        <v>0.62936587135988387</v>
      </c>
      <c r="AJ248" s="87">
        <f>((COSTS!$D$5*88)/20)/88</f>
        <v>0.33676</v>
      </c>
      <c r="AL248" s="387">
        <f t="shared" si="26"/>
        <v>2.7554978961532726</v>
      </c>
      <c r="AM248" s="69">
        <f>(COSTS!$W$3+0.1)*500*0.01</f>
        <v>3.9999999999999996</v>
      </c>
      <c r="AN248" s="387">
        <f>((COSTS!$G$5/20)*88)/88</f>
        <v>1.308904109589041</v>
      </c>
      <c r="AR248" s="69">
        <f t="shared" si="27"/>
        <v>5.3089041095890401</v>
      </c>
      <c r="AT248" s="1">
        <f>VLOOKUP(C248&amp;$AT$1,OTR!E:J,6,FALSE)/88</f>
        <v>29.473181818181818</v>
      </c>
      <c r="AU248" s="1">
        <f>VLOOKUP(C248&amp;$AU$1,OTR!E:J,6,FALSE)/88</f>
        <v>25.267045454545453</v>
      </c>
    </row>
    <row r="249" spans="1:47">
      <c r="A249" s="1">
        <v>73073</v>
      </c>
      <c r="B249" s="1" t="s">
        <v>588</v>
      </c>
      <c r="C249" s="1" t="s">
        <v>2207</v>
      </c>
      <c r="D249" s="1" t="s">
        <v>65</v>
      </c>
      <c r="E249" s="1" t="str">
        <f>VLOOKUP(A:A,'Regions and Ports'!A:G,5,FALSE)</f>
        <v>Eastern Rule 5</v>
      </c>
      <c r="F249" s="1" t="str">
        <f>VLOOKUP(A:A,'Regions and Ports'!A:F,6,FALSE)</f>
        <v>ER5</v>
      </c>
      <c r="G249" s="1" t="str">
        <f>VLOOKUP(A:A,'Regions and Ports'!A:G,7,FALSE)</f>
        <v>Memphis</v>
      </c>
      <c r="H249" s="87">
        <v>1</v>
      </c>
      <c r="I249" s="69">
        <f>VLOOKUP(A:A,'Seam Tariffs'!A:AB,9,FALSE)</f>
        <v>4</v>
      </c>
      <c r="J249" s="69">
        <f>VLOOKUP(A:A,'Seam Tariffs'!A:AB,11,FALSE)</f>
        <v>6</v>
      </c>
      <c r="K249" s="69">
        <f>VLOOKUP(A:A,'Seam Tariffs'!A:AB,12,FALSE)</f>
        <v>7.5</v>
      </c>
      <c r="L249" s="69">
        <f>VLOOKUP(A:A,'Seam Tariffs'!A:AB,13,FALSE)</f>
        <v>0</v>
      </c>
      <c r="M249" s="69">
        <f>VLOOKUP(A:A,'Seam Tariffs'!A:AB,14,FALSE)</f>
        <v>1</v>
      </c>
      <c r="N249" s="69">
        <f>VLOOKUP(A:A,'Seam Tariffs'!A:AB,28,FALSE)</f>
        <v>3</v>
      </c>
      <c r="O249" s="69">
        <f>COSTS!$W$6</f>
        <v>1.8958333333333335</v>
      </c>
      <c r="P249" s="69">
        <f>VLOOKUP(G249,COSTS!$V$11:$X$14,3,FALSE)</f>
        <v>0</v>
      </c>
      <c r="Q249" s="69">
        <f t="shared" si="21"/>
        <v>23.395833333333332</v>
      </c>
      <c r="R249" s="69">
        <f t="shared" si="22"/>
        <v>4.8958333333333339</v>
      </c>
      <c r="S249" s="87">
        <f>VLOOKUP(A:A,'Flat Bed &amp; Late Fees'!A:J,6,FALSE)</f>
        <v>0</v>
      </c>
      <c r="T249" s="87">
        <f>VLOOKUP(A:A,'Flat Bed &amp; Late Fees'!A:J,7,FALSE)</f>
        <v>0</v>
      </c>
      <c r="U249" s="68">
        <f>VLOOKUP(C249&amp;G249,OTR!E:J,6,FALSE)/88</f>
        <v>12.448863636363637</v>
      </c>
      <c r="V249" s="87"/>
      <c r="W249" s="68">
        <f t="shared" si="23"/>
        <v>12.448863636363637</v>
      </c>
      <c r="X249" s="69">
        <f>VLOOKUP(G249,COSTS!$Z$18:$AC$23,2,FALSE)</f>
        <v>2.5</v>
      </c>
      <c r="Y249" s="87">
        <f>VLOOKUP(G249,COSTS!$Z$18:$AC$23,4,FALSE)</f>
        <v>1.68</v>
      </c>
      <c r="Z249" s="69">
        <f>(COSTS!$W$3*COSTS!$W$4*500)/52*COSTS!$AE$17</f>
        <v>1.3125</v>
      </c>
      <c r="AB249" s="69">
        <f t="shared" si="24"/>
        <v>5.4924999999999997</v>
      </c>
      <c r="AC249" s="69">
        <f>VLOOKUP(G249,COSTS!$Z$11:$AE$14,5,FALSE)</f>
        <v>7.3011363636363633</v>
      </c>
      <c r="AD249" s="69">
        <f>VLOOKUP(G249,COSTS!$Z$4:$AD$7,4,FALSE)</f>
        <v>9.1363636363636367</v>
      </c>
      <c r="AE249" s="69"/>
      <c r="AF249" s="69">
        <f t="shared" si="25"/>
        <v>16.4375</v>
      </c>
      <c r="AG249" s="87">
        <f>((COSTS!$C$5*88)/20)/88</f>
        <v>1.4407150000000002</v>
      </c>
      <c r="AH249" s="69">
        <f>(COSTS!$X$38/88)*20</f>
        <v>0.34865702479338845</v>
      </c>
      <c r="AI249" s="87">
        <f>((COSTS!$E$5*88)/20)/88</f>
        <v>0.62936587135988387</v>
      </c>
      <c r="AJ249" s="87">
        <f>((COSTS!$D$5*88)/20)/88</f>
        <v>0.33676</v>
      </c>
      <c r="AL249" s="387">
        <f t="shared" si="26"/>
        <v>2.7554978961532726</v>
      </c>
      <c r="AM249" s="69">
        <f>(COSTS!$W$3+0.1)*500*0.01</f>
        <v>3.9999999999999996</v>
      </c>
      <c r="AN249" s="387">
        <f>((COSTS!$G$5/20)*88)/88</f>
        <v>1.308904109589041</v>
      </c>
      <c r="AR249" s="69">
        <f t="shared" si="27"/>
        <v>5.3089041095890401</v>
      </c>
      <c r="AT249" s="1" t="e">
        <f>VLOOKUP(C249&amp;$AT$1,OTR!E:J,6,FALSE)/88</f>
        <v>#N/A</v>
      </c>
      <c r="AU249" s="1">
        <f>VLOOKUP(C249&amp;$AU$1,OTR!E:J,6,FALSE)/88</f>
        <v>16.335227272727273</v>
      </c>
    </row>
    <row r="250" spans="1:47">
      <c r="A250" s="1">
        <v>413550</v>
      </c>
      <c r="B250" s="1" t="s">
        <v>590</v>
      </c>
      <c r="C250" s="1" t="s">
        <v>591</v>
      </c>
      <c r="D250" s="1" t="s">
        <v>80</v>
      </c>
      <c r="E250" s="1" t="str">
        <f>VLOOKUP(A:A,'Regions and Ports'!A:G,5,FALSE)</f>
        <v>Memphis Rule 5</v>
      </c>
      <c r="F250" s="1" t="str">
        <f>VLOOKUP(A:A,'Regions and Ports'!A:F,6,FALSE)</f>
        <v>MR5</v>
      </c>
      <c r="G250" s="1" t="str">
        <f>VLOOKUP(A:A,'Regions and Ports'!A:G,7,FALSE)</f>
        <v>Houston</v>
      </c>
      <c r="H250" s="87">
        <v>1</v>
      </c>
      <c r="I250" s="69">
        <f>VLOOKUP(A:A,'Seam Tariffs'!A:AB,9,FALSE)</f>
        <v>0</v>
      </c>
      <c r="J250" s="69">
        <f>VLOOKUP(A:A,'Seam Tariffs'!A:AB,11,FALSE)</f>
        <v>2.5</v>
      </c>
      <c r="K250" s="69">
        <f>VLOOKUP(A:A,'Seam Tariffs'!A:AB,12,FALSE)</f>
        <v>0</v>
      </c>
      <c r="L250" s="69">
        <f>VLOOKUP(A:A,'Seam Tariffs'!A:AB,13,FALSE)</f>
        <v>0</v>
      </c>
      <c r="M250" s="69">
        <f>VLOOKUP(A:A,'Seam Tariffs'!A:AB,14,FALSE)</f>
        <v>0</v>
      </c>
      <c r="N250" s="69">
        <f>VLOOKUP(A:A,'Seam Tariffs'!A:AB,28,FALSE)</f>
        <v>2.4</v>
      </c>
      <c r="O250" s="69">
        <f>COSTS!$W$6</f>
        <v>1.8958333333333335</v>
      </c>
      <c r="P250" s="69">
        <f>VLOOKUP(G250,COSTS!$V$11:$X$14,3,FALSE)</f>
        <v>0</v>
      </c>
      <c r="Q250" s="69">
        <f t="shared" si="21"/>
        <v>6.7958333333333343</v>
      </c>
      <c r="R250" s="69">
        <f t="shared" si="22"/>
        <v>4.2958333333333334</v>
      </c>
      <c r="S250" s="87">
        <f>VLOOKUP(A:A,'Flat Bed &amp; Late Fees'!A:J,6,FALSE)</f>
        <v>0</v>
      </c>
      <c r="T250" s="87">
        <f>VLOOKUP(A:A,'Flat Bed &amp; Late Fees'!A:J,7,FALSE)</f>
        <v>0</v>
      </c>
      <c r="U250" s="68">
        <f>VLOOKUP(C250&amp;G250,OTR!E:J,6,FALSE)/88</f>
        <v>14.085227272727273</v>
      </c>
      <c r="V250" s="87"/>
      <c r="W250" s="68">
        <f t="shared" si="23"/>
        <v>14.085227272727273</v>
      </c>
      <c r="X250" s="69">
        <f>VLOOKUP(G250,COSTS!$Z$18:$AC$23,2,FALSE)</f>
        <v>2.7</v>
      </c>
      <c r="Y250" s="87">
        <f>VLOOKUP(G250,COSTS!$Z$18:$AC$23,4,FALSE)</f>
        <v>2.52</v>
      </c>
      <c r="Z250" s="69">
        <f>(COSTS!$W$3*COSTS!$W$4*500)/52*COSTS!$AE$17</f>
        <v>1.3125</v>
      </c>
      <c r="AB250" s="69">
        <f t="shared" si="24"/>
        <v>6.5325000000000006</v>
      </c>
      <c r="AC250" s="69">
        <f>VLOOKUP(G250,COSTS!$Z$11:$AE$14,5,FALSE)</f>
        <v>6.6477272727272725</v>
      </c>
      <c r="AD250" s="69">
        <f>VLOOKUP(G250,COSTS!$Z$4:$AD$7,4,FALSE)</f>
        <v>9.8977272727272734</v>
      </c>
      <c r="AE250" s="69"/>
      <c r="AF250" s="69">
        <f t="shared" si="25"/>
        <v>16.545454545454547</v>
      </c>
      <c r="AG250" s="87">
        <f>((COSTS!$C$5*88)/20)/88</f>
        <v>1.4407150000000002</v>
      </c>
      <c r="AH250" s="69">
        <f>(COSTS!$X$38/88)*20</f>
        <v>0.34865702479338845</v>
      </c>
      <c r="AI250" s="87">
        <f>((COSTS!$E$5*88)/20)/88</f>
        <v>0.62936587135988387</v>
      </c>
      <c r="AJ250" s="87">
        <f>((COSTS!$D$5*88)/20)/88</f>
        <v>0.33676</v>
      </c>
      <c r="AL250" s="387">
        <f t="shared" si="26"/>
        <v>2.7554978961532726</v>
      </c>
      <c r="AM250" s="69">
        <f>(COSTS!$W$3+0.1)*500*0.01</f>
        <v>3.9999999999999996</v>
      </c>
      <c r="AN250" s="387">
        <f>((COSTS!$G$5/20)*88)/88</f>
        <v>1.308904109589041</v>
      </c>
      <c r="AR250" s="69">
        <f t="shared" si="27"/>
        <v>5.3089041095890401</v>
      </c>
      <c r="AT250" s="1" t="e">
        <f>VLOOKUP(C250&amp;$AT$1,OTR!E:J,6,FALSE)/88</f>
        <v>#N/A</v>
      </c>
      <c r="AU250" s="1" t="e">
        <f>VLOOKUP(C250&amp;$AU$1,OTR!E:J,6,FALSE)/88</f>
        <v>#N/A</v>
      </c>
    </row>
    <row r="251" spans="1:47">
      <c r="A251" s="1">
        <v>413551</v>
      </c>
      <c r="B251" s="1" t="s">
        <v>593</v>
      </c>
      <c r="C251" s="1" t="s">
        <v>591</v>
      </c>
      <c r="D251" s="1" t="s">
        <v>80</v>
      </c>
      <c r="E251" s="1" t="str">
        <f>VLOOKUP(A:A,'Regions and Ports'!A:G,5,FALSE)</f>
        <v>Memphis Rule 5</v>
      </c>
      <c r="F251" s="1" t="str">
        <f>VLOOKUP(A:A,'Regions and Ports'!A:F,6,FALSE)</f>
        <v>MR5</v>
      </c>
      <c r="G251" s="1" t="str">
        <f>VLOOKUP(A:A,'Regions and Ports'!A:G,7,FALSE)</f>
        <v>Houston</v>
      </c>
      <c r="H251" s="87">
        <v>1</v>
      </c>
      <c r="I251" s="69">
        <f>VLOOKUP(A:A,'Seam Tariffs'!A:AB,9,FALSE)</f>
        <v>0</v>
      </c>
      <c r="J251" s="69">
        <f>VLOOKUP(A:A,'Seam Tariffs'!A:AB,11,FALSE)</f>
        <v>2.5</v>
      </c>
      <c r="K251" s="69">
        <f>VLOOKUP(A:A,'Seam Tariffs'!A:AB,12,FALSE)</f>
        <v>0</v>
      </c>
      <c r="L251" s="69">
        <f>VLOOKUP(A:A,'Seam Tariffs'!A:AB,13,FALSE)</f>
        <v>0</v>
      </c>
      <c r="M251" s="69">
        <f>VLOOKUP(A:A,'Seam Tariffs'!A:AB,14,FALSE)</f>
        <v>0</v>
      </c>
      <c r="N251" s="69">
        <f>VLOOKUP(A:A,'Seam Tariffs'!A:AB,28,FALSE)</f>
        <v>2.4</v>
      </c>
      <c r="O251" s="69">
        <f>COSTS!$W$6</f>
        <v>1.8958333333333335</v>
      </c>
      <c r="P251" s="69">
        <f>VLOOKUP(G251,COSTS!$V$11:$X$14,3,FALSE)</f>
        <v>0</v>
      </c>
      <c r="Q251" s="69">
        <f t="shared" si="21"/>
        <v>6.7958333333333343</v>
      </c>
      <c r="R251" s="69">
        <f t="shared" si="22"/>
        <v>4.2958333333333334</v>
      </c>
      <c r="S251" s="87">
        <f>VLOOKUP(A:A,'Flat Bed &amp; Late Fees'!A:J,6,FALSE)</f>
        <v>0</v>
      </c>
      <c r="T251" s="87">
        <f>VLOOKUP(A:A,'Flat Bed &amp; Late Fees'!A:J,7,FALSE)</f>
        <v>0</v>
      </c>
      <c r="U251" s="68">
        <f>VLOOKUP(C251&amp;G251,OTR!E:J,6,FALSE)/88</f>
        <v>14.085227272727273</v>
      </c>
      <c r="V251" s="87"/>
      <c r="W251" s="68">
        <f t="shared" si="23"/>
        <v>14.085227272727273</v>
      </c>
      <c r="X251" s="69">
        <f>VLOOKUP(G251,COSTS!$Z$18:$AC$23,2,FALSE)</f>
        <v>2.7</v>
      </c>
      <c r="Y251" s="87">
        <f>VLOOKUP(G251,COSTS!$Z$18:$AC$23,4,FALSE)</f>
        <v>2.52</v>
      </c>
      <c r="Z251" s="69">
        <f>(COSTS!$W$3*COSTS!$W$4*500)/52*COSTS!$AE$17</f>
        <v>1.3125</v>
      </c>
      <c r="AB251" s="69">
        <f t="shared" si="24"/>
        <v>6.5325000000000006</v>
      </c>
      <c r="AC251" s="69">
        <f>VLOOKUP(G251,COSTS!$Z$11:$AE$14,5,FALSE)</f>
        <v>6.6477272727272725</v>
      </c>
      <c r="AD251" s="69">
        <f>VLOOKUP(G251,COSTS!$Z$4:$AD$7,4,FALSE)</f>
        <v>9.8977272727272734</v>
      </c>
      <c r="AE251" s="69"/>
      <c r="AF251" s="69">
        <f t="shared" si="25"/>
        <v>16.545454545454547</v>
      </c>
      <c r="AG251" s="87">
        <f>((COSTS!$C$5*88)/20)/88</f>
        <v>1.4407150000000002</v>
      </c>
      <c r="AH251" s="69">
        <f>(COSTS!$X$38/88)*20</f>
        <v>0.34865702479338845</v>
      </c>
      <c r="AI251" s="87">
        <f>((COSTS!$E$5*88)/20)/88</f>
        <v>0.62936587135988387</v>
      </c>
      <c r="AJ251" s="87">
        <f>((COSTS!$D$5*88)/20)/88</f>
        <v>0.33676</v>
      </c>
      <c r="AL251" s="387">
        <f t="shared" si="26"/>
        <v>2.7554978961532726</v>
      </c>
      <c r="AM251" s="69">
        <f>(COSTS!$W$3+0.1)*500*0.01</f>
        <v>3.9999999999999996</v>
      </c>
      <c r="AN251" s="387">
        <f>((COSTS!$G$5/20)*88)/88</f>
        <v>1.308904109589041</v>
      </c>
      <c r="AR251" s="69">
        <f t="shared" si="27"/>
        <v>5.3089041095890401</v>
      </c>
      <c r="AT251" s="1" t="e">
        <f>VLOOKUP(C251&amp;$AT$1,OTR!E:J,6,FALSE)/88</f>
        <v>#N/A</v>
      </c>
      <c r="AU251" s="1" t="e">
        <f>VLOOKUP(C251&amp;$AU$1,OTR!E:J,6,FALSE)/88</f>
        <v>#N/A</v>
      </c>
    </row>
    <row r="252" spans="1:47">
      <c r="A252" s="1">
        <v>589209</v>
      </c>
      <c r="B252" s="1" t="s">
        <v>594</v>
      </c>
      <c r="C252" s="1" t="s">
        <v>2204</v>
      </c>
      <c r="D252" s="1" t="s">
        <v>136</v>
      </c>
      <c r="E252" s="1" t="str">
        <f>VLOOKUP(A:A,'Regions and Ports'!A:G,5,FALSE)</f>
        <v>Eastern Rule 5</v>
      </c>
      <c r="F252" s="1" t="str">
        <f>VLOOKUP(A:A,'Regions and Ports'!A:F,6,FALSE)</f>
        <v>ER5</v>
      </c>
      <c r="G252" s="1" t="str">
        <f>VLOOKUP(A:A,'Regions and Ports'!A:G,7,FALSE)</f>
        <v>Savannah</v>
      </c>
      <c r="H252" s="87">
        <v>1</v>
      </c>
      <c r="I252" s="69">
        <f>VLOOKUP(A:A,'Seam Tariffs'!A:AB,9,FALSE)</f>
        <v>4</v>
      </c>
      <c r="J252" s="69">
        <f>VLOOKUP(A:A,'Seam Tariffs'!A:AB,11,FALSE)</f>
        <v>5</v>
      </c>
      <c r="K252" s="69">
        <f>VLOOKUP(A:A,'Seam Tariffs'!A:AB,12,FALSE)</f>
        <v>0</v>
      </c>
      <c r="L252" s="69">
        <f>VLOOKUP(A:A,'Seam Tariffs'!A:AB,13,FALSE)</f>
        <v>0</v>
      </c>
      <c r="M252" s="69">
        <f>VLOOKUP(A:A,'Seam Tariffs'!A:AB,14,FALSE)</f>
        <v>1</v>
      </c>
      <c r="N252" s="69">
        <f>VLOOKUP(A:A,'Seam Tariffs'!A:AB,28,FALSE)</f>
        <v>2.5</v>
      </c>
      <c r="O252" s="69">
        <f>COSTS!$W$6</f>
        <v>1.8958333333333335</v>
      </c>
      <c r="P252" s="69">
        <f>VLOOKUP(G252,COSTS!$V$11:$X$14,3,FALSE)</f>
        <v>0</v>
      </c>
      <c r="Q252" s="69">
        <f t="shared" si="21"/>
        <v>14.395833333333334</v>
      </c>
      <c r="R252" s="69">
        <f t="shared" si="22"/>
        <v>4.3958333333333339</v>
      </c>
      <c r="S252" s="87">
        <f>VLOOKUP(A:A,'Flat Bed &amp; Late Fees'!A:J,6,FALSE)</f>
        <v>0</v>
      </c>
      <c r="T252" s="87">
        <f>VLOOKUP(A:A,'Flat Bed &amp; Late Fees'!A:J,7,FALSE)</f>
        <v>0</v>
      </c>
      <c r="U252" s="68">
        <f>VLOOKUP(C252&amp;G252,OTR!E:J,6,FALSE)/88</f>
        <v>11.567869318181819</v>
      </c>
      <c r="V252" s="87"/>
      <c r="W252" s="68">
        <f t="shared" si="23"/>
        <v>11.567869318181819</v>
      </c>
      <c r="X252" s="69">
        <f>VLOOKUP(G252,COSTS!$Z$18:$AC$23,2,FALSE)</f>
        <v>2.6</v>
      </c>
      <c r="Y252" s="87">
        <f>VLOOKUP(G252,COSTS!$Z$18:$AC$23,4,FALSE)</f>
        <v>2.52</v>
      </c>
      <c r="Z252" s="69">
        <f>(COSTS!$W$3*COSTS!$W$4*500)/52*COSTS!$AE$17</f>
        <v>1.3125</v>
      </c>
      <c r="AB252" s="69">
        <f t="shared" si="24"/>
        <v>6.4325000000000001</v>
      </c>
      <c r="AC252" s="69">
        <f>VLOOKUP(G252,COSTS!$Z$11:$AE$14,5,FALSE)</f>
        <v>5.5113636363636367</v>
      </c>
      <c r="AD252" s="69">
        <f>VLOOKUP(G252,COSTS!$Z$4:$AD$7,4,FALSE)</f>
        <v>5.3522727272727275</v>
      </c>
      <c r="AE252" s="69"/>
      <c r="AF252" s="69">
        <f t="shared" si="25"/>
        <v>10.863636363636363</v>
      </c>
      <c r="AG252" s="87">
        <f>((COSTS!$C$5*88)/20)/88</f>
        <v>1.4407150000000002</v>
      </c>
      <c r="AH252" s="69">
        <f>(COSTS!$X$38/88)*20</f>
        <v>0.34865702479338845</v>
      </c>
      <c r="AI252" s="87">
        <f>((COSTS!$E$5*88)/20)/88</f>
        <v>0.62936587135988387</v>
      </c>
      <c r="AJ252" s="87">
        <f>((COSTS!$D$5*88)/20)/88</f>
        <v>0.33676</v>
      </c>
      <c r="AL252" s="387">
        <f t="shared" si="26"/>
        <v>2.7554978961532726</v>
      </c>
      <c r="AM252" s="69">
        <f>(COSTS!$W$3+0.1)*500*0.01</f>
        <v>3.9999999999999996</v>
      </c>
      <c r="AN252" s="387">
        <f>((COSTS!$G$5/20)*88)/88</f>
        <v>1.308904109589041</v>
      </c>
      <c r="AR252" s="69">
        <f t="shared" si="27"/>
        <v>5.3089041095890401</v>
      </c>
      <c r="AT252" s="1" t="e">
        <f>VLOOKUP(C252&amp;$AT$1,OTR!E:J,6,FALSE)/88</f>
        <v>#N/A</v>
      </c>
      <c r="AU252" s="1">
        <f>VLOOKUP(C252&amp;$AU$1,OTR!E:J,6,FALSE)/88</f>
        <v>12.414772727272727</v>
      </c>
    </row>
    <row r="253" spans="1:47">
      <c r="A253" s="1">
        <v>308005</v>
      </c>
      <c r="B253" s="1" t="s">
        <v>597</v>
      </c>
      <c r="C253" s="1" t="s">
        <v>598</v>
      </c>
      <c r="D253" s="1" t="s">
        <v>76</v>
      </c>
      <c r="E253" s="1" t="str">
        <f>VLOOKUP(A:A,'Regions and Ports'!A:G,5,FALSE)</f>
        <v>GA 30 Day</v>
      </c>
      <c r="F253" s="1" t="str">
        <f>VLOOKUP(A:A,'Regions and Ports'!A:F,6,FALSE)</f>
        <v>ER5</v>
      </c>
      <c r="G253" s="1" t="str">
        <f>VLOOKUP(A:A,'Regions and Ports'!A:G,7,FALSE)</f>
        <v>Savannah</v>
      </c>
      <c r="H253" s="87">
        <v>4</v>
      </c>
      <c r="I253" s="69">
        <f>VLOOKUP(A:A,'Seam Tariffs'!A:AB,9,FALSE)</f>
        <v>4</v>
      </c>
      <c r="J253" s="69">
        <f>VLOOKUP(A:A,'Seam Tariffs'!A:AB,11,FALSE)</f>
        <v>6</v>
      </c>
      <c r="K253" s="69">
        <f>VLOOKUP(A:A,'Seam Tariffs'!A:AB,12,FALSE)</f>
        <v>0</v>
      </c>
      <c r="L253" s="69">
        <f>VLOOKUP(A:A,'Seam Tariffs'!A:AB,13,FALSE)</f>
        <v>0</v>
      </c>
      <c r="M253" s="69">
        <f>VLOOKUP(A:A,'Seam Tariffs'!A:AB,14,FALSE)</f>
        <v>0</v>
      </c>
      <c r="N253" s="69">
        <f>VLOOKUP(A:A,'Seam Tariffs'!A:AB,28,FALSE)</f>
        <v>2.75</v>
      </c>
      <c r="O253" s="69">
        <f>COSTS!$W$6</f>
        <v>1.8958333333333335</v>
      </c>
      <c r="P253" s="69">
        <f>VLOOKUP(G253,COSTS!$V$11:$X$14,3,FALSE)</f>
        <v>0</v>
      </c>
      <c r="Q253" s="69">
        <f t="shared" si="21"/>
        <v>14.645833333333334</v>
      </c>
      <c r="R253" s="69">
        <f t="shared" si="22"/>
        <v>1.8958333333333335</v>
      </c>
      <c r="S253" s="87">
        <f>VLOOKUP(A:A,'Flat Bed &amp; Late Fees'!A:J,6,FALSE)</f>
        <v>0</v>
      </c>
      <c r="T253" s="87">
        <f>VLOOKUP(A:A,'Flat Bed &amp; Late Fees'!A:J,7,FALSE)</f>
        <v>0</v>
      </c>
      <c r="U253" s="68">
        <f>VLOOKUP(C253&amp;G253,OTR!E:J,6,FALSE)/88</f>
        <v>10.985454545454546</v>
      </c>
      <c r="V253" s="87"/>
      <c r="W253" s="68">
        <f t="shared" si="23"/>
        <v>10.985454545454546</v>
      </c>
      <c r="X253" s="69">
        <f>VLOOKUP(G253,COSTS!$Z$18:$AC$23,2,FALSE)</f>
        <v>2.6</v>
      </c>
      <c r="Y253" s="87">
        <f>VLOOKUP(G253,COSTS!$Z$18:$AC$23,4,FALSE)</f>
        <v>2.52</v>
      </c>
      <c r="Z253" s="69">
        <f>(COSTS!$W$3*COSTS!$W$4*500)/52*COSTS!$AE$17</f>
        <v>1.3125</v>
      </c>
      <c r="AB253" s="69">
        <f t="shared" si="24"/>
        <v>6.4325000000000001</v>
      </c>
      <c r="AC253" s="69">
        <f>VLOOKUP(G253,COSTS!$Z$11:$AE$14,5,FALSE)</f>
        <v>5.5113636363636367</v>
      </c>
      <c r="AD253" s="69">
        <f>VLOOKUP(G253,COSTS!$Z$4:$AD$7,4,FALSE)</f>
        <v>5.3522727272727275</v>
      </c>
      <c r="AE253" s="69"/>
      <c r="AF253" s="69">
        <f t="shared" si="25"/>
        <v>10.863636363636363</v>
      </c>
      <c r="AG253" s="87">
        <f>((COSTS!$C$5*88)/20)/88</f>
        <v>1.4407150000000002</v>
      </c>
      <c r="AH253" s="69">
        <f>(COSTS!$X$38/88)*20</f>
        <v>0.34865702479338845</v>
      </c>
      <c r="AI253" s="87">
        <f>((COSTS!$E$5*88)/20)/88</f>
        <v>0.62936587135988387</v>
      </c>
      <c r="AJ253" s="87">
        <f>((COSTS!$D$5*88)/20)/88</f>
        <v>0.33676</v>
      </c>
      <c r="AL253" s="387">
        <f t="shared" si="26"/>
        <v>2.7554978961532726</v>
      </c>
      <c r="AM253" s="69">
        <f>(COSTS!$W$3+0.1)*500*0.01</f>
        <v>3.9999999999999996</v>
      </c>
      <c r="AN253" s="387">
        <f>((COSTS!$G$5/20)*88)/88</f>
        <v>1.308904109589041</v>
      </c>
      <c r="AR253" s="69">
        <f t="shared" si="27"/>
        <v>5.3089041095890401</v>
      </c>
      <c r="AT253" s="1" t="e">
        <f>VLOOKUP(C253&amp;$AT$1,OTR!E:J,6,FALSE)/88</f>
        <v>#N/A</v>
      </c>
      <c r="AU253" s="1">
        <f>VLOOKUP(C253&amp;$AU$1,OTR!E:J,6,FALSE)/88</f>
        <v>16.573863636363637</v>
      </c>
    </row>
    <row r="254" spans="1:47">
      <c r="A254" s="1">
        <v>735030</v>
      </c>
      <c r="B254" s="1" t="s">
        <v>599</v>
      </c>
      <c r="C254" s="1" t="s">
        <v>600</v>
      </c>
      <c r="D254" s="1" t="s">
        <v>132</v>
      </c>
      <c r="E254" s="1" t="str">
        <f>VLOOKUP(A:A,'Regions and Ports'!A:G,5,FALSE)</f>
        <v>Eastern Rule 5</v>
      </c>
      <c r="F254" s="1" t="str">
        <f>VLOOKUP(A:A,'Regions and Ports'!A:F,6,FALSE)</f>
        <v>ER5</v>
      </c>
      <c r="G254" s="1" t="str">
        <f>VLOOKUP(A:A,'Regions and Ports'!A:G,7,FALSE)</f>
        <v>Savannah</v>
      </c>
      <c r="H254" s="87">
        <v>1</v>
      </c>
      <c r="I254" s="69">
        <f>VLOOKUP(A:A,'Seam Tariffs'!A:AB,9,FALSE)</f>
        <v>2</v>
      </c>
      <c r="J254" s="69">
        <f>VLOOKUP(A:A,'Seam Tariffs'!A:AB,11,FALSE)</f>
        <v>4</v>
      </c>
      <c r="K254" s="69">
        <f>VLOOKUP(A:A,'Seam Tariffs'!A:AB,12,FALSE)</f>
        <v>0</v>
      </c>
      <c r="L254" s="69">
        <f>VLOOKUP(A:A,'Seam Tariffs'!A:AB,13,FALSE)</f>
        <v>0</v>
      </c>
      <c r="M254" s="69">
        <f>VLOOKUP(A:A,'Seam Tariffs'!A:AB,14,FALSE)</f>
        <v>0.5</v>
      </c>
      <c r="N254" s="69">
        <f>VLOOKUP(A:A,'Seam Tariffs'!A:AB,28,FALSE)</f>
        <v>2.7</v>
      </c>
      <c r="O254" s="69">
        <f>COSTS!$W$6</f>
        <v>1.8958333333333335</v>
      </c>
      <c r="P254" s="69">
        <f>VLOOKUP(G254,COSTS!$V$11:$X$14,3,FALSE)</f>
        <v>0</v>
      </c>
      <c r="Q254" s="69">
        <f t="shared" si="21"/>
        <v>11.095833333333333</v>
      </c>
      <c r="R254" s="69">
        <f t="shared" si="22"/>
        <v>4.5958333333333332</v>
      </c>
      <c r="S254" s="87">
        <f>VLOOKUP(A:A,'Flat Bed &amp; Late Fees'!A:J,6,FALSE)</f>
        <v>0</v>
      </c>
      <c r="T254" s="87">
        <f>VLOOKUP(A:A,'Flat Bed &amp; Late Fees'!A:J,7,FALSE)</f>
        <v>0</v>
      </c>
      <c r="U254" s="68">
        <f>VLOOKUP(C254&amp;G254,OTR!E:J,6,FALSE)/88</f>
        <v>8.6008522727272734</v>
      </c>
      <c r="V254" s="87"/>
      <c r="W254" s="68">
        <f t="shared" si="23"/>
        <v>8.6008522727272734</v>
      </c>
      <c r="X254" s="69">
        <f>VLOOKUP(G254,COSTS!$Z$18:$AC$23,2,FALSE)</f>
        <v>2.6</v>
      </c>
      <c r="Y254" s="87">
        <f>VLOOKUP(G254,COSTS!$Z$18:$AC$23,4,FALSE)</f>
        <v>2.52</v>
      </c>
      <c r="Z254" s="69">
        <f>(COSTS!$W$3*COSTS!$W$4*500)/52*COSTS!$AE$17</f>
        <v>1.3125</v>
      </c>
      <c r="AB254" s="69">
        <f t="shared" si="24"/>
        <v>6.4325000000000001</v>
      </c>
      <c r="AC254" s="69">
        <f>VLOOKUP(G254,COSTS!$Z$11:$AE$14,5,FALSE)</f>
        <v>5.5113636363636367</v>
      </c>
      <c r="AD254" s="69">
        <f>VLOOKUP(G254,COSTS!$Z$4:$AD$7,4,FALSE)</f>
        <v>5.3522727272727275</v>
      </c>
      <c r="AE254" s="69"/>
      <c r="AF254" s="69">
        <f t="shared" si="25"/>
        <v>10.863636363636363</v>
      </c>
      <c r="AG254" s="87">
        <f>((COSTS!$C$5*88)/20)/88</f>
        <v>1.4407150000000002</v>
      </c>
      <c r="AH254" s="69">
        <f>(COSTS!$X$38/88)*20</f>
        <v>0.34865702479338845</v>
      </c>
      <c r="AI254" s="87">
        <f>((COSTS!$E$5*88)/20)/88</f>
        <v>0.62936587135988387</v>
      </c>
      <c r="AJ254" s="87">
        <f>((COSTS!$D$5*88)/20)/88</f>
        <v>0.33676</v>
      </c>
      <c r="AL254" s="387">
        <f t="shared" si="26"/>
        <v>2.7554978961532726</v>
      </c>
      <c r="AM254" s="69">
        <f>(COSTS!$W$3+0.1)*500*0.01</f>
        <v>3.9999999999999996</v>
      </c>
      <c r="AN254" s="387">
        <f>((COSTS!$G$5/20)*88)/88</f>
        <v>1.308904109589041</v>
      </c>
      <c r="AR254" s="69">
        <f t="shared" si="27"/>
        <v>5.3089041095890401</v>
      </c>
      <c r="AT254" s="1" t="e">
        <f>VLOOKUP(C254&amp;$AT$1,OTR!E:J,6,FALSE)/88</f>
        <v>#N/A</v>
      </c>
      <c r="AU254" s="1">
        <f>VLOOKUP(C254&amp;$AU$1,OTR!E:J,6,FALSE)/88</f>
        <v>10.198863636363637</v>
      </c>
    </row>
    <row r="255" spans="1:47">
      <c r="A255" s="1">
        <v>309100</v>
      </c>
      <c r="B255" s="1" t="s">
        <v>601</v>
      </c>
      <c r="C255" s="1" t="s">
        <v>602</v>
      </c>
      <c r="D255" s="1" t="s">
        <v>76</v>
      </c>
      <c r="E255" s="1" t="str">
        <f>VLOOKUP(A:A,'Regions and Ports'!A:G,5,FALSE)</f>
        <v>GA 30 Day</v>
      </c>
      <c r="F255" s="1" t="str">
        <f>VLOOKUP(A:A,'Regions and Ports'!A:F,6,FALSE)</f>
        <v>ER5</v>
      </c>
      <c r="G255" s="1" t="str">
        <f>VLOOKUP(A:A,'Regions and Ports'!A:G,7,FALSE)</f>
        <v>Savannah</v>
      </c>
      <c r="H255" s="87">
        <v>4</v>
      </c>
      <c r="I255" s="69">
        <f>VLOOKUP(A:A,'Seam Tariffs'!A:AB,9,FALSE)</f>
        <v>3</v>
      </c>
      <c r="J255" s="69">
        <f>VLOOKUP(A:A,'Seam Tariffs'!A:AB,11,FALSE)</f>
        <v>5</v>
      </c>
      <c r="K255" s="69">
        <f>VLOOKUP(A:A,'Seam Tariffs'!A:AB,12,FALSE)</f>
        <v>0</v>
      </c>
      <c r="L255" s="69">
        <f>VLOOKUP(A:A,'Seam Tariffs'!A:AB,13,FALSE)</f>
        <v>0</v>
      </c>
      <c r="M255" s="69">
        <f>VLOOKUP(A:A,'Seam Tariffs'!A:AB,14,FALSE)</f>
        <v>0.5</v>
      </c>
      <c r="N255" s="69">
        <f>VLOOKUP(A:A,'Seam Tariffs'!A:AB,28,FALSE)</f>
        <v>3</v>
      </c>
      <c r="O255" s="69">
        <f>COSTS!$W$6</f>
        <v>1.8958333333333335</v>
      </c>
      <c r="P255" s="69">
        <f>VLOOKUP(G255,COSTS!$V$11:$X$14,3,FALSE)</f>
        <v>0</v>
      </c>
      <c r="Q255" s="69">
        <f t="shared" si="21"/>
        <v>13.395833333333334</v>
      </c>
      <c r="R255" s="69">
        <f t="shared" si="22"/>
        <v>1.8958333333333335</v>
      </c>
      <c r="S255" s="87">
        <f>VLOOKUP(A:A,'Flat Bed &amp; Late Fees'!A:J,6,FALSE)</f>
        <v>0</v>
      </c>
      <c r="T255" s="87">
        <f>VLOOKUP(A:A,'Flat Bed &amp; Late Fees'!A:J,7,FALSE)</f>
        <v>0</v>
      </c>
      <c r="U255" s="68">
        <f>VLOOKUP(C255&amp;G255,OTR!E:J,6,FALSE)/88</f>
        <v>10.133181818181818</v>
      </c>
      <c r="V255" s="87"/>
      <c r="W255" s="68">
        <f t="shared" si="23"/>
        <v>10.133181818181818</v>
      </c>
      <c r="X255" s="69">
        <f>VLOOKUP(G255,COSTS!$Z$18:$AC$23,2,FALSE)</f>
        <v>2.6</v>
      </c>
      <c r="Y255" s="87">
        <f>VLOOKUP(G255,COSTS!$Z$18:$AC$23,4,FALSE)</f>
        <v>2.52</v>
      </c>
      <c r="Z255" s="69">
        <f>(COSTS!$W$3*COSTS!$W$4*500)/52*COSTS!$AE$17</f>
        <v>1.3125</v>
      </c>
      <c r="AB255" s="69">
        <f t="shared" si="24"/>
        <v>6.4325000000000001</v>
      </c>
      <c r="AC255" s="69">
        <f>VLOOKUP(G255,COSTS!$Z$11:$AE$14,5,FALSE)</f>
        <v>5.5113636363636367</v>
      </c>
      <c r="AD255" s="69">
        <f>VLOOKUP(G255,COSTS!$Z$4:$AD$7,4,FALSE)</f>
        <v>5.3522727272727275</v>
      </c>
      <c r="AE255" s="69"/>
      <c r="AF255" s="69">
        <f t="shared" si="25"/>
        <v>10.863636363636363</v>
      </c>
      <c r="AG255" s="87">
        <f>((COSTS!$C$5*88)/20)/88</f>
        <v>1.4407150000000002</v>
      </c>
      <c r="AH255" s="69">
        <f>(COSTS!$X$38/88)*20</f>
        <v>0.34865702479338845</v>
      </c>
      <c r="AI255" s="87">
        <f>((COSTS!$E$5*88)/20)/88</f>
        <v>0.62936587135988387</v>
      </c>
      <c r="AJ255" s="87">
        <f>((COSTS!$D$5*88)/20)/88</f>
        <v>0.33676</v>
      </c>
      <c r="AL255" s="387">
        <f t="shared" si="26"/>
        <v>2.7554978961532726</v>
      </c>
      <c r="AM255" s="69">
        <f>(COSTS!$W$3+0.1)*500*0.01</f>
        <v>3.9999999999999996</v>
      </c>
      <c r="AN255" s="387">
        <f>((COSTS!$G$5/20)*88)/88</f>
        <v>1.308904109589041</v>
      </c>
      <c r="AR255" s="69">
        <f t="shared" si="27"/>
        <v>5.3089041095890401</v>
      </c>
      <c r="AT255" s="1">
        <f>VLOOKUP(C255&amp;$AT$1,OTR!E:J,6,FALSE)/88</f>
        <v>24.538181818181819</v>
      </c>
      <c r="AU255" s="1">
        <f>VLOOKUP(C255&amp;$AU$1,OTR!E:J,6,FALSE)/88</f>
        <v>16.40340909090909</v>
      </c>
    </row>
    <row r="256" spans="1:47">
      <c r="A256" s="1">
        <v>310516</v>
      </c>
      <c r="B256" s="1" t="s">
        <v>604</v>
      </c>
      <c r="C256" s="1" t="s">
        <v>602</v>
      </c>
      <c r="D256" s="1" t="s">
        <v>76</v>
      </c>
      <c r="E256" s="1" t="str">
        <f>VLOOKUP(A:A,'Regions and Ports'!A:G,5,FALSE)</f>
        <v>GA 30 Day</v>
      </c>
      <c r="F256" s="1" t="str">
        <f>VLOOKUP(A:A,'Regions and Ports'!A:F,6,FALSE)</f>
        <v>ER5</v>
      </c>
      <c r="G256" s="1" t="str">
        <f>VLOOKUP(A:A,'Regions and Ports'!A:G,7,FALSE)</f>
        <v>Savannah</v>
      </c>
      <c r="H256" s="87">
        <v>4</v>
      </c>
      <c r="I256" s="69">
        <f>VLOOKUP(A:A,'Seam Tariffs'!A:AB,9,FALSE)</f>
        <v>3</v>
      </c>
      <c r="J256" s="69">
        <f>VLOOKUP(A:A,'Seam Tariffs'!A:AB,11,FALSE)</f>
        <v>5</v>
      </c>
      <c r="K256" s="69">
        <f>VLOOKUP(A:A,'Seam Tariffs'!A:AB,12,FALSE)</f>
        <v>0</v>
      </c>
      <c r="L256" s="69">
        <f>VLOOKUP(A:A,'Seam Tariffs'!A:AB,13,FALSE)</f>
        <v>0</v>
      </c>
      <c r="M256" s="69">
        <f>VLOOKUP(A:A,'Seam Tariffs'!A:AB,14,FALSE)</f>
        <v>0.5</v>
      </c>
      <c r="N256" s="69">
        <f>VLOOKUP(A:A,'Seam Tariffs'!A:AB,28,FALSE)</f>
        <v>3</v>
      </c>
      <c r="O256" s="69">
        <f>COSTS!$W$6</f>
        <v>1.8958333333333335</v>
      </c>
      <c r="P256" s="69">
        <f>VLOOKUP(G256,COSTS!$V$11:$X$14,3,FALSE)</f>
        <v>0</v>
      </c>
      <c r="Q256" s="69">
        <f t="shared" si="21"/>
        <v>13.395833333333334</v>
      </c>
      <c r="R256" s="69">
        <f t="shared" si="22"/>
        <v>1.8958333333333335</v>
      </c>
      <c r="S256" s="87">
        <f>VLOOKUP(A:A,'Flat Bed &amp; Late Fees'!A:J,6,FALSE)</f>
        <v>0</v>
      </c>
      <c r="T256" s="87">
        <f>VLOOKUP(A:A,'Flat Bed &amp; Late Fees'!A:J,7,FALSE)</f>
        <v>0</v>
      </c>
      <c r="U256" s="68">
        <f>VLOOKUP(C256&amp;G256,OTR!E:J,6,FALSE)/88</f>
        <v>10.133181818181818</v>
      </c>
      <c r="V256" s="87"/>
      <c r="W256" s="68">
        <f t="shared" si="23"/>
        <v>10.133181818181818</v>
      </c>
      <c r="X256" s="69">
        <f>VLOOKUP(G256,COSTS!$Z$18:$AC$23,2,FALSE)</f>
        <v>2.6</v>
      </c>
      <c r="Y256" s="87">
        <f>VLOOKUP(G256,COSTS!$Z$18:$AC$23,4,FALSE)</f>
        <v>2.52</v>
      </c>
      <c r="Z256" s="69">
        <f>(COSTS!$W$3*COSTS!$W$4*500)/52*COSTS!$AE$17</f>
        <v>1.3125</v>
      </c>
      <c r="AB256" s="69">
        <f t="shared" si="24"/>
        <v>6.4325000000000001</v>
      </c>
      <c r="AC256" s="69">
        <f>VLOOKUP(G256,COSTS!$Z$11:$AE$14,5,FALSE)</f>
        <v>5.5113636363636367</v>
      </c>
      <c r="AD256" s="69">
        <f>VLOOKUP(G256,COSTS!$Z$4:$AD$7,4,FALSE)</f>
        <v>5.3522727272727275</v>
      </c>
      <c r="AE256" s="69"/>
      <c r="AF256" s="69">
        <f t="shared" si="25"/>
        <v>10.863636363636363</v>
      </c>
      <c r="AG256" s="87">
        <f>((COSTS!$C$5*88)/20)/88</f>
        <v>1.4407150000000002</v>
      </c>
      <c r="AH256" s="69">
        <f>(COSTS!$X$38/88)*20</f>
        <v>0.34865702479338845</v>
      </c>
      <c r="AI256" s="87">
        <f>((COSTS!$E$5*88)/20)/88</f>
        <v>0.62936587135988387</v>
      </c>
      <c r="AJ256" s="87">
        <f>((COSTS!$D$5*88)/20)/88</f>
        <v>0.33676</v>
      </c>
      <c r="AL256" s="387">
        <f t="shared" si="26"/>
        <v>2.7554978961532726</v>
      </c>
      <c r="AM256" s="69">
        <f>(COSTS!$W$3+0.1)*500*0.01</f>
        <v>3.9999999999999996</v>
      </c>
      <c r="AN256" s="387">
        <f>((COSTS!$G$5/20)*88)/88</f>
        <v>1.308904109589041</v>
      </c>
      <c r="AR256" s="69">
        <f t="shared" si="27"/>
        <v>5.3089041095890401</v>
      </c>
      <c r="AT256" s="1">
        <f>VLOOKUP(C256&amp;$AT$1,OTR!E:J,6,FALSE)/88</f>
        <v>24.538181818181819</v>
      </c>
      <c r="AU256" s="1">
        <f>VLOOKUP(C256&amp;$AU$1,OTR!E:J,6,FALSE)/88</f>
        <v>16.40340909090909</v>
      </c>
    </row>
    <row r="257" spans="1:47">
      <c r="A257" s="1">
        <v>904033</v>
      </c>
      <c r="B257" s="1" t="s">
        <v>606</v>
      </c>
      <c r="C257" s="1" t="s">
        <v>2214</v>
      </c>
      <c r="D257" s="1" t="s">
        <v>71</v>
      </c>
      <c r="E257" s="1" t="str">
        <f>VLOOKUP(A:A,'Regions and Ports'!A:G,5,FALSE)</f>
        <v>WTX</v>
      </c>
      <c r="F257" s="1" t="str">
        <f>VLOOKUP(A:A,'Regions and Ports'!A:F,6,FALSE)</f>
        <v>WTX</v>
      </c>
      <c r="G257" s="1" t="str">
        <f>VLOOKUP(A:A,'Regions and Ports'!A:G,7,FALSE)</f>
        <v>Dallas</v>
      </c>
      <c r="H257" s="87">
        <v>2</v>
      </c>
      <c r="I257" s="69">
        <f>VLOOKUP(A:A,'Seam Tariffs'!A:AB,9,FALSE)</f>
        <v>4.75</v>
      </c>
      <c r="J257" s="69">
        <f>VLOOKUP(A:A,'Seam Tariffs'!A:AB,11,FALSE)</f>
        <v>5.45</v>
      </c>
      <c r="K257" s="69">
        <f>VLOOKUP(A:A,'Seam Tariffs'!A:AB,12,FALSE)</f>
        <v>9.75</v>
      </c>
      <c r="L257" s="69">
        <f>VLOOKUP(A:A,'Seam Tariffs'!A:AB,13,FALSE)</f>
        <v>0</v>
      </c>
      <c r="M257" s="69">
        <f>VLOOKUP(A:A,'Seam Tariffs'!A:AB,14,FALSE)</f>
        <v>1</v>
      </c>
      <c r="N257" s="69">
        <f>VLOOKUP(A:A,'Seam Tariffs'!A:AB,28,FALSE)</f>
        <v>2.4</v>
      </c>
      <c r="O257" s="69">
        <f>COSTS!$W$6</f>
        <v>1.8958333333333335</v>
      </c>
      <c r="P257" s="69">
        <f>VLOOKUP(G257,COSTS!$V$11:$X$14,3,FALSE)</f>
        <v>0</v>
      </c>
      <c r="Q257" s="69">
        <f t="shared" si="21"/>
        <v>25.24583333333333</v>
      </c>
      <c r="R257" s="69">
        <f t="shared" si="22"/>
        <v>14.045833333333334</v>
      </c>
      <c r="S257" s="87">
        <f>VLOOKUP(A:A,'Flat Bed &amp; Late Fees'!A:J,6,FALSE)</f>
        <v>0</v>
      </c>
      <c r="T257" s="87">
        <f>VLOOKUP(A:A,'Flat Bed &amp; Late Fees'!A:J,7,FALSE)</f>
        <v>0</v>
      </c>
      <c r="U257" s="68">
        <f>VLOOKUP(C257&amp;G257,OTR!E:J,6,FALSE)/88</f>
        <v>9.0056818181818183</v>
      </c>
      <c r="V257" s="87"/>
      <c r="W257" s="68">
        <f t="shared" si="23"/>
        <v>9.0056818181818183</v>
      </c>
      <c r="X257" s="69">
        <f>VLOOKUP(G257,COSTS!$Z$18:$AC$23,2,FALSE)</f>
        <v>2.7</v>
      </c>
      <c r="Y257" s="87">
        <f>VLOOKUP(G257,COSTS!$Z$18:$AC$23,4,FALSE)</f>
        <v>2.52</v>
      </c>
      <c r="Z257" s="69">
        <f>(COSTS!$W$3*COSTS!$W$4*500)/52*COSTS!$AE$17</f>
        <v>1.3125</v>
      </c>
      <c r="AB257" s="69">
        <f t="shared" si="24"/>
        <v>6.5325000000000006</v>
      </c>
      <c r="AC257" s="69">
        <f>VLOOKUP(G257,COSTS!$Z$11:$AE$14,5,FALSE)</f>
        <v>8.125</v>
      </c>
      <c r="AD257" s="69">
        <f>VLOOKUP(G257,COSTS!$Z$4:$AD$7,4,FALSE)</f>
        <v>13.409090909090908</v>
      </c>
      <c r="AE257" s="69"/>
      <c r="AF257" s="69">
        <f t="shared" si="25"/>
        <v>21.534090909090907</v>
      </c>
      <c r="AG257" s="87">
        <f>((COSTS!$C$5*88)/20)/88</f>
        <v>1.4407150000000002</v>
      </c>
      <c r="AH257" s="69">
        <f>(COSTS!$X$38/88)*20</f>
        <v>0.34865702479338845</v>
      </c>
      <c r="AI257" s="87">
        <f>((COSTS!$E$5*88)/20)/88</f>
        <v>0.62936587135988387</v>
      </c>
      <c r="AJ257" s="87">
        <f>((COSTS!$D$5*88)/20)/88</f>
        <v>0.33676</v>
      </c>
      <c r="AL257" s="387">
        <f t="shared" si="26"/>
        <v>2.7554978961532726</v>
      </c>
      <c r="AM257" s="69">
        <f>(COSTS!$W$3+0.1)*500*0.01</f>
        <v>3.9999999999999996</v>
      </c>
      <c r="AN257" s="387">
        <f>((COSTS!$G$5/20)*88)/88</f>
        <v>1.308904109589041</v>
      </c>
      <c r="AR257" s="69">
        <f t="shared" si="27"/>
        <v>5.3089041095890401</v>
      </c>
      <c r="AT257" s="1" t="e">
        <f>VLOOKUP(C257&amp;$AT$1,OTR!E:J,6,FALSE)/88</f>
        <v>#N/A</v>
      </c>
      <c r="AU257" s="1" t="e">
        <f>VLOOKUP(C257&amp;$AU$1,OTR!E:J,6,FALSE)/88</f>
        <v>#N/A</v>
      </c>
    </row>
    <row r="258" spans="1:47">
      <c r="A258" s="125">
        <v>904033</v>
      </c>
      <c r="B258" s="1" t="s">
        <v>606</v>
      </c>
      <c r="C258" s="1" t="s">
        <v>2214</v>
      </c>
      <c r="D258" s="1" t="s">
        <v>71</v>
      </c>
      <c r="E258" s="1" t="s">
        <v>2067</v>
      </c>
      <c r="F258" s="1" t="str">
        <f>VLOOKUP(A:A,'Regions and Ports'!A:F,6,FALSE)</f>
        <v>WTX</v>
      </c>
      <c r="G258" s="1" t="s">
        <v>439</v>
      </c>
      <c r="H258" s="87">
        <v>2</v>
      </c>
      <c r="I258" s="69">
        <f>VLOOKUP(A:A,'Seam Tariffs'!A:AB,9,FALSE)</f>
        <v>4.75</v>
      </c>
      <c r="J258" s="69">
        <f>VLOOKUP(A:A,'Seam Tariffs'!A:AB,11,FALSE)</f>
        <v>5.45</v>
      </c>
      <c r="K258" s="69">
        <f>VLOOKUP(A:A,'Seam Tariffs'!A:AB,12,FALSE)</f>
        <v>9.75</v>
      </c>
      <c r="L258" s="69">
        <f>VLOOKUP(A:A,'Seam Tariffs'!A:AB,13,FALSE)</f>
        <v>0</v>
      </c>
      <c r="M258" s="69">
        <f>VLOOKUP(A:A,'Seam Tariffs'!A:AB,14,FALSE)</f>
        <v>1</v>
      </c>
      <c r="N258" s="69">
        <f>VLOOKUP(A:A,'Seam Tariffs'!A:AB,28,FALSE)</f>
        <v>2.4</v>
      </c>
      <c r="O258" s="69">
        <f>COSTS!$W$6</f>
        <v>1.8958333333333335</v>
      </c>
      <c r="P258" s="69">
        <f>VLOOKUP(G258,COSTS!$V$11:$X$14,3,FALSE)</f>
        <v>0</v>
      </c>
      <c r="Q258" s="69">
        <f t="shared" si="21"/>
        <v>25.24583333333333</v>
      </c>
      <c r="R258" s="69">
        <f t="shared" si="22"/>
        <v>14.045833333333334</v>
      </c>
      <c r="S258" s="87">
        <f>VLOOKUP(A:A,'Flat Bed &amp; Late Fees'!A:J,6,FALSE)</f>
        <v>0</v>
      </c>
      <c r="T258" s="87">
        <f>VLOOKUP(A:A,'Flat Bed &amp; Late Fees'!A:J,7,FALSE)</f>
        <v>0</v>
      </c>
      <c r="U258" s="68">
        <f>VLOOKUP(C258&amp;G258,OTR!E:J,6,FALSE)/88</f>
        <v>13.352272727272727</v>
      </c>
      <c r="V258" s="87"/>
      <c r="W258" s="68">
        <f t="shared" si="23"/>
        <v>13.352272727272727</v>
      </c>
      <c r="X258" s="69">
        <f>VLOOKUP(G258,COSTS!$Z$18:$AC$23,2,FALSE)</f>
        <v>2.7</v>
      </c>
      <c r="Y258" s="87">
        <f>VLOOKUP(G258,COSTS!$Z$18:$AC$23,4,FALSE)</f>
        <v>2.52</v>
      </c>
      <c r="Z258" s="69">
        <f>(COSTS!$W$3*COSTS!$W$4*500)/52*COSTS!$AE$17</f>
        <v>1.3125</v>
      </c>
      <c r="AB258" s="69">
        <f t="shared" si="24"/>
        <v>6.5325000000000006</v>
      </c>
      <c r="AC258" s="69">
        <f>VLOOKUP(G258,COSTS!$Z$11:$AE$14,5,FALSE)</f>
        <v>6.6477272727272725</v>
      </c>
      <c r="AD258" s="69">
        <f>VLOOKUP(G258,COSTS!$Z$4:$AD$7,4,FALSE)</f>
        <v>9.8977272727272734</v>
      </c>
      <c r="AE258" s="69"/>
      <c r="AF258" s="69">
        <f t="shared" si="25"/>
        <v>16.545454545454547</v>
      </c>
      <c r="AG258" s="87">
        <f>((COSTS!$C$5*88)/20)/88</f>
        <v>1.4407150000000002</v>
      </c>
      <c r="AH258" s="69">
        <f>(COSTS!$X$38/88)*20</f>
        <v>0.34865702479338845</v>
      </c>
      <c r="AI258" s="87">
        <f>((COSTS!$E$5*88)/20)/88</f>
        <v>0.62936587135988387</v>
      </c>
      <c r="AJ258" s="87">
        <f>((COSTS!$D$5*88)/20)/88</f>
        <v>0.33676</v>
      </c>
      <c r="AL258" s="387">
        <f t="shared" si="26"/>
        <v>2.7554978961532726</v>
      </c>
      <c r="AM258" s="69">
        <f>(COSTS!$W$3+0.1)*500*0.01</f>
        <v>3.9999999999999996</v>
      </c>
      <c r="AN258" s="387">
        <f>((COSTS!$G$5/20)*88)/88</f>
        <v>1.308904109589041</v>
      </c>
      <c r="AR258" s="69">
        <f t="shared" si="27"/>
        <v>5.3089041095890401</v>
      </c>
      <c r="AT258" s="1" t="e">
        <f>VLOOKUP(C258&amp;$AT$1,OTR!E:J,6,FALSE)/88</f>
        <v>#N/A</v>
      </c>
      <c r="AU258" s="1" t="e">
        <f>VLOOKUP(C258&amp;$AU$1,OTR!E:J,6,FALSE)/88</f>
        <v>#N/A</v>
      </c>
    </row>
    <row r="259" spans="1:47">
      <c r="A259" s="1">
        <v>490150</v>
      </c>
      <c r="B259" s="1" t="s">
        <v>609</v>
      </c>
      <c r="C259" s="1" t="s">
        <v>610</v>
      </c>
      <c r="D259" s="1" t="s">
        <v>128</v>
      </c>
      <c r="E259" s="1" t="str">
        <f>VLOOKUP(A:A,'Regions and Ports'!A:G,5,FALSE)</f>
        <v>Memphis Rule 5</v>
      </c>
      <c r="F259" s="1" t="str">
        <f>VLOOKUP(A:A,'Regions and Ports'!A:F,6,FALSE)</f>
        <v>MR5</v>
      </c>
      <c r="G259" s="1" t="str">
        <f>VLOOKUP(A:A,'Regions and Ports'!A:G,7,FALSE)</f>
        <v>Memphis</v>
      </c>
      <c r="H259" s="87">
        <v>1</v>
      </c>
      <c r="I259" s="69">
        <f>VLOOKUP(A:A,'Seam Tariffs'!A:AB,9,FALSE)</f>
        <v>5</v>
      </c>
      <c r="J259" s="69">
        <f>VLOOKUP(A:A,'Seam Tariffs'!A:AB,11,FALSE)</f>
        <v>8</v>
      </c>
      <c r="K259" s="69">
        <f>VLOOKUP(A:A,'Seam Tariffs'!A:AB,12,FALSE)</f>
        <v>8</v>
      </c>
      <c r="L259" s="69">
        <f>VLOOKUP(A:A,'Seam Tariffs'!A:AB,13,FALSE)</f>
        <v>0</v>
      </c>
      <c r="M259" s="69">
        <f>VLOOKUP(A:A,'Seam Tariffs'!A:AB,14,FALSE)</f>
        <v>0</v>
      </c>
      <c r="N259" s="69">
        <f>VLOOKUP(A:A,'Seam Tariffs'!A:AB,28,FALSE)</f>
        <v>4</v>
      </c>
      <c r="O259" s="69">
        <f>COSTS!$W$6</f>
        <v>1.8958333333333335</v>
      </c>
      <c r="P259" s="69">
        <f>VLOOKUP(G259,COSTS!$V$11:$X$14,3,FALSE)</f>
        <v>0</v>
      </c>
      <c r="Q259" s="69">
        <f t="shared" ref="Q259:Q322" si="28">I259+J259+K259+L259+M259+N259+O259+P259</f>
        <v>26.895833333333332</v>
      </c>
      <c r="R259" s="69">
        <f t="shared" ref="R259:R322" si="29">IF(H259=1,SUM(N259),IF(H259=2,SUM(K259,N259),IF(H259=3,SUM(J259,K259,L259,N259),IF(H259=4,SUM(L259),"ERROR"))))+O259+P259</f>
        <v>5.8958333333333339</v>
      </c>
      <c r="S259" s="87">
        <f>VLOOKUP(A:A,'Flat Bed &amp; Late Fees'!A:J,6,FALSE)</f>
        <v>0</v>
      </c>
      <c r="T259" s="87">
        <f>VLOOKUP(A:A,'Flat Bed &amp; Late Fees'!A:J,7,FALSE)</f>
        <v>0</v>
      </c>
      <c r="U259" s="68">
        <f>VLOOKUP(C259&amp;G259,OTR!E:J,6,FALSE)/88</f>
        <v>6.3636363636363633</v>
      </c>
      <c r="V259" s="87"/>
      <c r="W259" s="68">
        <f t="shared" ref="W259:W322" si="30">S259+T259+U259+V259</f>
        <v>6.3636363636363633</v>
      </c>
      <c r="X259" s="69">
        <f>VLOOKUP(G259,COSTS!$Z$18:$AC$23,2,FALSE)</f>
        <v>2.5</v>
      </c>
      <c r="Y259" s="87">
        <f>VLOOKUP(G259,COSTS!$Z$18:$AC$23,4,FALSE)</f>
        <v>1.68</v>
      </c>
      <c r="Z259" s="69">
        <f>(COSTS!$W$3*COSTS!$W$4*500)/52*COSTS!$AE$17</f>
        <v>1.3125</v>
      </c>
      <c r="AB259" s="69">
        <f t="shared" ref="AB259:AB322" si="31">X259+Y259+Z259+AA259</f>
        <v>5.4924999999999997</v>
      </c>
      <c r="AC259" s="69">
        <f>VLOOKUP(G259,COSTS!$Z$11:$AE$14,5,FALSE)</f>
        <v>7.3011363636363633</v>
      </c>
      <c r="AD259" s="69">
        <f>VLOOKUP(G259,COSTS!$Z$4:$AD$7,4,FALSE)</f>
        <v>9.1363636363636367</v>
      </c>
      <c r="AE259" s="69"/>
      <c r="AF259" s="69">
        <f t="shared" ref="AF259:AF322" si="32">AC259+AD259+AE259</f>
        <v>16.4375</v>
      </c>
      <c r="AG259" s="87">
        <f>((COSTS!$C$5*88)/20)/88</f>
        <v>1.4407150000000002</v>
      </c>
      <c r="AH259" s="69">
        <f>(COSTS!$X$38/88)*20</f>
        <v>0.34865702479338845</v>
      </c>
      <c r="AI259" s="87">
        <f>((COSTS!$E$5*88)/20)/88</f>
        <v>0.62936587135988387</v>
      </c>
      <c r="AJ259" s="87">
        <f>((COSTS!$D$5*88)/20)/88</f>
        <v>0.33676</v>
      </c>
      <c r="AL259" s="387">
        <f t="shared" ref="AL259:AL322" si="33">AG259+AH259+AI259+AJ259+AK259</f>
        <v>2.7554978961532726</v>
      </c>
      <c r="AM259" s="69">
        <f>(COSTS!$W$3+0.1)*500*0.01</f>
        <v>3.9999999999999996</v>
      </c>
      <c r="AN259" s="387">
        <f>((COSTS!$G$5/20)*88)/88</f>
        <v>1.308904109589041</v>
      </c>
      <c r="AR259" s="69">
        <f t="shared" ref="AR259:AR322" si="34">AM259+AN259+AO259+AP259+AQ259</f>
        <v>5.3089041095890401</v>
      </c>
      <c r="AT259" s="1" t="e">
        <f>VLOOKUP(C259&amp;$AT$1,OTR!E:J,6,FALSE)/88</f>
        <v>#N/A</v>
      </c>
      <c r="AU259" s="1">
        <f>VLOOKUP(C259&amp;$AU$1,OTR!E:J,6,FALSE)/88</f>
        <v>21.960227272727273</v>
      </c>
    </row>
    <row r="260" spans="1:47">
      <c r="A260" s="1">
        <v>309509</v>
      </c>
      <c r="B260" s="1" t="s">
        <v>612</v>
      </c>
      <c r="C260" s="1" t="s">
        <v>2209</v>
      </c>
      <c r="D260" s="1" t="s">
        <v>76</v>
      </c>
      <c r="E260" s="1" t="str">
        <f>VLOOKUP(A:A,'Regions and Ports'!A:G,5,FALSE)</f>
        <v>GA 30 Day</v>
      </c>
      <c r="F260" s="1" t="str">
        <f>VLOOKUP(A:A,'Regions and Ports'!A:F,6,FALSE)</f>
        <v>ER5</v>
      </c>
      <c r="G260" s="1" t="str">
        <f>VLOOKUP(A:A,'Regions and Ports'!A:G,7,FALSE)</f>
        <v>Savannah</v>
      </c>
      <c r="H260" s="87">
        <v>4</v>
      </c>
      <c r="I260" s="69">
        <f>VLOOKUP(A:A,'Seam Tariffs'!A:AB,9,FALSE)</f>
        <v>3.5</v>
      </c>
      <c r="J260" s="69">
        <f>VLOOKUP(A:A,'Seam Tariffs'!A:AB,11,FALSE)</f>
        <v>5.5</v>
      </c>
      <c r="K260" s="69">
        <f>VLOOKUP(A:A,'Seam Tariffs'!A:AB,12,FALSE)</f>
        <v>0</v>
      </c>
      <c r="L260" s="69">
        <f>VLOOKUP(A:A,'Seam Tariffs'!A:AB,13,FALSE)</f>
        <v>0</v>
      </c>
      <c r="M260" s="69">
        <f>VLOOKUP(A:A,'Seam Tariffs'!A:AB,14,FALSE)</f>
        <v>1</v>
      </c>
      <c r="N260" s="69">
        <f>VLOOKUP(A:A,'Seam Tariffs'!A:AB,28,FALSE)</f>
        <v>3.5</v>
      </c>
      <c r="O260" s="69">
        <f>COSTS!$W$6</f>
        <v>1.8958333333333335</v>
      </c>
      <c r="P260" s="69">
        <f>VLOOKUP(G260,COSTS!$V$11:$X$14,3,FALSE)</f>
        <v>0</v>
      </c>
      <c r="Q260" s="69">
        <f t="shared" si="28"/>
        <v>15.395833333333334</v>
      </c>
      <c r="R260" s="69">
        <f t="shared" si="29"/>
        <v>1.8958333333333335</v>
      </c>
      <c r="S260" s="87">
        <f>VLOOKUP(A:A,'Flat Bed &amp; Late Fees'!A:J,6,FALSE)</f>
        <v>0</v>
      </c>
      <c r="T260" s="87">
        <f>VLOOKUP(A:A,'Flat Bed &amp; Late Fees'!A:J,7,FALSE)</f>
        <v>0</v>
      </c>
      <c r="U260" s="68">
        <f>VLOOKUP(C260&amp;G260,OTR!E:J,6,FALSE)/88</f>
        <v>10.871818181818183</v>
      </c>
      <c r="V260" s="87"/>
      <c r="W260" s="68">
        <f t="shared" si="30"/>
        <v>10.871818181818183</v>
      </c>
      <c r="X260" s="69">
        <f>VLOOKUP(G260,COSTS!$Z$18:$AC$23,2,FALSE)</f>
        <v>2.6</v>
      </c>
      <c r="Y260" s="87">
        <f>VLOOKUP(G260,COSTS!$Z$18:$AC$23,4,FALSE)</f>
        <v>2.52</v>
      </c>
      <c r="Z260" s="69">
        <f>(COSTS!$W$3*COSTS!$W$4*500)/52*COSTS!$AE$17</f>
        <v>1.3125</v>
      </c>
      <c r="AB260" s="69">
        <f t="shared" si="31"/>
        <v>6.4325000000000001</v>
      </c>
      <c r="AC260" s="69">
        <f>VLOOKUP(G260,COSTS!$Z$11:$AE$14,5,FALSE)</f>
        <v>5.5113636363636367</v>
      </c>
      <c r="AD260" s="69">
        <f>VLOOKUP(G260,COSTS!$Z$4:$AD$7,4,FALSE)</f>
        <v>5.3522727272727275</v>
      </c>
      <c r="AE260" s="69"/>
      <c r="AF260" s="69">
        <f t="shared" si="32"/>
        <v>10.863636363636363</v>
      </c>
      <c r="AG260" s="87">
        <f>((COSTS!$C$5*88)/20)/88</f>
        <v>1.4407150000000002</v>
      </c>
      <c r="AH260" s="69">
        <f>(COSTS!$X$38/88)*20</f>
        <v>0.34865702479338845</v>
      </c>
      <c r="AI260" s="87">
        <f>((COSTS!$E$5*88)/20)/88</f>
        <v>0.62936587135988387</v>
      </c>
      <c r="AJ260" s="87">
        <f>((COSTS!$D$5*88)/20)/88</f>
        <v>0.33676</v>
      </c>
      <c r="AL260" s="387">
        <f t="shared" si="33"/>
        <v>2.7554978961532726</v>
      </c>
      <c r="AM260" s="69">
        <f>(COSTS!$W$3+0.1)*500*0.01</f>
        <v>3.9999999999999996</v>
      </c>
      <c r="AN260" s="387">
        <f>((COSTS!$G$5/20)*88)/88</f>
        <v>1.308904109589041</v>
      </c>
      <c r="AR260" s="69">
        <f t="shared" si="34"/>
        <v>5.3089041095890401</v>
      </c>
      <c r="AT260" s="1">
        <f>VLOOKUP(C260&amp;$AT$1,OTR!E:J,6,FALSE)/88</f>
        <v>24.41</v>
      </c>
      <c r="AU260" s="1">
        <f>VLOOKUP(C260&amp;$AU$1,OTR!E:J,6,FALSE)/88</f>
        <v>16.335227272727273</v>
      </c>
    </row>
    <row r="261" spans="1:47">
      <c r="A261" s="1">
        <v>906015</v>
      </c>
      <c r="B261" s="1" t="s">
        <v>615</v>
      </c>
      <c r="C261" s="1" t="s">
        <v>616</v>
      </c>
      <c r="D261" s="1" t="s">
        <v>71</v>
      </c>
      <c r="E261" s="1" t="str">
        <f>VLOOKUP(A:A,'Regions and Ports'!A:G,5,FALSE)</f>
        <v>WTX</v>
      </c>
      <c r="F261" s="1" t="str">
        <f>VLOOKUP(A:A,'Regions and Ports'!A:F,6,FALSE)</f>
        <v>WTX</v>
      </c>
      <c r="G261" s="1" t="str">
        <f>VLOOKUP(A:A,'Regions and Ports'!A:G,7,FALSE)</f>
        <v>Dallas</v>
      </c>
      <c r="H261" s="87">
        <v>2</v>
      </c>
      <c r="I261" s="69">
        <f>VLOOKUP(A:A,'Seam Tariffs'!A:AB,9,FALSE)</f>
        <v>5</v>
      </c>
      <c r="J261" s="69">
        <f>VLOOKUP(A:A,'Seam Tariffs'!A:AB,11,FALSE)</f>
        <v>6.25</v>
      </c>
      <c r="K261" s="69">
        <f>VLOOKUP(A:A,'Seam Tariffs'!A:AB,12,FALSE)</f>
        <v>10.25</v>
      </c>
      <c r="L261" s="69">
        <f>VLOOKUP(A:A,'Seam Tariffs'!A:AB,13,FALSE)</f>
        <v>0</v>
      </c>
      <c r="M261" s="69">
        <f>VLOOKUP(A:A,'Seam Tariffs'!A:AB,14,FALSE)</f>
        <v>0</v>
      </c>
      <c r="N261" s="69">
        <f>VLOOKUP(A:A,'Seam Tariffs'!A:AB,28,FALSE)</f>
        <v>2.4</v>
      </c>
      <c r="O261" s="69">
        <f>COSTS!$W$6</f>
        <v>1.8958333333333335</v>
      </c>
      <c r="P261" s="69">
        <f>VLOOKUP(G261,COSTS!$V$11:$X$14,3,FALSE)</f>
        <v>0</v>
      </c>
      <c r="Q261" s="69">
        <f t="shared" si="28"/>
        <v>25.795833333333331</v>
      </c>
      <c r="R261" s="69">
        <f t="shared" si="29"/>
        <v>14.545833333333334</v>
      </c>
      <c r="S261" s="87">
        <f>VLOOKUP(A:A,'Flat Bed &amp; Late Fees'!A:J,6,FALSE)</f>
        <v>0</v>
      </c>
      <c r="T261" s="87">
        <f>VLOOKUP(A:A,'Flat Bed &amp; Late Fees'!A:J,7,FALSE)</f>
        <v>0</v>
      </c>
      <c r="U261" s="68">
        <f>VLOOKUP(C261&amp;G261,OTR!E:J,6,FALSE)/88</f>
        <v>8.8352272727272734</v>
      </c>
      <c r="V261" s="87"/>
      <c r="W261" s="68">
        <f t="shared" si="30"/>
        <v>8.8352272727272734</v>
      </c>
      <c r="X261" s="69">
        <f>VLOOKUP(G261,COSTS!$Z$18:$AC$23,2,FALSE)</f>
        <v>2.7</v>
      </c>
      <c r="Y261" s="87">
        <f>VLOOKUP(G261,COSTS!$Z$18:$AC$23,4,FALSE)</f>
        <v>2.52</v>
      </c>
      <c r="Z261" s="69">
        <f>(COSTS!$W$3*COSTS!$W$4*500)/52*COSTS!$AE$17</f>
        <v>1.3125</v>
      </c>
      <c r="AB261" s="69">
        <f t="shared" si="31"/>
        <v>6.5325000000000006</v>
      </c>
      <c r="AC261" s="69">
        <f>VLOOKUP(G261,COSTS!$Z$11:$AE$14,5,FALSE)</f>
        <v>8.125</v>
      </c>
      <c r="AD261" s="69">
        <f>VLOOKUP(G261,COSTS!$Z$4:$AD$7,4,FALSE)</f>
        <v>13.409090909090908</v>
      </c>
      <c r="AE261" s="69"/>
      <c r="AF261" s="69">
        <f t="shared" si="32"/>
        <v>21.534090909090907</v>
      </c>
      <c r="AG261" s="87">
        <f>((COSTS!$C$5*88)/20)/88</f>
        <v>1.4407150000000002</v>
      </c>
      <c r="AH261" s="69">
        <f>(COSTS!$X$38/88)*20</f>
        <v>0.34865702479338845</v>
      </c>
      <c r="AI261" s="87">
        <f>((COSTS!$E$5*88)/20)/88</f>
        <v>0.62936587135988387</v>
      </c>
      <c r="AJ261" s="87">
        <f>((COSTS!$D$5*88)/20)/88</f>
        <v>0.33676</v>
      </c>
      <c r="AL261" s="387">
        <f t="shared" si="33"/>
        <v>2.7554978961532726</v>
      </c>
      <c r="AM261" s="69">
        <f>(COSTS!$W$3+0.1)*500*0.01</f>
        <v>3.9999999999999996</v>
      </c>
      <c r="AN261" s="387">
        <f>((COSTS!$G$5/20)*88)/88</f>
        <v>1.308904109589041</v>
      </c>
      <c r="AR261" s="69">
        <f t="shared" si="34"/>
        <v>5.3089041095890401</v>
      </c>
      <c r="AT261" s="1">
        <f>VLOOKUP(C261&amp;$AT$1,OTR!E:J,6,FALSE)/88</f>
        <v>17.071590909090908</v>
      </c>
      <c r="AU261" s="1" t="e">
        <f>VLOOKUP(C261&amp;$AU$1,OTR!E:J,6,FALSE)/88</f>
        <v>#N/A</v>
      </c>
    </row>
    <row r="262" spans="1:47">
      <c r="A262" s="125">
        <v>906015</v>
      </c>
      <c r="B262" s="1" t="s">
        <v>615</v>
      </c>
      <c r="C262" s="1" t="s">
        <v>616</v>
      </c>
      <c r="D262" s="1" t="s">
        <v>71</v>
      </c>
      <c r="E262" s="1" t="s">
        <v>2067</v>
      </c>
      <c r="F262" s="1" t="str">
        <f>VLOOKUP(A:A,'Regions and Ports'!A:F,6,FALSE)</f>
        <v>WTX</v>
      </c>
      <c r="G262" s="1" t="s">
        <v>439</v>
      </c>
      <c r="H262" s="87">
        <v>2</v>
      </c>
      <c r="I262" s="69">
        <f>VLOOKUP(A:A,'Seam Tariffs'!A:AB,9,FALSE)</f>
        <v>5</v>
      </c>
      <c r="J262" s="69">
        <f>VLOOKUP(A:A,'Seam Tariffs'!A:AB,11,FALSE)</f>
        <v>6.25</v>
      </c>
      <c r="K262" s="69">
        <f>VLOOKUP(A:A,'Seam Tariffs'!A:AB,12,FALSE)</f>
        <v>10.25</v>
      </c>
      <c r="L262" s="69">
        <f>VLOOKUP(A:A,'Seam Tariffs'!A:AB,13,FALSE)</f>
        <v>0</v>
      </c>
      <c r="M262" s="69">
        <f>VLOOKUP(A:A,'Seam Tariffs'!A:AB,14,FALSE)</f>
        <v>0</v>
      </c>
      <c r="N262" s="69">
        <f>VLOOKUP(A:A,'Seam Tariffs'!A:AB,28,FALSE)</f>
        <v>2.4</v>
      </c>
      <c r="O262" s="69">
        <f>COSTS!$W$6</f>
        <v>1.8958333333333335</v>
      </c>
      <c r="P262" s="69">
        <f>VLOOKUP(G262,COSTS!$V$11:$X$14,3,FALSE)</f>
        <v>0</v>
      </c>
      <c r="Q262" s="69">
        <f t="shared" si="28"/>
        <v>25.795833333333331</v>
      </c>
      <c r="R262" s="69">
        <f t="shared" si="29"/>
        <v>14.545833333333334</v>
      </c>
      <c r="S262" s="87">
        <f>VLOOKUP(A:A,'Flat Bed &amp; Late Fees'!A:J,6,FALSE)</f>
        <v>0</v>
      </c>
      <c r="T262" s="87">
        <f>VLOOKUP(A:A,'Flat Bed &amp; Late Fees'!A:J,7,FALSE)</f>
        <v>0</v>
      </c>
      <c r="U262" s="68">
        <f>VLOOKUP(C262&amp;G262,OTR!E:J,6,FALSE)/88</f>
        <v>15.056818181818182</v>
      </c>
      <c r="V262" s="87"/>
      <c r="W262" s="68">
        <f t="shared" si="30"/>
        <v>15.056818181818182</v>
      </c>
      <c r="X262" s="69">
        <f>VLOOKUP(G262,COSTS!$Z$18:$AC$23,2,FALSE)</f>
        <v>2.7</v>
      </c>
      <c r="Y262" s="87">
        <f>VLOOKUP(G262,COSTS!$Z$18:$AC$23,4,FALSE)</f>
        <v>2.52</v>
      </c>
      <c r="Z262" s="69">
        <f>(COSTS!$W$3*COSTS!$W$4*500)/52*COSTS!$AE$17</f>
        <v>1.3125</v>
      </c>
      <c r="AB262" s="69">
        <f t="shared" si="31"/>
        <v>6.5325000000000006</v>
      </c>
      <c r="AC262" s="69">
        <f>VLOOKUP(G262,COSTS!$Z$11:$AE$14,5,FALSE)</f>
        <v>6.6477272727272725</v>
      </c>
      <c r="AD262" s="69">
        <f>VLOOKUP(G262,COSTS!$Z$4:$AD$7,4,FALSE)</f>
        <v>9.8977272727272734</v>
      </c>
      <c r="AE262" s="69"/>
      <c r="AF262" s="69">
        <f t="shared" si="32"/>
        <v>16.545454545454547</v>
      </c>
      <c r="AG262" s="87">
        <f>((COSTS!$C$5*88)/20)/88</f>
        <v>1.4407150000000002</v>
      </c>
      <c r="AH262" s="69">
        <f>(COSTS!$X$38/88)*20</f>
        <v>0.34865702479338845</v>
      </c>
      <c r="AI262" s="87">
        <f>((COSTS!$E$5*88)/20)/88</f>
        <v>0.62936587135988387</v>
      </c>
      <c r="AJ262" s="87">
        <f>((COSTS!$D$5*88)/20)/88</f>
        <v>0.33676</v>
      </c>
      <c r="AL262" s="387">
        <f t="shared" si="33"/>
        <v>2.7554978961532726</v>
      </c>
      <c r="AM262" s="69">
        <f>(COSTS!$W$3+0.1)*500*0.01</f>
        <v>3.9999999999999996</v>
      </c>
      <c r="AN262" s="387">
        <f>((COSTS!$G$5/20)*88)/88</f>
        <v>1.308904109589041</v>
      </c>
      <c r="AR262" s="69">
        <f t="shared" si="34"/>
        <v>5.3089041095890401</v>
      </c>
      <c r="AT262" s="1">
        <f>VLOOKUP(C262&amp;$AT$1,OTR!E:J,6,FALSE)/88</f>
        <v>17.071590909090908</v>
      </c>
      <c r="AU262" s="1" t="e">
        <f>VLOOKUP(C262&amp;$AU$1,OTR!E:J,6,FALSE)/88</f>
        <v>#N/A</v>
      </c>
    </row>
    <row r="263" spans="1:47">
      <c r="A263" s="1">
        <v>590610</v>
      </c>
      <c r="B263" s="1" t="s">
        <v>618</v>
      </c>
      <c r="C263" s="1" t="s">
        <v>619</v>
      </c>
      <c r="D263" s="1" t="s">
        <v>136</v>
      </c>
      <c r="E263" s="1" t="str">
        <f>VLOOKUP(A:A,'Regions and Ports'!A:G,5,FALSE)</f>
        <v>Eastern Rule 5</v>
      </c>
      <c r="F263" s="1" t="str">
        <f>VLOOKUP(A:A,'Regions and Ports'!A:F,6,FALSE)</f>
        <v>ER5</v>
      </c>
      <c r="G263" s="1" t="str">
        <f>VLOOKUP(A:A,'Regions and Ports'!A:G,7,FALSE)</f>
        <v>Savannah</v>
      </c>
      <c r="H263" s="87">
        <v>1</v>
      </c>
      <c r="I263" s="69">
        <f>VLOOKUP(A:A,'Seam Tariffs'!A:AB,9,FALSE)</f>
        <v>4.25</v>
      </c>
      <c r="J263" s="69">
        <f>VLOOKUP(A:A,'Seam Tariffs'!A:AB,11,FALSE)</f>
        <v>4.25</v>
      </c>
      <c r="K263" s="69">
        <f>VLOOKUP(A:A,'Seam Tariffs'!A:AB,12,FALSE)</f>
        <v>0</v>
      </c>
      <c r="L263" s="69">
        <f>VLOOKUP(A:A,'Seam Tariffs'!A:AB,13,FALSE)</f>
        <v>0</v>
      </c>
      <c r="M263" s="69">
        <f>VLOOKUP(A:A,'Seam Tariffs'!A:AB,14,FALSE)</f>
        <v>0</v>
      </c>
      <c r="N263" s="69">
        <f>VLOOKUP(A:A,'Seam Tariffs'!A:AB,28,FALSE)</f>
        <v>2</v>
      </c>
      <c r="O263" s="69">
        <f>COSTS!$W$6</f>
        <v>1.8958333333333335</v>
      </c>
      <c r="P263" s="69">
        <f>VLOOKUP(G263,COSTS!$V$11:$X$14,3,FALSE)</f>
        <v>0</v>
      </c>
      <c r="Q263" s="69">
        <f t="shared" si="28"/>
        <v>12.395833333333334</v>
      </c>
      <c r="R263" s="69">
        <f t="shared" si="29"/>
        <v>3.8958333333333335</v>
      </c>
      <c r="S263" s="87">
        <f>VLOOKUP(A:A,'Flat Bed &amp; Late Fees'!A:J,6,FALSE)</f>
        <v>0</v>
      </c>
      <c r="T263" s="87">
        <f>VLOOKUP(A:A,'Flat Bed &amp; Late Fees'!A:J,7,FALSE)</f>
        <v>0</v>
      </c>
      <c r="U263" s="68">
        <f>VLOOKUP(C263&amp;G263,OTR!E:J,6,FALSE)/88</f>
        <v>14.56940340909091</v>
      </c>
      <c r="V263" s="87"/>
      <c r="W263" s="68">
        <f t="shared" si="30"/>
        <v>14.56940340909091</v>
      </c>
      <c r="X263" s="69">
        <f>VLOOKUP(G263,COSTS!$Z$18:$AC$23,2,FALSE)</f>
        <v>2.6</v>
      </c>
      <c r="Y263" s="87">
        <f>VLOOKUP(G263,COSTS!$Z$18:$AC$23,4,FALSE)</f>
        <v>2.52</v>
      </c>
      <c r="Z263" s="69">
        <f>(COSTS!$W$3*COSTS!$W$4*500)/52*COSTS!$AE$17</f>
        <v>1.3125</v>
      </c>
      <c r="AB263" s="69">
        <f t="shared" si="31"/>
        <v>6.4325000000000001</v>
      </c>
      <c r="AC263" s="69">
        <f>VLOOKUP(G263,COSTS!$Z$11:$AE$14,5,FALSE)</f>
        <v>5.5113636363636367</v>
      </c>
      <c r="AD263" s="69">
        <f>VLOOKUP(G263,COSTS!$Z$4:$AD$7,4,FALSE)</f>
        <v>5.3522727272727275</v>
      </c>
      <c r="AE263" s="69"/>
      <c r="AF263" s="69">
        <f t="shared" si="32"/>
        <v>10.863636363636363</v>
      </c>
      <c r="AG263" s="87">
        <f>((COSTS!$C$5*88)/20)/88</f>
        <v>1.4407150000000002</v>
      </c>
      <c r="AH263" s="69">
        <f>(COSTS!$X$38/88)*20</f>
        <v>0.34865702479338845</v>
      </c>
      <c r="AI263" s="87">
        <f>((COSTS!$E$5*88)/20)/88</f>
        <v>0.62936587135988387</v>
      </c>
      <c r="AJ263" s="87">
        <f>((COSTS!$D$5*88)/20)/88</f>
        <v>0.33676</v>
      </c>
      <c r="AL263" s="387">
        <f t="shared" si="33"/>
        <v>2.7554978961532726</v>
      </c>
      <c r="AM263" s="69">
        <f>(COSTS!$W$3+0.1)*500*0.01</f>
        <v>3.9999999999999996</v>
      </c>
      <c r="AN263" s="387">
        <f>((COSTS!$G$5/20)*88)/88</f>
        <v>1.308904109589041</v>
      </c>
      <c r="AR263" s="69">
        <f t="shared" si="34"/>
        <v>5.3089041095890401</v>
      </c>
      <c r="AT263" s="1" t="e">
        <f>VLOOKUP(C263&amp;$AT$1,OTR!E:J,6,FALSE)/88</f>
        <v>#N/A</v>
      </c>
      <c r="AU263" s="1">
        <f>VLOOKUP(C263&amp;$AU$1,OTR!E:J,6,FALSE)/88</f>
        <v>14.289772727272727</v>
      </c>
    </row>
    <row r="264" spans="1:47">
      <c r="A264" s="1">
        <v>913054</v>
      </c>
      <c r="B264" s="1" t="s">
        <v>620</v>
      </c>
      <c r="C264" s="1" t="s">
        <v>621</v>
      </c>
      <c r="D264" s="1" t="s">
        <v>71</v>
      </c>
      <c r="E264" s="1" t="str">
        <f>VLOOKUP(A:A,'Regions and Ports'!A:G,5,FALSE)</f>
        <v>STEX</v>
      </c>
      <c r="F264" s="1" t="str">
        <f>VLOOKUP(A:A,'Regions and Ports'!A:F,6,FALSE)</f>
        <v>STX</v>
      </c>
      <c r="G264" s="1" t="str">
        <f>VLOOKUP(A:A,'Regions and Ports'!A:G,7,FALSE)</f>
        <v>Houston</v>
      </c>
      <c r="H264" s="87">
        <v>3</v>
      </c>
      <c r="I264" s="69">
        <f>VLOOKUP(A:A,'Seam Tariffs'!A:AB,9,FALSE)</f>
        <v>3</v>
      </c>
      <c r="J264" s="69">
        <f>VLOOKUP(A:A,'Seam Tariffs'!A:AB,11,FALSE)</f>
        <v>4</v>
      </c>
      <c r="K264" s="69">
        <f>VLOOKUP(A:A,'Seam Tariffs'!A:AB,12,FALSE)</f>
        <v>0</v>
      </c>
      <c r="L264" s="69">
        <f>VLOOKUP(A:A,'Seam Tariffs'!A:AB,13,FALSE)</f>
        <v>0</v>
      </c>
      <c r="M264" s="69">
        <f>VLOOKUP(A:A,'Seam Tariffs'!A:AB,14,FALSE)</f>
        <v>0</v>
      </c>
      <c r="N264" s="69">
        <f>VLOOKUP(A:A,'Seam Tariffs'!A:AB,28,FALSE)</f>
        <v>3.5999999999999996</v>
      </c>
      <c r="O264" s="69">
        <f>COSTS!$W$6</f>
        <v>1.8958333333333335</v>
      </c>
      <c r="P264" s="69">
        <f>VLOOKUP(G264,COSTS!$V$11:$X$14,3,FALSE)</f>
        <v>0</v>
      </c>
      <c r="Q264" s="69">
        <f t="shared" si="28"/>
        <v>12.495833333333334</v>
      </c>
      <c r="R264" s="69">
        <f t="shared" si="29"/>
        <v>9.4958333333333336</v>
      </c>
      <c r="S264" s="87">
        <f>VLOOKUP(A:A,'Flat Bed &amp; Late Fees'!A:J,6,FALSE)</f>
        <v>0</v>
      </c>
      <c r="T264" s="87">
        <f>VLOOKUP(A:A,'Flat Bed &amp; Late Fees'!A:J,7,FALSE)</f>
        <v>0</v>
      </c>
      <c r="U264" s="68">
        <f>VLOOKUP(C264&amp;G264,OTR!E:J,6,FALSE)/88</f>
        <v>6.5340909090909092</v>
      </c>
      <c r="V264" s="87"/>
      <c r="W264" s="68">
        <f t="shared" si="30"/>
        <v>6.5340909090909092</v>
      </c>
      <c r="X264" s="69">
        <f>VLOOKUP(G264,COSTS!$Z$18:$AC$23,2,FALSE)</f>
        <v>2.7</v>
      </c>
      <c r="Y264" s="87">
        <f>VLOOKUP(G264,COSTS!$Z$18:$AC$23,4,FALSE)</f>
        <v>2.52</v>
      </c>
      <c r="Z264" s="69">
        <f>(COSTS!$W$3*COSTS!$W$4*500)/52*COSTS!$AE$17</f>
        <v>1.3125</v>
      </c>
      <c r="AB264" s="69">
        <f t="shared" si="31"/>
        <v>6.5325000000000006</v>
      </c>
      <c r="AC264" s="69">
        <f>VLOOKUP(G264,COSTS!$Z$11:$AE$14,5,FALSE)</f>
        <v>6.6477272727272725</v>
      </c>
      <c r="AD264" s="69">
        <f>VLOOKUP(G264,COSTS!$Z$4:$AD$7,4,FALSE)</f>
        <v>9.8977272727272734</v>
      </c>
      <c r="AE264" s="69"/>
      <c r="AF264" s="69">
        <f t="shared" si="32"/>
        <v>16.545454545454547</v>
      </c>
      <c r="AG264" s="87">
        <f>((COSTS!$C$5*88)/20)/88</f>
        <v>1.4407150000000002</v>
      </c>
      <c r="AH264" s="69">
        <f>(COSTS!$X$38/88)*20</f>
        <v>0.34865702479338845</v>
      </c>
      <c r="AI264" s="87">
        <f>((COSTS!$E$5*88)/20)/88</f>
        <v>0.62936587135988387</v>
      </c>
      <c r="AJ264" s="87">
        <f>((COSTS!$D$5*88)/20)/88</f>
        <v>0.33676</v>
      </c>
      <c r="AL264" s="387">
        <f t="shared" si="33"/>
        <v>2.7554978961532726</v>
      </c>
      <c r="AM264" s="69">
        <f>(COSTS!$W$3+0.1)*500*0.01</f>
        <v>3.9999999999999996</v>
      </c>
      <c r="AN264" s="387">
        <f>((COSTS!$G$5/20)*88)/88</f>
        <v>1.308904109589041</v>
      </c>
      <c r="AR264" s="69">
        <f t="shared" si="34"/>
        <v>5.3089041095890401</v>
      </c>
      <c r="AT264" s="1">
        <f>VLOOKUP(C264&amp;$AT$1,OTR!E:J,6,FALSE)/88</f>
        <v>12.585227272727273</v>
      </c>
      <c r="AU264" s="1" t="e">
        <f>VLOOKUP(C264&amp;$AU$1,OTR!E:J,6,FALSE)/88</f>
        <v>#N/A</v>
      </c>
    </row>
    <row r="265" spans="1:47">
      <c r="A265" s="1">
        <v>313023</v>
      </c>
      <c r="B265" s="1" t="s">
        <v>622</v>
      </c>
      <c r="C265" s="1" t="s">
        <v>623</v>
      </c>
      <c r="D265" s="1" t="s">
        <v>76</v>
      </c>
      <c r="E265" s="1" t="str">
        <f>VLOOKUP(A:A,'Regions and Ports'!A:G,5,FALSE)</f>
        <v>GA 30 Day</v>
      </c>
      <c r="F265" s="1" t="str">
        <f>VLOOKUP(A:A,'Regions and Ports'!A:F,6,FALSE)</f>
        <v>ER5</v>
      </c>
      <c r="G265" s="1" t="str">
        <f>VLOOKUP(A:A,'Regions and Ports'!A:G,7,FALSE)</f>
        <v>Savannah</v>
      </c>
      <c r="H265" s="87">
        <v>4</v>
      </c>
      <c r="I265" s="69">
        <f>VLOOKUP(A:A,'Seam Tariffs'!A:AB,9,FALSE)</f>
        <v>4</v>
      </c>
      <c r="J265" s="69">
        <f>VLOOKUP(A:A,'Seam Tariffs'!A:AB,11,FALSE)</f>
        <v>6</v>
      </c>
      <c r="K265" s="69">
        <f>VLOOKUP(A:A,'Seam Tariffs'!A:AB,12,FALSE)</f>
        <v>0</v>
      </c>
      <c r="L265" s="69">
        <f>VLOOKUP(A:A,'Seam Tariffs'!A:AB,13,FALSE)</f>
        <v>0</v>
      </c>
      <c r="M265" s="69">
        <f>VLOOKUP(A:A,'Seam Tariffs'!A:AB,14,FALSE)</f>
        <v>1</v>
      </c>
      <c r="N265" s="69">
        <f>VLOOKUP(A:A,'Seam Tariffs'!A:AB,28,FALSE)</f>
        <v>2</v>
      </c>
      <c r="O265" s="69">
        <f>COSTS!$W$6</f>
        <v>1.8958333333333335</v>
      </c>
      <c r="P265" s="69">
        <f>VLOOKUP(G265,COSTS!$V$11:$X$14,3,FALSE)</f>
        <v>0</v>
      </c>
      <c r="Q265" s="69">
        <f t="shared" si="28"/>
        <v>14.895833333333334</v>
      </c>
      <c r="R265" s="69">
        <f t="shared" si="29"/>
        <v>1.8958333333333335</v>
      </c>
      <c r="S265" s="87">
        <f>VLOOKUP(A:A,'Flat Bed &amp; Late Fees'!A:J,6,FALSE)</f>
        <v>0</v>
      </c>
      <c r="T265" s="87">
        <f>VLOOKUP(A:A,'Flat Bed &amp; Late Fees'!A:J,7,FALSE)</f>
        <v>0</v>
      </c>
      <c r="U265" s="68">
        <f>VLOOKUP(C265&amp;G265,OTR!E:J,6,FALSE)/88</f>
        <v>11.7525</v>
      </c>
      <c r="V265" s="87"/>
      <c r="W265" s="68">
        <f t="shared" si="30"/>
        <v>11.7525</v>
      </c>
      <c r="X265" s="69">
        <f>VLOOKUP(G265,COSTS!$Z$18:$AC$23,2,FALSE)</f>
        <v>2.6</v>
      </c>
      <c r="Y265" s="87">
        <f>VLOOKUP(G265,COSTS!$Z$18:$AC$23,4,FALSE)</f>
        <v>2.52</v>
      </c>
      <c r="Z265" s="69">
        <f>(COSTS!$W$3*COSTS!$W$4*500)/52*COSTS!$AE$17</f>
        <v>1.3125</v>
      </c>
      <c r="AB265" s="69">
        <f t="shared" si="31"/>
        <v>6.4325000000000001</v>
      </c>
      <c r="AC265" s="69">
        <f>VLOOKUP(G265,COSTS!$Z$11:$AE$14,5,FALSE)</f>
        <v>5.5113636363636367</v>
      </c>
      <c r="AD265" s="69">
        <f>VLOOKUP(G265,COSTS!$Z$4:$AD$7,4,FALSE)</f>
        <v>5.3522727272727275</v>
      </c>
      <c r="AE265" s="69"/>
      <c r="AF265" s="69">
        <f t="shared" si="32"/>
        <v>10.863636363636363</v>
      </c>
      <c r="AG265" s="87">
        <f>((COSTS!$C$5*88)/20)/88</f>
        <v>1.4407150000000002</v>
      </c>
      <c r="AH265" s="69">
        <f>(COSTS!$X$38/88)*20</f>
        <v>0.34865702479338845</v>
      </c>
      <c r="AI265" s="87">
        <f>((COSTS!$E$5*88)/20)/88</f>
        <v>0.62936587135988387</v>
      </c>
      <c r="AJ265" s="87">
        <f>((COSTS!$D$5*88)/20)/88</f>
        <v>0.33676</v>
      </c>
      <c r="AL265" s="387">
        <f t="shared" si="33"/>
        <v>2.7554978961532726</v>
      </c>
      <c r="AM265" s="69">
        <f>(COSTS!$W$3+0.1)*500*0.01</f>
        <v>3.9999999999999996</v>
      </c>
      <c r="AN265" s="387">
        <f>((COSTS!$G$5/20)*88)/88</f>
        <v>1.308904109589041</v>
      </c>
      <c r="AR265" s="69">
        <f t="shared" si="34"/>
        <v>5.3089041095890401</v>
      </c>
      <c r="AT265" s="1">
        <f>VLOOKUP(C265&amp;$AT$1,OTR!E:J,6,FALSE)/88</f>
        <v>23.064090909090908</v>
      </c>
      <c r="AU265" s="1">
        <f>VLOOKUP(C265&amp;$AU$1,OTR!E:J,6,FALSE)/88</f>
        <v>16.65909090909091</v>
      </c>
    </row>
    <row r="266" spans="1:47">
      <c r="A266" s="1">
        <v>314006</v>
      </c>
      <c r="B266" s="1" t="s">
        <v>625</v>
      </c>
      <c r="C266" s="1" t="s">
        <v>623</v>
      </c>
      <c r="D266" s="1" t="s">
        <v>76</v>
      </c>
      <c r="E266" s="1" t="str">
        <f>VLOOKUP(A:A,'Regions and Ports'!A:G,5,FALSE)</f>
        <v>GA 30 Day</v>
      </c>
      <c r="F266" s="1" t="str">
        <f>VLOOKUP(A:A,'Regions and Ports'!A:F,6,FALSE)</f>
        <v>ER5</v>
      </c>
      <c r="G266" s="1" t="str">
        <f>VLOOKUP(A:A,'Regions and Ports'!A:G,7,FALSE)</f>
        <v>Savannah</v>
      </c>
      <c r="H266" s="87">
        <v>4</v>
      </c>
      <c r="I266" s="69">
        <f>VLOOKUP(A:A,'Seam Tariffs'!A:AB,9,FALSE)</f>
        <v>3.5</v>
      </c>
      <c r="J266" s="69">
        <f>VLOOKUP(A:A,'Seam Tariffs'!A:AB,11,FALSE)</f>
        <v>5.5</v>
      </c>
      <c r="K266" s="69">
        <f>VLOOKUP(A:A,'Seam Tariffs'!A:AB,12,FALSE)</f>
        <v>0</v>
      </c>
      <c r="L266" s="69">
        <f>VLOOKUP(A:A,'Seam Tariffs'!A:AB,13,FALSE)</f>
        <v>0</v>
      </c>
      <c r="M266" s="69">
        <f>VLOOKUP(A:A,'Seam Tariffs'!A:AB,14,FALSE)</f>
        <v>1</v>
      </c>
      <c r="N266" s="69">
        <f>VLOOKUP(A:A,'Seam Tariffs'!A:AB,28,FALSE)</f>
        <v>2.5</v>
      </c>
      <c r="O266" s="69">
        <f>COSTS!$W$6</f>
        <v>1.8958333333333335</v>
      </c>
      <c r="P266" s="69">
        <f>VLOOKUP(G266,COSTS!$V$11:$X$14,3,FALSE)</f>
        <v>0</v>
      </c>
      <c r="Q266" s="69">
        <f t="shared" si="28"/>
        <v>14.395833333333334</v>
      </c>
      <c r="R266" s="69">
        <f t="shared" si="29"/>
        <v>1.8958333333333335</v>
      </c>
      <c r="S266" s="87">
        <f>VLOOKUP(A:A,'Flat Bed &amp; Late Fees'!A:J,6,FALSE)</f>
        <v>0</v>
      </c>
      <c r="T266" s="87">
        <f>VLOOKUP(A:A,'Flat Bed &amp; Late Fees'!A:J,7,FALSE)</f>
        <v>0</v>
      </c>
      <c r="U266" s="68">
        <f>VLOOKUP(C266&amp;G266,OTR!E:J,6,FALSE)/88</f>
        <v>11.7525</v>
      </c>
      <c r="V266" s="87"/>
      <c r="W266" s="68">
        <f t="shared" si="30"/>
        <v>11.7525</v>
      </c>
      <c r="X266" s="69">
        <f>VLOOKUP(G266,COSTS!$Z$18:$AC$23,2,FALSE)</f>
        <v>2.6</v>
      </c>
      <c r="Y266" s="87">
        <f>VLOOKUP(G266,COSTS!$Z$18:$AC$23,4,FALSE)</f>
        <v>2.52</v>
      </c>
      <c r="Z266" s="69">
        <f>(COSTS!$W$3*COSTS!$W$4*500)/52*COSTS!$AE$17</f>
        <v>1.3125</v>
      </c>
      <c r="AB266" s="69">
        <f t="shared" si="31"/>
        <v>6.4325000000000001</v>
      </c>
      <c r="AC266" s="69">
        <f>VLOOKUP(G266,COSTS!$Z$11:$AE$14,5,FALSE)</f>
        <v>5.5113636363636367</v>
      </c>
      <c r="AD266" s="69">
        <f>VLOOKUP(G266,COSTS!$Z$4:$AD$7,4,FALSE)</f>
        <v>5.3522727272727275</v>
      </c>
      <c r="AE266" s="69"/>
      <c r="AF266" s="69">
        <f t="shared" si="32"/>
        <v>10.863636363636363</v>
      </c>
      <c r="AG266" s="87">
        <f>((COSTS!$C$5*88)/20)/88</f>
        <v>1.4407150000000002</v>
      </c>
      <c r="AH266" s="69">
        <f>(COSTS!$X$38/88)*20</f>
        <v>0.34865702479338845</v>
      </c>
      <c r="AI266" s="87">
        <f>((COSTS!$E$5*88)/20)/88</f>
        <v>0.62936587135988387</v>
      </c>
      <c r="AJ266" s="87">
        <f>((COSTS!$D$5*88)/20)/88</f>
        <v>0.33676</v>
      </c>
      <c r="AL266" s="387">
        <f t="shared" si="33"/>
        <v>2.7554978961532726</v>
      </c>
      <c r="AM266" s="69">
        <f>(COSTS!$W$3+0.1)*500*0.01</f>
        <v>3.9999999999999996</v>
      </c>
      <c r="AN266" s="387">
        <f>((COSTS!$G$5/20)*88)/88</f>
        <v>1.308904109589041</v>
      </c>
      <c r="AR266" s="69">
        <f t="shared" si="34"/>
        <v>5.3089041095890401</v>
      </c>
      <c r="AT266" s="1">
        <f>VLOOKUP(C266&amp;$AT$1,OTR!E:J,6,FALSE)/88</f>
        <v>23.064090909090908</v>
      </c>
      <c r="AU266" s="1">
        <f>VLOOKUP(C266&amp;$AU$1,OTR!E:J,6,FALSE)/88</f>
        <v>16.65909090909091</v>
      </c>
    </row>
    <row r="267" spans="1:47">
      <c r="A267" s="1">
        <v>122531</v>
      </c>
      <c r="B267" s="1" t="s">
        <v>626</v>
      </c>
      <c r="C267" s="1" t="s">
        <v>2208</v>
      </c>
      <c r="D267" s="1" t="s">
        <v>319</v>
      </c>
      <c r="E267" s="1" t="str">
        <f>VLOOKUP(A:A,'Regions and Ports'!A:G,5,FALSE)</f>
        <v>Southwest</v>
      </c>
      <c r="F267" s="1">
        <f>VLOOKUP(A:A,'Regions and Ports'!A:F,6,FALSE)</f>
        <v>0</v>
      </c>
      <c r="G267" s="1" t="str">
        <f>VLOOKUP(A:A,'Regions and Ports'!A:G,7,FALSE)</f>
        <v>Los Angeles</v>
      </c>
      <c r="H267" s="87">
        <v>6</v>
      </c>
      <c r="I267" s="69">
        <f>VLOOKUP(A:A,'Seam Tariffs'!A:AB,9,FALSE)</f>
        <v>5.25</v>
      </c>
      <c r="J267" s="69">
        <f>VLOOKUP(A:A,'Seam Tariffs'!A:AB,11,FALSE)</f>
        <v>5.25</v>
      </c>
      <c r="K267" s="69">
        <f>VLOOKUP(A:A,'Seam Tariffs'!A:AB,12,FALSE)</f>
        <v>10</v>
      </c>
      <c r="L267" s="69">
        <f>VLOOKUP(A:A,'Seam Tariffs'!A:AB,13,FALSE)</f>
        <v>0</v>
      </c>
      <c r="M267" s="69">
        <f>VLOOKUP(A:A,'Seam Tariffs'!A:AB,14,FALSE)</f>
        <v>0</v>
      </c>
      <c r="N267" s="69">
        <f>VLOOKUP(A:A,'Seam Tariffs'!A:AB,28,FALSE)</f>
        <v>4.5</v>
      </c>
      <c r="O267" s="69">
        <f>COSTS!$W$6</f>
        <v>1.8958333333333335</v>
      </c>
      <c r="P267" s="69" t="e">
        <f>VLOOKUP(G267,COSTS!$V$11:$X$14,3,FALSE)</f>
        <v>#N/A</v>
      </c>
      <c r="Q267" s="69" t="e">
        <f t="shared" si="28"/>
        <v>#N/A</v>
      </c>
      <c r="R267" s="69" t="e">
        <f t="shared" si="29"/>
        <v>#VALUE!</v>
      </c>
      <c r="S267" s="87">
        <f>VLOOKUP(A:A,'Flat Bed &amp; Late Fees'!A:J,6,FALSE)</f>
        <v>0</v>
      </c>
      <c r="T267" s="87">
        <f>VLOOKUP(A:A,'Flat Bed &amp; Late Fees'!A:J,7,FALSE)</f>
        <v>0</v>
      </c>
      <c r="U267" s="68" t="e">
        <f>VLOOKUP(C267&amp;G267,OTR!E:J,6,FALSE)/88</f>
        <v>#N/A</v>
      </c>
      <c r="V267" s="87"/>
      <c r="W267" s="68" t="e">
        <f t="shared" si="30"/>
        <v>#N/A</v>
      </c>
      <c r="X267" s="69" t="e">
        <f>VLOOKUP(G267,COSTS!$Z$18:$AC$23,2,FALSE)</f>
        <v>#N/A</v>
      </c>
      <c r="Y267" s="87" t="e">
        <f>VLOOKUP(G267,COSTS!$Z$18:$AC$23,4,FALSE)</f>
        <v>#N/A</v>
      </c>
      <c r="Z267" s="69">
        <f>(COSTS!$W$3*COSTS!$W$4*500)/52*COSTS!$AE$17</f>
        <v>1.3125</v>
      </c>
      <c r="AB267" s="69" t="e">
        <f t="shared" si="31"/>
        <v>#N/A</v>
      </c>
      <c r="AC267" s="69" t="e">
        <f>VLOOKUP(G267,COSTS!$Z$11:$AE$14,5,FALSE)</f>
        <v>#N/A</v>
      </c>
      <c r="AD267" s="69" t="e">
        <f>VLOOKUP(G267,COSTS!$Z$4:$AD$7,4,FALSE)</f>
        <v>#N/A</v>
      </c>
      <c r="AE267" s="69"/>
      <c r="AF267" s="69" t="e">
        <f t="shared" si="32"/>
        <v>#N/A</v>
      </c>
      <c r="AG267" s="87">
        <f>((COSTS!$C$5*88)/20)/88</f>
        <v>1.4407150000000002</v>
      </c>
      <c r="AH267" s="69">
        <f>(COSTS!$X$38/88)*20</f>
        <v>0.34865702479338845</v>
      </c>
      <c r="AI267" s="87">
        <f>((COSTS!$E$5*88)/20)/88</f>
        <v>0.62936587135988387</v>
      </c>
      <c r="AJ267" s="87">
        <f>((COSTS!$D$5*88)/20)/88</f>
        <v>0.33676</v>
      </c>
      <c r="AL267" s="387">
        <f t="shared" si="33"/>
        <v>2.7554978961532726</v>
      </c>
      <c r="AM267" s="69">
        <f>(COSTS!$W$3+0.1)*500*0.01</f>
        <v>3.9999999999999996</v>
      </c>
      <c r="AN267" s="387">
        <f>((COSTS!$G$5/20)*88)/88</f>
        <v>1.308904109589041</v>
      </c>
      <c r="AR267" s="69">
        <f t="shared" si="34"/>
        <v>5.3089041095890401</v>
      </c>
      <c r="AT267" s="1" t="e">
        <f>VLOOKUP(C267&amp;$AT$1,OTR!E:J,6,FALSE)/88</f>
        <v>#N/A</v>
      </c>
      <c r="AU267" s="1" t="e">
        <f>VLOOKUP(C267&amp;$AU$1,OTR!E:J,6,FALSE)/88</f>
        <v>#N/A</v>
      </c>
    </row>
    <row r="268" spans="1:47">
      <c r="A268" s="1">
        <v>313510</v>
      </c>
      <c r="B268" s="1" t="s">
        <v>628</v>
      </c>
      <c r="C268" s="1" t="s">
        <v>629</v>
      </c>
      <c r="D268" s="1" t="s">
        <v>76</v>
      </c>
      <c r="E268" s="1" t="str">
        <f>VLOOKUP(A:A,'Regions and Ports'!A:G,5,FALSE)</f>
        <v>GA 30 Day</v>
      </c>
      <c r="F268" s="1" t="str">
        <f>VLOOKUP(A:A,'Regions and Ports'!A:F,6,FALSE)</f>
        <v>ER5</v>
      </c>
      <c r="G268" s="1" t="str">
        <f>VLOOKUP(A:A,'Regions and Ports'!A:G,7,FALSE)</f>
        <v>Savannah</v>
      </c>
      <c r="H268" s="87">
        <v>4</v>
      </c>
      <c r="I268" s="69">
        <f>VLOOKUP(A:A,'Seam Tariffs'!A:AB,9,FALSE)</f>
        <v>0</v>
      </c>
      <c r="J268" s="69">
        <f>VLOOKUP(A:A,'Seam Tariffs'!A:AB,11,FALSE)</f>
        <v>0</v>
      </c>
      <c r="K268" s="69">
        <f>VLOOKUP(A:A,'Seam Tariffs'!A:AB,12,FALSE)</f>
        <v>0</v>
      </c>
      <c r="L268" s="69">
        <f>VLOOKUP(A:A,'Seam Tariffs'!A:AB,13,FALSE)</f>
        <v>0</v>
      </c>
      <c r="M268" s="69">
        <f>VLOOKUP(A:A,'Seam Tariffs'!A:AB,14,FALSE)</f>
        <v>1</v>
      </c>
      <c r="N268" s="69">
        <f>VLOOKUP(A:A,'Seam Tariffs'!A:AB,28,FALSE)</f>
        <v>4.25</v>
      </c>
      <c r="O268" s="69">
        <f>COSTS!$W$6</f>
        <v>1.8958333333333335</v>
      </c>
      <c r="P268" s="69">
        <f>VLOOKUP(G268,COSTS!$V$11:$X$14,3,FALSE)</f>
        <v>0</v>
      </c>
      <c r="Q268" s="69">
        <f t="shared" si="28"/>
        <v>7.1458333333333339</v>
      </c>
      <c r="R268" s="69">
        <f t="shared" si="29"/>
        <v>1.8958333333333335</v>
      </c>
      <c r="S268" s="87">
        <f>VLOOKUP(A:A,'Flat Bed &amp; Late Fees'!A:J,6,FALSE)</f>
        <v>0</v>
      </c>
      <c r="T268" s="87">
        <f>VLOOKUP(A:A,'Flat Bed &amp; Late Fees'!A:J,7,FALSE)</f>
        <v>0</v>
      </c>
      <c r="U268" s="68">
        <f>VLOOKUP(C268&amp;G268,OTR!E:J,6,FALSE)/88</f>
        <v>11.202045454545454</v>
      </c>
      <c r="V268" s="87"/>
      <c r="W268" s="68">
        <f t="shared" si="30"/>
        <v>11.202045454545454</v>
      </c>
      <c r="X268" s="69">
        <f>VLOOKUP(G268,COSTS!$Z$18:$AC$23,2,FALSE)</f>
        <v>2.6</v>
      </c>
      <c r="Y268" s="87">
        <f>VLOOKUP(G268,COSTS!$Z$18:$AC$23,4,FALSE)</f>
        <v>2.52</v>
      </c>
      <c r="Z268" s="69">
        <f>(COSTS!$W$3*COSTS!$W$4*500)/52*COSTS!$AE$17</f>
        <v>1.3125</v>
      </c>
      <c r="AB268" s="69">
        <f t="shared" si="31"/>
        <v>6.4325000000000001</v>
      </c>
      <c r="AC268" s="69">
        <f>VLOOKUP(G268,COSTS!$Z$11:$AE$14,5,FALSE)</f>
        <v>5.5113636363636367</v>
      </c>
      <c r="AD268" s="69">
        <f>VLOOKUP(G268,COSTS!$Z$4:$AD$7,4,FALSE)</f>
        <v>5.3522727272727275</v>
      </c>
      <c r="AE268" s="69"/>
      <c r="AF268" s="69">
        <f t="shared" si="32"/>
        <v>10.863636363636363</v>
      </c>
      <c r="AG268" s="87">
        <f>((COSTS!$C$5*88)/20)/88</f>
        <v>1.4407150000000002</v>
      </c>
      <c r="AH268" s="69">
        <f>(COSTS!$X$38/88)*20</f>
        <v>0.34865702479338845</v>
      </c>
      <c r="AI268" s="87">
        <f>((COSTS!$E$5*88)/20)/88</f>
        <v>0.62936587135988387</v>
      </c>
      <c r="AJ268" s="87">
        <f>((COSTS!$D$5*88)/20)/88</f>
        <v>0.33676</v>
      </c>
      <c r="AL268" s="387">
        <f t="shared" si="33"/>
        <v>2.7554978961532726</v>
      </c>
      <c r="AM268" s="69">
        <f>(COSTS!$W$3+0.1)*500*0.01</f>
        <v>3.9999999999999996</v>
      </c>
      <c r="AN268" s="387">
        <f>((COSTS!$G$5/20)*88)/88</f>
        <v>1.308904109589041</v>
      </c>
      <c r="AR268" s="69">
        <f t="shared" si="34"/>
        <v>5.3089041095890401</v>
      </c>
      <c r="AT268" s="1">
        <f>VLOOKUP(C268&amp;$AT$1,OTR!E:J,6,FALSE)/88</f>
        <v>26.268636363636361</v>
      </c>
      <c r="AU268" s="1">
        <f>VLOOKUP(C268&amp;$AU$1,OTR!E:J,6,FALSE)/88</f>
        <v>15.653409090909092</v>
      </c>
    </row>
    <row r="269" spans="1:47">
      <c r="A269" s="1">
        <v>911510</v>
      </c>
      <c r="B269" s="1" t="s">
        <v>630</v>
      </c>
      <c r="C269" s="1" t="s">
        <v>631</v>
      </c>
      <c r="D269" s="1" t="s">
        <v>71</v>
      </c>
      <c r="E269" s="1" t="str">
        <f>VLOOKUP(A:A,'Regions and Ports'!A:G,5,FALSE)</f>
        <v>WTX</v>
      </c>
      <c r="F269" s="1" t="str">
        <f>VLOOKUP(A:A,'Regions and Ports'!A:F,6,FALSE)</f>
        <v>WTX</v>
      </c>
      <c r="G269" s="1" t="str">
        <f>VLOOKUP(A:A,'Regions and Ports'!A:G,7,FALSE)</f>
        <v>Dallas</v>
      </c>
      <c r="H269" s="87">
        <v>2</v>
      </c>
      <c r="I269" s="69">
        <f>VLOOKUP(A:A,'Seam Tariffs'!A:AB,9,FALSE)</f>
        <v>5.0999999999999996</v>
      </c>
      <c r="J269" s="69">
        <f>VLOOKUP(A:A,'Seam Tariffs'!A:AB,11,FALSE)</f>
        <v>6.25</v>
      </c>
      <c r="K269" s="69">
        <f>VLOOKUP(A:A,'Seam Tariffs'!A:AB,12,FALSE)</f>
        <v>10.25</v>
      </c>
      <c r="L269" s="69">
        <f>VLOOKUP(A:A,'Seam Tariffs'!A:AB,13,FALSE)</f>
        <v>0</v>
      </c>
      <c r="M269" s="69">
        <f>VLOOKUP(A:A,'Seam Tariffs'!A:AB,14,FALSE)</f>
        <v>0</v>
      </c>
      <c r="N269" s="69">
        <f>VLOOKUP(A:A,'Seam Tariffs'!A:AB,28,FALSE)</f>
        <v>2.4</v>
      </c>
      <c r="O269" s="69">
        <f>COSTS!$W$6</f>
        <v>1.8958333333333335</v>
      </c>
      <c r="P269" s="69">
        <f>VLOOKUP(G269,COSTS!$V$11:$X$14,3,FALSE)</f>
        <v>0</v>
      </c>
      <c r="Q269" s="69">
        <f t="shared" si="28"/>
        <v>25.895833333333332</v>
      </c>
      <c r="R269" s="69">
        <f t="shared" si="29"/>
        <v>14.545833333333334</v>
      </c>
      <c r="S269" s="87">
        <f>VLOOKUP(A:A,'Flat Bed &amp; Late Fees'!A:J,6,FALSE)</f>
        <v>0</v>
      </c>
      <c r="T269" s="87">
        <f>VLOOKUP(A:A,'Flat Bed &amp; Late Fees'!A:J,7,FALSE)</f>
        <v>0</v>
      </c>
      <c r="U269" s="68">
        <f>VLOOKUP(C269&amp;G269,OTR!E:J,6,FALSE)/88</f>
        <v>9.9431818181818183</v>
      </c>
      <c r="V269" s="87"/>
      <c r="W269" s="68">
        <f t="shared" si="30"/>
        <v>9.9431818181818183</v>
      </c>
      <c r="X269" s="69">
        <f>VLOOKUP(G269,COSTS!$Z$18:$AC$23,2,FALSE)</f>
        <v>2.7</v>
      </c>
      <c r="Y269" s="87">
        <f>VLOOKUP(G269,COSTS!$Z$18:$AC$23,4,FALSE)</f>
        <v>2.52</v>
      </c>
      <c r="Z269" s="69">
        <f>(COSTS!$W$3*COSTS!$W$4*500)/52*COSTS!$AE$17</f>
        <v>1.3125</v>
      </c>
      <c r="AB269" s="69">
        <f t="shared" si="31"/>
        <v>6.5325000000000006</v>
      </c>
      <c r="AC269" s="69">
        <f>VLOOKUP(G269,COSTS!$Z$11:$AE$14,5,FALSE)</f>
        <v>8.125</v>
      </c>
      <c r="AD269" s="69">
        <f>VLOOKUP(G269,COSTS!$Z$4:$AD$7,4,FALSE)</f>
        <v>13.409090909090908</v>
      </c>
      <c r="AE269" s="69"/>
      <c r="AF269" s="69">
        <f t="shared" si="32"/>
        <v>21.534090909090907</v>
      </c>
      <c r="AG269" s="87">
        <f>((COSTS!$C$5*88)/20)/88</f>
        <v>1.4407150000000002</v>
      </c>
      <c r="AH269" s="69">
        <f>(COSTS!$X$38/88)*20</f>
        <v>0.34865702479338845</v>
      </c>
      <c r="AI269" s="87">
        <f>((COSTS!$E$5*88)/20)/88</f>
        <v>0.62936587135988387</v>
      </c>
      <c r="AJ269" s="87">
        <f>((COSTS!$D$5*88)/20)/88</f>
        <v>0.33676</v>
      </c>
      <c r="AL269" s="387">
        <f t="shared" si="33"/>
        <v>2.7554978961532726</v>
      </c>
      <c r="AM269" s="69">
        <f>(COSTS!$W$3+0.1)*500*0.01</f>
        <v>3.9999999999999996</v>
      </c>
      <c r="AN269" s="387">
        <f>((COSTS!$G$5/20)*88)/88</f>
        <v>1.308904109589041</v>
      </c>
      <c r="AR269" s="69">
        <f t="shared" si="34"/>
        <v>5.3089041095890401</v>
      </c>
      <c r="AT269" s="1">
        <f>VLOOKUP(C269&amp;$AT$1,OTR!E:J,6,FALSE)/88</f>
        <v>18.62579545454545</v>
      </c>
      <c r="AU269" s="1" t="e">
        <f>VLOOKUP(C269&amp;$AU$1,OTR!E:J,6,FALSE)/88</f>
        <v>#N/A</v>
      </c>
    </row>
    <row r="270" spans="1:47">
      <c r="A270" s="1">
        <v>911520</v>
      </c>
      <c r="B270" s="1" t="s">
        <v>632</v>
      </c>
      <c r="C270" s="1" t="s">
        <v>631</v>
      </c>
      <c r="D270" s="1" t="s">
        <v>71</v>
      </c>
      <c r="E270" s="1" t="str">
        <f>VLOOKUP(A:A,'Regions and Ports'!A:G,5,FALSE)</f>
        <v>WTX</v>
      </c>
      <c r="F270" s="1" t="str">
        <f>VLOOKUP(A:A,'Regions and Ports'!A:F,6,FALSE)</f>
        <v>WTX</v>
      </c>
      <c r="G270" s="1" t="str">
        <f>VLOOKUP(A:A,'Regions and Ports'!A:G,7,FALSE)</f>
        <v>Dallas</v>
      </c>
      <c r="H270" s="87">
        <v>2</v>
      </c>
      <c r="I270" s="69">
        <f>VLOOKUP(A:A,'Seam Tariffs'!A:AB,9,FALSE)</f>
        <v>4.3499999999999996</v>
      </c>
      <c r="J270" s="69">
        <f>VLOOKUP(A:A,'Seam Tariffs'!A:AB,11,FALSE)</f>
        <v>5.75</v>
      </c>
      <c r="K270" s="69">
        <f>VLOOKUP(A:A,'Seam Tariffs'!A:AB,12,FALSE)</f>
        <v>11.25</v>
      </c>
      <c r="L270" s="69">
        <f>VLOOKUP(A:A,'Seam Tariffs'!A:AB,13,FALSE)</f>
        <v>0</v>
      </c>
      <c r="M270" s="69">
        <f>VLOOKUP(A:A,'Seam Tariffs'!A:AB,14,FALSE)</f>
        <v>0</v>
      </c>
      <c r="N270" s="69">
        <f>VLOOKUP(A:A,'Seam Tariffs'!A:AB,28,FALSE)</f>
        <v>2.25</v>
      </c>
      <c r="O270" s="69">
        <f>COSTS!$W$6</f>
        <v>1.8958333333333335</v>
      </c>
      <c r="P270" s="69">
        <f>VLOOKUP(G270,COSTS!$V$11:$X$14,3,FALSE)</f>
        <v>0</v>
      </c>
      <c r="Q270" s="69">
        <f t="shared" si="28"/>
        <v>25.495833333333334</v>
      </c>
      <c r="R270" s="69">
        <f t="shared" si="29"/>
        <v>15.395833333333334</v>
      </c>
      <c r="S270" s="87">
        <f>VLOOKUP(A:A,'Flat Bed &amp; Late Fees'!A:J,6,FALSE)</f>
        <v>0</v>
      </c>
      <c r="T270" s="87">
        <f>VLOOKUP(A:A,'Flat Bed &amp; Late Fees'!A:J,7,FALSE)</f>
        <v>0</v>
      </c>
      <c r="U270" s="68">
        <f>VLOOKUP(C270&amp;G270,OTR!E:J,6,FALSE)/88</f>
        <v>9.9431818181818183</v>
      </c>
      <c r="V270" s="87"/>
      <c r="W270" s="68">
        <f t="shared" si="30"/>
        <v>9.9431818181818183</v>
      </c>
      <c r="X270" s="69">
        <f>VLOOKUP(G270,COSTS!$Z$18:$AC$23,2,FALSE)</f>
        <v>2.7</v>
      </c>
      <c r="Y270" s="87">
        <f>VLOOKUP(G270,COSTS!$Z$18:$AC$23,4,FALSE)</f>
        <v>2.52</v>
      </c>
      <c r="Z270" s="69">
        <f>(COSTS!$W$3*COSTS!$W$4*500)/52*COSTS!$AE$17</f>
        <v>1.3125</v>
      </c>
      <c r="AB270" s="69">
        <f t="shared" si="31"/>
        <v>6.5325000000000006</v>
      </c>
      <c r="AC270" s="69">
        <f>VLOOKUP(G270,COSTS!$Z$11:$AE$14,5,FALSE)</f>
        <v>8.125</v>
      </c>
      <c r="AD270" s="69">
        <f>VLOOKUP(G270,COSTS!$Z$4:$AD$7,4,FALSE)</f>
        <v>13.409090909090908</v>
      </c>
      <c r="AE270" s="69"/>
      <c r="AF270" s="69">
        <f t="shared" si="32"/>
        <v>21.534090909090907</v>
      </c>
      <c r="AG270" s="87">
        <f>((COSTS!$C$5*88)/20)/88</f>
        <v>1.4407150000000002</v>
      </c>
      <c r="AH270" s="69">
        <f>(COSTS!$X$38/88)*20</f>
        <v>0.34865702479338845</v>
      </c>
      <c r="AI270" s="87">
        <f>((COSTS!$E$5*88)/20)/88</f>
        <v>0.62936587135988387</v>
      </c>
      <c r="AJ270" s="87">
        <f>((COSTS!$D$5*88)/20)/88</f>
        <v>0.33676</v>
      </c>
      <c r="AL270" s="387">
        <f t="shared" si="33"/>
        <v>2.7554978961532726</v>
      </c>
      <c r="AM270" s="69">
        <f>(COSTS!$W$3+0.1)*500*0.01</f>
        <v>3.9999999999999996</v>
      </c>
      <c r="AN270" s="387">
        <f>((COSTS!$G$5/20)*88)/88</f>
        <v>1.308904109589041</v>
      </c>
      <c r="AR270" s="69">
        <f t="shared" si="34"/>
        <v>5.3089041095890401</v>
      </c>
      <c r="AT270" s="1">
        <f>VLOOKUP(C270&amp;$AT$1,OTR!E:J,6,FALSE)/88</f>
        <v>18.62579545454545</v>
      </c>
      <c r="AU270" s="1" t="e">
        <f>VLOOKUP(C270&amp;$AU$1,OTR!E:J,6,FALSE)/88</f>
        <v>#N/A</v>
      </c>
    </row>
    <row r="271" spans="1:47">
      <c r="A271" s="1">
        <v>911525</v>
      </c>
      <c r="B271" s="1" t="s">
        <v>633</v>
      </c>
      <c r="C271" s="1" t="s">
        <v>631</v>
      </c>
      <c r="D271" s="1" t="s">
        <v>71</v>
      </c>
      <c r="E271" s="1" t="str">
        <f>VLOOKUP(A:A,'Regions and Ports'!A:G,5,FALSE)</f>
        <v>WTX</v>
      </c>
      <c r="F271" s="1" t="str">
        <f>VLOOKUP(A:A,'Regions and Ports'!A:F,6,FALSE)</f>
        <v>WTX</v>
      </c>
      <c r="G271" s="1" t="str">
        <f>VLOOKUP(A:A,'Regions and Ports'!A:G,7,FALSE)</f>
        <v>Dallas</v>
      </c>
      <c r="H271" s="87">
        <v>2</v>
      </c>
      <c r="I271" s="69">
        <f>VLOOKUP(A:A,'Seam Tariffs'!A:AB,9,FALSE)</f>
        <v>4.3499999999999996</v>
      </c>
      <c r="J271" s="69">
        <f>VLOOKUP(A:A,'Seam Tariffs'!A:AB,11,FALSE)</f>
        <v>5.75</v>
      </c>
      <c r="K271" s="69">
        <f>VLOOKUP(A:A,'Seam Tariffs'!A:AB,12,FALSE)</f>
        <v>11.25</v>
      </c>
      <c r="L271" s="69">
        <f>VLOOKUP(A:A,'Seam Tariffs'!A:AB,13,FALSE)</f>
        <v>0</v>
      </c>
      <c r="M271" s="69">
        <f>VLOOKUP(A:A,'Seam Tariffs'!A:AB,14,FALSE)</f>
        <v>0</v>
      </c>
      <c r="N271" s="69">
        <f>VLOOKUP(A:A,'Seam Tariffs'!A:AB,28,FALSE)</f>
        <v>2.25</v>
      </c>
      <c r="O271" s="69">
        <f>COSTS!$W$6</f>
        <v>1.8958333333333335</v>
      </c>
      <c r="P271" s="69">
        <f>VLOOKUP(G271,COSTS!$V$11:$X$14,3,FALSE)</f>
        <v>0</v>
      </c>
      <c r="Q271" s="69">
        <f t="shared" si="28"/>
        <v>25.495833333333334</v>
      </c>
      <c r="R271" s="69">
        <f t="shared" si="29"/>
        <v>15.395833333333334</v>
      </c>
      <c r="S271" s="87">
        <f>VLOOKUP(A:A,'Flat Bed &amp; Late Fees'!A:J,6,FALSE)</f>
        <v>0</v>
      </c>
      <c r="T271" s="87">
        <f>VLOOKUP(A:A,'Flat Bed &amp; Late Fees'!A:J,7,FALSE)</f>
        <v>0</v>
      </c>
      <c r="U271" s="68">
        <f>VLOOKUP(C271&amp;G271,OTR!E:J,6,FALSE)/88</f>
        <v>9.9431818181818183</v>
      </c>
      <c r="V271" s="87"/>
      <c r="W271" s="68">
        <f t="shared" si="30"/>
        <v>9.9431818181818183</v>
      </c>
      <c r="X271" s="69">
        <f>VLOOKUP(G271,COSTS!$Z$18:$AC$23,2,FALSE)</f>
        <v>2.7</v>
      </c>
      <c r="Y271" s="87">
        <f>VLOOKUP(G271,COSTS!$Z$18:$AC$23,4,FALSE)</f>
        <v>2.52</v>
      </c>
      <c r="Z271" s="69">
        <f>(COSTS!$W$3*COSTS!$W$4*500)/52*COSTS!$AE$17</f>
        <v>1.3125</v>
      </c>
      <c r="AB271" s="69">
        <f t="shared" si="31"/>
        <v>6.5325000000000006</v>
      </c>
      <c r="AC271" s="69">
        <f>VLOOKUP(G271,COSTS!$Z$11:$AE$14,5,FALSE)</f>
        <v>8.125</v>
      </c>
      <c r="AD271" s="69">
        <f>VLOOKUP(G271,COSTS!$Z$4:$AD$7,4,FALSE)</f>
        <v>13.409090909090908</v>
      </c>
      <c r="AE271" s="69"/>
      <c r="AF271" s="69">
        <f t="shared" si="32"/>
        <v>21.534090909090907</v>
      </c>
      <c r="AG271" s="87">
        <f>((COSTS!$C$5*88)/20)/88</f>
        <v>1.4407150000000002</v>
      </c>
      <c r="AH271" s="69">
        <f>(COSTS!$X$38/88)*20</f>
        <v>0.34865702479338845</v>
      </c>
      <c r="AI271" s="87">
        <f>((COSTS!$E$5*88)/20)/88</f>
        <v>0.62936587135988387</v>
      </c>
      <c r="AJ271" s="87">
        <f>((COSTS!$D$5*88)/20)/88</f>
        <v>0.33676</v>
      </c>
      <c r="AL271" s="387">
        <f t="shared" si="33"/>
        <v>2.7554978961532726</v>
      </c>
      <c r="AM271" s="69">
        <f>(COSTS!$W$3+0.1)*500*0.01</f>
        <v>3.9999999999999996</v>
      </c>
      <c r="AN271" s="387">
        <f>((COSTS!$G$5/20)*88)/88</f>
        <v>1.308904109589041</v>
      </c>
      <c r="AR271" s="69">
        <f t="shared" si="34"/>
        <v>5.3089041095890401</v>
      </c>
      <c r="AT271" s="1">
        <f>VLOOKUP(C271&amp;$AT$1,OTR!E:J,6,FALSE)/88</f>
        <v>18.62579545454545</v>
      </c>
      <c r="AU271" s="1" t="e">
        <f>VLOOKUP(C271&amp;$AU$1,OTR!E:J,6,FALSE)/88</f>
        <v>#N/A</v>
      </c>
    </row>
    <row r="272" spans="1:47">
      <c r="A272" s="1">
        <v>911533</v>
      </c>
      <c r="B272" s="1" t="s">
        <v>634</v>
      </c>
      <c r="C272" s="1" t="s">
        <v>631</v>
      </c>
      <c r="D272" s="1" t="s">
        <v>71</v>
      </c>
      <c r="E272" s="1" t="str">
        <f>VLOOKUP(A:A,'Regions and Ports'!A:G,5,FALSE)</f>
        <v>WTX</v>
      </c>
      <c r="F272" s="1" t="str">
        <f>VLOOKUP(A:A,'Regions and Ports'!A:F,6,FALSE)</f>
        <v>WTX</v>
      </c>
      <c r="G272" s="1" t="str">
        <f>VLOOKUP(A:A,'Regions and Ports'!A:G,7,FALSE)</f>
        <v>Dallas</v>
      </c>
      <c r="H272" s="87">
        <v>2</v>
      </c>
      <c r="I272" s="69">
        <f>VLOOKUP(A:A,'Seam Tariffs'!A:AB,9,FALSE)</f>
        <v>4.0999999999999996</v>
      </c>
      <c r="J272" s="69">
        <f>VLOOKUP(A:A,'Seam Tariffs'!A:AB,11,FALSE)</f>
        <v>5</v>
      </c>
      <c r="K272" s="69">
        <f>VLOOKUP(A:A,'Seam Tariffs'!A:AB,12,FALSE)</f>
        <v>11.25</v>
      </c>
      <c r="L272" s="69">
        <f>VLOOKUP(A:A,'Seam Tariffs'!A:AB,13,FALSE)</f>
        <v>0</v>
      </c>
      <c r="M272" s="69">
        <f>VLOOKUP(A:A,'Seam Tariffs'!A:AB,14,FALSE)</f>
        <v>0.5</v>
      </c>
      <c r="N272" s="69">
        <f>VLOOKUP(A:A,'Seam Tariffs'!A:AB,28,FALSE)</f>
        <v>2.4</v>
      </c>
      <c r="O272" s="69">
        <f>COSTS!$W$6</f>
        <v>1.8958333333333335</v>
      </c>
      <c r="P272" s="69">
        <f>VLOOKUP(G272,COSTS!$V$11:$X$14,3,FALSE)</f>
        <v>0</v>
      </c>
      <c r="Q272" s="69">
        <f t="shared" si="28"/>
        <v>25.145833333333332</v>
      </c>
      <c r="R272" s="69">
        <f t="shared" si="29"/>
        <v>15.545833333333334</v>
      </c>
      <c r="S272" s="87">
        <f>VLOOKUP(A:A,'Flat Bed &amp; Late Fees'!A:J,6,FALSE)</f>
        <v>0</v>
      </c>
      <c r="T272" s="87">
        <f>VLOOKUP(A:A,'Flat Bed &amp; Late Fees'!A:J,7,FALSE)</f>
        <v>0</v>
      </c>
      <c r="U272" s="68">
        <f>VLOOKUP(C272&amp;G272,OTR!E:J,6,FALSE)/88</f>
        <v>9.9431818181818183</v>
      </c>
      <c r="V272" s="87"/>
      <c r="W272" s="68">
        <f t="shared" si="30"/>
        <v>9.9431818181818183</v>
      </c>
      <c r="X272" s="69">
        <f>VLOOKUP(G272,COSTS!$Z$18:$AC$23,2,FALSE)</f>
        <v>2.7</v>
      </c>
      <c r="Y272" s="87">
        <f>VLOOKUP(G272,COSTS!$Z$18:$AC$23,4,FALSE)</f>
        <v>2.52</v>
      </c>
      <c r="Z272" s="69">
        <f>(COSTS!$W$3*COSTS!$W$4*500)/52*COSTS!$AE$17</f>
        <v>1.3125</v>
      </c>
      <c r="AB272" s="69">
        <f t="shared" si="31"/>
        <v>6.5325000000000006</v>
      </c>
      <c r="AC272" s="69">
        <f>VLOOKUP(G272,COSTS!$Z$11:$AE$14,5,FALSE)</f>
        <v>8.125</v>
      </c>
      <c r="AD272" s="69">
        <f>VLOOKUP(G272,COSTS!$Z$4:$AD$7,4,FALSE)</f>
        <v>13.409090909090908</v>
      </c>
      <c r="AE272" s="69"/>
      <c r="AF272" s="69">
        <f t="shared" si="32"/>
        <v>21.534090909090907</v>
      </c>
      <c r="AG272" s="87">
        <f>((COSTS!$C$5*88)/20)/88</f>
        <v>1.4407150000000002</v>
      </c>
      <c r="AH272" s="69">
        <f>(COSTS!$X$38/88)*20</f>
        <v>0.34865702479338845</v>
      </c>
      <c r="AI272" s="87">
        <f>((COSTS!$E$5*88)/20)/88</f>
        <v>0.62936587135988387</v>
      </c>
      <c r="AJ272" s="87">
        <f>((COSTS!$D$5*88)/20)/88</f>
        <v>0.33676</v>
      </c>
      <c r="AL272" s="387">
        <f t="shared" si="33"/>
        <v>2.7554978961532726</v>
      </c>
      <c r="AM272" s="69">
        <f>(COSTS!$W$3+0.1)*500*0.01</f>
        <v>3.9999999999999996</v>
      </c>
      <c r="AN272" s="387">
        <f>((COSTS!$G$5/20)*88)/88</f>
        <v>1.308904109589041</v>
      </c>
      <c r="AR272" s="69">
        <f t="shared" si="34"/>
        <v>5.3089041095890401</v>
      </c>
      <c r="AT272" s="1">
        <f>VLOOKUP(C272&amp;$AT$1,OTR!E:J,6,FALSE)/88</f>
        <v>18.62579545454545</v>
      </c>
      <c r="AU272" s="1" t="e">
        <f>VLOOKUP(C272&amp;$AU$1,OTR!E:J,6,FALSE)/88</f>
        <v>#N/A</v>
      </c>
    </row>
    <row r="273" spans="1:47">
      <c r="A273" s="125">
        <v>911510</v>
      </c>
      <c r="B273" s="1" t="s">
        <v>630</v>
      </c>
      <c r="C273" s="1" t="s">
        <v>631</v>
      </c>
      <c r="D273" s="1" t="s">
        <v>71</v>
      </c>
      <c r="E273" s="1" t="s">
        <v>2067</v>
      </c>
      <c r="F273" s="1" t="str">
        <f>VLOOKUP(A:A,'Regions and Ports'!A:F,6,FALSE)</f>
        <v>WTX</v>
      </c>
      <c r="G273" s="1" t="s">
        <v>439</v>
      </c>
      <c r="H273" s="87">
        <v>2</v>
      </c>
      <c r="I273" s="69">
        <f>VLOOKUP(A:A,'Seam Tariffs'!A:AB,9,FALSE)</f>
        <v>5.0999999999999996</v>
      </c>
      <c r="J273" s="69">
        <f>VLOOKUP(A:A,'Seam Tariffs'!A:AB,11,FALSE)</f>
        <v>6.25</v>
      </c>
      <c r="K273" s="69">
        <f>VLOOKUP(A:A,'Seam Tariffs'!A:AB,12,FALSE)</f>
        <v>10.25</v>
      </c>
      <c r="L273" s="69">
        <f>VLOOKUP(A:A,'Seam Tariffs'!A:AB,13,FALSE)</f>
        <v>0</v>
      </c>
      <c r="M273" s="69">
        <f>VLOOKUP(A:A,'Seam Tariffs'!A:AB,14,FALSE)</f>
        <v>0</v>
      </c>
      <c r="N273" s="69">
        <f>VLOOKUP(A:A,'Seam Tariffs'!A:AB,28,FALSE)</f>
        <v>2.4</v>
      </c>
      <c r="O273" s="69">
        <f>COSTS!$W$6</f>
        <v>1.8958333333333335</v>
      </c>
      <c r="P273" s="69">
        <f>VLOOKUP(G273,COSTS!$V$11:$X$14,3,FALSE)</f>
        <v>0</v>
      </c>
      <c r="Q273" s="69">
        <f t="shared" si="28"/>
        <v>25.895833333333332</v>
      </c>
      <c r="R273" s="69">
        <f t="shared" si="29"/>
        <v>14.545833333333334</v>
      </c>
      <c r="S273" s="87">
        <f>VLOOKUP(A:A,'Flat Bed &amp; Late Fees'!A:J,6,FALSE)</f>
        <v>0</v>
      </c>
      <c r="T273" s="87">
        <f>VLOOKUP(A:A,'Flat Bed &amp; Late Fees'!A:J,7,FALSE)</f>
        <v>0</v>
      </c>
      <c r="U273" s="68">
        <f>VLOOKUP(C273&amp;G273,OTR!E:J,6,FALSE)/88</f>
        <v>14.204545454545455</v>
      </c>
      <c r="V273" s="87"/>
      <c r="W273" s="68">
        <f t="shared" si="30"/>
        <v>14.204545454545455</v>
      </c>
      <c r="X273" s="69">
        <f>VLOOKUP(G273,COSTS!$Z$18:$AC$23,2,FALSE)</f>
        <v>2.7</v>
      </c>
      <c r="Y273" s="87">
        <f>VLOOKUP(G273,COSTS!$Z$18:$AC$23,4,FALSE)</f>
        <v>2.52</v>
      </c>
      <c r="Z273" s="69">
        <f>(COSTS!$W$3*COSTS!$W$4*500)/52*COSTS!$AE$17</f>
        <v>1.3125</v>
      </c>
      <c r="AB273" s="69">
        <f t="shared" si="31"/>
        <v>6.5325000000000006</v>
      </c>
      <c r="AC273" s="69">
        <f>VLOOKUP(G273,COSTS!$Z$11:$AE$14,5,FALSE)</f>
        <v>6.6477272727272725</v>
      </c>
      <c r="AD273" s="69">
        <f>VLOOKUP(G273,COSTS!$Z$4:$AD$7,4,FALSE)</f>
        <v>9.8977272727272734</v>
      </c>
      <c r="AE273" s="69"/>
      <c r="AF273" s="69">
        <f t="shared" si="32"/>
        <v>16.545454545454547</v>
      </c>
      <c r="AG273" s="87">
        <f>((COSTS!$C$5*88)/20)/88</f>
        <v>1.4407150000000002</v>
      </c>
      <c r="AH273" s="69">
        <f>(COSTS!$X$38/88)*20</f>
        <v>0.34865702479338845</v>
      </c>
      <c r="AI273" s="87">
        <f>((COSTS!$E$5*88)/20)/88</f>
        <v>0.62936587135988387</v>
      </c>
      <c r="AJ273" s="87">
        <f>((COSTS!$D$5*88)/20)/88</f>
        <v>0.33676</v>
      </c>
      <c r="AL273" s="387">
        <f t="shared" si="33"/>
        <v>2.7554978961532726</v>
      </c>
      <c r="AM273" s="69">
        <f>(COSTS!$W$3+0.1)*500*0.01</f>
        <v>3.9999999999999996</v>
      </c>
      <c r="AN273" s="387">
        <f>((COSTS!$G$5/20)*88)/88</f>
        <v>1.308904109589041</v>
      </c>
      <c r="AR273" s="69">
        <f t="shared" si="34"/>
        <v>5.3089041095890401</v>
      </c>
      <c r="AT273" s="1">
        <f>VLOOKUP(C273&amp;$AT$1,OTR!E:J,6,FALSE)/88</f>
        <v>18.62579545454545</v>
      </c>
      <c r="AU273" s="1" t="e">
        <f>VLOOKUP(C273&amp;$AU$1,OTR!E:J,6,FALSE)/88</f>
        <v>#N/A</v>
      </c>
    </row>
    <row r="274" spans="1:47">
      <c r="A274" s="125">
        <v>911520</v>
      </c>
      <c r="B274" s="1" t="s">
        <v>632</v>
      </c>
      <c r="C274" s="1" t="s">
        <v>631</v>
      </c>
      <c r="D274" s="1" t="s">
        <v>71</v>
      </c>
      <c r="E274" s="1" t="s">
        <v>2067</v>
      </c>
      <c r="F274" s="1" t="str">
        <f>VLOOKUP(A:A,'Regions and Ports'!A:F,6,FALSE)</f>
        <v>WTX</v>
      </c>
      <c r="G274" s="1" t="s">
        <v>439</v>
      </c>
      <c r="H274" s="87">
        <v>2</v>
      </c>
      <c r="I274" s="69">
        <f>VLOOKUP(A:A,'Seam Tariffs'!A:AB,9,FALSE)</f>
        <v>4.3499999999999996</v>
      </c>
      <c r="J274" s="69">
        <f>VLOOKUP(A:A,'Seam Tariffs'!A:AB,11,FALSE)</f>
        <v>5.75</v>
      </c>
      <c r="K274" s="69">
        <f>VLOOKUP(A:A,'Seam Tariffs'!A:AB,12,FALSE)</f>
        <v>11.25</v>
      </c>
      <c r="L274" s="69">
        <f>VLOOKUP(A:A,'Seam Tariffs'!A:AB,13,FALSE)</f>
        <v>0</v>
      </c>
      <c r="M274" s="69">
        <f>VLOOKUP(A:A,'Seam Tariffs'!A:AB,14,FALSE)</f>
        <v>0</v>
      </c>
      <c r="N274" s="69">
        <f>VLOOKUP(A:A,'Seam Tariffs'!A:AB,28,FALSE)</f>
        <v>2.25</v>
      </c>
      <c r="O274" s="69">
        <f>COSTS!$W$6</f>
        <v>1.8958333333333335</v>
      </c>
      <c r="P274" s="69">
        <f>VLOOKUP(G274,COSTS!$V$11:$X$14,3,FALSE)</f>
        <v>0</v>
      </c>
      <c r="Q274" s="69">
        <f t="shared" si="28"/>
        <v>25.495833333333334</v>
      </c>
      <c r="R274" s="69">
        <f t="shared" si="29"/>
        <v>15.395833333333334</v>
      </c>
      <c r="S274" s="87">
        <f>VLOOKUP(A:A,'Flat Bed &amp; Late Fees'!A:J,6,FALSE)</f>
        <v>0</v>
      </c>
      <c r="T274" s="87">
        <f>VLOOKUP(A:A,'Flat Bed &amp; Late Fees'!A:J,7,FALSE)</f>
        <v>0</v>
      </c>
      <c r="U274" s="68">
        <f>VLOOKUP(C274&amp;G274,OTR!E:J,6,FALSE)/88</f>
        <v>14.204545454545455</v>
      </c>
      <c r="V274" s="87"/>
      <c r="W274" s="68">
        <f t="shared" si="30"/>
        <v>14.204545454545455</v>
      </c>
      <c r="X274" s="69">
        <f>VLOOKUP(G274,COSTS!$Z$18:$AC$23,2,FALSE)</f>
        <v>2.7</v>
      </c>
      <c r="Y274" s="87">
        <f>VLOOKUP(G274,COSTS!$Z$18:$AC$23,4,FALSE)</f>
        <v>2.52</v>
      </c>
      <c r="Z274" s="69">
        <f>(COSTS!$W$3*COSTS!$W$4*500)/52*COSTS!$AE$17</f>
        <v>1.3125</v>
      </c>
      <c r="AB274" s="69">
        <f t="shared" si="31"/>
        <v>6.5325000000000006</v>
      </c>
      <c r="AC274" s="69">
        <f>VLOOKUP(G274,COSTS!$Z$11:$AE$14,5,FALSE)</f>
        <v>6.6477272727272725</v>
      </c>
      <c r="AD274" s="69">
        <f>VLOOKUP(G274,COSTS!$Z$4:$AD$7,4,FALSE)</f>
        <v>9.8977272727272734</v>
      </c>
      <c r="AE274" s="69"/>
      <c r="AF274" s="69">
        <f t="shared" si="32"/>
        <v>16.545454545454547</v>
      </c>
      <c r="AG274" s="87">
        <f>((COSTS!$C$5*88)/20)/88</f>
        <v>1.4407150000000002</v>
      </c>
      <c r="AH274" s="69">
        <f>(COSTS!$X$38/88)*20</f>
        <v>0.34865702479338845</v>
      </c>
      <c r="AI274" s="87">
        <f>((COSTS!$E$5*88)/20)/88</f>
        <v>0.62936587135988387</v>
      </c>
      <c r="AJ274" s="87">
        <f>((COSTS!$D$5*88)/20)/88</f>
        <v>0.33676</v>
      </c>
      <c r="AL274" s="387">
        <f t="shared" si="33"/>
        <v>2.7554978961532726</v>
      </c>
      <c r="AM274" s="69">
        <f>(COSTS!$W$3+0.1)*500*0.01</f>
        <v>3.9999999999999996</v>
      </c>
      <c r="AN274" s="387">
        <f>((COSTS!$G$5/20)*88)/88</f>
        <v>1.308904109589041</v>
      </c>
      <c r="AR274" s="69">
        <f t="shared" si="34"/>
        <v>5.3089041095890401</v>
      </c>
      <c r="AT274" s="1">
        <f>VLOOKUP(C274&amp;$AT$1,OTR!E:J,6,FALSE)/88</f>
        <v>18.62579545454545</v>
      </c>
      <c r="AU274" s="1" t="e">
        <f>VLOOKUP(C274&amp;$AU$1,OTR!E:J,6,FALSE)/88</f>
        <v>#N/A</v>
      </c>
    </row>
    <row r="275" spans="1:47">
      <c r="A275" s="125">
        <v>911525</v>
      </c>
      <c r="B275" s="1" t="s">
        <v>633</v>
      </c>
      <c r="C275" s="1" t="s">
        <v>631</v>
      </c>
      <c r="D275" s="1" t="s">
        <v>71</v>
      </c>
      <c r="E275" s="1" t="s">
        <v>2067</v>
      </c>
      <c r="F275" s="1" t="str">
        <f>VLOOKUP(A:A,'Regions and Ports'!A:F,6,FALSE)</f>
        <v>WTX</v>
      </c>
      <c r="G275" s="1" t="s">
        <v>439</v>
      </c>
      <c r="H275" s="87">
        <v>2</v>
      </c>
      <c r="I275" s="69">
        <f>VLOOKUP(A:A,'Seam Tariffs'!A:AB,9,FALSE)</f>
        <v>4.3499999999999996</v>
      </c>
      <c r="J275" s="69">
        <f>VLOOKUP(A:A,'Seam Tariffs'!A:AB,11,FALSE)</f>
        <v>5.75</v>
      </c>
      <c r="K275" s="69">
        <f>VLOOKUP(A:A,'Seam Tariffs'!A:AB,12,FALSE)</f>
        <v>11.25</v>
      </c>
      <c r="L275" s="69">
        <f>VLOOKUP(A:A,'Seam Tariffs'!A:AB,13,FALSE)</f>
        <v>0</v>
      </c>
      <c r="M275" s="69">
        <f>VLOOKUP(A:A,'Seam Tariffs'!A:AB,14,FALSE)</f>
        <v>0</v>
      </c>
      <c r="N275" s="69">
        <f>VLOOKUP(A:A,'Seam Tariffs'!A:AB,28,FALSE)</f>
        <v>2.25</v>
      </c>
      <c r="O275" s="69">
        <f>COSTS!$W$6</f>
        <v>1.8958333333333335</v>
      </c>
      <c r="P275" s="69">
        <f>VLOOKUP(G275,COSTS!$V$11:$X$14,3,FALSE)</f>
        <v>0</v>
      </c>
      <c r="Q275" s="69">
        <f t="shared" si="28"/>
        <v>25.495833333333334</v>
      </c>
      <c r="R275" s="69">
        <f t="shared" si="29"/>
        <v>15.395833333333334</v>
      </c>
      <c r="S275" s="87">
        <f>VLOOKUP(A:A,'Flat Bed &amp; Late Fees'!A:J,6,FALSE)</f>
        <v>0</v>
      </c>
      <c r="T275" s="87">
        <f>VLOOKUP(A:A,'Flat Bed &amp; Late Fees'!A:J,7,FALSE)</f>
        <v>0</v>
      </c>
      <c r="U275" s="68">
        <f>VLOOKUP(C275&amp;G275,OTR!E:J,6,FALSE)/88</f>
        <v>14.204545454545455</v>
      </c>
      <c r="V275" s="87"/>
      <c r="W275" s="68">
        <f t="shared" si="30"/>
        <v>14.204545454545455</v>
      </c>
      <c r="X275" s="69">
        <f>VLOOKUP(G275,COSTS!$Z$18:$AC$23,2,FALSE)</f>
        <v>2.7</v>
      </c>
      <c r="Y275" s="87">
        <f>VLOOKUP(G275,COSTS!$Z$18:$AC$23,4,FALSE)</f>
        <v>2.52</v>
      </c>
      <c r="Z275" s="69">
        <f>(COSTS!$W$3*COSTS!$W$4*500)/52*COSTS!$AE$17</f>
        <v>1.3125</v>
      </c>
      <c r="AB275" s="69">
        <f t="shared" si="31"/>
        <v>6.5325000000000006</v>
      </c>
      <c r="AC275" s="69">
        <f>VLOOKUP(G275,COSTS!$Z$11:$AE$14,5,FALSE)</f>
        <v>6.6477272727272725</v>
      </c>
      <c r="AD275" s="69">
        <f>VLOOKUP(G275,COSTS!$Z$4:$AD$7,4,FALSE)</f>
        <v>9.8977272727272734</v>
      </c>
      <c r="AE275" s="69"/>
      <c r="AF275" s="69">
        <f t="shared" si="32"/>
        <v>16.545454545454547</v>
      </c>
      <c r="AG275" s="87">
        <f>((COSTS!$C$5*88)/20)/88</f>
        <v>1.4407150000000002</v>
      </c>
      <c r="AH275" s="69">
        <f>(COSTS!$X$38/88)*20</f>
        <v>0.34865702479338845</v>
      </c>
      <c r="AI275" s="87">
        <f>((COSTS!$E$5*88)/20)/88</f>
        <v>0.62936587135988387</v>
      </c>
      <c r="AJ275" s="87">
        <f>((COSTS!$D$5*88)/20)/88</f>
        <v>0.33676</v>
      </c>
      <c r="AL275" s="387">
        <f t="shared" si="33"/>
        <v>2.7554978961532726</v>
      </c>
      <c r="AM275" s="69">
        <f>(COSTS!$W$3+0.1)*500*0.01</f>
        <v>3.9999999999999996</v>
      </c>
      <c r="AN275" s="387">
        <f>((COSTS!$G$5/20)*88)/88</f>
        <v>1.308904109589041</v>
      </c>
      <c r="AR275" s="69">
        <f t="shared" si="34"/>
        <v>5.3089041095890401</v>
      </c>
      <c r="AT275" s="1">
        <f>VLOOKUP(C275&amp;$AT$1,OTR!E:J,6,FALSE)/88</f>
        <v>18.62579545454545</v>
      </c>
      <c r="AU275" s="1" t="e">
        <f>VLOOKUP(C275&amp;$AU$1,OTR!E:J,6,FALSE)/88</f>
        <v>#N/A</v>
      </c>
    </row>
    <row r="276" spans="1:47">
      <c r="A276" s="125">
        <v>911533</v>
      </c>
      <c r="B276" s="1" t="s">
        <v>634</v>
      </c>
      <c r="C276" s="1" t="s">
        <v>631</v>
      </c>
      <c r="D276" s="1" t="s">
        <v>71</v>
      </c>
      <c r="E276" s="1" t="s">
        <v>2067</v>
      </c>
      <c r="F276" s="1" t="str">
        <f>VLOOKUP(A:A,'Regions and Ports'!A:F,6,FALSE)</f>
        <v>WTX</v>
      </c>
      <c r="G276" s="1" t="s">
        <v>439</v>
      </c>
      <c r="H276" s="87">
        <v>2</v>
      </c>
      <c r="I276" s="69">
        <f>VLOOKUP(A:A,'Seam Tariffs'!A:AB,9,FALSE)</f>
        <v>4.0999999999999996</v>
      </c>
      <c r="J276" s="69">
        <f>VLOOKUP(A:A,'Seam Tariffs'!A:AB,11,FALSE)</f>
        <v>5</v>
      </c>
      <c r="K276" s="69">
        <f>VLOOKUP(A:A,'Seam Tariffs'!A:AB,12,FALSE)</f>
        <v>11.25</v>
      </c>
      <c r="L276" s="69">
        <f>VLOOKUP(A:A,'Seam Tariffs'!A:AB,13,FALSE)</f>
        <v>0</v>
      </c>
      <c r="M276" s="69">
        <f>VLOOKUP(A:A,'Seam Tariffs'!A:AB,14,FALSE)</f>
        <v>0.5</v>
      </c>
      <c r="N276" s="69">
        <f>VLOOKUP(A:A,'Seam Tariffs'!A:AB,28,FALSE)</f>
        <v>2.4</v>
      </c>
      <c r="O276" s="69">
        <f>COSTS!$W$6</f>
        <v>1.8958333333333335</v>
      </c>
      <c r="P276" s="69">
        <f>VLOOKUP(G276,COSTS!$V$11:$X$14,3,FALSE)</f>
        <v>0</v>
      </c>
      <c r="Q276" s="69">
        <f t="shared" si="28"/>
        <v>25.145833333333332</v>
      </c>
      <c r="R276" s="69">
        <f t="shared" si="29"/>
        <v>15.545833333333334</v>
      </c>
      <c r="S276" s="87">
        <f>VLOOKUP(A:A,'Flat Bed &amp; Late Fees'!A:J,6,FALSE)</f>
        <v>0</v>
      </c>
      <c r="T276" s="87">
        <f>VLOOKUP(A:A,'Flat Bed &amp; Late Fees'!A:J,7,FALSE)</f>
        <v>0</v>
      </c>
      <c r="U276" s="68">
        <f>VLOOKUP(C276&amp;G276,OTR!E:J,6,FALSE)/88</f>
        <v>14.204545454545455</v>
      </c>
      <c r="V276" s="87"/>
      <c r="W276" s="68">
        <f t="shared" si="30"/>
        <v>14.204545454545455</v>
      </c>
      <c r="X276" s="69">
        <f>VLOOKUP(G276,COSTS!$Z$18:$AC$23,2,FALSE)</f>
        <v>2.7</v>
      </c>
      <c r="Y276" s="87">
        <f>VLOOKUP(G276,COSTS!$Z$18:$AC$23,4,FALSE)</f>
        <v>2.52</v>
      </c>
      <c r="Z276" s="69">
        <f>(COSTS!$W$3*COSTS!$W$4*500)/52*COSTS!$AE$17</f>
        <v>1.3125</v>
      </c>
      <c r="AB276" s="69">
        <f t="shared" si="31"/>
        <v>6.5325000000000006</v>
      </c>
      <c r="AC276" s="69">
        <f>VLOOKUP(G276,COSTS!$Z$11:$AE$14,5,FALSE)</f>
        <v>6.6477272727272725</v>
      </c>
      <c r="AD276" s="69">
        <f>VLOOKUP(G276,COSTS!$Z$4:$AD$7,4,FALSE)</f>
        <v>9.8977272727272734</v>
      </c>
      <c r="AE276" s="69"/>
      <c r="AF276" s="69">
        <f t="shared" si="32"/>
        <v>16.545454545454547</v>
      </c>
      <c r="AG276" s="87">
        <f>((COSTS!$C$5*88)/20)/88</f>
        <v>1.4407150000000002</v>
      </c>
      <c r="AH276" s="69">
        <f>(COSTS!$X$38/88)*20</f>
        <v>0.34865702479338845</v>
      </c>
      <c r="AI276" s="87">
        <f>((COSTS!$E$5*88)/20)/88</f>
        <v>0.62936587135988387</v>
      </c>
      <c r="AJ276" s="87">
        <f>((COSTS!$D$5*88)/20)/88</f>
        <v>0.33676</v>
      </c>
      <c r="AL276" s="387">
        <f t="shared" si="33"/>
        <v>2.7554978961532726</v>
      </c>
      <c r="AM276" s="69">
        <f>(COSTS!$W$3+0.1)*500*0.01</f>
        <v>3.9999999999999996</v>
      </c>
      <c r="AN276" s="387">
        <f>((COSTS!$G$5/20)*88)/88</f>
        <v>1.308904109589041</v>
      </c>
      <c r="AR276" s="69">
        <f t="shared" si="34"/>
        <v>5.3089041095890401</v>
      </c>
      <c r="AT276" s="1">
        <f>VLOOKUP(C276&amp;$AT$1,OTR!E:J,6,FALSE)/88</f>
        <v>18.62579545454545</v>
      </c>
      <c r="AU276" s="1" t="e">
        <f>VLOOKUP(C276&amp;$AU$1,OTR!E:J,6,FALSE)/88</f>
        <v>#N/A</v>
      </c>
    </row>
    <row r="277" spans="1:47">
      <c r="A277" s="1">
        <v>266861</v>
      </c>
      <c r="B277" s="1" t="s">
        <v>635</v>
      </c>
      <c r="C277" s="1" t="s">
        <v>636</v>
      </c>
      <c r="D277" s="1" t="s">
        <v>76</v>
      </c>
      <c r="E277" s="1" t="str">
        <f>VLOOKUP(A:A,'Regions and Ports'!A:G,5,FALSE)</f>
        <v>GA 30 Day</v>
      </c>
      <c r="F277" s="1" t="str">
        <f>VLOOKUP(A:A,'Regions and Ports'!A:F,6,FALSE)</f>
        <v>ER5</v>
      </c>
      <c r="G277" s="1" t="str">
        <f>VLOOKUP(A:A,'Regions and Ports'!A:G,7,FALSE)</f>
        <v>Savannah</v>
      </c>
      <c r="H277" s="87">
        <v>4</v>
      </c>
      <c r="I277" s="69">
        <f>VLOOKUP(A:A,'Seam Tariffs'!A:AB,9,FALSE)</f>
        <v>3</v>
      </c>
      <c r="J277" s="69">
        <f>VLOOKUP(A:A,'Seam Tariffs'!A:AB,11,FALSE)</f>
        <v>4</v>
      </c>
      <c r="K277" s="69">
        <f>VLOOKUP(A:A,'Seam Tariffs'!A:AB,12,FALSE)</f>
        <v>0</v>
      </c>
      <c r="L277" s="69">
        <f>VLOOKUP(A:A,'Seam Tariffs'!A:AB,13,FALSE)</f>
        <v>0</v>
      </c>
      <c r="M277" s="69">
        <f>VLOOKUP(A:A,'Seam Tariffs'!A:AB,14,FALSE)</f>
        <v>0</v>
      </c>
      <c r="N277" s="69">
        <f>VLOOKUP(A:A,'Seam Tariffs'!A:AB,28,FALSE)</f>
        <v>3.5999999999999996</v>
      </c>
      <c r="O277" s="69">
        <f>COSTS!$W$6</f>
        <v>1.8958333333333335</v>
      </c>
      <c r="P277" s="69">
        <f>VLOOKUP(G277,COSTS!$V$11:$X$14,3,FALSE)</f>
        <v>0</v>
      </c>
      <c r="Q277" s="69">
        <f t="shared" si="28"/>
        <v>12.495833333333334</v>
      </c>
      <c r="R277" s="69">
        <f t="shared" si="29"/>
        <v>1.8958333333333335</v>
      </c>
      <c r="S277" s="87">
        <f>VLOOKUP(A:A,'Flat Bed &amp; Late Fees'!A:J,6,FALSE)</f>
        <v>0</v>
      </c>
      <c r="T277" s="87">
        <f>VLOOKUP(A:A,'Flat Bed &amp; Late Fees'!A:J,7,FALSE)</f>
        <v>0</v>
      </c>
      <c r="U277" s="68" t="e">
        <f>VLOOKUP(C277&amp;G277,OTR!E:J,6,FALSE)/88</f>
        <v>#N/A</v>
      </c>
      <c r="V277" s="87"/>
      <c r="W277" s="68" t="e">
        <f t="shared" si="30"/>
        <v>#N/A</v>
      </c>
      <c r="X277" s="69">
        <f>VLOOKUP(G277,COSTS!$Z$18:$AC$23,2,FALSE)</f>
        <v>2.6</v>
      </c>
      <c r="Y277" s="87">
        <f>VLOOKUP(G277,COSTS!$Z$18:$AC$23,4,FALSE)</f>
        <v>2.52</v>
      </c>
      <c r="Z277" s="69">
        <f>(COSTS!$W$3*COSTS!$W$4*500)/52*COSTS!$AE$17</f>
        <v>1.3125</v>
      </c>
      <c r="AB277" s="69">
        <f t="shared" si="31"/>
        <v>6.4325000000000001</v>
      </c>
      <c r="AC277" s="69">
        <f>VLOOKUP(G277,COSTS!$Z$11:$AE$14,5,FALSE)</f>
        <v>5.5113636363636367</v>
      </c>
      <c r="AD277" s="69">
        <f>VLOOKUP(G277,COSTS!$Z$4:$AD$7,4,FALSE)</f>
        <v>5.3522727272727275</v>
      </c>
      <c r="AE277" s="69"/>
      <c r="AF277" s="69">
        <f t="shared" si="32"/>
        <v>10.863636363636363</v>
      </c>
      <c r="AG277" s="87">
        <f>((COSTS!$C$5*88)/20)/88</f>
        <v>1.4407150000000002</v>
      </c>
      <c r="AH277" s="69">
        <f>(COSTS!$X$38/88)*20</f>
        <v>0.34865702479338845</v>
      </c>
      <c r="AI277" s="87">
        <f>((COSTS!$E$5*88)/20)/88</f>
        <v>0.62936587135988387</v>
      </c>
      <c r="AJ277" s="87">
        <f>((COSTS!$D$5*88)/20)/88</f>
        <v>0.33676</v>
      </c>
      <c r="AL277" s="387">
        <f t="shared" si="33"/>
        <v>2.7554978961532726</v>
      </c>
      <c r="AM277" s="69">
        <f>(COSTS!$W$3+0.1)*500*0.01</f>
        <v>3.9999999999999996</v>
      </c>
      <c r="AN277" s="387">
        <f>((COSTS!$G$5/20)*88)/88</f>
        <v>1.308904109589041</v>
      </c>
      <c r="AR277" s="69">
        <f t="shared" si="34"/>
        <v>5.3089041095890401</v>
      </c>
      <c r="AT277" s="1" t="e">
        <f>VLOOKUP(C277&amp;$AT$1,OTR!E:J,6,FALSE)/88</f>
        <v>#N/A</v>
      </c>
      <c r="AU277" s="1" t="e">
        <f>VLOOKUP(C277&amp;$AU$1,OTR!E:J,6,FALSE)/88</f>
        <v>#N/A</v>
      </c>
    </row>
    <row r="278" spans="1:47">
      <c r="A278" s="1">
        <v>311000</v>
      </c>
      <c r="B278" s="1" t="s">
        <v>638</v>
      </c>
      <c r="C278" s="1" t="s">
        <v>639</v>
      </c>
      <c r="D278" s="1" t="s">
        <v>76</v>
      </c>
      <c r="E278" s="1" t="str">
        <f>VLOOKUP(A:A,'Regions and Ports'!A:G,5,FALSE)</f>
        <v>GA 30 Day</v>
      </c>
      <c r="F278" s="1" t="str">
        <f>VLOOKUP(A:A,'Regions and Ports'!A:F,6,FALSE)</f>
        <v>ER5</v>
      </c>
      <c r="G278" s="1" t="str">
        <f>VLOOKUP(A:A,'Regions and Ports'!A:G,7,FALSE)</f>
        <v>Savannah</v>
      </c>
      <c r="H278" s="87">
        <v>1</v>
      </c>
      <c r="I278" s="69">
        <f>VLOOKUP(A:A,'Seam Tariffs'!A:AB,9,FALSE)</f>
        <v>3</v>
      </c>
      <c r="J278" s="69">
        <f>VLOOKUP(A:A,'Seam Tariffs'!A:AB,11,FALSE)</f>
        <v>6</v>
      </c>
      <c r="K278" s="69">
        <f>VLOOKUP(A:A,'Seam Tariffs'!A:AB,12,FALSE)</f>
        <v>7</v>
      </c>
      <c r="L278" s="69">
        <f>VLOOKUP(A:A,'Seam Tariffs'!A:AB,13,FALSE)</f>
        <v>3.05</v>
      </c>
      <c r="M278" s="69">
        <f>VLOOKUP(A:A,'Seam Tariffs'!A:AB,14,FALSE)</f>
        <v>0.5</v>
      </c>
      <c r="N278" s="69">
        <f>VLOOKUP(A:A,'Seam Tariffs'!A:AB,28,FALSE)</f>
        <v>3</v>
      </c>
      <c r="O278" s="69">
        <f>COSTS!$W$6</f>
        <v>1.8958333333333335</v>
      </c>
      <c r="P278" s="69">
        <f>VLOOKUP(G278,COSTS!$V$11:$X$14,3,FALSE)</f>
        <v>0</v>
      </c>
      <c r="Q278" s="69">
        <f t="shared" si="28"/>
        <v>24.445833333333333</v>
      </c>
      <c r="R278" s="69">
        <f t="shared" si="29"/>
        <v>4.8958333333333339</v>
      </c>
      <c r="S278" s="87">
        <f>VLOOKUP(A:A,'Flat Bed &amp; Late Fees'!A:J,6,FALSE)</f>
        <v>0</v>
      </c>
      <c r="T278" s="87">
        <f>VLOOKUP(A:A,'Flat Bed &amp; Late Fees'!A:J,7,FALSE)</f>
        <v>0</v>
      </c>
      <c r="U278" s="68">
        <f>VLOOKUP(C278&amp;G278,OTR!E:J,6,FALSE)/88</f>
        <v>5.8274431818181824</v>
      </c>
      <c r="V278" s="87"/>
      <c r="W278" s="68">
        <f t="shared" si="30"/>
        <v>5.8274431818181824</v>
      </c>
      <c r="X278" s="69">
        <f>VLOOKUP(G278,COSTS!$Z$18:$AC$23,2,FALSE)</f>
        <v>2.6</v>
      </c>
      <c r="Y278" s="87">
        <f>VLOOKUP(G278,COSTS!$Z$18:$AC$23,4,FALSE)</f>
        <v>2.52</v>
      </c>
      <c r="Z278" s="69">
        <f>(COSTS!$W$3*COSTS!$W$4*500)/52*COSTS!$AE$17</f>
        <v>1.3125</v>
      </c>
      <c r="AB278" s="69">
        <f t="shared" si="31"/>
        <v>6.4325000000000001</v>
      </c>
      <c r="AC278" s="69">
        <f>VLOOKUP(G278,COSTS!$Z$11:$AE$14,5,FALSE)</f>
        <v>5.5113636363636367</v>
      </c>
      <c r="AD278" s="69">
        <f>VLOOKUP(G278,COSTS!$Z$4:$AD$7,4,FALSE)</f>
        <v>5.3522727272727275</v>
      </c>
      <c r="AE278" s="69"/>
      <c r="AF278" s="69">
        <f t="shared" si="32"/>
        <v>10.863636363636363</v>
      </c>
      <c r="AG278" s="87">
        <f>((COSTS!$C$5*88)/20)/88</f>
        <v>1.4407150000000002</v>
      </c>
      <c r="AH278" s="69">
        <f>(COSTS!$X$38/88)*20</f>
        <v>0.34865702479338845</v>
      </c>
      <c r="AI278" s="87">
        <f>((COSTS!$E$5*88)/20)/88</f>
        <v>0.62936587135988387</v>
      </c>
      <c r="AJ278" s="87">
        <f>((COSTS!$D$5*88)/20)/88</f>
        <v>0.33676</v>
      </c>
      <c r="AL278" s="387">
        <f t="shared" si="33"/>
        <v>2.7554978961532726</v>
      </c>
      <c r="AM278" s="69">
        <f>(COSTS!$W$3+0.1)*500*0.01</f>
        <v>3.9999999999999996</v>
      </c>
      <c r="AN278" s="387">
        <f>((COSTS!$G$5/20)*88)/88</f>
        <v>1.308904109589041</v>
      </c>
      <c r="AR278" s="69">
        <f t="shared" si="34"/>
        <v>5.3089041095890401</v>
      </c>
      <c r="AT278" s="1" t="e">
        <f>VLOOKUP(C278&amp;$AT$1,OTR!E:J,6,FALSE)/88</f>
        <v>#N/A</v>
      </c>
      <c r="AU278" s="1">
        <f>VLOOKUP(C278&amp;$AU$1,OTR!E:J,6,FALSE)/88</f>
        <v>12.926136363636363</v>
      </c>
    </row>
    <row r="279" spans="1:47">
      <c r="A279" s="1">
        <v>518505</v>
      </c>
      <c r="B279" s="1" t="s">
        <v>640</v>
      </c>
      <c r="C279" s="1" t="s">
        <v>641</v>
      </c>
      <c r="D279" s="1" t="s">
        <v>190</v>
      </c>
      <c r="E279" s="1" t="str">
        <f>VLOOKUP(A:A,'Regions and Ports'!A:G,5,FALSE)</f>
        <v>Memphis Rule 5</v>
      </c>
      <c r="F279" s="1" t="str">
        <f>VLOOKUP(A:A,'Regions and Ports'!A:F,6,FALSE)</f>
        <v>MR5</v>
      </c>
      <c r="G279" s="1" t="str">
        <f>VLOOKUP(A:A,'Regions and Ports'!A:G,7,FALSE)</f>
        <v>Memphis</v>
      </c>
      <c r="H279" s="87">
        <v>1</v>
      </c>
      <c r="I279" s="69">
        <f>VLOOKUP(A:A,'Seam Tariffs'!A:AB,9,FALSE)</f>
        <v>2.1</v>
      </c>
      <c r="J279" s="69">
        <f>VLOOKUP(A:A,'Seam Tariffs'!A:AB,11,FALSE)</f>
        <v>20.75</v>
      </c>
      <c r="K279" s="69">
        <f>VLOOKUP(A:A,'Seam Tariffs'!A:AB,12,FALSE)</f>
        <v>0</v>
      </c>
      <c r="L279" s="69">
        <f>VLOOKUP(A:A,'Seam Tariffs'!A:AB,13,FALSE)</f>
        <v>0</v>
      </c>
      <c r="M279" s="69">
        <f>VLOOKUP(A:A,'Seam Tariffs'!A:AB,14,FALSE)</f>
        <v>0.5</v>
      </c>
      <c r="N279" s="69">
        <f>VLOOKUP(A:A,'Seam Tariffs'!A:AB,28,FALSE)</f>
        <v>3.25</v>
      </c>
      <c r="O279" s="69">
        <f>COSTS!$W$6</f>
        <v>1.8958333333333335</v>
      </c>
      <c r="P279" s="69">
        <f>VLOOKUP(G279,COSTS!$V$11:$X$14,3,FALSE)</f>
        <v>0</v>
      </c>
      <c r="Q279" s="69">
        <f t="shared" si="28"/>
        <v>28.495833333333334</v>
      </c>
      <c r="R279" s="69">
        <f t="shared" si="29"/>
        <v>5.1458333333333339</v>
      </c>
      <c r="S279" s="87">
        <f>VLOOKUP(A:A,'Flat Bed &amp; Late Fees'!A:J,6,FALSE)</f>
        <v>0</v>
      </c>
      <c r="T279" s="87">
        <f>VLOOKUP(A:A,'Flat Bed &amp; Late Fees'!A:J,7,FALSE)</f>
        <v>0</v>
      </c>
      <c r="U279" s="68">
        <f>VLOOKUP(C279&amp;G279,OTR!E:J,6,FALSE)/88</f>
        <v>9.3465909090909083</v>
      </c>
      <c r="V279" s="87"/>
      <c r="W279" s="68">
        <f t="shared" si="30"/>
        <v>9.3465909090909083</v>
      </c>
      <c r="X279" s="69">
        <f>VLOOKUP(G279,COSTS!$Z$18:$AC$23,2,FALSE)</f>
        <v>2.5</v>
      </c>
      <c r="Y279" s="87">
        <f>VLOOKUP(G279,COSTS!$Z$18:$AC$23,4,FALSE)</f>
        <v>1.68</v>
      </c>
      <c r="Z279" s="69">
        <f>(COSTS!$W$3*COSTS!$W$4*500)/52*COSTS!$AE$17</f>
        <v>1.3125</v>
      </c>
      <c r="AB279" s="69">
        <f t="shared" si="31"/>
        <v>5.4924999999999997</v>
      </c>
      <c r="AC279" s="69">
        <f>VLOOKUP(G279,COSTS!$Z$11:$AE$14,5,FALSE)</f>
        <v>7.3011363636363633</v>
      </c>
      <c r="AD279" s="69">
        <f>VLOOKUP(G279,COSTS!$Z$4:$AD$7,4,FALSE)</f>
        <v>9.1363636363636367</v>
      </c>
      <c r="AE279" s="69"/>
      <c r="AF279" s="69">
        <f t="shared" si="32"/>
        <v>16.4375</v>
      </c>
      <c r="AG279" s="87">
        <f>((COSTS!$C$5*88)/20)/88</f>
        <v>1.4407150000000002</v>
      </c>
      <c r="AH279" s="69">
        <f>(COSTS!$X$38/88)*20</f>
        <v>0.34865702479338845</v>
      </c>
      <c r="AI279" s="87">
        <f>((COSTS!$E$5*88)/20)/88</f>
        <v>0.62936587135988387</v>
      </c>
      <c r="AJ279" s="87">
        <f>((COSTS!$D$5*88)/20)/88</f>
        <v>0.33676</v>
      </c>
      <c r="AL279" s="387">
        <f t="shared" si="33"/>
        <v>2.7554978961532726</v>
      </c>
      <c r="AM279" s="69">
        <f>(COSTS!$W$3+0.1)*500*0.01</f>
        <v>3.9999999999999996</v>
      </c>
      <c r="AN279" s="387">
        <f>((COSTS!$G$5/20)*88)/88</f>
        <v>1.308904109589041</v>
      </c>
      <c r="AR279" s="69">
        <f t="shared" si="34"/>
        <v>5.3089041095890401</v>
      </c>
      <c r="AT279" s="1">
        <f>VLOOKUP(C279&amp;$AT$1,OTR!E:J,6,FALSE)/88</f>
        <v>29.633409090909087</v>
      </c>
      <c r="AU279" s="1">
        <f>VLOOKUP(C279&amp;$AU$1,OTR!E:J,6,FALSE)/88</f>
        <v>25.21590909090909</v>
      </c>
    </row>
    <row r="280" spans="1:47">
      <c r="A280" s="1">
        <v>518510</v>
      </c>
      <c r="B280" s="1" t="s">
        <v>642</v>
      </c>
      <c r="C280" s="1" t="s">
        <v>641</v>
      </c>
      <c r="D280" s="1" t="s">
        <v>190</v>
      </c>
      <c r="E280" s="1" t="str">
        <f>VLOOKUP(A:A,'Regions and Ports'!A:G,5,FALSE)</f>
        <v>Memphis Rule 5</v>
      </c>
      <c r="F280" s="1" t="str">
        <f>VLOOKUP(A:A,'Regions and Ports'!A:F,6,FALSE)</f>
        <v>MR5</v>
      </c>
      <c r="G280" s="1" t="str">
        <f>VLOOKUP(A:A,'Regions and Ports'!A:G,7,FALSE)</f>
        <v>Memphis</v>
      </c>
      <c r="H280" s="87">
        <v>1</v>
      </c>
      <c r="I280" s="69">
        <f>VLOOKUP(A:A,'Seam Tariffs'!A:AB,9,FALSE)</f>
        <v>1.5</v>
      </c>
      <c r="J280" s="69">
        <f>VLOOKUP(A:A,'Seam Tariffs'!A:AB,11,FALSE)</f>
        <v>10.25</v>
      </c>
      <c r="K280" s="69">
        <f>VLOOKUP(A:A,'Seam Tariffs'!A:AB,12,FALSE)</f>
        <v>8</v>
      </c>
      <c r="L280" s="69">
        <f>VLOOKUP(A:A,'Seam Tariffs'!A:AB,13,FALSE)</f>
        <v>0</v>
      </c>
      <c r="M280" s="69">
        <f>VLOOKUP(A:A,'Seam Tariffs'!A:AB,14,FALSE)</f>
        <v>0</v>
      </c>
      <c r="N280" s="69">
        <f>VLOOKUP(A:A,'Seam Tariffs'!A:AB,28,FALSE)</f>
        <v>2.75</v>
      </c>
      <c r="O280" s="69">
        <f>COSTS!$W$6</f>
        <v>1.8958333333333335</v>
      </c>
      <c r="P280" s="69">
        <f>VLOOKUP(G280,COSTS!$V$11:$X$14,3,FALSE)</f>
        <v>0</v>
      </c>
      <c r="Q280" s="69">
        <f t="shared" si="28"/>
        <v>24.395833333333332</v>
      </c>
      <c r="R280" s="69">
        <f t="shared" si="29"/>
        <v>4.6458333333333339</v>
      </c>
      <c r="S280" s="87">
        <f>VLOOKUP(A:A,'Flat Bed &amp; Late Fees'!A:J,6,FALSE)</f>
        <v>0</v>
      </c>
      <c r="T280" s="87">
        <f>VLOOKUP(A:A,'Flat Bed &amp; Late Fees'!A:J,7,FALSE)</f>
        <v>0</v>
      </c>
      <c r="U280" s="68">
        <f>VLOOKUP(C280&amp;G280,OTR!E:J,6,FALSE)/88</f>
        <v>9.3465909090909083</v>
      </c>
      <c r="V280" s="87"/>
      <c r="W280" s="68">
        <f t="shared" si="30"/>
        <v>9.3465909090909083</v>
      </c>
      <c r="X280" s="69">
        <f>VLOOKUP(G280,COSTS!$Z$18:$AC$23,2,FALSE)</f>
        <v>2.5</v>
      </c>
      <c r="Y280" s="87">
        <f>VLOOKUP(G280,COSTS!$Z$18:$AC$23,4,FALSE)</f>
        <v>1.68</v>
      </c>
      <c r="Z280" s="69">
        <f>(COSTS!$W$3*COSTS!$W$4*500)/52*COSTS!$AE$17</f>
        <v>1.3125</v>
      </c>
      <c r="AB280" s="69">
        <f t="shared" si="31"/>
        <v>5.4924999999999997</v>
      </c>
      <c r="AC280" s="69">
        <f>VLOOKUP(G280,COSTS!$Z$11:$AE$14,5,FALSE)</f>
        <v>7.3011363636363633</v>
      </c>
      <c r="AD280" s="69">
        <f>VLOOKUP(G280,COSTS!$Z$4:$AD$7,4,FALSE)</f>
        <v>9.1363636363636367</v>
      </c>
      <c r="AE280" s="69"/>
      <c r="AF280" s="69">
        <f t="shared" si="32"/>
        <v>16.4375</v>
      </c>
      <c r="AG280" s="87">
        <f>((COSTS!$C$5*88)/20)/88</f>
        <v>1.4407150000000002</v>
      </c>
      <c r="AH280" s="69">
        <f>(COSTS!$X$38/88)*20</f>
        <v>0.34865702479338845</v>
      </c>
      <c r="AI280" s="87">
        <f>((COSTS!$E$5*88)/20)/88</f>
        <v>0.62936587135988387</v>
      </c>
      <c r="AJ280" s="87">
        <f>((COSTS!$D$5*88)/20)/88</f>
        <v>0.33676</v>
      </c>
      <c r="AL280" s="387">
        <f t="shared" si="33"/>
        <v>2.7554978961532726</v>
      </c>
      <c r="AM280" s="69">
        <f>(COSTS!$W$3+0.1)*500*0.01</f>
        <v>3.9999999999999996</v>
      </c>
      <c r="AN280" s="387">
        <f>((COSTS!$G$5/20)*88)/88</f>
        <v>1.308904109589041</v>
      </c>
      <c r="AR280" s="69">
        <f t="shared" si="34"/>
        <v>5.3089041095890401</v>
      </c>
      <c r="AT280" s="1">
        <f>VLOOKUP(C280&amp;$AT$1,OTR!E:J,6,FALSE)/88</f>
        <v>29.633409090909087</v>
      </c>
      <c r="AU280" s="1">
        <f>VLOOKUP(C280&amp;$AU$1,OTR!E:J,6,FALSE)/88</f>
        <v>25.21590909090909</v>
      </c>
    </row>
    <row r="281" spans="1:47">
      <c r="A281" s="1">
        <v>160006</v>
      </c>
      <c r="B281" s="1" t="s">
        <v>643</v>
      </c>
      <c r="C281" s="1" t="s">
        <v>644</v>
      </c>
      <c r="D281" s="1" t="s">
        <v>149</v>
      </c>
      <c r="E281" s="1" t="str">
        <f>VLOOKUP(A:A,'Regions and Ports'!A:G,5,FALSE)</f>
        <v>Memphis Rule 5</v>
      </c>
      <c r="F281" s="1" t="str">
        <f>VLOOKUP(A:A,'Regions and Ports'!A:F,6,FALSE)</f>
        <v>MR5</v>
      </c>
      <c r="G281" s="1" t="str">
        <f>VLOOKUP(A:A,'Regions and Ports'!A:G,7,FALSE)</f>
        <v>Memphis</v>
      </c>
      <c r="H281" s="87">
        <v>1</v>
      </c>
      <c r="I281" s="69">
        <f>VLOOKUP(A:A,'Seam Tariffs'!A:AB,9,FALSE)</f>
        <v>4.8</v>
      </c>
      <c r="J281" s="69">
        <f>VLOOKUP(A:A,'Seam Tariffs'!A:AB,11,FALSE)</f>
        <v>9.75</v>
      </c>
      <c r="K281" s="69">
        <f>VLOOKUP(A:A,'Seam Tariffs'!A:AB,12,FALSE)</f>
        <v>9</v>
      </c>
      <c r="L281" s="69">
        <f>VLOOKUP(A:A,'Seam Tariffs'!A:AB,13,FALSE)</f>
        <v>0</v>
      </c>
      <c r="M281" s="69">
        <f>VLOOKUP(A:A,'Seam Tariffs'!A:AB,14,FALSE)</f>
        <v>0</v>
      </c>
      <c r="N281" s="69">
        <f>VLOOKUP(A:A,'Seam Tariffs'!A:AB,28,FALSE)</f>
        <v>3.25</v>
      </c>
      <c r="O281" s="69">
        <f>COSTS!$W$6</f>
        <v>1.8958333333333335</v>
      </c>
      <c r="P281" s="69">
        <f>VLOOKUP(G281,COSTS!$V$11:$X$14,3,FALSE)</f>
        <v>0</v>
      </c>
      <c r="Q281" s="69">
        <f t="shared" si="28"/>
        <v>28.695833333333333</v>
      </c>
      <c r="R281" s="69">
        <f t="shared" si="29"/>
        <v>5.1458333333333339</v>
      </c>
      <c r="S281" s="87">
        <f>VLOOKUP(A:A,'Flat Bed &amp; Late Fees'!A:J,6,FALSE)</f>
        <v>0</v>
      </c>
      <c r="T281" s="87">
        <f>VLOOKUP(A:A,'Flat Bed &amp; Late Fees'!A:J,7,FALSE)</f>
        <v>0</v>
      </c>
      <c r="U281" s="68">
        <f>VLOOKUP(C281&amp;G281,OTR!E:J,6,FALSE)/88</f>
        <v>16.079545454545453</v>
      </c>
      <c r="V281" s="87"/>
      <c r="W281" s="68">
        <f t="shared" si="30"/>
        <v>16.079545454545453</v>
      </c>
      <c r="X281" s="69">
        <f>VLOOKUP(G281,COSTS!$Z$18:$AC$23,2,FALSE)</f>
        <v>2.5</v>
      </c>
      <c r="Y281" s="87">
        <f>VLOOKUP(G281,COSTS!$Z$18:$AC$23,4,FALSE)</f>
        <v>1.68</v>
      </c>
      <c r="Z281" s="69">
        <f>(COSTS!$W$3*COSTS!$W$4*500)/52*COSTS!$AE$17</f>
        <v>1.3125</v>
      </c>
      <c r="AB281" s="69">
        <f t="shared" si="31"/>
        <v>5.4924999999999997</v>
      </c>
      <c r="AC281" s="69">
        <f>VLOOKUP(G281,COSTS!$Z$11:$AE$14,5,FALSE)</f>
        <v>7.3011363636363633</v>
      </c>
      <c r="AD281" s="69">
        <f>VLOOKUP(G281,COSTS!$Z$4:$AD$7,4,FALSE)</f>
        <v>9.1363636363636367</v>
      </c>
      <c r="AE281" s="69"/>
      <c r="AF281" s="69">
        <f t="shared" si="32"/>
        <v>16.4375</v>
      </c>
      <c r="AG281" s="87">
        <f>((COSTS!$C$5*88)/20)/88</f>
        <v>1.4407150000000002</v>
      </c>
      <c r="AH281" s="69">
        <f>(COSTS!$X$38/88)*20</f>
        <v>0.34865702479338845</v>
      </c>
      <c r="AI281" s="87">
        <f>((COSTS!$E$5*88)/20)/88</f>
        <v>0.62936587135988387</v>
      </c>
      <c r="AJ281" s="87">
        <f>((COSTS!$D$5*88)/20)/88</f>
        <v>0.33676</v>
      </c>
      <c r="AL281" s="387">
        <f t="shared" si="33"/>
        <v>2.7554978961532726</v>
      </c>
      <c r="AM281" s="69">
        <f>(COSTS!$W$3+0.1)*500*0.01</f>
        <v>3.9999999999999996</v>
      </c>
      <c r="AN281" s="387">
        <f>((COSTS!$G$5/20)*88)/88</f>
        <v>1.308904109589041</v>
      </c>
      <c r="AR281" s="69">
        <f t="shared" si="34"/>
        <v>5.3089041095890401</v>
      </c>
      <c r="AT281" s="1">
        <f>VLOOKUP(C281&amp;$AT$1,OTR!E:J,6,FALSE)/88</f>
        <v>10.582386363636363</v>
      </c>
      <c r="AU281" s="1">
        <f>VLOOKUP(C281&amp;$AU$1,OTR!E:J,6,FALSE)/88</f>
        <v>26.119318181818183</v>
      </c>
    </row>
    <row r="282" spans="1:47">
      <c r="A282" s="1">
        <v>160008</v>
      </c>
      <c r="B282" s="1" t="s">
        <v>646</v>
      </c>
      <c r="C282" s="1" t="s">
        <v>644</v>
      </c>
      <c r="D282" s="1" t="s">
        <v>149</v>
      </c>
      <c r="E282" s="1" t="str">
        <f>VLOOKUP(A:A,'Regions and Ports'!A:G,5,FALSE)</f>
        <v>Memphis Rule 5</v>
      </c>
      <c r="F282" s="1" t="str">
        <f>VLOOKUP(A:A,'Regions and Ports'!A:F,6,FALSE)</f>
        <v>MR5</v>
      </c>
      <c r="G282" s="1" t="str">
        <f>VLOOKUP(A:A,'Regions and Ports'!A:G,7,FALSE)</f>
        <v>Memphis</v>
      </c>
      <c r="H282" s="87">
        <v>1</v>
      </c>
      <c r="I282" s="69">
        <f>VLOOKUP(A:A,'Seam Tariffs'!A:AB,9,FALSE)</f>
        <v>5.0999999999999996</v>
      </c>
      <c r="J282" s="69">
        <f>VLOOKUP(A:A,'Seam Tariffs'!A:AB,11,FALSE)</f>
        <v>9</v>
      </c>
      <c r="K282" s="69">
        <f>VLOOKUP(A:A,'Seam Tariffs'!A:AB,12,FALSE)</f>
        <v>9</v>
      </c>
      <c r="L282" s="69">
        <f>VLOOKUP(A:A,'Seam Tariffs'!A:AB,13,FALSE)</f>
        <v>0</v>
      </c>
      <c r="M282" s="69">
        <f>VLOOKUP(A:A,'Seam Tariffs'!A:AB,14,FALSE)</f>
        <v>0</v>
      </c>
      <c r="N282" s="69">
        <f>VLOOKUP(A:A,'Seam Tariffs'!A:AB,28,FALSE)</f>
        <v>3.25</v>
      </c>
      <c r="O282" s="69">
        <f>COSTS!$W$6</f>
        <v>1.8958333333333335</v>
      </c>
      <c r="P282" s="69">
        <f>VLOOKUP(G282,COSTS!$V$11:$X$14,3,FALSE)</f>
        <v>0</v>
      </c>
      <c r="Q282" s="69">
        <f t="shared" si="28"/>
        <v>28.245833333333334</v>
      </c>
      <c r="R282" s="69">
        <f t="shared" si="29"/>
        <v>5.1458333333333339</v>
      </c>
      <c r="S282" s="87">
        <f>VLOOKUP(A:A,'Flat Bed &amp; Late Fees'!A:J,6,FALSE)</f>
        <v>0</v>
      </c>
      <c r="T282" s="87">
        <f>VLOOKUP(A:A,'Flat Bed &amp; Late Fees'!A:J,7,FALSE)</f>
        <v>0</v>
      </c>
      <c r="U282" s="68">
        <f>VLOOKUP(C282&amp;G282,OTR!E:J,6,FALSE)/88</f>
        <v>16.079545454545453</v>
      </c>
      <c r="V282" s="87"/>
      <c r="W282" s="68">
        <f t="shared" si="30"/>
        <v>16.079545454545453</v>
      </c>
      <c r="X282" s="69">
        <f>VLOOKUP(G282,COSTS!$Z$18:$AC$23,2,FALSE)</f>
        <v>2.5</v>
      </c>
      <c r="Y282" s="87">
        <f>VLOOKUP(G282,COSTS!$Z$18:$AC$23,4,FALSE)</f>
        <v>1.68</v>
      </c>
      <c r="Z282" s="69">
        <f>(COSTS!$W$3*COSTS!$W$4*500)/52*COSTS!$AE$17</f>
        <v>1.3125</v>
      </c>
      <c r="AB282" s="69">
        <f t="shared" si="31"/>
        <v>5.4924999999999997</v>
      </c>
      <c r="AC282" s="69">
        <f>VLOOKUP(G282,COSTS!$Z$11:$AE$14,5,FALSE)</f>
        <v>7.3011363636363633</v>
      </c>
      <c r="AD282" s="69">
        <f>VLOOKUP(G282,COSTS!$Z$4:$AD$7,4,FALSE)</f>
        <v>9.1363636363636367</v>
      </c>
      <c r="AE282" s="69"/>
      <c r="AF282" s="69">
        <f t="shared" si="32"/>
        <v>16.4375</v>
      </c>
      <c r="AG282" s="87">
        <f>((COSTS!$C$5*88)/20)/88</f>
        <v>1.4407150000000002</v>
      </c>
      <c r="AH282" s="69">
        <f>(COSTS!$X$38/88)*20</f>
        <v>0.34865702479338845</v>
      </c>
      <c r="AI282" s="87">
        <f>((COSTS!$E$5*88)/20)/88</f>
        <v>0.62936587135988387</v>
      </c>
      <c r="AJ282" s="87">
        <f>((COSTS!$D$5*88)/20)/88</f>
        <v>0.33676</v>
      </c>
      <c r="AL282" s="387">
        <f t="shared" si="33"/>
        <v>2.7554978961532726</v>
      </c>
      <c r="AM282" s="69">
        <f>(COSTS!$W$3+0.1)*500*0.01</f>
        <v>3.9999999999999996</v>
      </c>
      <c r="AN282" s="387">
        <f>((COSTS!$G$5/20)*88)/88</f>
        <v>1.308904109589041</v>
      </c>
      <c r="AR282" s="69">
        <f t="shared" si="34"/>
        <v>5.3089041095890401</v>
      </c>
      <c r="AT282" s="1">
        <f>VLOOKUP(C282&amp;$AT$1,OTR!E:J,6,FALSE)/88</f>
        <v>10.582386363636363</v>
      </c>
      <c r="AU282" s="1">
        <f>VLOOKUP(C282&amp;$AU$1,OTR!E:J,6,FALSE)/88</f>
        <v>26.119318181818183</v>
      </c>
    </row>
    <row r="283" spans="1:47">
      <c r="A283" s="1">
        <v>160009</v>
      </c>
      <c r="B283" s="1" t="s">
        <v>647</v>
      </c>
      <c r="C283" s="1" t="s">
        <v>644</v>
      </c>
      <c r="D283" s="1" t="s">
        <v>149</v>
      </c>
      <c r="E283" s="1" t="str">
        <f>VLOOKUP(A:A,'Regions and Ports'!A:G,5,FALSE)</f>
        <v>Memphis Rule 5</v>
      </c>
      <c r="F283" s="1" t="str">
        <f>VLOOKUP(A:A,'Regions and Ports'!A:F,6,FALSE)</f>
        <v>MR5</v>
      </c>
      <c r="G283" s="1" t="str">
        <f>VLOOKUP(A:A,'Regions and Ports'!A:G,7,FALSE)</f>
        <v>Memphis</v>
      </c>
      <c r="H283" s="87">
        <v>1</v>
      </c>
      <c r="I283" s="69">
        <f>VLOOKUP(A:A,'Seam Tariffs'!A:AB,9,FALSE)</f>
        <v>4.4000000000000004</v>
      </c>
      <c r="J283" s="69">
        <f>VLOOKUP(A:A,'Seam Tariffs'!A:AB,11,FALSE)</f>
        <v>9.75</v>
      </c>
      <c r="K283" s="69">
        <f>VLOOKUP(A:A,'Seam Tariffs'!A:AB,12,FALSE)</f>
        <v>9</v>
      </c>
      <c r="L283" s="69">
        <f>VLOOKUP(A:A,'Seam Tariffs'!A:AB,13,FALSE)</f>
        <v>0</v>
      </c>
      <c r="M283" s="69">
        <f>VLOOKUP(A:A,'Seam Tariffs'!A:AB,14,FALSE)</f>
        <v>0</v>
      </c>
      <c r="N283" s="69">
        <f>VLOOKUP(A:A,'Seam Tariffs'!A:AB,28,FALSE)</f>
        <v>3.5</v>
      </c>
      <c r="O283" s="69">
        <f>COSTS!$W$6</f>
        <v>1.8958333333333335</v>
      </c>
      <c r="P283" s="69">
        <f>VLOOKUP(G283,COSTS!$V$11:$X$14,3,FALSE)</f>
        <v>0</v>
      </c>
      <c r="Q283" s="69">
        <f t="shared" si="28"/>
        <v>28.545833333333331</v>
      </c>
      <c r="R283" s="69">
        <f t="shared" si="29"/>
        <v>5.3958333333333339</v>
      </c>
      <c r="S283" s="87">
        <f>VLOOKUP(A:A,'Flat Bed &amp; Late Fees'!A:J,6,FALSE)</f>
        <v>0</v>
      </c>
      <c r="T283" s="87">
        <f>VLOOKUP(A:A,'Flat Bed &amp; Late Fees'!A:J,7,FALSE)</f>
        <v>0</v>
      </c>
      <c r="U283" s="68">
        <f>VLOOKUP(C283&amp;G283,OTR!E:J,6,FALSE)/88</f>
        <v>16.079545454545453</v>
      </c>
      <c r="V283" s="87"/>
      <c r="W283" s="68">
        <f t="shared" si="30"/>
        <v>16.079545454545453</v>
      </c>
      <c r="X283" s="69">
        <f>VLOOKUP(G283,COSTS!$Z$18:$AC$23,2,FALSE)</f>
        <v>2.5</v>
      </c>
      <c r="Y283" s="87">
        <f>VLOOKUP(G283,COSTS!$Z$18:$AC$23,4,FALSE)</f>
        <v>1.68</v>
      </c>
      <c r="Z283" s="69">
        <f>(COSTS!$W$3*COSTS!$W$4*500)/52*COSTS!$AE$17</f>
        <v>1.3125</v>
      </c>
      <c r="AB283" s="69">
        <f t="shared" si="31"/>
        <v>5.4924999999999997</v>
      </c>
      <c r="AC283" s="69">
        <f>VLOOKUP(G283,COSTS!$Z$11:$AE$14,5,FALSE)</f>
        <v>7.3011363636363633</v>
      </c>
      <c r="AD283" s="69">
        <f>VLOOKUP(G283,COSTS!$Z$4:$AD$7,4,FALSE)</f>
        <v>9.1363636363636367</v>
      </c>
      <c r="AE283" s="69"/>
      <c r="AF283" s="69">
        <f t="shared" si="32"/>
        <v>16.4375</v>
      </c>
      <c r="AG283" s="87">
        <f>((COSTS!$C$5*88)/20)/88</f>
        <v>1.4407150000000002</v>
      </c>
      <c r="AH283" s="69">
        <f>(COSTS!$X$38/88)*20</f>
        <v>0.34865702479338845</v>
      </c>
      <c r="AI283" s="87">
        <f>((COSTS!$E$5*88)/20)/88</f>
        <v>0.62936587135988387</v>
      </c>
      <c r="AJ283" s="87">
        <f>((COSTS!$D$5*88)/20)/88</f>
        <v>0.33676</v>
      </c>
      <c r="AL283" s="387">
        <f t="shared" si="33"/>
        <v>2.7554978961532726</v>
      </c>
      <c r="AM283" s="69">
        <f>(COSTS!$W$3+0.1)*500*0.01</f>
        <v>3.9999999999999996</v>
      </c>
      <c r="AN283" s="387">
        <f>((COSTS!$G$5/20)*88)/88</f>
        <v>1.308904109589041</v>
      </c>
      <c r="AR283" s="69">
        <f t="shared" si="34"/>
        <v>5.3089041095890401</v>
      </c>
      <c r="AT283" s="1">
        <f>VLOOKUP(C283&amp;$AT$1,OTR!E:J,6,FALSE)/88</f>
        <v>10.582386363636363</v>
      </c>
      <c r="AU283" s="1">
        <f>VLOOKUP(C283&amp;$AU$1,OTR!E:J,6,FALSE)/88</f>
        <v>26.119318181818183</v>
      </c>
    </row>
    <row r="284" spans="1:47">
      <c r="A284" s="1">
        <v>840510</v>
      </c>
      <c r="B284" s="1" t="s">
        <v>648</v>
      </c>
      <c r="C284" s="1" t="s">
        <v>644</v>
      </c>
      <c r="D284" s="1" t="s">
        <v>71</v>
      </c>
      <c r="E284" s="1" t="str">
        <f>VLOOKUP(A:A,'Regions and Ports'!A:G,5,FALSE)</f>
        <v>STEX</v>
      </c>
      <c r="F284" s="1" t="str">
        <f>VLOOKUP(A:A,'Regions and Ports'!A:F,6,FALSE)</f>
        <v>STX</v>
      </c>
      <c r="G284" s="1" t="str">
        <f>VLOOKUP(A:A,'Regions and Ports'!A:G,7,FALSE)</f>
        <v>Houston</v>
      </c>
      <c r="H284" s="87">
        <v>3</v>
      </c>
      <c r="I284" s="69">
        <f>VLOOKUP(A:A,'Seam Tariffs'!A:AB,9,FALSE)</f>
        <v>5.5</v>
      </c>
      <c r="J284" s="69">
        <f>VLOOKUP(A:A,'Seam Tariffs'!A:AB,11,FALSE)</f>
        <v>17.5</v>
      </c>
      <c r="K284" s="69">
        <f>VLOOKUP(A:A,'Seam Tariffs'!A:AB,12,FALSE)</f>
        <v>0</v>
      </c>
      <c r="L284" s="69">
        <f>VLOOKUP(A:A,'Seam Tariffs'!A:AB,13,FALSE)</f>
        <v>0</v>
      </c>
      <c r="M284" s="69">
        <f>VLOOKUP(A:A,'Seam Tariffs'!A:AB,14,FALSE)</f>
        <v>0</v>
      </c>
      <c r="N284" s="69">
        <f>VLOOKUP(A:A,'Seam Tariffs'!A:AB,28,FALSE)</f>
        <v>4</v>
      </c>
      <c r="O284" s="69">
        <f>COSTS!$W$6</f>
        <v>1.8958333333333335</v>
      </c>
      <c r="P284" s="69">
        <f>VLOOKUP(G284,COSTS!$V$11:$X$14,3,FALSE)</f>
        <v>0</v>
      </c>
      <c r="Q284" s="69">
        <f t="shared" si="28"/>
        <v>28.895833333333332</v>
      </c>
      <c r="R284" s="69">
        <f t="shared" si="29"/>
        <v>23.395833333333332</v>
      </c>
      <c r="S284" s="87">
        <f>VLOOKUP(A:A,'Flat Bed &amp; Late Fees'!A:J,6,FALSE)</f>
        <v>1</v>
      </c>
      <c r="T284" s="87">
        <f>VLOOKUP(A:A,'Flat Bed &amp; Late Fees'!A:J,7,FALSE)</f>
        <v>0</v>
      </c>
      <c r="U284" s="68">
        <f>VLOOKUP(C284&amp;G284,OTR!E:J,6,FALSE)/88</f>
        <v>10.369318181818182</v>
      </c>
      <c r="V284" s="87"/>
      <c r="W284" s="68">
        <f t="shared" si="30"/>
        <v>11.369318181818182</v>
      </c>
      <c r="X284" s="69">
        <f>VLOOKUP(G284,COSTS!$Z$18:$AC$23,2,FALSE)</f>
        <v>2.7</v>
      </c>
      <c r="Y284" s="87">
        <f>VLOOKUP(G284,COSTS!$Z$18:$AC$23,4,FALSE)</f>
        <v>2.52</v>
      </c>
      <c r="Z284" s="69">
        <f>(COSTS!$W$3*COSTS!$W$4*500)/52*COSTS!$AE$17</f>
        <v>1.3125</v>
      </c>
      <c r="AB284" s="69">
        <f t="shared" si="31"/>
        <v>6.5325000000000006</v>
      </c>
      <c r="AC284" s="69">
        <f>VLOOKUP(G284,COSTS!$Z$11:$AE$14,5,FALSE)</f>
        <v>6.6477272727272725</v>
      </c>
      <c r="AD284" s="69">
        <f>VLOOKUP(G284,COSTS!$Z$4:$AD$7,4,FALSE)</f>
        <v>9.8977272727272734</v>
      </c>
      <c r="AE284" s="69"/>
      <c r="AF284" s="69">
        <f t="shared" si="32"/>
        <v>16.545454545454547</v>
      </c>
      <c r="AG284" s="87">
        <f>((COSTS!$C$5*88)/20)/88</f>
        <v>1.4407150000000002</v>
      </c>
      <c r="AH284" s="69">
        <f>(COSTS!$X$38/88)*20</f>
        <v>0.34865702479338845</v>
      </c>
      <c r="AI284" s="87">
        <f>((COSTS!$E$5*88)/20)/88</f>
        <v>0.62936587135988387</v>
      </c>
      <c r="AJ284" s="87">
        <f>((COSTS!$D$5*88)/20)/88</f>
        <v>0.33676</v>
      </c>
      <c r="AL284" s="387">
        <f t="shared" si="33"/>
        <v>2.7554978961532726</v>
      </c>
      <c r="AM284" s="69">
        <f>(COSTS!$W$3+0.1)*500*0.01</f>
        <v>3.9999999999999996</v>
      </c>
      <c r="AN284" s="387">
        <f>((COSTS!$G$5/20)*88)/88</f>
        <v>1.308904109589041</v>
      </c>
      <c r="AR284" s="69">
        <f t="shared" si="34"/>
        <v>5.3089041095890401</v>
      </c>
      <c r="AT284" s="1">
        <f>VLOOKUP(C284&amp;$AT$1,OTR!E:J,6,FALSE)/88</f>
        <v>10.582386363636363</v>
      </c>
      <c r="AU284" s="1">
        <f>VLOOKUP(C284&amp;$AU$1,OTR!E:J,6,FALSE)/88</f>
        <v>26.119318181818183</v>
      </c>
    </row>
    <row r="285" spans="1:47">
      <c r="A285" s="1">
        <v>913030</v>
      </c>
      <c r="B285" s="1" t="s">
        <v>630</v>
      </c>
      <c r="C285" s="1" t="s">
        <v>2211</v>
      </c>
      <c r="D285" s="1" t="s">
        <v>71</v>
      </c>
      <c r="E285" s="1" t="str">
        <f>VLOOKUP(A:A,'Regions and Ports'!A:G,5,FALSE)</f>
        <v>WTX</v>
      </c>
      <c r="F285" s="1" t="str">
        <f>VLOOKUP(A:A,'Regions and Ports'!A:F,6,FALSE)</f>
        <v>WTX</v>
      </c>
      <c r="G285" s="1" t="str">
        <f>VLOOKUP(A:A,'Regions and Ports'!A:G,7,FALSE)</f>
        <v>Dallas</v>
      </c>
      <c r="H285" s="87">
        <v>2</v>
      </c>
      <c r="I285" s="69">
        <f>VLOOKUP(A:A,'Seam Tariffs'!A:AB,9,FALSE)</f>
        <v>5.0999999999999996</v>
      </c>
      <c r="J285" s="69">
        <f>VLOOKUP(A:A,'Seam Tariffs'!A:AB,11,FALSE)</f>
        <v>6.25</v>
      </c>
      <c r="K285" s="69">
        <f>VLOOKUP(A:A,'Seam Tariffs'!A:AB,12,FALSE)</f>
        <v>10.25</v>
      </c>
      <c r="L285" s="69">
        <f>VLOOKUP(A:A,'Seam Tariffs'!A:AB,13,FALSE)</f>
        <v>0</v>
      </c>
      <c r="M285" s="69">
        <f>VLOOKUP(A:A,'Seam Tariffs'!A:AB,14,FALSE)</f>
        <v>0</v>
      </c>
      <c r="N285" s="69">
        <f>VLOOKUP(A:A,'Seam Tariffs'!A:AB,28,FALSE)</f>
        <v>2.4</v>
      </c>
      <c r="O285" s="69">
        <f>COSTS!$W$6</f>
        <v>1.8958333333333335</v>
      </c>
      <c r="P285" s="69">
        <f>VLOOKUP(G285,COSTS!$V$11:$X$14,3,FALSE)</f>
        <v>0</v>
      </c>
      <c r="Q285" s="69">
        <f t="shared" si="28"/>
        <v>25.895833333333332</v>
      </c>
      <c r="R285" s="69">
        <f t="shared" si="29"/>
        <v>14.545833333333334</v>
      </c>
      <c r="S285" s="87">
        <f>VLOOKUP(A:A,'Flat Bed &amp; Late Fees'!A:J,6,FALSE)</f>
        <v>0</v>
      </c>
      <c r="T285" s="87">
        <f>VLOOKUP(A:A,'Flat Bed &amp; Late Fees'!A:J,7,FALSE)</f>
        <v>0</v>
      </c>
      <c r="U285" s="68">
        <f>VLOOKUP(C285&amp;G285,OTR!E:J,6,FALSE)/88</f>
        <v>8.920454545454545</v>
      </c>
      <c r="V285" s="87"/>
      <c r="W285" s="68">
        <f t="shared" si="30"/>
        <v>8.920454545454545</v>
      </c>
      <c r="X285" s="69">
        <f>VLOOKUP(G285,COSTS!$Z$18:$AC$23,2,FALSE)</f>
        <v>2.7</v>
      </c>
      <c r="Y285" s="87">
        <f>VLOOKUP(G285,COSTS!$Z$18:$AC$23,4,FALSE)</f>
        <v>2.52</v>
      </c>
      <c r="Z285" s="69">
        <f>(COSTS!$W$3*COSTS!$W$4*500)/52*COSTS!$AE$17</f>
        <v>1.3125</v>
      </c>
      <c r="AB285" s="69">
        <f t="shared" si="31"/>
        <v>6.5325000000000006</v>
      </c>
      <c r="AC285" s="69">
        <f>VLOOKUP(G285,COSTS!$Z$11:$AE$14,5,FALSE)</f>
        <v>8.125</v>
      </c>
      <c r="AD285" s="69">
        <f>VLOOKUP(G285,COSTS!$Z$4:$AD$7,4,FALSE)</f>
        <v>13.409090909090908</v>
      </c>
      <c r="AE285" s="69"/>
      <c r="AF285" s="69">
        <f t="shared" si="32"/>
        <v>21.534090909090907</v>
      </c>
      <c r="AG285" s="87">
        <f>((COSTS!$C$5*88)/20)/88</f>
        <v>1.4407150000000002</v>
      </c>
      <c r="AH285" s="69">
        <f>(COSTS!$X$38/88)*20</f>
        <v>0.34865702479338845</v>
      </c>
      <c r="AI285" s="87">
        <f>((COSTS!$E$5*88)/20)/88</f>
        <v>0.62936587135988387</v>
      </c>
      <c r="AJ285" s="87">
        <f>((COSTS!$D$5*88)/20)/88</f>
        <v>0.33676</v>
      </c>
      <c r="AL285" s="387">
        <f t="shared" si="33"/>
        <v>2.7554978961532726</v>
      </c>
      <c r="AM285" s="69">
        <f>(COSTS!$W$3+0.1)*500*0.01</f>
        <v>3.9999999999999996</v>
      </c>
      <c r="AN285" s="387">
        <f>((COSTS!$G$5/20)*88)/88</f>
        <v>1.308904109589041</v>
      </c>
      <c r="AR285" s="69">
        <f t="shared" si="34"/>
        <v>5.3089041095890401</v>
      </c>
      <c r="AT285" s="1">
        <f>VLOOKUP(C285&amp;$AT$1,OTR!E:J,6,FALSE)/88</f>
        <v>17.039545454545454</v>
      </c>
      <c r="AU285" s="1" t="e">
        <f>VLOOKUP(C285&amp;$AU$1,OTR!E:J,6,FALSE)/88</f>
        <v>#N/A</v>
      </c>
    </row>
    <row r="286" spans="1:47">
      <c r="A286" s="125">
        <v>913030</v>
      </c>
      <c r="B286" s="1" t="s">
        <v>630</v>
      </c>
      <c r="C286" s="1" t="s">
        <v>2211</v>
      </c>
      <c r="D286" s="1" t="s">
        <v>71</v>
      </c>
      <c r="E286" s="1" t="s">
        <v>2067</v>
      </c>
      <c r="F286" s="1" t="str">
        <f>VLOOKUP(A:A,'Regions and Ports'!A:F,6,FALSE)</f>
        <v>WTX</v>
      </c>
      <c r="G286" s="1" t="s">
        <v>439</v>
      </c>
      <c r="H286" s="87">
        <v>2</v>
      </c>
      <c r="I286" s="69">
        <f>VLOOKUP(A:A,'Seam Tariffs'!A:AB,9,FALSE)</f>
        <v>5.0999999999999996</v>
      </c>
      <c r="J286" s="69">
        <f>VLOOKUP(A:A,'Seam Tariffs'!A:AB,11,FALSE)</f>
        <v>6.25</v>
      </c>
      <c r="K286" s="69">
        <f>VLOOKUP(A:A,'Seam Tariffs'!A:AB,12,FALSE)</f>
        <v>10.25</v>
      </c>
      <c r="L286" s="69">
        <f>VLOOKUP(A:A,'Seam Tariffs'!A:AB,13,FALSE)</f>
        <v>0</v>
      </c>
      <c r="M286" s="69">
        <f>VLOOKUP(A:A,'Seam Tariffs'!A:AB,14,FALSE)</f>
        <v>0</v>
      </c>
      <c r="N286" s="69">
        <f>VLOOKUP(A:A,'Seam Tariffs'!A:AB,28,FALSE)</f>
        <v>2.4</v>
      </c>
      <c r="O286" s="69">
        <f>COSTS!$W$6</f>
        <v>1.8958333333333335</v>
      </c>
      <c r="P286" s="69">
        <f>VLOOKUP(G286,COSTS!$V$11:$X$14,3,FALSE)</f>
        <v>0</v>
      </c>
      <c r="Q286" s="69">
        <f t="shared" si="28"/>
        <v>25.895833333333332</v>
      </c>
      <c r="R286" s="69">
        <f t="shared" si="29"/>
        <v>14.545833333333334</v>
      </c>
      <c r="S286" s="87">
        <f>VLOOKUP(A:A,'Flat Bed &amp; Late Fees'!A:J,6,FALSE)</f>
        <v>0</v>
      </c>
      <c r="T286" s="87">
        <f>VLOOKUP(A:A,'Flat Bed &amp; Late Fees'!A:J,7,FALSE)</f>
        <v>0</v>
      </c>
      <c r="U286" s="68">
        <f>VLOOKUP(C286&amp;G286,OTR!E:J,6,FALSE)/88</f>
        <v>14.204545454545455</v>
      </c>
      <c r="V286" s="87"/>
      <c r="W286" s="68">
        <f t="shared" si="30"/>
        <v>14.204545454545455</v>
      </c>
      <c r="X286" s="69">
        <f>VLOOKUP(G286,COSTS!$Z$18:$AC$23,2,FALSE)</f>
        <v>2.7</v>
      </c>
      <c r="Y286" s="87">
        <f>VLOOKUP(G286,COSTS!$Z$18:$AC$23,4,FALSE)</f>
        <v>2.52</v>
      </c>
      <c r="Z286" s="69">
        <f>(COSTS!$W$3*COSTS!$W$4*500)/52*COSTS!$AE$17</f>
        <v>1.3125</v>
      </c>
      <c r="AB286" s="69">
        <f t="shared" si="31"/>
        <v>6.5325000000000006</v>
      </c>
      <c r="AC286" s="69">
        <f>VLOOKUP(G286,COSTS!$Z$11:$AE$14,5,FALSE)</f>
        <v>6.6477272727272725</v>
      </c>
      <c r="AD286" s="69">
        <f>VLOOKUP(G286,COSTS!$Z$4:$AD$7,4,FALSE)</f>
        <v>9.8977272727272734</v>
      </c>
      <c r="AE286" s="69"/>
      <c r="AF286" s="69">
        <f t="shared" si="32"/>
        <v>16.545454545454547</v>
      </c>
      <c r="AG286" s="87">
        <f>((COSTS!$C$5*88)/20)/88</f>
        <v>1.4407150000000002</v>
      </c>
      <c r="AH286" s="69">
        <f>(COSTS!$X$38/88)*20</f>
        <v>0.34865702479338845</v>
      </c>
      <c r="AI286" s="87">
        <f>((COSTS!$E$5*88)/20)/88</f>
        <v>0.62936587135988387</v>
      </c>
      <c r="AJ286" s="87">
        <f>((COSTS!$D$5*88)/20)/88</f>
        <v>0.33676</v>
      </c>
      <c r="AL286" s="387">
        <f t="shared" si="33"/>
        <v>2.7554978961532726</v>
      </c>
      <c r="AM286" s="69">
        <f>(COSTS!$W$3+0.1)*500*0.01</f>
        <v>3.9999999999999996</v>
      </c>
      <c r="AN286" s="387">
        <f>((COSTS!$G$5/20)*88)/88</f>
        <v>1.308904109589041</v>
      </c>
      <c r="AR286" s="69">
        <f t="shared" si="34"/>
        <v>5.3089041095890401</v>
      </c>
      <c r="AT286" s="1">
        <f>VLOOKUP(C286&amp;$AT$1,OTR!E:J,6,FALSE)/88</f>
        <v>17.039545454545454</v>
      </c>
      <c r="AU286" s="1" t="e">
        <f>VLOOKUP(C286&amp;$AU$1,OTR!E:J,6,FALSE)/88</f>
        <v>#N/A</v>
      </c>
    </row>
    <row r="287" spans="1:47">
      <c r="A287" s="1">
        <v>914510</v>
      </c>
      <c r="B287" s="1" t="s">
        <v>652</v>
      </c>
      <c r="C287" s="1" t="s">
        <v>2212</v>
      </c>
      <c r="D287" s="1" t="s">
        <v>71</v>
      </c>
      <c r="E287" s="1" t="str">
        <f>VLOOKUP(A:A,'Regions and Ports'!A:G,5,FALSE)</f>
        <v>WTX</v>
      </c>
      <c r="F287" s="1" t="str">
        <f>VLOOKUP(A:A,'Regions and Ports'!A:F,6,FALSE)</f>
        <v>WTX</v>
      </c>
      <c r="G287" s="1" t="str">
        <f>VLOOKUP(A:A,'Regions and Ports'!A:G,7,FALSE)</f>
        <v>Dallas</v>
      </c>
      <c r="H287" s="87">
        <v>2</v>
      </c>
      <c r="I287" s="69">
        <f>VLOOKUP(A:A,'Seam Tariffs'!A:AB,9,FALSE)</f>
        <v>5</v>
      </c>
      <c r="J287" s="69">
        <f>VLOOKUP(A:A,'Seam Tariffs'!A:AB,11,FALSE)</f>
        <v>6.25</v>
      </c>
      <c r="K287" s="69">
        <f>VLOOKUP(A:A,'Seam Tariffs'!A:AB,12,FALSE)</f>
        <v>10.25</v>
      </c>
      <c r="L287" s="69">
        <f>VLOOKUP(A:A,'Seam Tariffs'!A:AB,13,FALSE)</f>
        <v>0</v>
      </c>
      <c r="M287" s="69">
        <f>VLOOKUP(A:A,'Seam Tariffs'!A:AB,14,FALSE)</f>
        <v>0</v>
      </c>
      <c r="N287" s="69">
        <f>VLOOKUP(A:A,'Seam Tariffs'!A:AB,28,FALSE)</f>
        <v>2.4</v>
      </c>
      <c r="O287" s="69">
        <f>COSTS!$W$6</f>
        <v>1.8958333333333335</v>
      </c>
      <c r="P287" s="69">
        <f>VLOOKUP(G287,COSTS!$V$11:$X$14,3,FALSE)</f>
        <v>0</v>
      </c>
      <c r="Q287" s="69">
        <f t="shared" si="28"/>
        <v>25.795833333333331</v>
      </c>
      <c r="R287" s="69">
        <f t="shared" si="29"/>
        <v>14.545833333333334</v>
      </c>
      <c r="S287" s="87">
        <f>VLOOKUP(A:A,'Flat Bed &amp; Late Fees'!A:J,6,FALSE)</f>
        <v>0</v>
      </c>
      <c r="T287" s="87">
        <f>VLOOKUP(A:A,'Flat Bed &amp; Late Fees'!A:J,7,FALSE)</f>
        <v>0</v>
      </c>
      <c r="U287" s="68">
        <f>VLOOKUP(C287&amp;G287,OTR!E:J,6,FALSE)/88</f>
        <v>8.4943181818181817</v>
      </c>
      <c r="V287" s="87"/>
      <c r="W287" s="68">
        <f t="shared" si="30"/>
        <v>8.4943181818181817</v>
      </c>
      <c r="X287" s="69">
        <f>VLOOKUP(G287,COSTS!$Z$18:$AC$23,2,FALSE)</f>
        <v>2.7</v>
      </c>
      <c r="Y287" s="87">
        <f>VLOOKUP(G287,COSTS!$Z$18:$AC$23,4,FALSE)</f>
        <v>2.52</v>
      </c>
      <c r="Z287" s="69">
        <f>(COSTS!$W$3*COSTS!$W$4*500)/52*COSTS!$AE$17</f>
        <v>1.3125</v>
      </c>
      <c r="AB287" s="69">
        <f t="shared" si="31"/>
        <v>6.5325000000000006</v>
      </c>
      <c r="AC287" s="69">
        <f>VLOOKUP(G287,COSTS!$Z$11:$AE$14,5,FALSE)</f>
        <v>8.125</v>
      </c>
      <c r="AD287" s="69">
        <f>VLOOKUP(G287,COSTS!$Z$4:$AD$7,4,FALSE)</f>
        <v>13.409090909090908</v>
      </c>
      <c r="AE287" s="69"/>
      <c r="AF287" s="69">
        <f t="shared" si="32"/>
        <v>21.534090909090907</v>
      </c>
      <c r="AG287" s="87">
        <f>((COSTS!$C$5*88)/20)/88</f>
        <v>1.4407150000000002</v>
      </c>
      <c r="AH287" s="69">
        <f>(COSTS!$X$38/88)*20</f>
        <v>0.34865702479338845</v>
      </c>
      <c r="AI287" s="87">
        <f>((COSTS!$E$5*88)/20)/88</f>
        <v>0.62936587135988387</v>
      </c>
      <c r="AJ287" s="87">
        <f>((COSTS!$D$5*88)/20)/88</f>
        <v>0.33676</v>
      </c>
      <c r="AL287" s="387">
        <f t="shared" si="33"/>
        <v>2.7554978961532726</v>
      </c>
      <c r="AM287" s="69">
        <f>(COSTS!$W$3+0.1)*500*0.01</f>
        <v>3.9999999999999996</v>
      </c>
      <c r="AN287" s="387">
        <f>((COSTS!$G$5/20)*88)/88</f>
        <v>1.308904109589041</v>
      </c>
      <c r="AR287" s="69">
        <f t="shared" si="34"/>
        <v>5.3089041095890401</v>
      </c>
      <c r="AT287" s="1">
        <f>VLOOKUP(C287&amp;$AT$1,OTR!E:J,6,FALSE)/88</f>
        <v>18.62579545454545</v>
      </c>
      <c r="AU287" s="1" t="e">
        <f>VLOOKUP(C287&amp;$AU$1,OTR!E:J,6,FALSE)/88</f>
        <v>#N/A</v>
      </c>
    </row>
    <row r="288" spans="1:47">
      <c r="A288" s="125">
        <v>914510</v>
      </c>
      <c r="B288" s="1" t="s">
        <v>652</v>
      </c>
      <c r="C288" s="1" t="s">
        <v>2212</v>
      </c>
      <c r="D288" s="1" t="s">
        <v>71</v>
      </c>
      <c r="E288" s="1" t="s">
        <v>2067</v>
      </c>
      <c r="F288" s="1" t="str">
        <f>VLOOKUP(A:A,'Regions and Ports'!A:F,6,FALSE)</f>
        <v>WTX</v>
      </c>
      <c r="G288" s="1" t="s">
        <v>439</v>
      </c>
      <c r="H288" s="87">
        <v>2</v>
      </c>
      <c r="I288" s="69">
        <f>VLOOKUP(A:A,'Seam Tariffs'!A:AB,9,FALSE)</f>
        <v>5</v>
      </c>
      <c r="J288" s="69">
        <f>VLOOKUP(A:A,'Seam Tariffs'!A:AB,11,FALSE)</f>
        <v>6.25</v>
      </c>
      <c r="K288" s="69">
        <f>VLOOKUP(A:A,'Seam Tariffs'!A:AB,12,FALSE)</f>
        <v>10.25</v>
      </c>
      <c r="L288" s="69">
        <f>VLOOKUP(A:A,'Seam Tariffs'!A:AB,13,FALSE)</f>
        <v>0</v>
      </c>
      <c r="M288" s="69">
        <f>VLOOKUP(A:A,'Seam Tariffs'!A:AB,14,FALSE)</f>
        <v>0</v>
      </c>
      <c r="N288" s="69">
        <f>VLOOKUP(A:A,'Seam Tariffs'!A:AB,28,FALSE)</f>
        <v>2.4</v>
      </c>
      <c r="O288" s="69">
        <f>COSTS!$W$6</f>
        <v>1.8958333333333335</v>
      </c>
      <c r="P288" s="69">
        <f>VLOOKUP(G288,COSTS!$V$11:$X$14,3,FALSE)</f>
        <v>0</v>
      </c>
      <c r="Q288" s="69">
        <f t="shared" si="28"/>
        <v>25.795833333333331</v>
      </c>
      <c r="R288" s="69">
        <f t="shared" si="29"/>
        <v>14.545833333333334</v>
      </c>
      <c r="S288" s="87">
        <f>VLOOKUP(A:A,'Flat Bed &amp; Late Fees'!A:J,6,FALSE)</f>
        <v>0</v>
      </c>
      <c r="T288" s="87">
        <f>VLOOKUP(A:A,'Flat Bed &amp; Late Fees'!A:J,7,FALSE)</f>
        <v>0</v>
      </c>
      <c r="U288" s="68">
        <f>VLOOKUP(C288&amp;G288,OTR!E:J,6,FALSE)/88</f>
        <v>14.784090909090908</v>
      </c>
      <c r="V288" s="87"/>
      <c r="W288" s="68">
        <f t="shared" si="30"/>
        <v>14.784090909090908</v>
      </c>
      <c r="X288" s="69">
        <f>VLOOKUP(G288,COSTS!$Z$18:$AC$23,2,FALSE)</f>
        <v>2.7</v>
      </c>
      <c r="Y288" s="87">
        <f>VLOOKUP(G288,COSTS!$Z$18:$AC$23,4,FALSE)</f>
        <v>2.52</v>
      </c>
      <c r="Z288" s="69">
        <f>(COSTS!$W$3*COSTS!$W$4*500)/52*COSTS!$AE$17</f>
        <v>1.3125</v>
      </c>
      <c r="AB288" s="69">
        <f t="shared" si="31"/>
        <v>6.5325000000000006</v>
      </c>
      <c r="AC288" s="69">
        <f>VLOOKUP(G288,COSTS!$Z$11:$AE$14,5,FALSE)</f>
        <v>6.6477272727272725</v>
      </c>
      <c r="AD288" s="69">
        <f>VLOOKUP(G288,COSTS!$Z$4:$AD$7,4,FALSE)</f>
        <v>9.8977272727272734</v>
      </c>
      <c r="AE288" s="69"/>
      <c r="AF288" s="69">
        <f t="shared" si="32"/>
        <v>16.545454545454547</v>
      </c>
      <c r="AG288" s="87">
        <f>((COSTS!$C$5*88)/20)/88</f>
        <v>1.4407150000000002</v>
      </c>
      <c r="AH288" s="69">
        <f>(COSTS!$X$38/88)*20</f>
        <v>0.34865702479338845</v>
      </c>
      <c r="AI288" s="87">
        <f>((COSTS!$E$5*88)/20)/88</f>
        <v>0.62936587135988387</v>
      </c>
      <c r="AJ288" s="87">
        <f>((COSTS!$D$5*88)/20)/88</f>
        <v>0.33676</v>
      </c>
      <c r="AL288" s="387">
        <f t="shared" si="33"/>
        <v>2.7554978961532726</v>
      </c>
      <c r="AM288" s="69">
        <f>(COSTS!$W$3+0.1)*500*0.01</f>
        <v>3.9999999999999996</v>
      </c>
      <c r="AN288" s="387">
        <f>((COSTS!$G$5/20)*88)/88</f>
        <v>1.308904109589041</v>
      </c>
      <c r="AR288" s="69">
        <f t="shared" si="34"/>
        <v>5.3089041095890401</v>
      </c>
      <c r="AT288" s="1">
        <f>VLOOKUP(C288&amp;$AT$1,OTR!E:J,6,FALSE)/88</f>
        <v>18.62579545454545</v>
      </c>
      <c r="AU288" s="1" t="e">
        <f>VLOOKUP(C288&amp;$AU$1,OTR!E:J,6,FALSE)/88</f>
        <v>#N/A</v>
      </c>
    </row>
    <row r="289" spans="1:47">
      <c r="A289" s="1">
        <v>593005</v>
      </c>
      <c r="B289" s="1" t="s">
        <v>655</v>
      </c>
      <c r="C289" s="1" t="s">
        <v>656</v>
      </c>
      <c r="D289" s="1" t="s">
        <v>136</v>
      </c>
      <c r="E289" s="1" t="str">
        <f>VLOOKUP(A:A,'Regions and Ports'!A:G,5,FALSE)</f>
        <v>Eastern Rule 5</v>
      </c>
      <c r="F289" s="1" t="str">
        <f>VLOOKUP(A:A,'Regions and Ports'!A:F,6,FALSE)</f>
        <v>ER5</v>
      </c>
      <c r="G289" s="1" t="str">
        <f>VLOOKUP(A:A,'Regions and Ports'!A:G,7,FALSE)</f>
        <v>Savannah</v>
      </c>
      <c r="H289" s="87">
        <v>1</v>
      </c>
      <c r="I289" s="69">
        <f>VLOOKUP(A:A,'Seam Tariffs'!A:AB,9,FALSE)</f>
        <v>4</v>
      </c>
      <c r="J289" s="69">
        <f>VLOOKUP(A:A,'Seam Tariffs'!A:AB,11,FALSE)</f>
        <v>4.8499999999999996</v>
      </c>
      <c r="K289" s="69">
        <f>VLOOKUP(A:A,'Seam Tariffs'!A:AB,12,FALSE)</f>
        <v>0</v>
      </c>
      <c r="L289" s="69">
        <f>VLOOKUP(A:A,'Seam Tariffs'!A:AB,13,FALSE)</f>
        <v>0</v>
      </c>
      <c r="M289" s="69">
        <f>VLOOKUP(A:A,'Seam Tariffs'!A:AB,14,FALSE)</f>
        <v>0</v>
      </c>
      <c r="N289" s="69">
        <f>VLOOKUP(A:A,'Seam Tariffs'!A:AB,28,FALSE)</f>
        <v>3</v>
      </c>
      <c r="O289" s="69">
        <f>COSTS!$W$6</f>
        <v>1.8958333333333335</v>
      </c>
      <c r="P289" s="69">
        <f>VLOOKUP(G289,COSTS!$V$11:$X$14,3,FALSE)</f>
        <v>0</v>
      </c>
      <c r="Q289" s="69">
        <f t="shared" si="28"/>
        <v>13.745833333333334</v>
      </c>
      <c r="R289" s="69">
        <f t="shared" si="29"/>
        <v>4.8958333333333339</v>
      </c>
      <c r="S289" s="87">
        <f>VLOOKUP(A:A,'Flat Bed &amp; Late Fees'!A:J,6,FALSE)</f>
        <v>0</v>
      </c>
      <c r="T289" s="87">
        <f>VLOOKUP(A:A,'Flat Bed &amp; Late Fees'!A:J,7,FALSE)</f>
        <v>0</v>
      </c>
      <c r="U289" s="68">
        <f>VLOOKUP(C289&amp;G289,OTR!E:J,6,FALSE)/88</f>
        <v>11.064431818181818</v>
      </c>
      <c r="V289" s="87"/>
      <c r="W289" s="68">
        <f t="shared" si="30"/>
        <v>11.064431818181818</v>
      </c>
      <c r="X289" s="69">
        <f>VLOOKUP(G289,COSTS!$Z$18:$AC$23,2,FALSE)</f>
        <v>2.6</v>
      </c>
      <c r="Y289" s="87">
        <f>VLOOKUP(G289,COSTS!$Z$18:$AC$23,4,FALSE)</f>
        <v>2.52</v>
      </c>
      <c r="Z289" s="69">
        <f>(COSTS!$W$3*COSTS!$W$4*500)/52*COSTS!$AE$17</f>
        <v>1.3125</v>
      </c>
      <c r="AB289" s="69">
        <f t="shared" si="31"/>
        <v>6.4325000000000001</v>
      </c>
      <c r="AC289" s="69">
        <f>VLOOKUP(G289,COSTS!$Z$11:$AE$14,5,FALSE)</f>
        <v>5.5113636363636367</v>
      </c>
      <c r="AD289" s="69">
        <f>VLOOKUP(G289,COSTS!$Z$4:$AD$7,4,FALSE)</f>
        <v>5.3522727272727275</v>
      </c>
      <c r="AE289" s="69"/>
      <c r="AF289" s="69">
        <f t="shared" si="32"/>
        <v>10.863636363636363</v>
      </c>
      <c r="AG289" s="87">
        <f>((COSTS!$C$5*88)/20)/88</f>
        <v>1.4407150000000002</v>
      </c>
      <c r="AH289" s="69">
        <f>(COSTS!$X$38/88)*20</f>
        <v>0.34865702479338845</v>
      </c>
      <c r="AI289" s="87">
        <f>((COSTS!$E$5*88)/20)/88</f>
        <v>0.62936587135988387</v>
      </c>
      <c r="AJ289" s="87">
        <f>((COSTS!$D$5*88)/20)/88</f>
        <v>0.33676</v>
      </c>
      <c r="AL289" s="387">
        <f t="shared" si="33"/>
        <v>2.7554978961532726</v>
      </c>
      <c r="AM289" s="69">
        <f>(COSTS!$W$3+0.1)*500*0.01</f>
        <v>3.9999999999999996</v>
      </c>
      <c r="AN289" s="387">
        <f>((COSTS!$G$5/20)*88)/88</f>
        <v>1.308904109589041</v>
      </c>
      <c r="AR289" s="69">
        <f t="shared" si="34"/>
        <v>5.3089041095890401</v>
      </c>
      <c r="AT289" s="1" t="e">
        <f>VLOOKUP(C289&amp;$AT$1,OTR!E:J,6,FALSE)/88</f>
        <v>#N/A</v>
      </c>
      <c r="AU289" s="1">
        <f>VLOOKUP(C289&amp;$AU$1,OTR!E:J,6,FALSE)/88</f>
        <v>9.0909090909090917</v>
      </c>
    </row>
    <row r="290" spans="1:47">
      <c r="A290" s="1">
        <v>916501</v>
      </c>
      <c r="B290" s="1" t="s">
        <v>658</v>
      </c>
      <c r="C290" s="1" t="s">
        <v>659</v>
      </c>
      <c r="D290" s="1" t="s">
        <v>71</v>
      </c>
      <c r="E290" s="1" t="str">
        <f>VLOOKUP(A:A,'Regions and Ports'!A:G,5,FALSE)</f>
        <v>WTX</v>
      </c>
      <c r="F290" s="1" t="str">
        <f>VLOOKUP(A:A,'Regions and Ports'!A:F,6,FALSE)</f>
        <v>WTX</v>
      </c>
      <c r="G290" s="1" t="str">
        <f>VLOOKUP(A:A,'Regions and Ports'!A:G,7,FALSE)</f>
        <v>Dallas</v>
      </c>
      <c r="H290" s="87">
        <v>2</v>
      </c>
      <c r="I290" s="69">
        <f>VLOOKUP(A:A,'Seam Tariffs'!A:AB,9,FALSE)</f>
        <v>4.75</v>
      </c>
      <c r="J290" s="69">
        <f>VLOOKUP(A:A,'Seam Tariffs'!A:AB,11,FALSE)</f>
        <v>5.45</v>
      </c>
      <c r="K290" s="69">
        <f>VLOOKUP(A:A,'Seam Tariffs'!A:AB,12,FALSE)</f>
        <v>9.75</v>
      </c>
      <c r="L290" s="69">
        <f>VLOOKUP(A:A,'Seam Tariffs'!A:AB,13,FALSE)</f>
        <v>0</v>
      </c>
      <c r="M290" s="69">
        <f>VLOOKUP(A:A,'Seam Tariffs'!A:AB,14,FALSE)</f>
        <v>1</v>
      </c>
      <c r="N290" s="69">
        <f>VLOOKUP(A:A,'Seam Tariffs'!A:AB,28,FALSE)</f>
        <v>2.4</v>
      </c>
      <c r="O290" s="69">
        <f>COSTS!$W$6</f>
        <v>1.8958333333333335</v>
      </c>
      <c r="P290" s="69">
        <f>VLOOKUP(G290,COSTS!$V$11:$X$14,3,FALSE)</f>
        <v>0</v>
      </c>
      <c r="Q290" s="69">
        <f t="shared" si="28"/>
        <v>25.24583333333333</v>
      </c>
      <c r="R290" s="69">
        <f t="shared" si="29"/>
        <v>14.045833333333334</v>
      </c>
      <c r="S290" s="87">
        <f>VLOOKUP(A:A,'Flat Bed &amp; Late Fees'!A:J,6,FALSE)</f>
        <v>0</v>
      </c>
      <c r="T290" s="87">
        <f>VLOOKUP(A:A,'Flat Bed &amp; Late Fees'!A:J,7,FALSE)</f>
        <v>0</v>
      </c>
      <c r="U290" s="68">
        <f>VLOOKUP(C290&amp;G290,OTR!E:J,6,FALSE)/88</f>
        <v>8.4090909090909083</v>
      </c>
      <c r="V290" s="87"/>
      <c r="W290" s="68">
        <f t="shared" si="30"/>
        <v>8.4090909090909083</v>
      </c>
      <c r="X290" s="69">
        <f>VLOOKUP(G290,COSTS!$Z$18:$AC$23,2,FALSE)</f>
        <v>2.7</v>
      </c>
      <c r="Y290" s="87">
        <f>VLOOKUP(G290,COSTS!$Z$18:$AC$23,4,FALSE)</f>
        <v>2.52</v>
      </c>
      <c r="Z290" s="69">
        <f>(COSTS!$W$3*COSTS!$W$4*500)/52*COSTS!$AE$17</f>
        <v>1.3125</v>
      </c>
      <c r="AB290" s="69">
        <f t="shared" si="31"/>
        <v>6.5325000000000006</v>
      </c>
      <c r="AC290" s="69">
        <f>VLOOKUP(G290,COSTS!$Z$11:$AE$14,5,FALSE)</f>
        <v>8.125</v>
      </c>
      <c r="AD290" s="69">
        <f>VLOOKUP(G290,COSTS!$Z$4:$AD$7,4,FALSE)</f>
        <v>13.409090909090908</v>
      </c>
      <c r="AE290" s="69"/>
      <c r="AF290" s="69">
        <f t="shared" si="32"/>
        <v>21.534090909090907</v>
      </c>
      <c r="AG290" s="87">
        <f>((COSTS!$C$5*88)/20)/88</f>
        <v>1.4407150000000002</v>
      </c>
      <c r="AH290" s="69">
        <f>(COSTS!$X$38/88)*20</f>
        <v>0.34865702479338845</v>
      </c>
      <c r="AI290" s="87">
        <f>((COSTS!$E$5*88)/20)/88</f>
        <v>0.62936587135988387</v>
      </c>
      <c r="AJ290" s="87">
        <f>((COSTS!$D$5*88)/20)/88</f>
        <v>0.33676</v>
      </c>
      <c r="AL290" s="387">
        <f t="shared" si="33"/>
        <v>2.7554978961532726</v>
      </c>
      <c r="AM290" s="69">
        <f>(COSTS!$W$3+0.1)*500*0.01</f>
        <v>3.9999999999999996</v>
      </c>
      <c r="AN290" s="387">
        <f>((COSTS!$G$5/20)*88)/88</f>
        <v>1.308904109589041</v>
      </c>
      <c r="AR290" s="69">
        <f t="shared" si="34"/>
        <v>5.3089041095890401</v>
      </c>
      <c r="AT290" s="1">
        <f>VLOOKUP(C290&amp;$AT$1,OTR!E:J,6,FALSE)/88</f>
        <v>17.055568181818181</v>
      </c>
      <c r="AU290" s="1" t="e">
        <f>VLOOKUP(C290&amp;$AU$1,OTR!E:J,6,FALSE)/88</f>
        <v>#N/A</v>
      </c>
    </row>
    <row r="291" spans="1:47">
      <c r="A291" s="125">
        <v>916501</v>
      </c>
      <c r="B291" s="1" t="s">
        <v>658</v>
      </c>
      <c r="C291" s="1" t="s">
        <v>659</v>
      </c>
      <c r="D291" s="1" t="s">
        <v>71</v>
      </c>
      <c r="E291" s="1" t="s">
        <v>2067</v>
      </c>
      <c r="F291" s="1" t="str">
        <f>VLOOKUP(A:A,'Regions and Ports'!A:F,6,FALSE)</f>
        <v>WTX</v>
      </c>
      <c r="G291" s="1" t="s">
        <v>439</v>
      </c>
      <c r="H291" s="87">
        <v>2</v>
      </c>
      <c r="I291" s="69">
        <f>VLOOKUP(A:A,'Seam Tariffs'!A:AB,9,FALSE)</f>
        <v>4.75</v>
      </c>
      <c r="J291" s="69">
        <f>VLOOKUP(A:A,'Seam Tariffs'!A:AB,11,FALSE)</f>
        <v>5.45</v>
      </c>
      <c r="K291" s="69">
        <f>VLOOKUP(A:A,'Seam Tariffs'!A:AB,12,FALSE)</f>
        <v>9.75</v>
      </c>
      <c r="L291" s="69">
        <f>VLOOKUP(A:A,'Seam Tariffs'!A:AB,13,FALSE)</f>
        <v>0</v>
      </c>
      <c r="M291" s="69">
        <f>VLOOKUP(A:A,'Seam Tariffs'!A:AB,14,FALSE)</f>
        <v>1</v>
      </c>
      <c r="N291" s="69">
        <f>VLOOKUP(A:A,'Seam Tariffs'!A:AB,28,FALSE)</f>
        <v>2.4</v>
      </c>
      <c r="O291" s="69">
        <f>COSTS!$W$6</f>
        <v>1.8958333333333335</v>
      </c>
      <c r="P291" s="69">
        <f>VLOOKUP(G291,COSTS!$V$11:$X$14,3,FALSE)</f>
        <v>0</v>
      </c>
      <c r="Q291" s="69">
        <f t="shared" si="28"/>
        <v>25.24583333333333</v>
      </c>
      <c r="R291" s="69">
        <f t="shared" si="29"/>
        <v>14.045833333333334</v>
      </c>
      <c r="S291" s="87">
        <f>VLOOKUP(A:A,'Flat Bed &amp; Late Fees'!A:J,6,FALSE)</f>
        <v>0</v>
      </c>
      <c r="T291" s="87">
        <f>VLOOKUP(A:A,'Flat Bed &amp; Late Fees'!A:J,7,FALSE)</f>
        <v>0</v>
      </c>
      <c r="U291" s="68">
        <f>VLOOKUP(C291&amp;G291,OTR!E:J,6,FALSE)/88</f>
        <v>14.204545454545455</v>
      </c>
      <c r="V291" s="87"/>
      <c r="W291" s="68">
        <f t="shared" si="30"/>
        <v>14.204545454545455</v>
      </c>
      <c r="X291" s="69">
        <f>VLOOKUP(G291,COSTS!$Z$18:$AC$23,2,FALSE)</f>
        <v>2.7</v>
      </c>
      <c r="Y291" s="87">
        <f>VLOOKUP(G291,COSTS!$Z$18:$AC$23,4,FALSE)</f>
        <v>2.52</v>
      </c>
      <c r="Z291" s="69">
        <f>(COSTS!$W$3*COSTS!$W$4*500)/52*COSTS!$AE$17</f>
        <v>1.3125</v>
      </c>
      <c r="AB291" s="69">
        <f t="shared" si="31"/>
        <v>6.5325000000000006</v>
      </c>
      <c r="AC291" s="69">
        <f>VLOOKUP(G291,COSTS!$Z$11:$AE$14,5,FALSE)</f>
        <v>6.6477272727272725</v>
      </c>
      <c r="AD291" s="69">
        <f>VLOOKUP(G291,COSTS!$Z$4:$AD$7,4,FALSE)</f>
        <v>9.8977272727272734</v>
      </c>
      <c r="AE291" s="69"/>
      <c r="AF291" s="69">
        <f t="shared" si="32"/>
        <v>16.545454545454547</v>
      </c>
      <c r="AG291" s="87">
        <f>((COSTS!$C$5*88)/20)/88</f>
        <v>1.4407150000000002</v>
      </c>
      <c r="AH291" s="69">
        <f>(COSTS!$X$38/88)*20</f>
        <v>0.34865702479338845</v>
      </c>
      <c r="AI291" s="87">
        <f>((COSTS!$E$5*88)/20)/88</f>
        <v>0.62936587135988387</v>
      </c>
      <c r="AJ291" s="87">
        <f>((COSTS!$D$5*88)/20)/88</f>
        <v>0.33676</v>
      </c>
      <c r="AL291" s="387">
        <f t="shared" si="33"/>
        <v>2.7554978961532726</v>
      </c>
      <c r="AM291" s="69">
        <f>(COSTS!$W$3+0.1)*500*0.01</f>
        <v>3.9999999999999996</v>
      </c>
      <c r="AN291" s="387">
        <f>((COSTS!$G$5/20)*88)/88</f>
        <v>1.308904109589041</v>
      </c>
      <c r="AR291" s="69">
        <f t="shared" si="34"/>
        <v>5.3089041095890401</v>
      </c>
      <c r="AT291" s="1">
        <f>VLOOKUP(C291&amp;$AT$1,OTR!E:J,6,FALSE)/88</f>
        <v>17.055568181818181</v>
      </c>
      <c r="AU291" s="1" t="e">
        <f>VLOOKUP(C291&amp;$AU$1,OTR!E:J,6,FALSE)/88</f>
        <v>#N/A</v>
      </c>
    </row>
    <row r="292" spans="1:47">
      <c r="A292" s="1">
        <v>916710</v>
      </c>
      <c r="B292" s="1" t="s">
        <v>661</v>
      </c>
      <c r="C292" s="1" t="s">
        <v>662</v>
      </c>
      <c r="D292" s="1" t="s">
        <v>71</v>
      </c>
      <c r="E292" s="1" t="str">
        <f>VLOOKUP(A:A,'Regions and Ports'!A:G,5,FALSE)</f>
        <v>STEX</v>
      </c>
      <c r="F292" s="1" t="str">
        <f>VLOOKUP(A:A,'Regions and Ports'!A:F,6,FALSE)</f>
        <v>STX</v>
      </c>
      <c r="G292" s="1" t="str">
        <f>VLOOKUP(A:A,'Regions and Ports'!A:G,7,FALSE)</f>
        <v>Houston</v>
      </c>
      <c r="H292" s="87">
        <v>3</v>
      </c>
      <c r="I292" s="69">
        <f>VLOOKUP(A:A,'Seam Tariffs'!A:AB,9,FALSE)</f>
        <v>3.5</v>
      </c>
      <c r="J292" s="69">
        <f>VLOOKUP(A:A,'Seam Tariffs'!A:AB,11,FALSE)</f>
        <v>17.5</v>
      </c>
      <c r="K292" s="69">
        <f>VLOOKUP(A:A,'Seam Tariffs'!A:AB,12,FALSE)</f>
        <v>0</v>
      </c>
      <c r="L292" s="69">
        <f>VLOOKUP(A:A,'Seam Tariffs'!A:AB,13,FALSE)</f>
        <v>0</v>
      </c>
      <c r="M292" s="69">
        <f>VLOOKUP(A:A,'Seam Tariffs'!A:AB,14,FALSE)</f>
        <v>0</v>
      </c>
      <c r="N292" s="69">
        <f>VLOOKUP(A:A,'Seam Tariffs'!A:AB,28,FALSE)</f>
        <v>4</v>
      </c>
      <c r="O292" s="69">
        <f>COSTS!$W$6</f>
        <v>1.8958333333333335</v>
      </c>
      <c r="P292" s="69">
        <f>VLOOKUP(G292,COSTS!$V$11:$X$14,3,FALSE)</f>
        <v>0</v>
      </c>
      <c r="Q292" s="69">
        <f t="shared" si="28"/>
        <v>26.895833333333332</v>
      </c>
      <c r="R292" s="69">
        <f t="shared" si="29"/>
        <v>23.395833333333332</v>
      </c>
      <c r="S292" s="87">
        <f>VLOOKUP(A:A,'Flat Bed &amp; Late Fees'!A:J,6,FALSE)</f>
        <v>1</v>
      </c>
      <c r="T292" s="87">
        <f>VLOOKUP(A:A,'Flat Bed &amp; Late Fees'!A:J,7,FALSE)</f>
        <v>0</v>
      </c>
      <c r="U292" s="68">
        <f>VLOOKUP(C292&amp;G292,OTR!E:J,6,FALSE)/88</f>
        <v>12.926136363636363</v>
      </c>
      <c r="V292" s="87"/>
      <c r="W292" s="68">
        <f t="shared" si="30"/>
        <v>13.926136363636363</v>
      </c>
      <c r="X292" s="69">
        <f>VLOOKUP(G292,COSTS!$Z$18:$AC$23,2,FALSE)</f>
        <v>2.7</v>
      </c>
      <c r="Y292" s="87">
        <f>VLOOKUP(G292,COSTS!$Z$18:$AC$23,4,FALSE)</f>
        <v>2.52</v>
      </c>
      <c r="Z292" s="69">
        <f>(COSTS!$W$3*COSTS!$W$4*500)/52*COSTS!$AE$17</f>
        <v>1.3125</v>
      </c>
      <c r="AB292" s="69">
        <f t="shared" si="31"/>
        <v>6.5325000000000006</v>
      </c>
      <c r="AC292" s="69">
        <f>VLOOKUP(G292,COSTS!$Z$11:$AE$14,5,FALSE)</f>
        <v>6.6477272727272725</v>
      </c>
      <c r="AD292" s="69">
        <f>VLOOKUP(G292,COSTS!$Z$4:$AD$7,4,FALSE)</f>
        <v>9.8977272727272734</v>
      </c>
      <c r="AE292" s="69"/>
      <c r="AF292" s="69">
        <f t="shared" si="32"/>
        <v>16.545454545454547</v>
      </c>
      <c r="AG292" s="87">
        <f>((COSTS!$C$5*88)/20)/88</f>
        <v>1.4407150000000002</v>
      </c>
      <c r="AH292" s="69">
        <f>(COSTS!$X$38/88)*20</f>
        <v>0.34865702479338845</v>
      </c>
      <c r="AI292" s="87">
        <f>((COSTS!$E$5*88)/20)/88</f>
        <v>0.62936587135988387</v>
      </c>
      <c r="AJ292" s="87">
        <f>((COSTS!$D$5*88)/20)/88</f>
        <v>0.33676</v>
      </c>
      <c r="AL292" s="387">
        <f t="shared" si="33"/>
        <v>2.7554978961532726</v>
      </c>
      <c r="AM292" s="69">
        <f>(COSTS!$W$3+0.1)*500*0.01</f>
        <v>3.9999999999999996</v>
      </c>
      <c r="AN292" s="387">
        <f>((COSTS!$G$5/20)*88)/88</f>
        <v>1.308904109589041</v>
      </c>
      <c r="AR292" s="69">
        <f t="shared" si="34"/>
        <v>5.3089041095890401</v>
      </c>
      <c r="AT292" s="1" t="e">
        <f>VLOOKUP(C292&amp;$AT$1,OTR!E:J,6,FALSE)/88</f>
        <v>#N/A</v>
      </c>
      <c r="AU292" s="1" t="e">
        <f>VLOOKUP(C292&amp;$AU$1,OTR!E:J,6,FALSE)/88</f>
        <v>#N/A</v>
      </c>
    </row>
    <row r="293" spans="1:47">
      <c r="A293" s="1">
        <v>916711</v>
      </c>
      <c r="B293" s="1" t="s">
        <v>664</v>
      </c>
      <c r="C293" s="1" t="s">
        <v>662</v>
      </c>
      <c r="D293" s="1" t="s">
        <v>71</v>
      </c>
      <c r="E293" s="1" t="str">
        <f>VLOOKUP(A:A,'Regions and Ports'!A:G,5,FALSE)</f>
        <v>STEX</v>
      </c>
      <c r="F293" s="1" t="str">
        <f>VLOOKUP(A:A,'Regions and Ports'!A:F,6,FALSE)</f>
        <v>STX</v>
      </c>
      <c r="G293" s="1" t="str">
        <f>VLOOKUP(A:A,'Regions and Ports'!A:G,7,FALSE)</f>
        <v>Houston</v>
      </c>
      <c r="H293" s="87">
        <v>3</v>
      </c>
      <c r="I293" s="69">
        <f>VLOOKUP(A:A,'Seam Tariffs'!A:AB,9,FALSE)</f>
        <v>3.5</v>
      </c>
      <c r="J293" s="69">
        <f>VLOOKUP(A:A,'Seam Tariffs'!A:AB,11,FALSE)</f>
        <v>17.5</v>
      </c>
      <c r="K293" s="69">
        <f>VLOOKUP(A:A,'Seam Tariffs'!A:AB,12,FALSE)</f>
        <v>0</v>
      </c>
      <c r="L293" s="69">
        <f>VLOOKUP(A:A,'Seam Tariffs'!A:AB,13,FALSE)</f>
        <v>0</v>
      </c>
      <c r="M293" s="69">
        <f>VLOOKUP(A:A,'Seam Tariffs'!A:AB,14,FALSE)</f>
        <v>0</v>
      </c>
      <c r="N293" s="69">
        <f>VLOOKUP(A:A,'Seam Tariffs'!A:AB,28,FALSE)</f>
        <v>4</v>
      </c>
      <c r="O293" s="69">
        <f>COSTS!$W$6</f>
        <v>1.8958333333333335</v>
      </c>
      <c r="P293" s="69">
        <f>VLOOKUP(G293,COSTS!$V$11:$X$14,3,FALSE)</f>
        <v>0</v>
      </c>
      <c r="Q293" s="69">
        <f t="shared" si="28"/>
        <v>26.895833333333332</v>
      </c>
      <c r="R293" s="69">
        <f t="shared" si="29"/>
        <v>23.395833333333332</v>
      </c>
      <c r="S293" s="87">
        <f>VLOOKUP(A:A,'Flat Bed &amp; Late Fees'!A:J,6,FALSE)</f>
        <v>1</v>
      </c>
      <c r="T293" s="87">
        <f>VLOOKUP(A:A,'Flat Bed &amp; Late Fees'!A:J,7,FALSE)</f>
        <v>0</v>
      </c>
      <c r="U293" s="68">
        <f>VLOOKUP(C293&amp;G293,OTR!E:J,6,FALSE)/88</f>
        <v>12.926136363636363</v>
      </c>
      <c r="V293" s="87"/>
      <c r="W293" s="68">
        <f t="shared" si="30"/>
        <v>13.926136363636363</v>
      </c>
      <c r="X293" s="69">
        <f>VLOOKUP(G293,COSTS!$Z$18:$AC$23,2,FALSE)</f>
        <v>2.7</v>
      </c>
      <c r="Y293" s="87">
        <f>VLOOKUP(G293,COSTS!$Z$18:$AC$23,4,FALSE)</f>
        <v>2.52</v>
      </c>
      <c r="Z293" s="69">
        <f>(COSTS!$W$3*COSTS!$W$4*500)/52*COSTS!$AE$17</f>
        <v>1.3125</v>
      </c>
      <c r="AB293" s="69">
        <f t="shared" si="31"/>
        <v>6.5325000000000006</v>
      </c>
      <c r="AC293" s="69">
        <f>VLOOKUP(G293,COSTS!$Z$11:$AE$14,5,FALSE)</f>
        <v>6.6477272727272725</v>
      </c>
      <c r="AD293" s="69">
        <f>VLOOKUP(G293,COSTS!$Z$4:$AD$7,4,FALSE)</f>
        <v>9.8977272727272734</v>
      </c>
      <c r="AE293" s="69"/>
      <c r="AF293" s="69">
        <f t="shared" si="32"/>
        <v>16.545454545454547</v>
      </c>
      <c r="AG293" s="87">
        <f>((COSTS!$C$5*88)/20)/88</f>
        <v>1.4407150000000002</v>
      </c>
      <c r="AH293" s="69">
        <f>(COSTS!$X$38/88)*20</f>
        <v>0.34865702479338845</v>
      </c>
      <c r="AI293" s="87">
        <f>((COSTS!$E$5*88)/20)/88</f>
        <v>0.62936587135988387</v>
      </c>
      <c r="AJ293" s="87">
        <f>((COSTS!$D$5*88)/20)/88</f>
        <v>0.33676</v>
      </c>
      <c r="AL293" s="387">
        <f t="shared" si="33"/>
        <v>2.7554978961532726</v>
      </c>
      <c r="AM293" s="69">
        <f>(COSTS!$W$3+0.1)*500*0.01</f>
        <v>3.9999999999999996</v>
      </c>
      <c r="AN293" s="387">
        <f>((COSTS!$G$5/20)*88)/88</f>
        <v>1.308904109589041</v>
      </c>
      <c r="AR293" s="69">
        <f t="shared" si="34"/>
        <v>5.3089041095890401</v>
      </c>
      <c r="AT293" s="1" t="e">
        <f>VLOOKUP(C293&amp;$AT$1,OTR!E:J,6,FALSE)/88</f>
        <v>#N/A</v>
      </c>
      <c r="AU293" s="1" t="e">
        <f>VLOOKUP(C293&amp;$AU$1,OTR!E:J,6,FALSE)/88</f>
        <v>#N/A</v>
      </c>
    </row>
    <row r="294" spans="1:47">
      <c r="A294" s="1">
        <v>916712</v>
      </c>
      <c r="B294" s="1" t="s">
        <v>665</v>
      </c>
      <c r="C294" s="1" t="s">
        <v>662</v>
      </c>
      <c r="D294" s="1" t="s">
        <v>71</v>
      </c>
      <c r="E294" s="1" t="str">
        <f>VLOOKUP(A:A,'Regions and Ports'!A:G,5,FALSE)</f>
        <v>STEX</v>
      </c>
      <c r="F294" s="1" t="str">
        <f>VLOOKUP(A:A,'Regions and Ports'!A:F,6,FALSE)</f>
        <v>STX</v>
      </c>
      <c r="G294" s="1" t="str">
        <f>VLOOKUP(A:A,'Regions and Ports'!A:G,7,FALSE)</f>
        <v>Houston</v>
      </c>
      <c r="H294" s="87">
        <v>3</v>
      </c>
      <c r="I294" s="69">
        <f>VLOOKUP(A:A,'Seam Tariffs'!A:AB,9,FALSE)</f>
        <v>5.5</v>
      </c>
      <c r="J294" s="69">
        <f>VLOOKUP(A:A,'Seam Tariffs'!A:AB,11,FALSE)</f>
        <v>17.5</v>
      </c>
      <c r="K294" s="69">
        <f>VLOOKUP(A:A,'Seam Tariffs'!A:AB,12,FALSE)</f>
        <v>0</v>
      </c>
      <c r="L294" s="69">
        <f>VLOOKUP(A:A,'Seam Tariffs'!A:AB,13,FALSE)</f>
        <v>0</v>
      </c>
      <c r="M294" s="69">
        <f>VLOOKUP(A:A,'Seam Tariffs'!A:AB,14,FALSE)</f>
        <v>0</v>
      </c>
      <c r="N294" s="69">
        <f>VLOOKUP(A:A,'Seam Tariffs'!A:AB,28,FALSE)</f>
        <v>4</v>
      </c>
      <c r="O294" s="69">
        <f>COSTS!$W$6</f>
        <v>1.8958333333333335</v>
      </c>
      <c r="P294" s="69">
        <f>VLOOKUP(G294,COSTS!$V$11:$X$14,3,FALSE)</f>
        <v>0</v>
      </c>
      <c r="Q294" s="69">
        <f t="shared" si="28"/>
        <v>28.895833333333332</v>
      </c>
      <c r="R294" s="69">
        <f t="shared" si="29"/>
        <v>23.395833333333332</v>
      </c>
      <c r="S294" s="87">
        <f>VLOOKUP(A:A,'Flat Bed &amp; Late Fees'!A:J,6,FALSE)</f>
        <v>1</v>
      </c>
      <c r="T294" s="87">
        <f>VLOOKUP(A:A,'Flat Bed &amp; Late Fees'!A:J,7,FALSE)</f>
        <v>0</v>
      </c>
      <c r="U294" s="68">
        <f>VLOOKUP(C294&amp;G294,OTR!E:J,6,FALSE)/88</f>
        <v>12.926136363636363</v>
      </c>
      <c r="V294" s="87"/>
      <c r="W294" s="68">
        <f t="shared" si="30"/>
        <v>13.926136363636363</v>
      </c>
      <c r="X294" s="69">
        <f>VLOOKUP(G294,COSTS!$Z$18:$AC$23,2,FALSE)</f>
        <v>2.7</v>
      </c>
      <c r="Y294" s="87">
        <f>VLOOKUP(G294,COSTS!$Z$18:$AC$23,4,FALSE)</f>
        <v>2.52</v>
      </c>
      <c r="Z294" s="69">
        <f>(COSTS!$W$3*COSTS!$W$4*500)/52*COSTS!$AE$17</f>
        <v>1.3125</v>
      </c>
      <c r="AB294" s="69">
        <f t="shared" si="31"/>
        <v>6.5325000000000006</v>
      </c>
      <c r="AC294" s="69">
        <f>VLOOKUP(G294,COSTS!$Z$11:$AE$14,5,FALSE)</f>
        <v>6.6477272727272725</v>
      </c>
      <c r="AD294" s="69">
        <f>VLOOKUP(G294,COSTS!$Z$4:$AD$7,4,FALSE)</f>
        <v>9.8977272727272734</v>
      </c>
      <c r="AE294" s="69"/>
      <c r="AF294" s="69">
        <f t="shared" si="32"/>
        <v>16.545454545454547</v>
      </c>
      <c r="AG294" s="87">
        <f>((COSTS!$C$5*88)/20)/88</f>
        <v>1.4407150000000002</v>
      </c>
      <c r="AH294" s="69">
        <f>(COSTS!$X$38/88)*20</f>
        <v>0.34865702479338845</v>
      </c>
      <c r="AI294" s="87">
        <f>((COSTS!$E$5*88)/20)/88</f>
        <v>0.62936587135988387</v>
      </c>
      <c r="AJ294" s="87">
        <f>((COSTS!$D$5*88)/20)/88</f>
        <v>0.33676</v>
      </c>
      <c r="AL294" s="387">
        <f t="shared" si="33"/>
        <v>2.7554978961532726</v>
      </c>
      <c r="AM294" s="69">
        <f>(COSTS!$W$3+0.1)*500*0.01</f>
        <v>3.9999999999999996</v>
      </c>
      <c r="AN294" s="387">
        <f>((COSTS!$G$5/20)*88)/88</f>
        <v>1.308904109589041</v>
      </c>
      <c r="AR294" s="69">
        <f t="shared" si="34"/>
        <v>5.3089041095890401</v>
      </c>
      <c r="AT294" s="1" t="e">
        <f>VLOOKUP(C294&amp;$AT$1,OTR!E:J,6,FALSE)/88</f>
        <v>#N/A</v>
      </c>
      <c r="AU294" s="1" t="e">
        <f>VLOOKUP(C294&amp;$AU$1,OTR!E:J,6,FALSE)/88</f>
        <v>#N/A</v>
      </c>
    </row>
    <row r="295" spans="1:47">
      <c r="A295" s="1">
        <v>416010</v>
      </c>
      <c r="B295" s="1" t="s">
        <v>666</v>
      </c>
      <c r="C295" s="1" t="s">
        <v>667</v>
      </c>
      <c r="D295" s="1" t="s">
        <v>80</v>
      </c>
      <c r="E295" s="1" t="str">
        <f>VLOOKUP(A:A,'Regions and Ports'!A:G,5,FALSE)</f>
        <v>Memphis Rule 5</v>
      </c>
      <c r="F295" s="1" t="str">
        <f>VLOOKUP(A:A,'Regions and Ports'!A:F,6,FALSE)</f>
        <v>MR5</v>
      </c>
      <c r="G295" s="1" t="str">
        <f>VLOOKUP(A:A,'Regions and Ports'!A:G,7,FALSE)</f>
        <v>Houston</v>
      </c>
      <c r="H295" s="87">
        <v>1</v>
      </c>
      <c r="I295" s="69">
        <f>VLOOKUP(A:A,'Seam Tariffs'!A:AB,9,FALSE)</f>
        <v>2.4</v>
      </c>
      <c r="J295" s="69">
        <f>VLOOKUP(A:A,'Seam Tariffs'!A:AB,11,FALSE)</f>
        <v>4</v>
      </c>
      <c r="K295" s="69">
        <f>VLOOKUP(A:A,'Seam Tariffs'!A:AB,12,FALSE)</f>
        <v>7</v>
      </c>
      <c r="L295" s="69">
        <f>VLOOKUP(A:A,'Seam Tariffs'!A:AB,13,FALSE)</f>
        <v>3.05</v>
      </c>
      <c r="M295" s="69">
        <f>VLOOKUP(A:A,'Seam Tariffs'!A:AB,14,FALSE)</f>
        <v>0</v>
      </c>
      <c r="N295" s="69">
        <f>VLOOKUP(A:A,'Seam Tariffs'!A:AB,28,FALSE)</f>
        <v>3</v>
      </c>
      <c r="O295" s="69">
        <f>COSTS!$W$6</f>
        <v>1.8958333333333335</v>
      </c>
      <c r="P295" s="69">
        <f>VLOOKUP(G295,COSTS!$V$11:$X$14,3,FALSE)</f>
        <v>0</v>
      </c>
      <c r="Q295" s="69">
        <f t="shared" si="28"/>
        <v>21.345833333333331</v>
      </c>
      <c r="R295" s="69">
        <f t="shared" si="29"/>
        <v>4.8958333333333339</v>
      </c>
      <c r="S295" s="87">
        <f>VLOOKUP(A:A,'Flat Bed &amp; Late Fees'!A:J,6,FALSE)</f>
        <v>0</v>
      </c>
      <c r="T295" s="87">
        <f>VLOOKUP(A:A,'Flat Bed &amp; Late Fees'!A:J,7,FALSE)</f>
        <v>0</v>
      </c>
      <c r="U295" s="68">
        <f>VLOOKUP(C295&amp;G295,OTR!E:J,6,FALSE)/88</f>
        <v>17.1875</v>
      </c>
      <c r="V295" s="87"/>
      <c r="W295" s="68">
        <f t="shared" si="30"/>
        <v>17.1875</v>
      </c>
      <c r="X295" s="69">
        <f>VLOOKUP(G295,COSTS!$Z$18:$AC$23,2,FALSE)</f>
        <v>2.7</v>
      </c>
      <c r="Y295" s="87">
        <f>VLOOKUP(G295,COSTS!$Z$18:$AC$23,4,FALSE)</f>
        <v>2.52</v>
      </c>
      <c r="Z295" s="69">
        <f>(COSTS!$W$3*COSTS!$W$4*500)/52*COSTS!$AE$17</f>
        <v>1.3125</v>
      </c>
      <c r="AB295" s="69">
        <f t="shared" si="31"/>
        <v>6.5325000000000006</v>
      </c>
      <c r="AC295" s="69">
        <f>VLOOKUP(G295,COSTS!$Z$11:$AE$14,5,FALSE)</f>
        <v>6.6477272727272725</v>
      </c>
      <c r="AD295" s="69">
        <f>VLOOKUP(G295,COSTS!$Z$4:$AD$7,4,FALSE)</f>
        <v>9.8977272727272734</v>
      </c>
      <c r="AE295" s="69"/>
      <c r="AF295" s="69">
        <f t="shared" si="32"/>
        <v>16.545454545454547</v>
      </c>
      <c r="AG295" s="87">
        <f>((COSTS!$C$5*88)/20)/88</f>
        <v>1.4407150000000002</v>
      </c>
      <c r="AH295" s="69">
        <f>(COSTS!$X$38/88)*20</f>
        <v>0.34865702479338845</v>
      </c>
      <c r="AI295" s="87">
        <f>((COSTS!$E$5*88)/20)/88</f>
        <v>0.62936587135988387</v>
      </c>
      <c r="AJ295" s="87">
        <f>((COSTS!$D$5*88)/20)/88</f>
        <v>0.33676</v>
      </c>
      <c r="AL295" s="387">
        <f t="shared" si="33"/>
        <v>2.7554978961532726</v>
      </c>
      <c r="AM295" s="69">
        <f>(COSTS!$W$3+0.1)*500*0.01</f>
        <v>3.9999999999999996</v>
      </c>
      <c r="AN295" s="387">
        <f>((COSTS!$G$5/20)*88)/88</f>
        <v>1.308904109589041</v>
      </c>
      <c r="AR295" s="69">
        <f t="shared" si="34"/>
        <v>5.3089041095890401</v>
      </c>
      <c r="AT295" s="1">
        <f>VLOOKUP(C295&amp;$AT$1,OTR!E:J,6,FALSE)/88</f>
        <v>18.17715909090909</v>
      </c>
      <c r="AU295" s="1">
        <f>VLOOKUP(C295&amp;$AU$1,OTR!E:J,6,FALSE)/88</f>
        <v>24.926136363636363</v>
      </c>
    </row>
    <row r="296" spans="1:47">
      <c r="A296" s="1">
        <v>316751</v>
      </c>
      <c r="B296" s="1" t="s">
        <v>669</v>
      </c>
      <c r="C296" s="1" t="s">
        <v>670</v>
      </c>
      <c r="D296" s="1" t="s">
        <v>76</v>
      </c>
      <c r="E296" s="1" t="str">
        <f>VLOOKUP(A:A,'Regions and Ports'!A:G,5,FALSE)</f>
        <v>GA 30 Day</v>
      </c>
      <c r="F296" s="1" t="str">
        <f>VLOOKUP(A:A,'Regions and Ports'!A:F,6,FALSE)</f>
        <v>ER5</v>
      </c>
      <c r="G296" s="1" t="str">
        <f>VLOOKUP(A:A,'Regions and Ports'!A:G,7,FALSE)</f>
        <v>Savannah</v>
      </c>
      <c r="H296" s="87">
        <v>4</v>
      </c>
      <c r="I296" s="69">
        <f>VLOOKUP(A:A,'Seam Tariffs'!A:AB,9,FALSE)</f>
        <v>3</v>
      </c>
      <c r="J296" s="69">
        <f>VLOOKUP(A:A,'Seam Tariffs'!A:AB,11,FALSE)</f>
        <v>4</v>
      </c>
      <c r="K296" s="69">
        <f>VLOOKUP(A:A,'Seam Tariffs'!A:AB,12,FALSE)</f>
        <v>0</v>
      </c>
      <c r="L296" s="69">
        <f>VLOOKUP(A:A,'Seam Tariffs'!A:AB,13,FALSE)</f>
        <v>0</v>
      </c>
      <c r="M296" s="69">
        <f>VLOOKUP(A:A,'Seam Tariffs'!A:AB,14,FALSE)</f>
        <v>0</v>
      </c>
      <c r="N296" s="69">
        <f>VLOOKUP(A:A,'Seam Tariffs'!A:AB,28,FALSE)</f>
        <v>3.5999999999999996</v>
      </c>
      <c r="O296" s="69">
        <f>COSTS!$W$6</f>
        <v>1.8958333333333335</v>
      </c>
      <c r="P296" s="69">
        <f>VLOOKUP(G296,COSTS!$V$11:$X$14,3,FALSE)</f>
        <v>0</v>
      </c>
      <c r="Q296" s="69">
        <f t="shared" si="28"/>
        <v>12.495833333333334</v>
      </c>
      <c r="R296" s="69">
        <f t="shared" si="29"/>
        <v>1.8958333333333335</v>
      </c>
      <c r="S296" s="87">
        <f>VLOOKUP(A:A,'Flat Bed &amp; Late Fees'!A:J,6,FALSE)</f>
        <v>0</v>
      </c>
      <c r="T296" s="87">
        <f>VLOOKUP(A:A,'Flat Bed &amp; Late Fees'!A:J,7,FALSE)</f>
        <v>0</v>
      </c>
      <c r="U296" s="68">
        <f>VLOOKUP(C296&amp;G296,OTR!E:J,6,FALSE)/88</f>
        <v>5.4741193181818177</v>
      </c>
      <c r="V296" s="87"/>
      <c r="W296" s="68">
        <f t="shared" si="30"/>
        <v>5.4741193181818177</v>
      </c>
      <c r="X296" s="69">
        <f>VLOOKUP(G296,COSTS!$Z$18:$AC$23,2,FALSE)</f>
        <v>2.6</v>
      </c>
      <c r="Y296" s="87">
        <f>VLOOKUP(G296,COSTS!$Z$18:$AC$23,4,FALSE)</f>
        <v>2.52</v>
      </c>
      <c r="Z296" s="69">
        <f>(COSTS!$W$3*COSTS!$W$4*500)/52*COSTS!$AE$17</f>
        <v>1.3125</v>
      </c>
      <c r="AB296" s="69">
        <f t="shared" si="31"/>
        <v>6.4325000000000001</v>
      </c>
      <c r="AC296" s="69">
        <f>VLOOKUP(G296,COSTS!$Z$11:$AE$14,5,FALSE)</f>
        <v>5.5113636363636367</v>
      </c>
      <c r="AD296" s="69">
        <f>VLOOKUP(G296,COSTS!$Z$4:$AD$7,4,FALSE)</f>
        <v>5.3522727272727275</v>
      </c>
      <c r="AE296" s="69"/>
      <c r="AF296" s="69">
        <f t="shared" si="32"/>
        <v>10.863636363636363</v>
      </c>
      <c r="AG296" s="87">
        <f>((COSTS!$C$5*88)/20)/88</f>
        <v>1.4407150000000002</v>
      </c>
      <c r="AH296" s="69">
        <f>(COSTS!$X$38/88)*20</f>
        <v>0.34865702479338845</v>
      </c>
      <c r="AI296" s="87">
        <f>((COSTS!$E$5*88)/20)/88</f>
        <v>0.62936587135988387</v>
      </c>
      <c r="AJ296" s="87">
        <f>((COSTS!$D$5*88)/20)/88</f>
        <v>0.33676</v>
      </c>
      <c r="AL296" s="387">
        <f t="shared" si="33"/>
        <v>2.7554978961532726</v>
      </c>
      <c r="AM296" s="69">
        <f>(COSTS!$W$3+0.1)*500*0.01</f>
        <v>3.9999999999999996</v>
      </c>
      <c r="AN296" s="387">
        <f>((COSTS!$G$5/20)*88)/88</f>
        <v>1.308904109589041</v>
      </c>
      <c r="AR296" s="69">
        <f t="shared" si="34"/>
        <v>5.3089041095890401</v>
      </c>
      <c r="AT296" s="1" t="e">
        <f>VLOOKUP(C296&amp;$AT$1,OTR!E:J,6,FALSE)/88</f>
        <v>#N/A</v>
      </c>
      <c r="AU296" s="1">
        <f>VLOOKUP(C296&amp;$AU$1,OTR!E:J,6,FALSE)/88</f>
        <v>13.096590909090908</v>
      </c>
    </row>
    <row r="297" spans="1:47">
      <c r="A297" s="1">
        <v>596010</v>
      </c>
      <c r="B297" s="1" t="s">
        <v>672</v>
      </c>
      <c r="C297" s="1" t="s">
        <v>673</v>
      </c>
      <c r="D297" s="1" t="s">
        <v>136</v>
      </c>
      <c r="E297" s="1" t="str">
        <f>VLOOKUP(A:A,'Regions and Ports'!A:G,5,FALSE)</f>
        <v>Eastern Rule 5</v>
      </c>
      <c r="F297" s="1" t="str">
        <f>VLOOKUP(A:A,'Regions and Ports'!A:F,6,FALSE)</f>
        <v>ER5</v>
      </c>
      <c r="G297" s="1" t="str">
        <f>VLOOKUP(A:A,'Regions and Ports'!A:G,7,FALSE)</f>
        <v>Savannah</v>
      </c>
      <c r="H297" s="87">
        <v>1</v>
      </c>
      <c r="I297" s="69">
        <f>VLOOKUP(A:A,'Seam Tariffs'!A:AB,9,FALSE)</f>
        <v>3.5</v>
      </c>
      <c r="J297" s="69">
        <f>VLOOKUP(A:A,'Seam Tariffs'!A:AB,11,FALSE)</f>
        <v>5</v>
      </c>
      <c r="K297" s="69">
        <f>VLOOKUP(A:A,'Seam Tariffs'!A:AB,12,FALSE)</f>
        <v>0</v>
      </c>
      <c r="L297" s="69">
        <f>VLOOKUP(A:A,'Seam Tariffs'!A:AB,13,FALSE)</f>
        <v>0</v>
      </c>
      <c r="M297" s="69">
        <f>VLOOKUP(A:A,'Seam Tariffs'!A:AB,14,FALSE)</f>
        <v>1</v>
      </c>
      <c r="N297" s="69">
        <f>VLOOKUP(A:A,'Seam Tariffs'!A:AB,28,FALSE)</f>
        <v>2.5</v>
      </c>
      <c r="O297" s="69">
        <f>COSTS!$W$6</f>
        <v>1.8958333333333335</v>
      </c>
      <c r="P297" s="69">
        <f>VLOOKUP(G297,COSTS!$V$11:$X$14,3,FALSE)</f>
        <v>0</v>
      </c>
      <c r="Q297" s="69">
        <f t="shared" si="28"/>
        <v>13.895833333333334</v>
      </c>
      <c r="R297" s="69">
        <f t="shared" si="29"/>
        <v>4.3958333333333339</v>
      </c>
      <c r="S297" s="87">
        <f>VLOOKUP(A:A,'Flat Bed &amp; Late Fees'!A:J,6,FALSE)</f>
        <v>0</v>
      </c>
      <c r="T297" s="87">
        <f>VLOOKUP(A:A,'Flat Bed &amp; Late Fees'!A:J,7,FALSE)</f>
        <v>0</v>
      </c>
      <c r="U297" s="68">
        <f>VLOOKUP(C297&amp;G297,OTR!E:J,6,FALSE)/88</f>
        <v>14.690255681818183</v>
      </c>
      <c r="V297" s="87"/>
      <c r="W297" s="68">
        <f t="shared" si="30"/>
        <v>14.690255681818183</v>
      </c>
      <c r="X297" s="69">
        <f>VLOOKUP(G297,COSTS!$Z$18:$AC$23,2,FALSE)</f>
        <v>2.6</v>
      </c>
      <c r="Y297" s="87">
        <f>VLOOKUP(G297,COSTS!$Z$18:$AC$23,4,FALSE)</f>
        <v>2.52</v>
      </c>
      <c r="Z297" s="69">
        <f>(COSTS!$W$3*COSTS!$W$4*500)/52*COSTS!$AE$17</f>
        <v>1.3125</v>
      </c>
      <c r="AB297" s="69">
        <f t="shared" si="31"/>
        <v>6.4325000000000001</v>
      </c>
      <c r="AC297" s="69">
        <f>VLOOKUP(G297,COSTS!$Z$11:$AE$14,5,FALSE)</f>
        <v>5.5113636363636367</v>
      </c>
      <c r="AD297" s="69">
        <f>VLOOKUP(G297,COSTS!$Z$4:$AD$7,4,FALSE)</f>
        <v>5.3522727272727275</v>
      </c>
      <c r="AE297" s="69"/>
      <c r="AF297" s="69">
        <f t="shared" si="32"/>
        <v>10.863636363636363</v>
      </c>
      <c r="AG297" s="87">
        <f>((COSTS!$C$5*88)/20)/88</f>
        <v>1.4407150000000002</v>
      </c>
      <c r="AH297" s="69">
        <f>(COSTS!$X$38/88)*20</f>
        <v>0.34865702479338845</v>
      </c>
      <c r="AI297" s="87">
        <f>((COSTS!$E$5*88)/20)/88</f>
        <v>0.62936587135988387</v>
      </c>
      <c r="AJ297" s="87">
        <f>((COSTS!$D$5*88)/20)/88</f>
        <v>0.33676</v>
      </c>
      <c r="AL297" s="387">
        <f t="shared" si="33"/>
        <v>2.7554978961532726</v>
      </c>
      <c r="AM297" s="69">
        <f>(COSTS!$W$3+0.1)*500*0.01</f>
        <v>3.9999999999999996</v>
      </c>
      <c r="AN297" s="387">
        <f>((COSTS!$G$5/20)*88)/88</f>
        <v>1.308904109589041</v>
      </c>
      <c r="AR297" s="69">
        <f t="shared" si="34"/>
        <v>5.3089041095890401</v>
      </c>
      <c r="AT297" s="1" t="e">
        <f>VLOOKUP(C297&amp;$AT$1,OTR!E:J,6,FALSE)/88</f>
        <v>#N/A</v>
      </c>
      <c r="AU297" s="1">
        <f>VLOOKUP(C297&amp;$AU$1,OTR!E:J,6,FALSE)/88</f>
        <v>12.414772727272727</v>
      </c>
    </row>
    <row r="298" spans="1:47">
      <c r="A298" s="1">
        <v>925012</v>
      </c>
      <c r="B298" s="1" t="s">
        <v>83</v>
      </c>
      <c r="C298" s="1" t="s">
        <v>674</v>
      </c>
      <c r="D298" s="1" t="s">
        <v>71</v>
      </c>
      <c r="E298" s="1" t="str">
        <f>VLOOKUP(A:A,'Regions and Ports'!A:G,5,FALSE)</f>
        <v>WTX</v>
      </c>
      <c r="F298" s="1" t="str">
        <f>VLOOKUP(A:A,'Regions and Ports'!A:F,6,FALSE)</f>
        <v>WTX</v>
      </c>
      <c r="G298" s="1" t="str">
        <f>VLOOKUP(A:A,'Regions and Ports'!A:G,7,FALSE)</f>
        <v>Dallas</v>
      </c>
      <c r="H298" s="87">
        <v>2</v>
      </c>
      <c r="I298" s="69">
        <f>VLOOKUP(A:A,'Seam Tariffs'!A:AB,9,FALSE)</f>
        <v>5.15</v>
      </c>
      <c r="J298" s="69">
        <f>VLOOKUP(A:A,'Seam Tariffs'!A:AB,11,FALSE)</f>
        <v>6.25</v>
      </c>
      <c r="K298" s="69">
        <f>VLOOKUP(A:A,'Seam Tariffs'!A:AB,12,FALSE)</f>
        <v>12</v>
      </c>
      <c r="L298" s="69">
        <f>VLOOKUP(A:A,'Seam Tariffs'!A:AB,13,FALSE)</f>
        <v>0</v>
      </c>
      <c r="M298" s="69">
        <f>VLOOKUP(A:A,'Seam Tariffs'!A:AB,14,FALSE)</f>
        <v>0</v>
      </c>
      <c r="N298" s="69">
        <f>VLOOKUP(A:A,'Seam Tariffs'!A:AB,28,FALSE)</f>
        <v>1.9500000000000002</v>
      </c>
      <c r="O298" s="69">
        <f>COSTS!$W$6</f>
        <v>1.8958333333333335</v>
      </c>
      <c r="P298" s="69">
        <f>VLOOKUP(G298,COSTS!$V$11:$X$14,3,FALSE)</f>
        <v>0</v>
      </c>
      <c r="Q298" s="69">
        <f t="shared" si="28"/>
        <v>27.24583333333333</v>
      </c>
      <c r="R298" s="69">
        <f t="shared" si="29"/>
        <v>15.845833333333333</v>
      </c>
      <c r="S298" s="87">
        <f>VLOOKUP(A:A,'Flat Bed &amp; Late Fees'!A:J,6,FALSE)</f>
        <v>1</v>
      </c>
      <c r="T298" s="87">
        <f>VLOOKUP(A:A,'Flat Bed &amp; Late Fees'!A:J,7,FALSE)</f>
        <v>0.25</v>
      </c>
      <c r="U298" s="68">
        <f>VLOOKUP(C298&amp;G298,OTR!E:J,6,FALSE)/88</f>
        <v>7.3863636363636367</v>
      </c>
      <c r="V298" s="87"/>
      <c r="W298" s="68">
        <f t="shared" si="30"/>
        <v>8.6363636363636367</v>
      </c>
      <c r="X298" s="69">
        <f>VLOOKUP(G298,COSTS!$Z$18:$AC$23,2,FALSE)</f>
        <v>2.7</v>
      </c>
      <c r="Y298" s="87">
        <f>VLOOKUP(G298,COSTS!$Z$18:$AC$23,4,FALSE)</f>
        <v>2.52</v>
      </c>
      <c r="Z298" s="69">
        <f>(COSTS!$W$3*COSTS!$W$4*500)/52*COSTS!$AE$17</f>
        <v>1.3125</v>
      </c>
      <c r="AB298" s="69">
        <f t="shared" si="31"/>
        <v>6.5325000000000006</v>
      </c>
      <c r="AC298" s="69">
        <f>VLOOKUP(G298,COSTS!$Z$11:$AE$14,5,FALSE)</f>
        <v>8.125</v>
      </c>
      <c r="AD298" s="69">
        <f>VLOOKUP(G298,COSTS!$Z$4:$AD$7,4,FALSE)</f>
        <v>13.409090909090908</v>
      </c>
      <c r="AE298" s="69"/>
      <c r="AF298" s="69">
        <f t="shared" si="32"/>
        <v>21.534090909090907</v>
      </c>
      <c r="AG298" s="87">
        <f>((COSTS!$C$5*88)/20)/88</f>
        <v>1.4407150000000002</v>
      </c>
      <c r="AH298" s="69">
        <f>(COSTS!$X$38/88)*20</f>
        <v>0.34865702479338845</v>
      </c>
      <c r="AI298" s="87">
        <f>((COSTS!$E$5*88)/20)/88</f>
        <v>0.62936587135988387</v>
      </c>
      <c r="AJ298" s="87">
        <f>((COSTS!$D$5*88)/20)/88</f>
        <v>0.33676</v>
      </c>
      <c r="AL298" s="387">
        <f t="shared" si="33"/>
        <v>2.7554978961532726</v>
      </c>
      <c r="AM298" s="69">
        <f>(COSTS!$W$3+0.1)*500*0.01</f>
        <v>3.9999999999999996</v>
      </c>
      <c r="AN298" s="387">
        <f>((COSTS!$G$5/20)*88)/88</f>
        <v>1.308904109589041</v>
      </c>
      <c r="AR298" s="69">
        <f t="shared" si="34"/>
        <v>5.3089041095890401</v>
      </c>
      <c r="AT298" s="1">
        <f>VLOOKUP(C298&amp;$AT$1,OTR!E:J,6,FALSE)/88</f>
        <v>16.126249999999999</v>
      </c>
      <c r="AU298" s="1" t="e">
        <f>VLOOKUP(C298&amp;$AU$1,OTR!E:J,6,FALSE)/88</f>
        <v>#N/A</v>
      </c>
    </row>
    <row r="299" spans="1:47">
      <c r="A299" s="125">
        <v>925012</v>
      </c>
      <c r="B299" s="1" t="s">
        <v>83</v>
      </c>
      <c r="C299" s="1" t="s">
        <v>674</v>
      </c>
      <c r="D299" s="1" t="s">
        <v>71</v>
      </c>
      <c r="E299" s="1" t="s">
        <v>2067</v>
      </c>
      <c r="F299" s="1" t="str">
        <f>VLOOKUP(A:A,'Regions and Ports'!A:F,6,FALSE)</f>
        <v>WTX</v>
      </c>
      <c r="G299" s="1" t="s">
        <v>439</v>
      </c>
      <c r="H299" s="87">
        <v>2</v>
      </c>
      <c r="I299" s="69">
        <f>VLOOKUP(A:A,'Seam Tariffs'!A:AB,9,FALSE)</f>
        <v>5.15</v>
      </c>
      <c r="J299" s="69">
        <f>VLOOKUP(A:A,'Seam Tariffs'!A:AB,11,FALSE)</f>
        <v>6.25</v>
      </c>
      <c r="K299" s="69">
        <f>VLOOKUP(A:A,'Seam Tariffs'!A:AB,12,FALSE)</f>
        <v>12</v>
      </c>
      <c r="L299" s="69">
        <f>VLOOKUP(A:A,'Seam Tariffs'!A:AB,13,FALSE)</f>
        <v>0</v>
      </c>
      <c r="M299" s="69">
        <f>VLOOKUP(A:A,'Seam Tariffs'!A:AB,14,FALSE)</f>
        <v>0</v>
      </c>
      <c r="N299" s="69">
        <f>VLOOKUP(A:A,'Seam Tariffs'!A:AB,28,FALSE)</f>
        <v>1.9500000000000002</v>
      </c>
      <c r="O299" s="69">
        <f>COSTS!$W$6</f>
        <v>1.8958333333333335</v>
      </c>
      <c r="P299" s="69">
        <f>VLOOKUP(G299,COSTS!$V$11:$X$14,3,FALSE)</f>
        <v>0</v>
      </c>
      <c r="Q299" s="69">
        <f t="shared" si="28"/>
        <v>27.24583333333333</v>
      </c>
      <c r="R299" s="69">
        <f t="shared" si="29"/>
        <v>15.845833333333333</v>
      </c>
      <c r="S299" s="87">
        <f>VLOOKUP(A:A,'Flat Bed &amp; Late Fees'!A:J,6,FALSE)</f>
        <v>1</v>
      </c>
      <c r="T299" s="87">
        <f>VLOOKUP(A:A,'Flat Bed &amp; Late Fees'!A:J,7,FALSE)</f>
        <v>0.25</v>
      </c>
      <c r="U299" s="68">
        <f>VLOOKUP(C299&amp;G299,OTR!E:J,6,FALSE)/88</f>
        <v>11.647727272727273</v>
      </c>
      <c r="V299" s="87"/>
      <c r="W299" s="68">
        <f t="shared" si="30"/>
        <v>12.897727272727273</v>
      </c>
      <c r="X299" s="69">
        <f>VLOOKUP(G299,COSTS!$Z$18:$AC$23,2,FALSE)</f>
        <v>2.7</v>
      </c>
      <c r="Y299" s="87">
        <f>VLOOKUP(G299,COSTS!$Z$18:$AC$23,4,FALSE)</f>
        <v>2.52</v>
      </c>
      <c r="Z299" s="69">
        <f>(COSTS!$W$3*COSTS!$W$4*500)/52*COSTS!$AE$17</f>
        <v>1.3125</v>
      </c>
      <c r="AB299" s="69">
        <f t="shared" si="31"/>
        <v>6.5325000000000006</v>
      </c>
      <c r="AC299" s="69">
        <f>VLOOKUP(G299,COSTS!$Z$11:$AE$14,5,FALSE)</f>
        <v>6.6477272727272725</v>
      </c>
      <c r="AD299" s="69">
        <f>VLOOKUP(G299,COSTS!$Z$4:$AD$7,4,FALSE)</f>
        <v>9.8977272727272734</v>
      </c>
      <c r="AE299" s="69"/>
      <c r="AF299" s="69">
        <f t="shared" si="32"/>
        <v>16.545454545454547</v>
      </c>
      <c r="AG299" s="87">
        <f>((COSTS!$C$5*88)/20)/88</f>
        <v>1.4407150000000002</v>
      </c>
      <c r="AH299" s="69">
        <f>(COSTS!$X$38/88)*20</f>
        <v>0.34865702479338845</v>
      </c>
      <c r="AI299" s="87">
        <f>((COSTS!$E$5*88)/20)/88</f>
        <v>0.62936587135988387</v>
      </c>
      <c r="AJ299" s="87">
        <f>((COSTS!$D$5*88)/20)/88</f>
        <v>0.33676</v>
      </c>
      <c r="AL299" s="387">
        <f t="shared" si="33"/>
        <v>2.7554978961532726</v>
      </c>
      <c r="AM299" s="69">
        <f>(COSTS!$W$3+0.1)*500*0.01</f>
        <v>3.9999999999999996</v>
      </c>
      <c r="AN299" s="387">
        <f>((COSTS!$G$5/20)*88)/88</f>
        <v>1.308904109589041</v>
      </c>
      <c r="AR299" s="69">
        <f t="shared" si="34"/>
        <v>5.3089041095890401</v>
      </c>
      <c r="AT299" s="1">
        <f>VLOOKUP(C299&amp;$AT$1,OTR!E:J,6,FALSE)/88</f>
        <v>16.126249999999999</v>
      </c>
      <c r="AU299" s="1" t="e">
        <f>VLOOKUP(C299&amp;$AU$1,OTR!E:J,6,FALSE)/88</f>
        <v>#N/A</v>
      </c>
    </row>
    <row r="300" spans="1:47">
      <c r="A300" s="1">
        <v>466466</v>
      </c>
      <c r="B300" s="1" t="s">
        <v>676</v>
      </c>
      <c r="C300" s="1" t="s">
        <v>677</v>
      </c>
      <c r="D300" s="1" t="s">
        <v>128</v>
      </c>
      <c r="E300" s="1" t="str">
        <f>VLOOKUP(A:A,'Regions and Ports'!A:G,5,FALSE)</f>
        <v>Memphis Rule 5</v>
      </c>
      <c r="F300" s="1" t="str">
        <f>VLOOKUP(A:A,'Regions and Ports'!A:F,6,FALSE)</f>
        <v>MR5</v>
      </c>
      <c r="G300" s="1" t="str">
        <f>VLOOKUP(A:A,'Regions and Ports'!A:G,7,FALSE)</f>
        <v>Memphis</v>
      </c>
      <c r="H300" s="87">
        <v>1</v>
      </c>
      <c r="I300" s="69">
        <f>VLOOKUP(A:A,'Seam Tariffs'!A:AB,9,FALSE)</f>
        <v>5</v>
      </c>
      <c r="J300" s="69">
        <f>VLOOKUP(A:A,'Seam Tariffs'!A:AB,11,FALSE)</f>
        <v>5</v>
      </c>
      <c r="K300" s="69">
        <f>VLOOKUP(A:A,'Seam Tariffs'!A:AB,12,FALSE)</f>
        <v>0</v>
      </c>
      <c r="L300" s="69">
        <f>VLOOKUP(A:A,'Seam Tariffs'!A:AB,13,FALSE)</f>
        <v>3.05</v>
      </c>
      <c r="M300" s="69">
        <f>VLOOKUP(A:A,'Seam Tariffs'!A:AB,14,FALSE)</f>
        <v>0</v>
      </c>
      <c r="N300" s="69">
        <f>VLOOKUP(A:A,'Seam Tariffs'!A:AB,28,FALSE)</f>
        <v>2.5</v>
      </c>
      <c r="O300" s="69">
        <f>COSTS!$W$6</f>
        <v>1.8958333333333335</v>
      </c>
      <c r="P300" s="69">
        <f>VLOOKUP(G300,COSTS!$V$11:$X$14,3,FALSE)</f>
        <v>0</v>
      </c>
      <c r="Q300" s="69">
        <f t="shared" si="28"/>
        <v>17.445833333333333</v>
      </c>
      <c r="R300" s="69">
        <f t="shared" si="29"/>
        <v>4.3958333333333339</v>
      </c>
      <c r="S300" s="87">
        <f>VLOOKUP(A:A,'Flat Bed &amp; Late Fees'!A:J,6,FALSE)</f>
        <v>0</v>
      </c>
      <c r="T300" s="87">
        <f>VLOOKUP(A:A,'Flat Bed &amp; Late Fees'!A:J,7,FALSE)</f>
        <v>0</v>
      </c>
      <c r="U300" s="68">
        <f>VLOOKUP(C300&amp;G300,OTR!E:J,6,FALSE)/88</f>
        <v>10.690625000000001</v>
      </c>
      <c r="V300" s="87"/>
      <c r="W300" s="68">
        <f t="shared" si="30"/>
        <v>10.690625000000001</v>
      </c>
      <c r="X300" s="69">
        <f>VLOOKUP(G300,COSTS!$Z$18:$AC$23,2,FALSE)</f>
        <v>2.5</v>
      </c>
      <c r="Y300" s="87">
        <f>VLOOKUP(G300,COSTS!$Z$18:$AC$23,4,FALSE)</f>
        <v>1.68</v>
      </c>
      <c r="Z300" s="69">
        <f>(COSTS!$W$3*COSTS!$W$4*500)/52*COSTS!$AE$17</f>
        <v>1.3125</v>
      </c>
      <c r="AB300" s="69">
        <f t="shared" si="31"/>
        <v>5.4924999999999997</v>
      </c>
      <c r="AC300" s="69">
        <f>VLOOKUP(G300,COSTS!$Z$11:$AE$14,5,FALSE)</f>
        <v>7.3011363636363633</v>
      </c>
      <c r="AD300" s="69">
        <f>VLOOKUP(G300,COSTS!$Z$4:$AD$7,4,FALSE)</f>
        <v>9.1363636363636367</v>
      </c>
      <c r="AE300" s="69"/>
      <c r="AF300" s="69">
        <f t="shared" si="32"/>
        <v>16.4375</v>
      </c>
      <c r="AG300" s="87">
        <f>((COSTS!$C$5*88)/20)/88</f>
        <v>1.4407150000000002</v>
      </c>
      <c r="AH300" s="69">
        <f>(COSTS!$X$38/88)*20</f>
        <v>0.34865702479338845</v>
      </c>
      <c r="AI300" s="87">
        <f>((COSTS!$E$5*88)/20)/88</f>
        <v>0.62936587135988387</v>
      </c>
      <c r="AJ300" s="87">
        <f>((COSTS!$D$5*88)/20)/88</f>
        <v>0.33676</v>
      </c>
      <c r="AL300" s="387">
        <f t="shared" si="33"/>
        <v>2.7554978961532726</v>
      </c>
      <c r="AM300" s="69">
        <f>(COSTS!$W$3+0.1)*500*0.01</f>
        <v>3.9999999999999996</v>
      </c>
      <c r="AN300" s="387">
        <f>((COSTS!$G$5/20)*88)/88</f>
        <v>1.308904109589041</v>
      </c>
      <c r="AR300" s="69">
        <f t="shared" si="34"/>
        <v>5.3089041095890401</v>
      </c>
      <c r="AT300" s="1">
        <f>VLOOKUP(C300&amp;$AT$1,OTR!E:J,6,FALSE)/88</f>
        <v>22.054659090909091</v>
      </c>
      <c r="AU300" s="1" t="e">
        <f>VLOOKUP(C300&amp;$AU$1,OTR!E:J,6,FALSE)/88</f>
        <v>#N/A</v>
      </c>
    </row>
    <row r="301" spans="1:47">
      <c r="A301" s="1">
        <v>926005</v>
      </c>
      <c r="B301" s="1" t="s">
        <v>678</v>
      </c>
      <c r="C301" s="1" t="s">
        <v>2213</v>
      </c>
      <c r="D301" s="1" t="s">
        <v>71</v>
      </c>
      <c r="E301" s="1" t="str">
        <f>VLOOKUP(A:A,'Regions and Ports'!A:G,5,FALSE)</f>
        <v>STEX</v>
      </c>
      <c r="F301" s="1" t="str">
        <f>VLOOKUP(A:A,'Regions and Ports'!A:F,6,FALSE)</f>
        <v>STX</v>
      </c>
      <c r="G301" s="1" t="str">
        <f>VLOOKUP(A:A,'Regions and Ports'!A:G,7,FALSE)</f>
        <v>Houston</v>
      </c>
      <c r="H301" s="87">
        <v>2</v>
      </c>
      <c r="I301" s="69">
        <f>VLOOKUP(A:A,'Seam Tariffs'!A:AB,9,FALSE)</f>
        <v>5.0999999999999996</v>
      </c>
      <c r="J301" s="69">
        <f>VLOOKUP(A:A,'Seam Tariffs'!A:AB,11,FALSE)</f>
        <v>6.25</v>
      </c>
      <c r="K301" s="69">
        <f>VLOOKUP(A:A,'Seam Tariffs'!A:AB,12,FALSE)</f>
        <v>12</v>
      </c>
      <c r="L301" s="69">
        <f>VLOOKUP(A:A,'Seam Tariffs'!A:AB,13,FALSE)</f>
        <v>0</v>
      </c>
      <c r="M301" s="69">
        <f>VLOOKUP(A:A,'Seam Tariffs'!A:AB,14,FALSE)</f>
        <v>0</v>
      </c>
      <c r="N301" s="69">
        <f>VLOOKUP(A:A,'Seam Tariffs'!A:AB,28,FALSE)</f>
        <v>2.85</v>
      </c>
      <c r="O301" s="69">
        <f>COSTS!$W$6</f>
        <v>1.8958333333333335</v>
      </c>
      <c r="P301" s="69">
        <f>VLOOKUP(G301,COSTS!$V$11:$X$14,3,FALSE)</f>
        <v>0</v>
      </c>
      <c r="Q301" s="69">
        <f t="shared" si="28"/>
        <v>28.095833333333335</v>
      </c>
      <c r="R301" s="69">
        <f t="shared" si="29"/>
        <v>16.745833333333334</v>
      </c>
      <c r="S301" s="87">
        <f>VLOOKUP(A:A,'Flat Bed &amp; Late Fees'!A:J,6,FALSE)</f>
        <v>0</v>
      </c>
      <c r="T301" s="87">
        <f>VLOOKUP(A:A,'Flat Bed &amp; Late Fees'!A:J,7,FALSE)</f>
        <v>0</v>
      </c>
      <c r="U301" s="68" t="e">
        <f>VLOOKUP(C301&amp;G301,OTR!E:J,6,FALSE)/88</f>
        <v>#N/A</v>
      </c>
      <c r="V301" s="87"/>
      <c r="W301" s="68" t="e">
        <f t="shared" si="30"/>
        <v>#N/A</v>
      </c>
      <c r="X301" s="69">
        <f>VLOOKUP(G301,COSTS!$Z$18:$AC$23,2,FALSE)</f>
        <v>2.7</v>
      </c>
      <c r="Y301" s="87">
        <f>VLOOKUP(G301,COSTS!$Z$18:$AC$23,4,FALSE)</f>
        <v>2.52</v>
      </c>
      <c r="Z301" s="69">
        <f>(COSTS!$W$3*COSTS!$W$4*500)/52*COSTS!$AE$17</f>
        <v>1.3125</v>
      </c>
      <c r="AB301" s="69">
        <f t="shared" si="31"/>
        <v>6.5325000000000006</v>
      </c>
      <c r="AC301" s="69">
        <f>VLOOKUP(G301,COSTS!$Z$11:$AE$14,5,FALSE)</f>
        <v>6.6477272727272725</v>
      </c>
      <c r="AD301" s="69">
        <f>VLOOKUP(G301,COSTS!$Z$4:$AD$7,4,FALSE)</f>
        <v>9.8977272727272734</v>
      </c>
      <c r="AE301" s="69"/>
      <c r="AF301" s="69">
        <f t="shared" si="32"/>
        <v>16.545454545454547</v>
      </c>
      <c r="AG301" s="87">
        <f>((COSTS!$C$5*88)/20)/88</f>
        <v>1.4407150000000002</v>
      </c>
      <c r="AH301" s="69">
        <f>(COSTS!$X$38/88)*20</f>
        <v>0.34865702479338845</v>
      </c>
      <c r="AI301" s="87">
        <f>((COSTS!$E$5*88)/20)/88</f>
        <v>0.62936587135988387</v>
      </c>
      <c r="AJ301" s="87">
        <f>((COSTS!$D$5*88)/20)/88</f>
        <v>0.33676</v>
      </c>
      <c r="AL301" s="387">
        <f t="shared" si="33"/>
        <v>2.7554978961532726</v>
      </c>
      <c r="AM301" s="69">
        <f>(COSTS!$W$3+0.1)*500*0.01</f>
        <v>3.9999999999999996</v>
      </c>
      <c r="AN301" s="387">
        <f>((COSTS!$G$5/20)*88)/88</f>
        <v>1.308904109589041</v>
      </c>
      <c r="AR301" s="69">
        <f t="shared" si="34"/>
        <v>5.3089041095890401</v>
      </c>
      <c r="AT301" s="1">
        <f>VLOOKUP(C301&amp;$AT$1,OTR!E:J,6,FALSE)/88</f>
        <v>14.908522727272725</v>
      </c>
      <c r="AU301" s="1" t="e">
        <f>VLOOKUP(C301&amp;$AU$1,OTR!E:J,6,FALSE)/88</f>
        <v>#N/A</v>
      </c>
    </row>
    <row r="302" spans="1:47">
      <c r="A302" s="1">
        <v>340017</v>
      </c>
      <c r="B302" s="1" t="s">
        <v>681</v>
      </c>
      <c r="C302" s="1" t="s">
        <v>682</v>
      </c>
      <c r="D302" s="1" t="s">
        <v>76</v>
      </c>
      <c r="E302" s="1" t="str">
        <f>VLOOKUP(A:A,'Regions and Ports'!A:G,5,FALSE)</f>
        <v>GA 30 Day</v>
      </c>
      <c r="F302" s="1" t="str">
        <f>VLOOKUP(A:A,'Regions and Ports'!A:F,6,FALSE)</f>
        <v>ER5</v>
      </c>
      <c r="G302" s="1" t="str">
        <f>VLOOKUP(A:A,'Regions and Ports'!A:G,7,FALSE)</f>
        <v>Savannah</v>
      </c>
      <c r="H302" s="87">
        <v>4</v>
      </c>
      <c r="I302" s="69">
        <f>VLOOKUP(A:A,'Seam Tariffs'!A:AB,9,FALSE)</f>
        <v>1.85</v>
      </c>
      <c r="J302" s="69">
        <f>VLOOKUP(A:A,'Seam Tariffs'!A:AB,11,FALSE)</f>
        <v>4</v>
      </c>
      <c r="K302" s="69">
        <f>VLOOKUP(A:A,'Seam Tariffs'!A:AB,12,FALSE)</f>
        <v>7</v>
      </c>
      <c r="L302" s="69">
        <f>VLOOKUP(A:A,'Seam Tariffs'!A:AB,13,FALSE)</f>
        <v>3.05</v>
      </c>
      <c r="M302" s="69">
        <f>VLOOKUP(A:A,'Seam Tariffs'!A:AB,14,FALSE)</f>
        <v>0</v>
      </c>
      <c r="N302" s="69">
        <f>VLOOKUP(A:A,'Seam Tariffs'!A:AB,28,FALSE)</f>
        <v>3</v>
      </c>
      <c r="O302" s="69">
        <f>COSTS!$W$6</f>
        <v>1.8958333333333335</v>
      </c>
      <c r="P302" s="69">
        <f>VLOOKUP(G302,COSTS!$V$11:$X$14,3,FALSE)</f>
        <v>0</v>
      </c>
      <c r="Q302" s="69">
        <f t="shared" si="28"/>
        <v>20.795833333333331</v>
      </c>
      <c r="R302" s="69">
        <f t="shared" si="29"/>
        <v>4.9458333333333329</v>
      </c>
      <c r="S302" s="87">
        <f>VLOOKUP(A:A,'Flat Bed &amp; Late Fees'!A:J,6,FALSE)</f>
        <v>0</v>
      </c>
      <c r="T302" s="87">
        <f>VLOOKUP(A:A,'Flat Bed &amp; Late Fees'!A:J,7,FALSE)</f>
        <v>0</v>
      </c>
      <c r="U302" s="68">
        <f>VLOOKUP(C302&amp;G302,OTR!E:J,6,FALSE)/88</f>
        <v>6.1115340909090898</v>
      </c>
      <c r="V302" s="87"/>
      <c r="W302" s="68">
        <f t="shared" si="30"/>
        <v>6.1115340909090898</v>
      </c>
      <c r="X302" s="69">
        <f>VLOOKUP(G302,COSTS!$Z$18:$AC$23,2,FALSE)</f>
        <v>2.6</v>
      </c>
      <c r="Y302" s="87">
        <f>VLOOKUP(G302,COSTS!$Z$18:$AC$23,4,FALSE)</f>
        <v>2.52</v>
      </c>
      <c r="Z302" s="69">
        <f>(COSTS!$W$3*COSTS!$W$4*500)/52*COSTS!$AE$17</f>
        <v>1.3125</v>
      </c>
      <c r="AB302" s="69">
        <f t="shared" si="31"/>
        <v>6.4325000000000001</v>
      </c>
      <c r="AC302" s="69">
        <f>VLOOKUP(G302,COSTS!$Z$11:$AE$14,5,FALSE)</f>
        <v>5.5113636363636367</v>
      </c>
      <c r="AD302" s="69">
        <f>VLOOKUP(G302,COSTS!$Z$4:$AD$7,4,FALSE)</f>
        <v>5.3522727272727275</v>
      </c>
      <c r="AE302" s="69"/>
      <c r="AF302" s="69">
        <f t="shared" si="32"/>
        <v>10.863636363636363</v>
      </c>
      <c r="AG302" s="87">
        <f>((COSTS!$C$5*88)/20)/88</f>
        <v>1.4407150000000002</v>
      </c>
      <c r="AH302" s="69">
        <f>(COSTS!$X$38/88)*20</f>
        <v>0.34865702479338845</v>
      </c>
      <c r="AI302" s="87">
        <f>((COSTS!$E$5*88)/20)/88</f>
        <v>0.62936587135988387</v>
      </c>
      <c r="AJ302" s="87">
        <f>((COSTS!$D$5*88)/20)/88</f>
        <v>0.33676</v>
      </c>
      <c r="AL302" s="387">
        <f t="shared" si="33"/>
        <v>2.7554978961532726</v>
      </c>
      <c r="AM302" s="69">
        <f>(COSTS!$W$3+0.1)*500*0.01</f>
        <v>3.9999999999999996</v>
      </c>
      <c r="AN302" s="387">
        <f>((COSTS!$G$5/20)*88)/88</f>
        <v>1.308904109589041</v>
      </c>
      <c r="AR302" s="69">
        <f t="shared" si="34"/>
        <v>5.3089041095890401</v>
      </c>
      <c r="AT302" s="1" t="e">
        <f>VLOOKUP(C302&amp;$AT$1,OTR!E:J,6,FALSE)/88</f>
        <v>#N/A</v>
      </c>
      <c r="AU302" s="1">
        <f>VLOOKUP(C302&amp;$AU$1,OTR!E:J,6,FALSE)/88</f>
        <v>12.670454545454545</v>
      </c>
    </row>
    <row r="303" spans="1:47">
      <c r="A303" s="1">
        <v>600505</v>
      </c>
      <c r="B303" s="1" t="s">
        <v>683</v>
      </c>
      <c r="C303" s="1" t="s">
        <v>684</v>
      </c>
      <c r="D303" s="1" t="s">
        <v>136</v>
      </c>
      <c r="E303" s="1" t="str">
        <f>VLOOKUP(A:A,'Regions and Ports'!A:G,5,FALSE)</f>
        <v>Eastern Rule 5</v>
      </c>
      <c r="F303" s="1" t="str">
        <f>VLOOKUP(A:A,'Regions and Ports'!A:F,6,FALSE)</f>
        <v>ER5</v>
      </c>
      <c r="G303" s="1" t="str">
        <f>VLOOKUP(A:A,'Regions and Ports'!A:G,7,FALSE)</f>
        <v>Savannah</v>
      </c>
      <c r="H303" s="87">
        <v>1</v>
      </c>
      <c r="I303" s="69">
        <f>VLOOKUP(A:A,'Seam Tariffs'!A:AB,9,FALSE)</f>
        <v>4.25</v>
      </c>
      <c r="J303" s="69">
        <f>VLOOKUP(A:A,'Seam Tariffs'!A:AB,11,FALSE)</f>
        <v>4.25</v>
      </c>
      <c r="K303" s="69">
        <f>VLOOKUP(A:A,'Seam Tariffs'!A:AB,12,FALSE)</f>
        <v>0</v>
      </c>
      <c r="L303" s="69">
        <f>VLOOKUP(A:A,'Seam Tariffs'!A:AB,13,FALSE)</f>
        <v>0</v>
      </c>
      <c r="M303" s="69">
        <f>VLOOKUP(A:A,'Seam Tariffs'!A:AB,14,FALSE)</f>
        <v>0.5</v>
      </c>
      <c r="N303" s="69">
        <f>VLOOKUP(A:A,'Seam Tariffs'!A:AB,28,FALSE)</f>
        <v>2.5</v>
      </c>
      <c r="O303" s="69">
        <f>COSTS!$W$6</f>
        <v>1.8958333333333335</v>
      </c>
      <c r="P303" s="69">
        <f>VLOOKUP(G303,COSTS!$V$11:$X$14,3,FALSE)</f>
        <v>0</v>
      </c>
      <c r="Q303" s="69">
        <f t="shared" si="28"/>
        <v>13.395833333333334</v>
      </c>
      <c r="R303" s="69">
        <f t="shared" si="29"/>
        <v>4.3958333333333339</v>
      </c>
      <c r="S303" s="87">
        <f>VLOOKUP(A:A,'Flat Bed &amp; Late Fees'!A:J,6,FALSE)</f>
        <v>0</v>
      </c>
      <c r="T303" s="87">
        <f>VLOOKUP(A:A,'Flat Bed &amp; Late Fees'!A:J,7,FALSE)</f>
        <v>0</v>
      </c>
      <c r="U303" s="68">
        <f>VLOOKUP(C303&amp;G303,OTR!E:J,6,FALSE)/88</f>
        <v>14.535909090909092</v>
      </c>
      <c r="V303" s="87"/>
      <c r="W303" s="68">
        <f t="shared" si="30"/>
        <v>14.535909090909092</v>
      </c>
      <c r="X303" s="69">
        <f>VLOOKUP(G303,COSTS!$Z$18:$AC$23,2,FALSE)</f>
        <v>2.6</v>
      </c>
      <c r="Y303" s="87">
        <f>VLOOKUP(G303,COSTS!$Z$18:$AC$23,4,FALSE)</f>
        <v>2.52</v>
      </c>
      <c r="Z303" s="69">
        <f>(COSTS!$W$3*COSTS!$W$4*500)/52*COSTS!$AE$17</f>
        <v>1.3125</v>
      </c>
      <c r="AB303" s="69">
        <f t="shared" si="31"/>
        <v>6.4325000000000001</v>
      </c>
      <c r="AC303" s="69">
        <f>VLOOKUP(G303,COSTS!$Z$11:$AE$14,5,FALSE)</f>
        <v>5.5113636363636367</v>
      </c>
      <c r="AD303" s="69">
        <f>VLOOKUP(G303,COSTS!$Z$4:$AD$7,4,FALSE)</f>
        <v>5.3522727272727275</v>
      </c>
      <c r="AE303" s="69"/>
      <c r="AF303" s="69">
        <f t="shared" si="32"/>
        <v>10.863636363636363</v>
      </c>
      <c r="AG303" s="87">
        <f>((COSTS!$C$5*88)/20)/88</f>
        <v>1.4407150000000002</v>
      </c>
      <c r="AH303" s="69">
        <f>(COSTS!$X$38/88)*20</f>
        <v>0.34865702479338845</v>
      </c>
      <c r="AI303" s="87">
        <f>((COSTS!$E$5*88)/20)/88</f>
        <v>0.62936587135988387</v>
      </c>
      <c r="AJ303" s="87">
        <f>((COSTS!$D$5*88)/20)/88</f>
        <v>0.33676</v>
      </c>
      <c r="AL303" s="387">
        <f t="shared" si="33"/>
        <v>2.7554978961532726</v>
      </c>
      <c r="AM303" s="69">
        <f>(COSTS!$W$3+0.1)*500*0.01</f>
        <v>3.9999999999999996</v>
      </c>
      <c r="AN303" s="387">
        <f>((COSTS!$G$5/20)*88)/88</f>
        <v>1.308904109589041</v>
      </c>
      <c r="AR303" s="69">
        <f t="shared" si="34"/>
        <v>5.3089041095890401</v>
      </c>
      <c r="AT303" s="1" t="e">
        <f>VLOOKUP(C303&amp;$AT$1,OTR!E:J,6,FALSE)/88</f>
        <v>#N/A</v>
      </c>
      <c r="AU303" s="1">
        <f>VLOOKUP(C303&amp;$AU$1,OTR!E:J,6,FALSE)/88</f>
        <v>12.823863636363637</v>
      </c>
    </row>
    <row r="304" spans="1:47">
      <c r="A304" s="1">
        <v>601004</v>
      </c>
      <c r="B304" s="1" t="s">
        <v>685</v>
      </c>
      <c r="C304" s="1" t="s">
        <v>686</v>
      </c>
      <c r="D304" s="1" t="s">
        <v>136</v>
      </c>
      <c r="E304" s="1" t="str">
        <f>VLOOKUP(A:A,'Regions and Ports'!A:G,5,FALSE)</f>
        <v>Eastern Rule 5</v>
      </c>
      <c r="F304" s="1" t="str">
        <f>VLOOKUP(A:A,'Regions and Ports'!A:F,6,FALSE)</f>
        <v>ER5</v>
      </c>
      <c r="G304" s="1" t="str">
        <f>VLOOKUP(A:A,'Regions and Ports'!A:G,7,FALSE)</f>
        <v>Savannah</v>
      </c>
      <c r="H304" s="87">
        <v>1</v>
      </c>
      <c r="I304" s="69">
        <f>VLOOKUP(A:A,'Seam Tariffs'!A:AB,9,FALSE)</f>
        <v>3.75</v>
      </c>
      <c r="J304" s="69">
        <f>VLOOKUP(A:A,'Seam Tariffs'!A:AB,11,FALSE)</f>
        <v>4.25</v>
      </c>
      <c r="K304" s="69">
        <f>VLOOKUP(A:A,'Seam Tariffs'!A:AB,12,FALSE)</f>
        <v>0</v>
      </c>
      <c r="L304" s="69">
        <f>VLOOKUP(A:A,'Seam Tariffs'!A:AB,13,FALSE)</f>
        <v>0</v>
      </c>
      <c r="M304" s="69">
        <f>VLOOKUP(A:A,'Seam Tariffs'!A:AB,14,FALSE)</f>
        <v>0.25</v>
      </c>
      <c r="N304" s="69">
        <f>VLOOKUP(A:A,'Seam Tariffs'!A:AB,28,FALSE)</f>
        <v>2.5</v>
      </c>
      <c r="O304" s="69">
        <f>COSTS!$W$6</f>
        <v>1.8958333333333335</v>
      </c>
      <c r="P304" s="69">
        <f>VLOOKUP(G304,COSTS!$V$11:$X$14,3,FALSE)</f>
        <v>0</v>
      </c>
      <c r="Q304" s="69">
        <f t="shared" si="28"/>
        <v>12.645833333333334</v>
      </c>
      <c r="R304" s="69">
        <f t="shared" si="29"/>
        <v>4.3958333333333339</v>
      </c>
      <c r="S304" s="87">
        <f>VLOOKUP(A:A,'Flat Bed &amp; Late Fees'!A:J,6,FALSE)</f>
        <v>0</v>
      </c>
      <c r="T304" s="87">
        <f>VLOOKUP(A:A,'Flat Bed &amp; Late Fees'!A:J,7,FALSE)</f>
        <v>0</v>
      </c>
      <c r="U304" s="68">
        <f>VLOOKUP(C304&amp;G304,OTR!E:J,6,FALSE)/88</f>
        <v>14.891562499999999</v>
      </c>
      <c r="V304" s="87"/>
      <c r="W304" s="68">
        <f t="shared" si="30"/>
        <v>14.891562499999999</v>
      </c>
      <c r="X304" s="69">
        <f>VLOOKUP(G304,COSTS!$Z$18:$AC$23,2,FALSE)</f>
        <v>2.6</v>
      </c>
      <c r="Y304" s="87">
        <f>VLOOKUP(G304,COSTS!$Z$18:$AC$23,4,FALSE)</f>
        <v>2.52</v>
      </c>
      <c r="Z304" s="69">
        <f>(COSTS!$W$3*COSTS!$W$4*500)/52*COSTS!$AE$17</f>
        <v>1.3125</v>
      </c>
      <c r="AB304" s="69">
        <f t="shared" si="31"/>
        <v>6.4325000000000001</v>
      </c>
      <c r="AC304" s="69">
        <f>VLOOKUP(G304,COSTS!$Z$11:$AE$14,5,FALSE)</f>
        <v>5.5113636363636367</v>
      </c>
      <c r="AD304" s="69">
        <f>VLOOKUP(G304,COSTS!$Z$4:$AD$7,4,FALSE)</f>
        <v>5.3522727272727275</v>
      </c>
      <c r="AE304" s="69"/>
      <c r="AF304" s="69">
        <f t="shared" si="32"/>
        <v>10.863636363636363</v>
      </c>
      <c r="AG304" s="87">
        <f>((COSTS!$C$5*88)/20)/88</f>
        <v>1.4407150000000002</v>
      </c>
      <c r="AH304" s="69">
        <f>(COSTS!$X$38/88)*20</f>
        <v>0.34865702479338845</v>
      </c>
      <c r="AI304" s="87">
        <f>((COSTS!$E$5*88)/20)/88</f>
        <v>0.62936587135988387</v>
      </c>
      <c r="AJ304" s="87">
        <f>((COSTS!$D$5*88)/20)/88</f>
        <v>0.33676</v>
      </c>
      <c r="AL304" s="387">
        <f t="shared" si="33"/>
        <v>2.7554978961532726</v>
      </c>
      <c r="AM304" s="69">
        <f>(COSTS!$W$3+0.1)*500*0.01</f>
        <v>3.9999999999999996</v>
      </c>
      <c r="AN304" s="387">
        <f>((COSTS!$G$5/20)*88)/88</f>
        <v>1.308904109589041</v>
      </c>
      <c r="AR304" s="69">
        <f t="shared" si="34"/>
        <v>5.3089041095890401</v>
      </c>
      <c r="AT304" s="1" t="e">
        <f>VLOOKUP(C304&amp;$AT$1,OTR!E:J,6,FALSE)/88</f>
        <v>#N/A</v>
      </c>
      <c r="AU304" s="1">
        <f>VLOOKUP(C304&amp;$AU$1,OTR!E:J,6,FALSE)/88</f>
        <v>12.806818181818182</v>
      </c>
    </row>
    <row r="305" spans="1:47">
      <c r="A305" s="1">
        <v>928532</v>
      </c>
      <c r="B305" s="1" t="s">
        <v>687</v>
      </c>
      <c r="C305" s="1" t="s">
        <v>688</v>
      </c>
      <c r="D305" s="1" t="s">
        <v>71</v>
      </c>
      <c r="E305" s="1" t="str">
        <f>VLOOKUP(A:A,'Regions and Ports'!A:G,5,FALSE)</f>
        <v>WTX</v>
      </c>
      <c r="F305" s="1" t="str">
        <f>VLOOKUP(A:A,'Regions and Ports'!A:F,6,FALSE)</f>
        <v>WTX</v>
      </c>
      <c r="G305" s="1" t="str">
        <f>VLOOKUP(A:A,'Regions and Ports'!A:G,7,FALSE)</f>
        <v>Dallas</v>
      </c>
      <c r="H305" s="87">
        <v>2</v>
      </c>
      <c r="I305" s="69">
        <f>VLOOKUP(A:A,'Seam Tariffs'!A:AB,9,FALSE)</f>
        <v>4.75</v>
      </c>
      <c r="J305" s="69">
        <f>VLOOKUP(A:A,'Seam Tariffs'!A:AB,11,FALSE)</f>
        <v>5.45</v>
      </c>
      <c r="K305" s="69">
        <f>VLOOKUP(A:A,'Seam Tariffs'!A:AB,12,FALSE)</f>
        <v>9.75</v>
      </c>
      <c r="L305" s="69">
        <f>VLOOKUP(A:A,'Seam Tariffs'!A:AB,13,FALSE)</f>
        <v>0</v>
      </c>
      <c r="M305" s="69">
        <f>VLOOKUP(A:A,'Seam Tariffs'!A:AB,14,FALSE)</f>
        <v>1</v>
      </c>
      <c r="N305" s="69">
        <f>VLOOKUP(A:A,'Seam Tariffs'!A:AB,28,FALSE)</f>
        <v>2.4</v>
      </c>
      <c r="O305" s="69">
        <f>COSTS!$W$6</f>
        <v>1.8958333333333335</v>
      </c>
      <c r="P305" s="69">
        <f>VLOOKUP(G305,COSTS!$V$11:$X$14,3,FALSE)</f>
        <v>0</v>
      </c>
      <c r="Q305" s="69">
        <f t="shared" si="28"/>
        <v>25.24583333333333</v>
      </c>
      <c r="R305" s="69">
        <f t="shared" si="29"/>
        <v>14.045833333333334</v>
      </c>
      <c r="S305" s="87">
        <f>VLOOKUP(A:A,'Flat Bed &amp; Late Fees'!A:J,6,FALSE)</f>
        <v>0</v>
      </c>
      <c r="T305" s="87">
        <f>VLOOKUP(A:A,'Flat Bed &amp; Late Fees'!A:J,7,FALSE)</f>
        <v>0</v>
      </c>
      <c r="U305" s="68">
        <f>VLOOKUP(C305&amp;G305,OTR!E:J,6,FALSE)/88</f>
        <v>9.2613636363636367</v>
      </c>
      <c r="V305" s="87"/>
      <c r="W305" s="68">
        <f t="shared" si="30"/>
        <v>9.2613636363636367</v>
      </c>
      <c r="X305" s="69">
        <f>VLOOKUP(G305,COSTS!$Z$18:$AC$23,2,FALSE)</f>
        <v>2.7</v>
      </c>
      <c r="Y305" s="87">
        <f>VLOOKUP(G305,COSTS!$Z$18:$AC$23,4,FALSE)</f>
        <v>2.52</v>
      </c>
      <c r="Z305" s="69">
        <f>(COSTS!$W$3*COSTS!$W$4*500)/52*COSTS!$AE$17</f>
        <v>1.3125</v>
      </c>
      <c r="AB305" s="69">
        <f t="shared" si="31"/>
        <v>6.5325000000000006</v>
      </c>
      <c r="AC305" s="69">
        <f>VLOOKUP(G305,COSTS!$Z$11:$AE$14,5,FALSE)</f>
        <v>8.125</v>
      </c>
      <c r="AD305" s="69">
        <f>VLOOKUP(G305,COSTS!$Z$4:$AD$7,4,FALSE)</f>
        <v>13.409090909090908</v>
      </c>
      <c r="AE305" s="69"/>
      <c r="AF305" s="69">
        <f t="shared" si="32"/>
        <v>21.534090909090907</v>
      </c>
      <c r="AG305" s="87">
        <f>((COSTS!$C$5*88)/20)/88</f>
        <v>1.4407150000000002</v>
      </c>
      <c r="AH305" s="69">
        <f>(COSTS!$X$38/88)*20</f>
        <v>0.34865702479338845</v>
      </c>
      <c r="AI305" s="87">
        <f>((COSTS!$E$5*88)/20)/88</f>
        <v>0.62936587135988387</v>
      </c>
      <c r="AJ305" s="87">
        <f>((COSTS!$D$5*88)/20)/88</f>
        <v>0.33676</v>
      </c>
      <c r="AL305" s="387">
        <f t="shared" si="33"/>
        <v>2.7554978961532726</v>
      </c>
      <c r="AM305" s="69">
        <f>(COSTS!$W$3+0.1)*500*0.01</f>
        <v>3.9999999999999996</v>
      </c>
      <c r="AN305" s="387">
        <f>((COSTS!$G$5/20)*88)/88</f>
        <v>1.308904109589041</v>
      </c>
      <c r="AR305" s="69">
        <f t="shared" si="34"/>
        <v>5.3089041095890401</v>
      </c>
      <c r="AT305" s="1">
        <f>VLOOKUP(C305&amp;$AT$1,OTR!E:J,6,FALSE)/88</f>
        <v>17.215795454545454</v>
      </c>
      <c r="AU305" s="1" t="e">
        <f>VLOOKUP(C305&amp;$AU$1,OTR!E:J,6,FALSE)/88</f>
        <v>#N/A</v>
      </c>
    </row>
    <row r="306" spans="1:47">
      <c r="A306" s="125">
        <v>928532</v>
      </c>
      <c r="B306" s="1" t="s">
        <v>687</v>
      </c>
      <c r="C306" s="1" t="s">
        <v>688</v>
      </c>
      <c r="D306" s="1" t="s">
        <v>71</v>
      </c>
      <c r="E306" s="1" t="s">
        <v>2067</v>
      </c>
      <c r="F306" s="1" t="str">
        <f>VLOOKUP(A:A,'Regions and Ports'!A:F,6,FALSE)</f>
        <v>WTX</v>
      </c>
      <c r="G306" s="1" t="s">
        <v>439</v>
      </c>
      <c r="H306" s="87">
        <v>2</v>
      </c>
      <c r="I306" s="69">
        <f>VLOOKUP(A:A,'Seam Tariffs'!A:AB,9,FALSE)</f>
        <v>4.75</v>
      </c>
      <c r="J306" s="69">
        <f>VLOOKUP(A:A,'Seam Tariffs'!A:AB,11,FALSE)</f>
        <v>5.45</v>
      </c>
      <c r="K306" s="69">
        <f>VLOOKUP(A:A,'Seam Tariffs'!A:AB,12,FALSE)</f>
        <v>9.75</v>
      </c>
      <c r="L306" s="69">
        <f>VLOOKUP(A:A,'Seam Tariffs'!A:AB,13,FALSE)</f>
        <v>0</v>
      </c>
      <c r="M306" s="69">
        <f>VLOOKUP(A:A,'Seam Tariffs'!A:AB,14,FALSE)</f>
        <v>1</v>
      </c>
      <c r="N306" s="69">
        <f>VLOOKUP(A:A,'Seam Tariffs'!A:AB,28,FALSE)</f>
        <v>2.4</v>
      </c>
      <c r="O306" s="69">
        <f>COSTS!$W$6</f>
        <v>1.8958333333333335</v>
      </c>
      <c r="P306" s="69">
        <f>VLOOKUP(G306,COSTS!$V$11:$X$14,3,FALSE)</f>
        <v>0</v>
      </c>
      <c r="Q306" s="69">
        <f t="shared" si="28"/>
        <v>25.24583333333333</v>
      </c>
      <c r="R306" s="69">
        <f t="shared" si="29"/>
        <v>14.045833333333334</v>
      </c>
      <c r="S306" s="87">
        <f>VLOOKUP(A:A,'Flat Bed &amp; Late Fees'!A:J,6,FALSE)</f>
        <v>0</v>
      </c>
      <c r="T306" s="87">
        <f>VLOOKUP(A:A,'Flat Bed &amp; Late Fees'!A:J,7,FALSE)</f>
        <v>0</v>
      </c>
      <c r="U306" s="68">
        <f>VLOOKUP(C306&amp;G306,OTR!E:J,6,FALSE)/88</f>
        <v>12.926136363636363</v>
      </c>
      <c r="V306" s="87"/>
      <c r="W306" s="68">
        <f t="shared" si="30"/>
        <v>12.926136363636363</v>
      </c>
      <c r="X306" s="69">
        <f>VLOOKUP(G306,COSTS!$Z$18:$AC$23,2,FALSE)</f>
        <v>2.7</v>
      </c>
      <c r="Y306" s="87">
        <f>VLOOKUP(G306,COSTS!$Z$18:$AC$23,4,FALSE)</f>
        <v>2.52</v>
      </c>
      <c r="Z306" s="69">
        <f>(COSTS!$W$3*COSTS!$W$4*500)/52*COSTS!$AE$17</f>
        <v>1.3125</v>
      </c>
      <c r="AB306" s="69">
        <f t="shared" si="31"/>
        <v>6.5325000000000006</v>
      </c>
      <c r="AC306" s="69">
        <f>VLOOKUP(G306,COSTS!$Z$11:$AE$14,5,FALSE)</f>
        <v>6.6477272727272725</v>
      </c>
      <c r="AD306" s="69">
        <f>VLOOKUP(G306,COSTS!$Z$4:$AD$7,4,FALSE)</f>
        <v>9.8977272727272734</v>
      </c>
      <c r="AE306" s="69"/>
      <c r="AF306" s="69">
        <f t="shared" si="32"/>
        <v>16.545454545454547</v>
      </c>
      <c r="AG306" s="87">
        <f>((COSTS!$C$5*88)/20)/88</f>
        <v>1.4407150000000002</v>
      </c>
      <c r="AH306" s="69">
        <f>(COSTS!$X$38/88)*20</f>
        <v>0.34865702479338845</v>
      </c>
      <c r="AI306" s="87">
        <f>((COSTS!$E$5*88)/20)/88</f>
        <v>0.62936587135988387</v>
      </c>
      <c r="AJ306" s="87">
        <f>((COSTS!$D$5*88)/20)/88</f>
        <v>0.33676</v>
      </c>
      <c r="AL306" s="387">
        <f t="shared" si="33"/>
        <v>2.7554978961532726</v>
      </c>
      <c r="AM306" s="69">
        <f>(COSTS!$W$3+0.1)*500*0.01</f>
        <v>3.9999999999999996</v>
      </c>
      <c r="AN306" s="387">
        <f>((COSTS!$G$5/20)*88)/88</f>
        <v>1.308904109589041</v>
      </c>
      <c r="AR306" s="69">
        <f t="shared" si="34"/>
        <v>5.3089041095890401</v>
      </c>
      <c r="AT306" s="1">
        <f>VLOOKUP(C306&amp;$AT$1,OTR!E:J,6,FALSE)/88</f>
        <v>17.215795454545454</v>
      </c>
      <c r="AU306" s="1" t="e">
        <f>VLOOKUP(C306&amp;$AU$1,OTR!E:J,6,FALSE)/88</f>
        <v>#N/A</v>
      </c>
    </row>
    <row r="307" spans="1:47">
      <c r="A307" s="1">
        <v>928715</v>
      </c>
      <c r="B307" s="1" t="s">
        <v>690</v>
      </c>
      <c r="C307" s="1" t="s">
        <v>691</v>
      </c>
      <c r="D307" s="1" t="s">
        <v>71</v>
      </c>
      <c r="E307" s="1" t="str">
        <f>VLOOKUP(A:A,'Regions and Ports'!A:G,5,FALSE)</f>
        <v>STEX</v>
      </c>
      <c r="F307" s="1" t="str">
        <f>VLOOKUP(A:A,'Regions and Ports'!A:F,6,FALSE)</f>
        <v>STX</v>
      </c>
      <c r="G307" s="1" t="str">
        <f>VLOOKUP(A:A,'Regions and Ports'!A:G,7,FALSE)</f>
        <v>Houston</v>
      </c>
      <c r="H307" s="87">
        <v>3</v>
      </c>
      <c r="I307" s="69">
        <f>VLOOKUP(A:A,'Seam Tariffs'!A:AB,9,FALSE)</f>
        <v>3.5</v>
      </c>
      <c r="J307" s="69">
        <f>VLOOKUP(A:A,'Seam Tariffs'!A:AB,11,FALSE)</f>
        <v>8</v>
      </c>
      <c r="K307" s="69">
        <f>VLOOKUP(A:A,'Seam Tariffs'!A:AB,12,FALSE)</f>
        <v>9.5</v>
      </c>
      <c r="L307" s="69">
        <f>VLOOKUP(A:A,'Seam Tariffs'!A:AB,13,FALSE)</f>
        <v>0</v>
      </c>
      <c r="M307" s="69">
        <f>VLOOKUP(A:A,'Seam Tariffs'!A:AB,14,FALSE)</f>
        <v>0</v>
      </c>
      <c r="N307" s="69">
        <f>VLOOKUP(A:A,'Seam Tariffs'!A:AB,28,FALSE)</f>
        <v>4</v>
      </c>
      <c r="O307" s="69">
        <f>COSTS!$W$6</f>
        <v>1.8958333333333335</v>
      </c>
      <c r="P307" s="69">
        <f>VLOOKUP(G307,COSTS!$V$11:$X$14,3,FALSE)</f>
        <v>0</v>
      </c>
      <c r="Q307" s="69">
        <f t="shared" si="28"/>
        <v>26.895833333333332</v>
      </c>
      <c r="R307" s="69">
        <f t="shared" si="29"/>
        <v>23.395833333333332</v>
      </c>
      <c r="S307" s="87">
        <f>VLOOKUP(A:A,'Flat Bed &amp; Late Fees'!A:J,6,FALSE)</f>
        <v>0</v>
      </c>
      <c r="T307" s="87">
        <f>VLOOKUP(A:A,'Flat Bed &amp; Late Fees'!A:J,7,FALSE)</f>
        <v>0</v>
      </c>
      <c r="U307" s="68">
        <f>VLOOKUP(C307&amp;G307,OTR!E:J,6,FALSE)/88</f>
        <v>13.352272727272727</v>
      </c>
      <c r="V307" s="87"/>
      <c r="W307" s="68">
        <f t="shared" si="30"/>
        <v>13.352272727272727</v>
      </c>
      <c r="X307" s="69">
        <f>VLOOKUP(G307,COSTS!$Z$18:$AC$23,2,FALSE)</f>
        <v>2.7</v>
      </c>
      <c r="Y307" s="87">
        <f>VLOOKUP(G307,COSTS!$Z$18:$AC$23,4,FALSE)</f>
        <v>2.52</v>
      </c>
      <c r="Z307" s="69">
        <f>(COSTS!$W$3*COSTS!$W$4*500)/52*COSTS!$AE$17</f>
        <v>1.3125</v>
      </c>
      <c r="AB307" s="69">
        <f t="shared" si="31"/>
        <v>6.5325000000000006</v>
      </c>
      <c r="AC307" s="69">
        <f>VLOOKUP(G307,COSTS!$Z$11:$AE$14,5,FALSE)</f>
        <v>6.6477272727272725</v>
      </c>
      <c r="AD307" s="69">
        <f>VLOOKUP(G307,COSTS!$Z$4:$AD$7,4,FALSE)</f>
        <v>9.8977272727272734</v>
      </c>
      <c r="AE307" s="69"/>
      <c r="AF307" s="69">
        <f t="shared" si="32"/>
        <v>16.545454545454547</v>
      </c>
      <c r="AG307" s="87">
        <f>((COSTS!$C$5*88)/20)/88</f>
        <v>1.4407150000000002</v>
      </c>
      <c r="AH307" s="69">
        <f>(COSTS!$X$38/88)*20</f>
        <v>0.34865702479338845</v>
      </c>
      <c r="AI307" s="87">
        <f>((COSTS!$E$5*88)/20)/88</f>
        <v>0.62936587135988387</v>
      </c>
      <c r="AJ307" s="87">
        <f>((COSTS!$D$5*88)/20)/88</f>
        <v>0.33676</v>
      </c>
      <c r="AL307" s="387">
        <f t="shared" si="33"/>
        <v>2.7554978961532726</v>
      </c>
      <c r="AM307" s="69">
        <f>(COSTS!$W$3+0.1)*500*0.01</f>
        <v>3.9999999999999996</v>
      </c>
      <c r="AN307" s="387">
        <f>((COSTS!$G$5/20)*88)/88</f>
        <v>1.308904109589041</v>
      </c>
      <c r="AR307" s="69">
        <f t="shared" si="34"/>
        <v>5.3089041095890401</v>
      </c>
      <c r="AT307" s="1" t="e">
        <f>VLOOKUP(C307&amp;$AT$1,OTR!E:J,6,FALSE)/88</f>
        <v>#N/A</v>
      </c>
      <c r="AU307" s="1" t="e">
        <f>VLOOKUP(C307&amp;$AU$1,OTR!E:J,6,FALSE)/88</f>
        <v>#N/A</v>
      </c>
    </row>
    <row r="308" spans="1:47">
      <c r="A308" s="1">
        <v>111</v>
      </c>
      <c r="B308" s="1" t="s">
        <v>692</v>
      </c>
      <c r="C308" s="1" t="s">
        <v>693</v>
      </c>
      <c r="D308" s="1" t="s">
        <v>65</v>
      </c>
      <c r="E308" s="1" t="str">
        <f>VLOOKUP(A:A,'Regions and Ports'!A:G,5,FALSE)</f>
        <v>Eastern Rule 5</v>
      </c>
      <c r="F308" s="1" t="str">
        <f>VLOOKUP(A:A,'Regions and Ports'!A:F,6,FALSE)</f>
        <v>ER5</v>
      </c>
      <c r="G308" s="1" t="str">
        <f>VLOOKUP(A:A,'Regions and Ports'!A:G,7,FALSE)</f>
        <v>Savannah</v>
      </c>
      <c r="H308" s="87">
        <v>1</v>
      </c>
      <c r="I308" s="69">
        <f>VLOOKUP(A:A,'Seam Tariffs'!A:AB,9,FALSE)</f>
        <v>4</v>
      </c>
      <c r="J308" s="69">
        <f>VLOOKUP(A:A,'Seam Tariffs'!A:AB,11,FALSE)</f>
        <v>6.25</v>
      </c>
      <c r="K308" s="69">
        <f>VLOOKUP(A:A,'Seam Tariffs'!A:AB,12,FALSE)</f>
        <v>0</v>
      </c>
      <c r="L308" s="69">
        <f>VLOOKUP(A:A,'Seam Tariffs'!A:AB,13,FALSE)</f>
        <v>0</v>
      </c>
      <c r="M308" s="69">
        <f>VLOOKUP(A:A,'Seam Tariffs'!A:AB,14,FALSE)</f>
        <v>1</v>
      </c>
      <c r="N308" s="69">
        <f>VLOOKUP(A:A,'Seam Tariffs'!A:AB,28,FALSE)</f>
        <v>3</v>
      </c>
      <c r="O308" s="69">
        <f>COSTS!$W$6</f>
        <v>1.8958333333333335</v>
      </c>
      <c r="P308" s="69">
        <f>VLOOKUP(G308,COSTS!$V$11:$X$14,3,FALSE)</f>
        <v>0</v>
      </c>
      <c r="Q308" s="69">
        <f t="shared" si="28"/>
        <v>16.145833333333332</v>
      </c>
      <c r="R308" s="69">
        <f t="shared" si="29"/>
        <v>4.8958333333333339</v>
      </c>
      <c r="S308" s="87">
        <f>VLOOKUP(A:A,'Flat Bed &amp; Late Fees'!A:J,6,FALSE)</f>
        <v>0</v>
      </c>
      <c r="T308" s="87">
        <f>VLOOKUP(A:A,'Flat Bed &amp; Late Fees'!A:J,7,FALSE)</f>
        <v>0</v>
      </c>
      <c r="U308" s="68">
        <f>VLOOKUP(C308&amp;G308,OTR!E:J,6,FALSE)/88</f>
        <v>16.047585227272727</v>
      </c>
      <c r="V308" s="87"/>
      <c r="W308" s="68">
        <f t="shared" si="30"/>
        <v>16.047585227272727</v>
      </c>
      <c r="X308" s="69">
        <f>VLOOKUP(G308,COSTS!$Z$18:$AC$23,2,FALSE)</f>
        <v>2.6</v>
      </c>
      <c r="Y308" s="87">
        <f>VLOOKUP(G308,COSTS!$Z$18:$AC$23,4,FALSE)</f>
        <v>2.52</v>
      </c>
      <c r="Z308" s="69">
        <f>(COSTS!$W$3*COSTS!$W$4*500)/52*COSTS!$AE$17</f>
        <v>1.3125</v>
      </c>
      <c r="AB308" s="69">
        <f t="shared" si="31"/>
        <v>6.4325000000000001</v>
      </c>
      <c r="AC308" s="69">
        <f>VLOOKUP(G308,COSTS!$Z$11:$AE$14,5,FALSE)</f>
        <v>5.5113636363636367</v>
      </c>
      <c r="AD308" s="69">
        <f>VLOOKUP(G308,COSTS!$Z$4:$AD$7,4,FALSE)</f>
        <v>5.3522727272727275</v>
      </c>
      <c r="AE308" s="69"/>
      <c r="AF308" s="69">
        <f t="shared" si="32"/>
        <v>10.863636363636363</v>
      </c>
      <c r="AG308" s="87">
        <f>((COSTS!$C$5*88)/20)/88</f>
        <v>1.4407150000000002</v>
      </c>
      <c r="AH308" s="69">
        <f>(COSTS!$X$38/88)*20</f>
        <v>0.34865702479338845</v>
      </c>
      <c r="AI308" s="87">
        <f>((COSTS!$E$5*88)/20)/88</f>
        <v>0.62936587135988387</v>
      </c>
      <c r="AJ308" s="87">
        <f>((COSTS!$D$5*88)/20)/88</f>
        <v>0.33676</v>
      </c>
      <c r="AL308" s="387">
        <f t="shared" si="33"/>
        <v>2.7554978961532726</v>
      </c>
      <c r="AM308" s="69">
        <f>(COSTS!$W$3+0.1)*500*0.01</f>
        <v>3.9999999999999996</v>
      </c>
      <c r="AN308" s="387">
        <f>((COSTS!$G$5/20)*88)/88</f>
        <v>1.308904109589041</v>
      </c>
      <c r="AR308" s="69">
        <f t="shared" si="34"/>
        <v>5.3089041095890401</v>
      </c>
      <c r="AT308" s="1" t="e">
        <f>VLOOKUP(C308&amp;$AT$1,OTR!E:J,6,FALSE)/88</f>
        <v>#N/A</v>
      </c>
      <c r="AU308" s="1">
        <f>VLOOKUP(C308&amp;$AU$1,OTR!E:J,6,FALSE)/88</f>
        <v>16.676136363636363</v>
      </c>
    </row>
    <row r="309" spans="1:47">
      <c r="A309" s="1">
        <v>937535</v>
      </c>
      <c r="B309" s="1" t="s">
        <v>695</v>
      </c>
      <c r="C309" s="1" t="s">
        <v>696</v>
      </c>
      <c r="D309" s="1" t="s">
        <v>71</v>
      </c>
      <c r="E309" s="1" t="str">
        <f>VLOOKUP(A:A,'Regions and Ports'!A:G,5,FALSE)</f>
        <v>WTX</v>
      </c>
      <c r="F309" s="1" t="str">
        <f>VLOOKUP(A:A,'Regions and Ports'!A:F,6,FALSE)</f>
        <v>WTX</v>
      </c>
      <c r="G309" s="1" t="str">
        <f>VLOOKUP(A:A,'Regions and Ports'!A:G,7,FALSE)</f>
        <v>Dallas</v>
      </c>
      <c r="H309" s="87">
        <v>2</v>
      </c>
      <c r="I309" s="69">
        <f>VLOOKUP(A:A,'Seam Tariffs'!A:AB,9,FALSE)</f>
        <v>4.75</v>
      </c>
      <c r="J309" s="69">
        <f>VLOOKUP(A:A,'Seam Tariffs'!A:AB,11,FALSE)</f>
        <v>5.75</v>
      </c>
      <c r="K309" s="69">
        <f>VLOOKUP(A:A,'Seam Tariffs'!A:AB,12,FALSE)</f>
        <v>9.75</v>
      </c>
      <c r="L309" s="69">
        <f>VLOOKUP(A:A,'Seam Tariffs'!A:AB,13,FALSE)</f>
        <v>0</v>
      </c>
      <c r="M309" s="69">
        <f>VLOOKUP(A:A,'Seam Tariffs'!A:AB,14,FALSE)</f>
        <v>0</v>
      </c>
      <c r="N309" s="69">
        <f>VLOOKUP(A:A,'Seam Tariffs'!A:AB,28,FALSE)</f>
        <v>2.5500000000000003</v>
      </c>
      <c r="O309" s="69">
        <f>COSTS!$W$6</f>
        <v>1.8958333333333335</v>
      </c>
      <c r="P309" s="69">
        <f>VLOOKUP(G309,COSTS!$V$11:$X$14,3,FALSE)</f>
        <v>0</v>
      </c>
      <c r="Q309" s="69">
        <f t="shared" si="28"/>
        <v>24.695833333333333</v>
      </c>
      <c r="R309" s="69">
        <f t="shared" si="29"/>
        <v>14.195833333333335</v>
      </c>
      <c r="S309" s="87">
        <f>VLOOKUP(A:A,'Flat Bed &amp; Late Fees'!A:J,6,FALSE)</f>
        <v>0</v>
      </c>
      <c r="T309" s="87">
        <f>VLOOKUP(A:A,'Flat Bed &amp; Late Fees'!A:J,7,FALSE)</f>
        <v>0</v>
      </c>
      <c r="U309" s="68">
        <f>VLOOKUP(C309&amp;G309,OTR!E:J,6,FALSE)/88</f>
        <v>9.2613636363636367</v>
      </c>
      <c r="V309" s="87"/>
      <c r="W309" s="68">
        <f t="shared" si="30"/>
        <v>9.2613636363636367</v>
      </c>
      <c r="X309" s="69">
        <f>VLOOKUP(G309,COSTS!$Z$18:$AC$23,2,FALSE)</f>
        <v>2.7</v>
      </c>
      <c r="Y309" s="87">
        <f>VLOOKUP(G309,COSTS!$Z$18:$AC$23,4,FALSE)</f>
        <v>2.52</v>
      </c>
      <c r="Z309" s="69">
        <f>(COSTS!$W$3*COSTS!$W$4*500)/52*COSTS!$AE$17</f>
        <v>1.3125</v>
      </c>
      <c r="AB309" s="69">
        <f t="shared" si="31"/>
        <v>6.5325000000000006</v>
      </c>
      <c r="AC309" s="69">
        <f>VLOOKUP(G309,COSTS!$Z$11:$AE$14,5,FALSE)</f>
        <v>8.125</v>
      </c>
      <c r="AD309" s="69">
        <f>VLOOKUP(G309,COSTS!$Z$4:$AD$7,4,FALSE)</f>
        <v>13.409090909090908</v>
      </c>
      <c r="AE309" s="69"/>
      <c r="AF309" s="69">
        <f t="shared" si="32"/>
        <v>21.534090909090907</v>
      </c>
      <c r="AG309" s="87">
        <f>((COSTS!$C$5*88)/20)/88</f>
        <v>1.4407150000000002</v>
      </c>
      <c r="AH309" s="69">
        <f>(COSTS!$X$38/88)*20</f>
        <v>0.34865702479338845</v>
      </c>
      <c r="AI309" s="87">
        <f>((COSTS!$E$5*88)/20)/88</f>
        <v>0.62936587135988387</v>
      </c>
      <c r="AJ309" s="87">
        <f>((COSTS!$D$5*88)/20)/88</f>
        <v>0.33676</v>
      </c>
      <c r="AL309" s="387">
        <f t="shared" si="33"/>
        <v>2.7554978961532726</v>
      </c>
      <c r="AM309" s="69">
        <f>(COSTS!$W$3+0.1)*500*0.01</f>
        <v>3.9999999999999996</v>
      </c>
      <c r="AN309" s="387">
        <f>((COSTS!$G$5/20)*88)/88</f>
        <v>1.308904109589041</v>
      </c>
      <c r="AR309" s="69">
        <f t="shared" si="34"/>
        <v>5.3089041095890401</v>
      </c>
      <c r="AT309" s="1">
        <f>VLOOKUP(C309&amp;$AT$1,OTR!E:J,6,FALSE)/88</f>
        <v>17.808636363636364</v>
      </c>
      <c r="AU309" s="1" t="e">
        <f>VLOOKUP(C309&amp;$AU$1,OTR!E:J,6,FALSE)/88</f>
        <v>#N/A</v>
      </c>
    </row>
    <row r="310" spans="1:47">
      <c r="A310" s="125">
        <v>937535</v>
      </c>
      <c r="B310" s="1" t="s">
        <v>695</v>
      </c>
      <c r="C310" s="1" t="s">
        <v>696</v>
      </c>
      <c r="D310" s="1" t="s">
        <v>71</v>
      </c>
      <c r="E310" s="1" t="s">
        <v>2067</v>
      </c>
      <c r="F310" s="1" t="str">
        <f>VLOOKUP(A:A,'Regions and Ports'!A:F,6,FALSE)</f>
        <v>WTX</v>
      </c>
      <c r="G310" s="1" t="s">
        <v>439</v>
      </c>
      <c r="H310" s="87">
        <v>2</v>
      </c>
      <c r="I310" s="69">
        <f>VLOOKUP(A:A,'Seam Tariffs'!A:AB,9,FALSE)</f>
        <v>4.75</v>
      </c>
      <c r="J310" s="69">
        <f>VLOOKUP(A:A,'Seam Tariffs'!A:AB,11,FALSE)</f>
        <v>5.75</v>
      </c>
      <c r="K310" s="69">
        <f>VLOOKUP(A:A,'Seam Tariffs'!A:AB,12,FALSE)</f>
        <v>9.75</v>
      </c>
      <c r="L310" s="69">
        <f>VLOOKUP(A:A,'Seam Tariffs'!A:AB,13,FALSE)</f>
        <v>0</v>
      </c>
      <c r="M310" s="69">
        <f>VLOOKUP(A:A,'Seam Tariffs'!A:AB,14,FALSE)</f>
        <v>0</v>
      </c>
      <c r="N310" s="69">
        <f>VLOOKUP(A:A,'Seam Tariffs'!A:AB,28,FALSE)</f>
        <v>2.5500000000000003</v>
      </c>
      <c r="O310" s="69">
        <f>COSTS!$W$6</f>
        <v>1.8958333333333335</v>
      </c>
      <c r="P310" s="69">
        <f>VLOOKUP(G310,COSTS!$V$11:$X$14,3,FALSE)</f>
        <v>0</v>
      </c>
      <c r="Q310" s="69">
        <f t="shared" si="28"/>
        <v>24.695833333333333</v>
      </c>
      <c r="R310" s="69">
        <f t="shared" si="29"/>
        <v>14.195833333333335</v>
      </c>
      <c r="S310" s="87">
        <f>VLOOKUP(A:A,'Flat Bed &amp; Late Fees'!A:J,6,FALSE)</f>
        <v>0</v>
      </c>
      <c r="T310" s="87">
        <f>VLOOKUP(A:A,'Flat Bed &amp; Late Fees'!A:J,7,FALSE)</f>
        <v>0</v>
      </c>
      <c r="U310" s="68">
        <f>VLOOKUP(C310&amp;G310,OTR!E:J,6,FALSE)/88</f>
        <v>14.204545454545455</v>
      </c>
      <c r="V310" s="87"/>
      <c r="W310" s="68">
        <f t="shared" si="30"/>
        <v>14.204545454545455</v>
      </c>
      <c r="X310" s="69">
        <f>VLOOKUP(G310,COSTS!$Z$18:$AC$23,2,FALSE)</f>
        <v>2.7</v>
      </c>
      <c r="Y310" s="87">
        <f>VLOOKUP(G310,COSTS!$Z$18:$AC$23,4,FALSE)</f>
        <v>2.52</v>
      </c>
      <c r="Z310" s="69">
        <f>(COSTS!$W$3*COSTS!$W$4*500)/52*COSTS!$AE$17</f>
        <v>1.3125</v>
      </c>
      <c r="AB310" s="69">
        <f t="shared" si="31"/>
        <v>6.5325000000000006</v>
      </c>
      <c r="AC310" s="69">
        <f>VLOOKUP(G310,COSTS!$Z$11:$AE$14,5,FALSE)</f>
        <v>6.6477272727272725</v>
      </c>
      <c r="AD310" s="69">
        <f>VLOOKUP(G310,COSTS!$Z$4:$AD$7,4,FALSE)</f>
        <v>9.8977272727272734</v>
      </c>
      <c r="AE310" s="69"/>
      <c r="AF310" s="69">
        <f t="shared" si="32"/>
        <v>16.545454545454547</v>
      </c>
      <c r="AG310" s="87">
        <f>((COSTS!$C$5*88)/20)/88</f>
        <v>1.4407150000000002</v>
      </c>
      <c r="AH310" s="69">
        <f>(COSTS!$X$38/88)*20</f>
        <v>0.34865702479338845</v>
      </c>
      <c r="AI310" s="87">
        <f>((COSTS!$E$5*88)/20)/88</f>
        <v>0.62936587135988387</v>
      </c>
      <c r="AJ310" s="87">
        <f>((COSTS!$D$5*88)/20)/88</f>
        <v>0.33676</v>
      </c>
      <c r="AL310" s="387">
        <f t="shared" si="33"/>
        <v>2.7554978961532726</v>
      </c>
      <c r="AM310" s="69">
        <f>(COSTS!$W$3+0.1)*500*0.01</f>
        <v>3.9999999999999996</v>
      </c>
      <c r="AN310" s="387">
        <f>((COSTS!$G$5/20)*88)/88</f>
        <v>1.308904109589041</v>
      </c>
      <c r="AR310" s="69">
        <f t="shared" si="34"/>
        <v>5.3089041095890401</v>
      </c>
      <c r="AT310" s="1">
        <f>VLOOKUP(C310&amp;$AT$1,OTR!E:J,6,FALSE)/88</f>
        <v>17.808636363636364</v>
      </c>
      <c r="AU310" s="1" t="e">
        <f>VLOOKUP(C310&amp;$AU$1,OTR!E:J,6,FALSE)/88</f>
        <v>#N/A</v>
      </c>
    </row>
    <row r="311" spans="1:47">
      <c r="A311" s="1">
        <v>602005</v>
      </c>
      <c r="B311" s="1" t="s">
        <v>697</v>
      </c>
      <c r="C311" s="1" t="s">
        <v>698</v>
      </c>
      <c r="D311" s="1" t="s">
        <v>136</v>
      </c>
      <c r="E311" s="1" t="str">
        <f>VLOOKUP(A:A,'Regions and Ports'!A:G,5,FALSE)</f>
        <v>Eastern Rule 5</v>
      </c>
      <c r="F311" s="1" t="str">
        <f>VLOOKUP(A:A,'Regions and Ports'!A:F,6,FALSE)</f>
        <v>ER5</v>
      </c>
      <c r="G311" s="1" t="str">
        <f>VLOOKUP(A:A,'Regions and Ports'!A:G,7,FALSE)</f>
        <v>Savannah</v>
      </c>
      <c r="H311" s="87">
        <v>1</v>
      </c>
      <c r="I311" s="69">
        <f>VLOOKUP(A:A,'Seam Tariffs'!A:AB,9,FALSE)</f>
        <v>2.35</v>
      </c>
      <c r="J311" s="69">
        <f>VLOOKUP(A:A,'Seam Tariffs'!A:AB,11,FALSE)</f>
        <v>3</v>
      </c>
      <c r="K311" s="69">
        <f>VLOOKUP(A:A,'Seam Tariffs'!A:AB,12,FALSE)</f>
        <v>0</v>
      </c>
      <c r="L311" s="69">
        <f>VLOOKUP(A:A,'Seam Tariffs'!A:AB,13,FALSE)</f>
        <v>0</v>
      </c>
      <c r="M311" s="69">
        <f>VLOOKUP(A:A,'Seam Tariffs'!A:AB,14,FALSE)</f>
        <v>0.5</v>
      </c>
      <c r="N311" s="69">
        <f>VLOOKUP(A:A,'Seam Tariffs'!A:AB,28,FALSE)</f>
        <v>2</v>
      </c>
      <c r="O311" s="69">
        <f>COSTS!$W$6</f>
        <v>1.8958333333333335</v>
      </c>
      <c r="P311" s="69">
        <f>VLOOKUP(G311,COSTS!$V$11:$X$14,3,FALSE)</f>
        <v>0</v>
      </c>
      <c r="Q311" s="69">
        <f t="shared" si="28"/>
        <v>9.7458333333333336</v>
      </c>
      <c r="R311" s="69">
        <f t="shared" si="29"/>
        <v>3.8958333333333335</v>
      </c>
      <c r="S311" s="87">
        <f>VLOOKUP(A:A,'Flat Bed &amp; Late Fees'!A:J,6,FALSE)</f>
        <v>0</v>
      </c>
      <c r="T311" s="87">
        <f>VLOOKUP(A:A,'Flat Bed &amp; Late Fees'!A:J,7,FALSE)</f>
        <v>0</v>
      </c>
      <c r="U311" s="68">
        <f>VLOOKUP(C311&amp;G311,OTR!E:J,6,FALSE)/88</f>
        <v>11.064431818181818</v>
      </c>
      <c r="V311" s="87"/>
      <c r="W311" s="68">
        <f t="shared" si="30"/>
        <v>11.064431818181818</v>
      </c>
      <c r="X311" s="69">
        <f>VLOOKUP(G311,COSTS!$Z$18:$AC$23,2,FALSE)</f>
        <v>2.6</v>
      </c>
      <c r="Y311" s="87">
        <f>VLOOKUP(G311,COSTS!$Z$18:$AC$23,4,FALSE)</f>
        <v>2.52</v>
      </c>
      <c r="Z311" s="69">
        <f>(COSTS!$W$3*COSTS!$W$4*500)/52*COSTS!$AE$17</f>
        <v>1.3125</v>
      </c>
      <c r="AB311" s="69">
        <f t="shared" si="31"/>
        <v>6.4325000000000001</v>
      </c>
      <c r="AC311" s="69">
        <f>VLOOKUP(G311,COSTS!$Z$11:$AE$14,5,FALSE)</f>
        <v>5.5113636363636367</v>
      </c>
      <c r="AD311" s="69">
        <f>VLOOKUP(G311,COSTS!$Z$4:$AD$7,4,FALSE)</f>
        <v>5.3522727272727275</v>
      </c>
      <c r="AE311" s="69"/>
      <c r="AF311" s="69">
        <f t="shared" si="32"/>
        <v>10.863636363636363</v>
      </c>
      <c r="AG311" s="87">
        <f>((COSTS!$C$5*88)/20)/88</f>
        <v>1.4407150000000002</v>
      </c>
      <c r="AH311" s="69">
        <f>(COSTS!$X$38/88)*20</f>
        <v>0.34865702479338845</v>
      </c>
      <c r="AI311" s="87">
        <f>((COSTS!$E$5*88)/20)/88</f>
        <v>0.62936587135988387</v>
      </c>
      <c r="AJ311" s="87">
        <f>((COSTS!$D$5*88)/20)/88</f>
        <v>0.33676</v>
      </c>
      <c r="AL311" s="387">
        <f t="shared" si="33"/>
        <v>2.7554978961532726</v>
      </c>
      <c r="AM311" s="69">
        <f>(COSTS!$W$3+0.1)*500*0.01</f>
        <v>3.9999999999999996</v>
      </c>
      <c r="AN311" s="387">
        <f>((COSTS!$G$5/20)*88)/88</f>
        <v>1.308904109589041</v>
      </c>
      <c r="AR311" s="69">
        <f t="shared" si="34"/>
        <v>5.3089041095890401</v>
      </c>
      <c r="AT311" s="1" t="e">
        <f>VLOOKUP(C311&amp;$AT$1,OTR!E:J,6,FALSE)/88</f>
        <v>#N/A</v>
      </c>
      <c r="AU311" s="1">
        <f>VLOOKUP(C311&amp;$AU$1,OTR!E:J,6,FALSE)/88</f>
        <v>5.2556818181818183</v>
      </c>
    </row>
    <row r="312" spans="1:47">
      <c r="A312" s="1">
        <v>331015</v>
      </c>
      <c r="B312" s="1" t="s">
        <v>700</v>
      </c>
      <c r="C312" s="1" t="s">
        <v>701</v>
      </c>
      <c r="D312" s="1" t="s">
        <v>76</v>
      </c>
      <c r="E312" s="1" t="str">
        <f>VLOOKUP(A:A,'Regions and Ports'!A:G,5,FALSE)</f>
        <v>GA 30 Day</v>
      </c>
      <c r="F312" s="1" t="str">
        <f>VLOOKUP(A:A,'Regions and Ports'!A:F,6,FALSE)</f>
        <v>ER5</v>
      </c>
      <c r="G312" s="1" t="str">
        <f>VLOOKUP(A:A,'Regions and Ports'!A:G,7,FALSE)</f>
        <v>Savannah</v>
      </c>
      <c r="H312" s="87">
        <v>4</v>
      </c>
      <c r="I312" s="69">
        <f>VLOOKUP(A:A,'Seam Tariffs'!A:AB,9,FALSE)</f>
        <v>5</v>
      </c>
      <c r="J312" s="69">
        <f>VLOOKUP(A:A,'Seam Tariffs'!A:AB,11,FALSE)</f>
        <v>5</v>
      </c>
      <c r="K312" s="69">
        <f>VLOOKUP(A:A,'Seam Tariffs'!A:AB,12,FALSE)</f>
        <v>0</v>
      </c>
      <c r="L312" s="69">
        <f>VLOOKUP(A:A,'Seam Tariffs'!A:AB,13,FALSE)</f>
        <v>0</v>
      </c>
      <c r="M312" s="69">
        <f>VLOOKUP(A:A,'Seam Tariffs'!A:AB,14,FALSE)</f>
        <v>0</v>
      </c>
      <c r="N312" s="69">
        <f>VLOOKUP(A:A,'Seam Tariffs'!A:AB,28,FALSE)</f>
        <v>2.5</v>
      </c>
      <c r="O312" s="69">
        <f>COSTS!$W$6</f>
        <v>1.8958333333333335</v>
      </c>
      <c r="P312" s="69">
        <f>VLOOKUP(G312,COSTS!$V$11:$X$14,3,FALSE)</f>
        <v>0</v>
      </c>
      <c r="Q312" s="69">
        <f t="shared" si="28"/>
        <v>14.395833333333334</v>
      </c>
      <c r="R312" s="69">
        <f t="shared" si="29"/>
        <v>1.8958333333333335</v>
      </c>
      <c r="S312" s="87">
        <f>VLOOKUP(A:A,'Flat Bed &amp; Late Fees'!A:J,6,FALSE)</f>
        <v>0</v>
      </c>
      <c r="T312" s="87">
        <f>VLOOKUP(A:A,'Flat Bed &amp; Late Fees'!A:J,7,FALSE)</f>
        <v>0</v>
      </c>
      <c r="U312" s="68">
        <f>VLOOKUP(C312&amp;G312,OTR!E:J,6,FALSE)/88</f>
        <v>9.9251988636363624</v>
      </c>
      <c r="V312" s="87"/>
      <c r="W312" s="68">
        <f t="shared" si="30"/>
        <v>9.9251988636363624</v>
      </c>
      <c r="X312" s="69">
        <f>VLOOKUP(G312,COSTS!$Z$18:$AC$23,2,FALSE)</f>
        <v>2.6</v>
      </c>
      <c r="Y312" s="87">
        <f>VLOOKUP(G312,COSTS!$Z$18:$AC$23,4,FALSE)</f>
        <v>2.52</v>
      </c>
      <c r="Z312" s="69">
        <f>(COSTS!$W$3*COSTS!$W$4*500)/52*COSTS!$AE$17</f>
        <v>1.3125</v>
      </c>
      <c r="AB312" s="69">
        <f t="shared" si="31"/>
        <v>6.4325000000000001</v>
      </c>
      <c r="AC312" s="69">
        <f>VLOOKUP(G312,COSTS!$Z$11:$AE$14,5,FALSE)</f>
        <v>5.5113636363636367</v>
      </c>
      <c r="AD312" s="69">
        <f>VLOOKUP(G312,COSTS!$Z$4:$AD$7,4,FALSE)</f>
        <v>5.3522727272727275</v>
      </c>
      <c r="AE312" s="69"/>
      <c r="AF312" s="69">
        <f t="shared" si="32"/>
        <v>10.863636363636363</v>
      </c>
      <c r="AG312" s="87">
        <f>((COSTS!$C$5*88)/20)/88</f>
        <v>1.4407150000000002</v>
      </c>
      <c r="AH312" s="69">
        <f>(COSTS!$X$38/88)*20</f>
        <v>0.34865702479338845</v>
      </c>
      <c r="AI312" s="87">
        <f>((COSTS!$E$5*88)/20)/88</f>
        <v>0.62936587135988387</v>
      </c>
      <c r="AJ312" s="87">
        <f>((COSTS!$D$5*88)/20)/88</f>
        <v>0.33676</v>
      </c>
      <c r="AL312" s="387">
        <f t="shared" si="33"/>
        <v>2.7554978961532726</v>
      </c>
      <c r="AM312" s="69">
        <f>(COSTS!$W$3+0.1)*500*0.01</f>
        <v>3.9999999999999996</v>
      </c>
      <c r="AN312" s="387">
        <f>((COSTS!$G$5/20)*88)/88</f>
        <v>1.308904109589041</v>
      </c>
      <c r="AR312" s="69">
        <f t="shared" si="34"/>
        <v>5.3089041095890401</v>
      </c>
      <c r="AT312" s="1" t="e">
        <f>VLOOKUP(C312&amp;$AT$1,OTR!E:J,6,FALSE)/88</f>
        <v>#N/A</v>
      </c>
      <c r="AU312" s="1">
        <f>VLOOKUP(C312&amp;$AU$1,OTR!E:J,6,FALSE)/88</f>
        <v>15.823863636363637</v>
      </c>
    </row>
    <row r="313" spans="1:47">
      <c r="A313" s="1">
        <v>937534</v>
      </c>
      <c r="B313" s="1" t="s">
        <v>702</v>
      </c>
      <c r="C313" s="1" t="s">
        <v>703</v>
      </c>
      <c r="D313" s="1" t="s">
        <v>71</v>
      </c>
      <c r="E313" s="1" t="str">
        <f>VLOOKUP(A:A,'Regions and Ports'!A:G,5,FALSE)</f>
        <v>WTX</v>
      </c>
      <c r="F313" s="1" t="str">
        <f>VLOOKUP(A:A,'Regions and Ports'!A:F,6,FALSE)</f>
        <v>WTX</v>
      </c>
      <c r="G313" s="1" t="str">
        <f>VLOOKUP(A:A,'Regions and Ports'!A:G,7,FALSE)</f>
        <v>Dallas</v>
      </c>
      <c r="H313" s="87">
        <v>2</v>
      </c>
      <c r="I313" s="69">
        <f>VLOOKUP(A:A,'Seam Tariffs'!A:AB,9,FALSE)</f>
        <v>5.0999999999999996</v>
      </c>
      <c r="J313" s="69">
        <f>VLOOKUP(A:A,'Seam Tariffs'!A:AB,11,FALSE)</f>
        <v>6.25</v>
      </c>
      <c r="K313" s="69">
        <f>VLOOKUP(A:A,'Seam Tariffs'!A:AB,12,FALSE)</f>
        <v>12</v>
      </c>
      <c r="L313" s="69">
        <f>VLOOKUP(A:A,'Seam Tariffs'!A:AB,13,FALSE)</f>
        <v>0</v>
      </c>
      <c r="M313" s="69">
        <f>VLOOKUP(A:A,'Seam Tariffs'!A:AB,14,FALSE)</f>
        <v>0</v>
      </c>
      <c r="N313" s="69">
        <f>VLOOKUP(A:A,'Seam Tariffs'!A:AB,28,FALSE)</f>
        <v>2.85</v>
      </c>
      <c r="O313" s="69">
        <f>COSTS!$W$6</f>
        <v>1.8958333333333335</v>
      </c>
      <c r="P313" s="69">
        <f>VLOOKUP(G313,COSTS!$V$11:$X$14,3,FALSE)</f>
        <v>0</v>
      </c>
      <c r="Q313" s="69">
        <f t="shared" si="28"/>
        <v>28.095833333333335</v>
      </c>
      <c r="R313" s="69">
        <f t="shared" si="29"/>
        <v>16.745833333333334</v>
      </c>
      <c r="S313" s="87">
        <f>VLOOKUP(A:A,'Flat Bed &amp; Late Fees'!A:J,6,FALSE)</f>
        <v>0</v>
      </c>
      <c r="T313" s="87">
        <f>VLOOKUP(A:A,'Flat Bed &amp; Late Fees'!A:J,7,FALSE)</f>
        <v>0</v>
      </c>
      <c r="U313" s="68">
        <f>VLOOKUP(C313&amp;G313,OTR!E:J,6,FALSE)/88</f>
        <v>8.8352272727272734</v>
      </c>
      <c r="V313" s="87"/>
      <c r="W313" s="68">
        <f t="shared" si="30"/>
        <v>8.8352272727272734</v>
      </c>
      <c r="X313" s="69">
        <f>VLOOKUP(G313,COSTS!$Z$18:$AC$23,2,FALSE)</f>
        <v>2.7</v>
      </c>
      <c r="Y313" s="87">
        <f>VLOOKUP(G313,COSTS!$Z$18:$AC$23,4,FALSE)</f>
        <v>2.52</v>
      </c>
      <c r="Z313" s="69">
        <f>(COSTS!$W$3*COSTS!$W$4*500)/52*COSTS!$AE$17</f>
        <v>1.3125</v>
      </c>
      <c r="AB313" s="69">
        <f t="shared" si="31"/>
        <v>6.5325000000000006</v>
      </c>
      <c r="AC313" s="69">
        <f>VLOOKUP(G313,COSTS!$Z$11:$AE$14,5,FALSE)</f>
        <v>8.125</v>
      </c>
      <c r="AD313" s="69">
        <f>VLOOKUP(G313,COSTS!$Z$4:$AD$7,4,FALSE)</f>
        <v>13.409090909090908</v>
      </c>
      <c r="AE313" s="69"/>
      <c r="AF313" s="69">
        <f t="shared" si="32"/>
        <v>21.534090909090907</v>
      </c>
      <c r="AG313" s="87">
        <f>((COSTS!$C$5*88)/20)/88</f>
        <v>1.4407150000000002</v>
      </c>
      <c r="AH313" s="69">
        <f>(COSTS!$X$38/88)*20</f>
        <v>0.34865702479338845</v>
      </c>
      <c r="AI313" s="87">
        <f>((COSTS!$E$5*88)/20)/88</f>
        <v>0.62936587135988387</v>
      </c>
      <c r="AJ313" s="87">
        <f>((COSTS!$D$5*88)/20)/88</f>
        <v>0.33676</v>
      </c>
      <c r="AL313" s="387">
        <f t="shared" si="33"/>
        <v>2.7554978961532726</v>
      </c>
      <c r="AM313" s="69">
        <f>(COSTS!$W$3+0.1)*500*0.01</f>
        <v>3.9999999999999996</v>
      </c>
      <c r="AN313" s="387">
        <f>((COSTS!$G$5/20)*88)/88</f>
        <v>1.308904109589041</v>
      </c>
      <c r="AR313" s="69">
        <f t="shared" si="34"/>
        <v>5.3089041095890401</v>
      </c>
      <c r="AT313" s="1">
        <f>VLOOKUP(C313&amp;$AT$1,OTR!E:J,6,FALSE)/88</f>
        <v>16.847272727272728</v>
      </c>
      <c r="AU313" s="1" t="e">
        <f>VLOOKUP(C313&amp;$AU$1,OTR!E:J,6,FALSE)/88</f>
        <v>#N/A</v>
      </c>
    </row>
    <row r="314" spans="1:47">
      <c r="A314" s="125">
        <v>937534</v>
      </c>
      <c r="B314" s="1" t="s">
        <v>702</v>
      </c>
      <c r="C314" s="1" t="s">
        <v>703</v>
      </c>
      <c r="D314" s="1" t="s">
        <v>71</v>
      </c>
      <c r="E314" s="1" t="s">
        <v>2067</v>
      </c>
      <c r="F314" s="1" t="str">
        <f>VLOOKUP(A:A,'Regions and Ports'!A:F,6,FALSE)</f>
        <v>WTX</v>
      </c>
      <c r="G314" s="1" t="s">
        <v>439</v>
      </c>
      <c r="H314" s="87">
        <v>2</v>
      </c>
      <c r="I314" s="69">
        <f>VLOOKUP(A:A,'Seam Tariffs'!A:AB,9,FALSE)</f>
        <v>5.0999999999999996</v>
      </c>
      <c r="J314" s="69">
        <f>VLOOKUP(A:A,'Seam Tariffs'!A:AB,11,FALSE)</f>
        <v>6.25</v>
      </c>
      <c r="K314" s="69">
        <f>VLOOKUP(A:A,'Seam Tariffs'!A:AB,12,FALSE)</f>
        <v>12</v>
      </c>
      <c r="L314" s="69">
        <f>VLOOKUP(A:A,'Seam Tariffs'!A:AB,13,FALSE)</f>
        <v>0</v>
      </c>
      <c r="M314" s="69">
        <f>VLOOKUP(A:A,'Seam Tariffs'!A:AB,14,FALSE)</f>
        <v>0</v>
      </c>
      <c r="N314" s="69">
        <f>VLOOKUP(A:A,'Seam Tariffs'!A:AB,28,FALSE)</f>
        <v>2.85</v>
      </c>
      <c r="O314" s="69">
        <f>COSTS!$W$6</f>
        <v>1.8958333333333335</v>
      </c>
      <c r="P314" s="69">
        <f>VLOOKUP(G314,COSTS!$V$11:$X$14,3,FALSE)</f>
        <v>0</v>
      </c>
      <c r="Q314" s="69">
        <f t="shared" si="28"/>
        <v>28.095833333333335</v>
      </c>
      <c r="R314" s="69">
        <f t="shared" si="29"/>
        <v>16.745833333333334</v>
      </c>
      <c r="S314" s="87">
        <f>VLOOKUP(A:A,'Flat Bed &amp; Late Fees'!A:J,6,FALSE)</f>
        <v>0</v>
      </c>
      <c r="T314" s="87">
        <f>VLOOKUP(A:A,'Flat Bed &amp; Late Fees'!A:J,7,FALSE)</f>
        <v>0</v>
      </c>
      <c r="U314" s="68">
        <f>VLOOKUP(C314&amp;G314,OTR!E:J,6,FALSE)/88</f>
        <v>15.517045454545455</v>
      </c>
      <c r="V314" s="87"/>
      <c r="W314" s="68">
        <f t="shared" si="30"/>
        <v>15.517045454545455</v>
      </c>
      <c r="X314" s="69">
        <f>VLOOKUP(G314,COSTS!$Z$18:$AC$23,2,FALSE)</f>
        <v>2.7</v>
      </c>
      <c r="Y314" s="87">
        <f>VLOOKUP(G314,COSTS!$Z$18:$AC$23,4,FALSE)</f>
        <v>2.52</v>
      </c>
      <c r="Z314" s="69">
        <f>(COSTS!$W$3*COSTS!$W$4*500)/52*COSTS!$AE$17</f>
        <v>1.3125</v>
      </c>
      <c r="AB314" s="69">
        <f t="shared" si="31"/>
        <v>6.5325000000000006</v>
      </c>
      <c r="AC314" s="69">
        <f>VLOOKUP(G314,COSTS!$Z$11:$AE$14,5,FALSE)</f>
        <v>6.6477272727272725</v>
      </c>
      <c r="AD314" s="69">
        <f>VLOOKUP(G314,COSTS!$Z$4:$AD$7,4,FALSE)</f>
        <v>9.8977272727272734</v>
      </c>
      <c r="AE314" s="69"/>
      <c r="AF314" s="69">
        <f t="shared" si="32"/>
        <v>16.545454545454547</v>
      </c>
      <c r="AG314" s="87">
        <f>((COSTS!$C$5*88)/20)/88</f>
        <v>1.4407150000000002</v>
      </c>
      <c r="AH314" s="69">
        <f>(COSTS!$X$38/88)*20</f>
        <v>0.34865702479338845</v>
      </c>
      <c r="AI314" s="87">
        <f>((COSTS!$E$5*88)/20)/88</f>
        <v>0.62936587135988387</v>
      </c>
      <c r="AJ314" s="87">
        <f>((COSTS!$D$5*88)/20)/88</f>
        <v>0.33676</v>
      </c>
      <c r="AL314" s="387">
        <f t="shared" si="33"/>
        <v>2.7554978961532726</v>
      </c>
      <c r="AM314" s="69">
        <f>(COSTS!$W$3+0.1)*500*0.01</f>
        <v>3.9999999999999996</v>
      </c>
      <c r="AN314" s="387">
        <f>((COSTS!$G$5/20)*88)/88</f>
        <v>1.308904109589041</v>
      </c>
      <c r="AR314" s="69">
        <f t="shared" si="34"/>
        <v>5.3089041095890401</v>
      </c>
      <c r="AT314" s="1">
        <f>VLOOKUP(C314&amp;$AT$1,OTR!E:J,6,FALSE)/88</f>
        <v>16.847272727272728</v>
      </c>
      <c r="AU314" s="1" t="e">
        <f>VLOOKUP(C314&amp;$AU$1,OTR!E:J,6,FALSE)/88</f>
        <v>#N/A</v>
      </c>
    </row>
    <row r="315" spans="1:47">
      <c r="A315" s="1">
        <v>797660</v>
      </c>
      <c r="B315" s="1" t="s">
        <v>705</v>
      </c>
      <c r="C315" s="1" t="s">
        <v>706</v>
      </c>
      <c r="D315" s="1" t="s">
        <v>168</v>
      </c>
      <c r="E315" s="1" t="str">
        <f>VLOOKUP(A:A,'Regions and Ports'!A:G,5,FALSE)</f>
        <v>Memphis Rule 5</v>
      </c>
      <c r="F315" s="1" t="str">
        <f>VLOOKUP(A:A,'Regions and Ports'!A:F,6,FALSE)</f>
        <v>MR5</v>
      </c>
      <c r="G315" s="1" t="str">
        <f>VLOOKUP(A:A,'Regions and Ports'!A:G,7,FALSE)</f>
        <v>Memphis</v>
      </c>
      <c r="H315" s="87">
        <v>1</v>
      </c>
      <c r="I315" s="69">
        <f>VLOOKUP(A:A,'Seam Tariffs'!A:AB,9,FALSE)</f>
        <v>1.4</v>
      </c>
      <c r="J315" s="69">
        <f>VLOOKUP(A:A,'Seam Tariffs'!A:AB,11,FALSE)</f>
        <v>12.1</v>
      </c>
      <c r="K315" s="69">
        <f>VLOOKUP(A:A,'Seam Tariffs'!A:AB,12,FALSE)</f>
        <v>0</v>
      </c>
      <c r="L315" s="69">
        <f>VLOOKUP(A:A,'Seam Tariffs'!A:AB,13,FALSE)</f>
        <v>3.05</v>
      </c>
      <c r="M315" s="69">
        <f>VLOOKUP(A:A,'Seam Tariffs'!A:AB,14,FALSE)</f>
        <v>0.5</v>
      </c>
      <c r="N315" s="69">
        <f>VLOOKUP(A:A,'Seam Tariffs'!A:AB,28,FALSE)</f>
        <v>3.6</v>
      </c>
      <c r="O315" s="69">
        <f>COSTS!$W$6</f>
        <v>1.8958333333333335</v>
      </c>
      <c r="P315" s="69">
        <f>VLOOKUP(G315,COSTS!$V$11:$X$14,3,FALSE)</f>
        <v>0</v>
      </c>
      <c r="Q315" s="69">
        <f t="shared" si="28"/>
        <v>22.545833333333334</v>
      </c>
      <c r="R315" s="69">
        <f t="shared" si="29"/>
        <v>5.4958333333333336</v>
      </c>
      <c r="S315" s="87">
        <f>VLOOKUP(A:A,'Flat Bed &amp; Late Fees'!A:J,6,FALSE)</f>
        <v>0</v>
      </c>
      <c r="T315" s="87">
        <f>VLOOKUP(A:A,'Flat Bed &amp; Late Fees'!A:J,7,FALSE)</f>
        <v>0</v>
      </c>
      <c r="U315" s="68">
        <f>VLOOKUP(C315&amp;G315,OTR!E:J,6,FALSE)/88</f>
        <v>9.517045454545455</v>
      </c>
      <c r="V315" s="87"/>
      <c r="W315" s="68">
        <f t="shared" si="30"/>
        <v>9.517045454545455</v>
      </c>
      <c r="X315" s="69">
        <f>VLOOKUP(G315,COSTS!$Z$18:$AC$23,2,FALSE)</f>
        <v>2.5</v>
      </c>
      <c r="Y315" s="87">
        <f>VLOOKUP(G315,COSTS!$Z$18:$AC$23,4,FALSE)</f>
        <v>1.68</v>
      </c>
      <c r="Z315" s="69">
        <f>(COSTS!$W$3*COSTS!$W$4*500)/52*COSTS!$AE$17</f>
        <v>1.3125</v>
      </c>
      <c r="AB315" s="69">
        <f t="shared" si="31"/>
        <v>5.4924999999999997</v>
      </c>
      <c r="AC315" s="69">
        <f>VLOOKUP(G315,COSTS!$Z$11:$AE$14,5,FALSE)</f>
        <v>7.3011363636363633</v>
      </c>
      <c r="AD315" s="69">
        <f>VLOOKUP(G315,COSTS!$Z$4:$AD$7,4,FALSE)</f>
        <v>9.1363636363636367</v>
      </c>
      <c r="AE315" s="69"/>
      <c r="AF315" s="69">
        <f t="shared" si="32"/>
        <v>16.4375</v>
      </c>
      <c r="AG315" s="87">
        <f>((COSTS!$C$5*88)/20)/88</f>
        <v>1.4407150000000002</v>
      </c>
      <c r="AH315" s="69">
        <f>(COSTS!$X$38/88)*20</f>
        <v>0.34865702479338845</v>
      </c>
      <c r="AI315" s="87">
        <f>((COSTS!$E$5*88)/20)/88</f>
        <v>0.62936587135988387</v>
      </c>
      <c r="AJ315" s="87">
        <f>((COSTS!$D$5*88)/20)/88</f>
        <v>0.33676</v>
      </c>
      <c r="AL315" s="387">
        <f t="shared" si="33"/>
        <v>2.7554978961532726</v>
      </c>
      <c r="AM315" s="69">
        <f>(COSTS!$W$3+0.1)*500*0.01</f>
        <v>3.9999999999999996</v>
      </c>
      <c r="AN315" s="387">
        <f>((COSTS!$G$5/20)*88)/88</f>
        <v>1.308904109589041</v>
      </c>
      <c r="AR315" s="69">
        <f t="shared" si="34"/>
        <v>5.3089041095890401</v>
      </c>
      <c r="AT315" s="1">
        <f>VLOOKUP(C315&amp;$AT$1,OTR!E:J,6,FALSE)/88</f>
        <v>26.909545454545455</v>
      </c>
      <c r="AU315" s="1">
        <f>VLOOKUP(C315&amp;$AU$1,OTR!E:J,6,FALSE)/88</f>
        <v>20.852272727272727</v>
      </c>
    </row>
    <row r="316" spans="1:47">
      <c r="A316" s="1">
        <v>417205</v>
      </c>
      <c r="B316" s="1" t="s">
        <v>707</v>
      </c>
      <c r="C316" s="1" t="s">
        <v>708</v>
      </c>
      <c r="D316" s="1" t="s">
        <v>80</v>
      </c>
      <c r="E316" s="1" t="str">
        <f>VLOOKUP(A:A,'Regions and Ports'!A:G,5,FALSE)</f>
        <v>Memphis Rule 5</v>
      </c>
      <c r="F316" s="1" t="str">
        <f>VLOOKUP(A:A,'Regions and Ports'!A:F,6,FALSE)</f>
        <v>MR5</v>
      </c>
      <c r="G316" s="1" t="str">
        <f>VLOOKUP(A:A,'Regions and Ports'!A:G,7,FALSE)</f>
        <v>Houston</v>
      </c>
      <c r="H316" s="87">
        <v>1</v>
      </c>
      <c r="I316" s="69">
        <f>VLOOKUP(A:A,'Seam Tariffs'!A:AB,9,FALSE)</f>
        <v>3.5</v>
      </c>
      <c r="J316" s="69">
        <f>VLOOKUP(A:A,'Seam Tariffs'!A:AB,11,FALSE)</f>
        <v>8</v>
      </c>
      <c r="K316" s="69">
        <f>VLOOKUP(A:A,'Seam Tariffs'!A:AB,12,FALSE)</f>
        <v>0</v>
      </c>
      <c r="L316" s="69">
        <f>VLOOKUP(A:A,'Seam Tariffs'!A:AB,13,FALSE)</f>
        <v>0</v>
      </c>
      <c r="M316" s="69">
        <f>VLOOKUP(A:A,'Seam Tariffs'!A:AB,14,FALSE)</f>
        <v>0</v>
      </c>
      <c r="N316" s="69">
        <f>VLOOKUP(A:A,'Seam Tariffs'!A:AB,28,FALSE)</f>
        <v>3</v>
      </c>
      <c r="O316" s="69">
        <f>COSTS!$W$6</f>
        <v>1.8958333333333335</v>
      </c>
      <c r="P316" s="69">
        <f>VLOOKUP(G316,COSTS!$V$11:$X$14,3,FALSE)</f>
        <v>0</v>
      </c>
      <c r="Q316" s="69">
        <f t="shared" si="28"/>
        <v>16.395833333333332</v>
      </c>
      <c r="R316" s="69">
        <f t="shared" si="29"/>
        <v>4.8958333333333339</v>
      </c>
      <c r="S316" s="87">
        <f>VLOOKUP(A:A,'Flat Bed &amp; Late Fees'!A:J,6,FALSE)</f>
        <v>0</v>
      </c>
      <c r="T316" s="87">
        <f>VLOOKUP(A:A,'Flat Bed &amp; Late Fees'!A:J,7,FALSE)</f>
        <v>0</v>
      </c>
      <c r="U316" s="68">
        <f>VLOOKUP(C316&amp;G316,OTR!E:J,6,FALSE)/88</f>
        <v>15.909090909090908</v>
      </c>
      <c r="V316" s="87"/>
      <c r="W316" s="68">
        <f t="shared" si="30"/>
        <v>15.909090909090908</v>
      </c>
      <c r="X316" s="69">
        <f>VLOOKUP(G316,COSTS!$Z$18:$AC$23,2,FALSE)</f>
        <v>2.7</v>
      </c>
      <c r="Y316" s="87">
        <f>VLOOKUP(G316,COSTS!$Z$18:$AC$23,4,FALSE)</f>
        <v>2.52</v>
      </c>
      <c r="Z316" s="69">
        <f>(COSTS!$W$3*COSTS!$W$4*500)/52*COSTS!$AE$17</f>
        <v>1.3125</v>
      </c>
      <c r="AB316" s="69">
        <f t="shared" si="31"/>
        <v>6.5325000000000006</v>
      </c>
      <c r="AC316" s="69">
        <f>VLOOKUP(G316,COSTS!$Z$11:$AE$14,5,FALSE)</f>
        <v>6.6477272727272725</v>
      </c>
      <c r="AD316" s="69">
        <f>VLOOKUP(G316,COSTS!$Z$4:$AD$7,4,FALSE)</f>
        <v>9.8977272727272734</v>
      </c>
      <c r="AE316" s="69"/>
      <c r="AF316" s="69">
        <f t="shared" si="32"/>
        <v>16.545454545454547</v>
      </c>
      <c r="AG316" s="87">
        <f>((COSTS!$C$5*88)/20)/88</f>
        <v>1.4407150000000002</v>
      </c>
      <c r="AH316" s="69">
        <f>(COSTS!$X$38/88)*20</f>
        <v>0.34865702479338845</v>
      </c>
      <c r="AI316" s="87">
        <f>((COSTS!$E$5*88)/20)/88</f>
        <v>0.62936587135988387</v>
      </c>
      <c r="AJ316" s="87">
        <f>((COSTS!$D$5*88)/20)/88</f>
        <v>0.33676</v>
      </c>
      <c r="AL316" s="387">
        <f t="shared" si="33"/>
        <v>2.7554978961532726</v>
      </c>
      <c r="AM316" s="69">
        <f>(COSTS!$W$3+0.1)*500*0.01</f>
        <v>3.9999999999999996</v>
      </c>
      <c r="AN316" s="387">
        <f>((COSTS!$G$5/20)*88)/88</f>
        <v>1.308904109589041</v>
      </c>
      <c r="AR316" s="69">
        <f t="shared" si="34"/>
        <v>5.3089041095890401</v>
      </c>
      <c r="AT316" s="1" t="e">
        <f>VLOOKUP(C316&amp;$AT$1,OTR!E:J,6,FALSE)/88</f>
        <v>#N/A</v>
      </c>
      <c r="AU316" s="1" t="e">
        <f>VLOOKUP(C316&amp;$AU$1,OTR!E:J,6,FALSE)/88</f>
        <v>#N/A</v>
      </c>
    </row>
    <row r="317" spans="1:47">
      <c r="A317" s="1">
        <v>754585</v>
      </c>
      <c r="B317" s="1" t="s">
        <v>710</v>
      </c>
      <c r="C317" s="1" t="s">
        <v>711</v>
      </c>
      <c r="D317" s="1" t="s">
        <v>132</v>
      </c>
      <c r="E317" s="1" t="str">
        <f>VLOOKUP(A:A,'Regions and Ports'!A:G,5,FALSE)</f>
        <v>Eastern Rule 5</v>
      </c>
      <c r="F317" s="1" t="str">
        <f>VLOOKUP(A:A,'Regions and Ports'!A:F,6,FALSE)</f>
        <v>ER5</v>
      </c>
      <c r="G317" s="1" t="str">
        <f>VLOOKUP(A:A,'Regions and Ports'!A:G,7,FALSE)</f>
        <v>Savannah</v>
      </c>
      <c r="H317" s="87">
        <v>1</v>
      </c>
      <c r="I317" s="69">
        <f>VLOOKUP(A:A,'Seam Tariffs'!A:AB,9,FALSE)</f>
        <v>3.5</v>
      </c>
      <c r="J317" s="69">
        <f>VLOOKUP(A:A,'Seam Tariffs'!A:AB,11,FALSE)</f>
        <v>4.5</v>
      </c>
      <c r="K317" s="69">
        <f>VLOOKUP(A:A,'Seam Tariffs'!A:AB,12,FALSE)</f>
        <v>0</v>
      </c>
      <c r="L317" s="69">
        <f>VLOOKUP(A:A,'Seam Tariffs'!A:AB,13,FALSE)</f>
        <v>0</v>
      </c>
      <c r="M317" s="69">
        <f>VLOOKUP(A:A,'Seam Tariffs'!A:AB,14,FALSE)</f>
        <v>0.5</v>
      </c>
      <c r="N317" s="69">
        <f>VLOOKUP(A:A,'Seam Tariffs'!A:AB,28,FALSE)</f>
        <v>2.46</v>
      </c>
      <c r="O317" s="69">
        <f>COSTS!$W$6</f>
        <v>1.8958333333333335</v>
      </c>
      <c r="P317" s="69">
        <f>VLOOKUP(G317,COSTS!$V$11:$X$14,3,FALSE)</f>
        <v>0</v>
      </c>
      <c r="Q317" s="69">
        <f t="shared" si="28"/>
        <v>12.855833333333335</v>
      </c>
      <c r="R317" s="69">
        <f t="shared" si="29"/>
        <v>4.355833333333333</v>
      </c>
      <c r="S317" s="87">
        <f>VLOOKUP(A:A,'Flat Bed &amp; Late Fees'!A:J,6,FALSE)</f>
        <v>0</v>
      </c>
      <c r="T317" s="87">
        <f>VLOOKUP(A:A,'Flat Bed &amp; Late Fees'!A:J,7,FALSE)</f>
        <v>0</v>
      </c>
      <c r="U317" s="68">
        <f>VLOOKUP(C317&amp;G317,OTR!E:J,6,FALSE)/88</f>
        <v>8.3196022727272734</v>
      </c>
      <c r="V317" s="87"/>
      <c r="W317" s="68">
        <f t="shared" si="30"/>
        <v>8.3196022727272734</v>
      </c>
      <c r="X317" s="69">
        <f>VLOOKUP(G317,COSTS!$Z$18:$AC$23,2,FALSE)</f>
        <v>2.6</v>
      </c>
      <c r="Y317" s="87">
        <f>VLOOKUP(G317,COSTS!$Z$18:$AC$23,4,FALSE)</f>
        <v>2.52</v>
      </c>
      <c r="Z317" s="69">
        <f>(COSTS!$W$3*COSTS!$W$4*500)/52*COSTS!$AE$17</f>
        <v>1.3125</v>
      </c>
      <c r="AB317" s="69">
        <f t="shared" si="31"/>
        <v>6.4325000000000001</v>
      </c>
      <c r="AC317" s="69">
        <f>VLOOKUP(G317,COSTS!$Z$11:$AE$14,5,FALSE)</f>
        <v>5.5113636363636367</v>
      </c>
      <c r="AD317" s="69">
        <f>VLOOKUP(G317,COSTS!$Z$4:$AD$7,4,FALSE)</f>
        <v>5.3522727272727275</v>
      </c>
      <c r="AE317" s="69"/>
      <c r="AF317" s="69">
        <f t="shared" si="32"/>
        <v>10.863636363636363</v>
      </c>
      <c r="AG317" s="87">
        <f>((COSTS!$C$5*88)/20)/88</f>
        <v>1.4407150000000002</v>
      </c>
      <c r="AH317" s="69">
        <f>(COSTS!$X$38/88)*20</f>
        <v>0.34865702479338845</v>
      </c>
      <c r="AI317" s="87">
        <f>((COSTS!$E$5*88)/20)/88</f>
        <v>0.62936587135988387</v>
      </c>
      <c r="AJ317" s="87">
        <f>((COSTS!$D$5*88)/20)/88</f>
        <v>0.33676</v>
      </c>
      <c r="AL317" s="387">
        <f t="shared" si="33"/>
        <v>2.7554978961532726</v>
      </c>
      <c r="AM317" s="69">
        <f>(COSTS!$W$3+0.1)*500*0.01</f>
        <v>3.9999999999999996</v>
      </c>
      <c r="AN317" s="387">
        <f>((COSTS!$G$5/20)*88)/88</f>
        <v>1.308904109589041</v>
      </c>
      <c r="AR317" s="69">
        <f t="shared" si="34"/>
        <v>5.3089041095890401</v>
      </c>
      <c r="AT317" s="1" t="e">
        <f>VLOOKUP(C317&amp;$AT$1,OTR!E:J,6,FALSE)/88</f>
        <v>#N/A</v>
      </c>
      <c r="AU317" s="1" t="e">
        <f>VLOOKUP(C317&amp;$AU$1,OTR!E:J,6,FALSE)/88</f>
        <v>#N/A</v>
      </c>
    </row>
    <row r="318" spans="1:47">
      <c r="A318" s="1">
        <v>867017</v>
      </c>
      <c r="B318" s="1" t="s">
        <v>712</v>
      </c>
      <c r="C318" s="1" t="s">
        <v>713</v>
      </c>
      <c r="D318" s="1" t="s">
        <v>71</v>
      </c>
      <c r="E318" s="1" t="str">
        <f>VLOOKUP(A:A,'Regions and Ports'!A:G,5,FALSE)</f>
        <v>WTX</v>
      </c>
      <c r="F318" s="1" t="str">
        <f>VLOOKUP(A:A,'Regions and Ports'!A:F,6,FALSE)</f>
        <v>WTX</v>
      </c>
      <c r="G318" s="1" t="str">
        <f>VLOOKUP(A:A,'Regions and Ports'!A:G,7,FALSE)</f>
        <v>Dallas</v>
      </c>
      <c r="H318" s="87">
        <v>2</v>
      </c>
      <c r="I318" s="69">
        <f>VLOOKUP(A:A,'Seam Tariffs'!A:AB,9,FALSE)</f>
        <v>5</v>
      </c>
      <c r="J318" s="69">
        <f>VLOOKUP(A:A,'Seam Tariffs'!A:AB,11,FALSE)</f>
        <v>6.25</v>
      </c>
      <c r="K318" s="69">
        <f>VLOOKUP(A:A,'Seam Tariffs'!A:AB,12,FALSE)</f>
        <v>10.25</v>
      </c>
      <c r="L318" s="69">
        <f>VLOOKUP(A:A,'Seam Tariffs'!A:AB,13,FALSE)</f>
        <v>0</v>
      </c>
      <c r="M318" s="69">
        <f>VLOOKUP(A:A,'Seam Tariffs'!A:AB,14,FALSE)</f>
        <v>0</v>
      </c>
      <c r="N318" s="69">
        <f>VLOOKUP(A:A,'Seam Tariffs'!A:AB,28,FALSE)</f>
        <v>2.5</v>
      </c>
      <c r="O318" s="69">
        <f>COSTS!$W$6</f>
        <v>1.8958333333333335</v>
      </c>
      <c r="P318" s="69">
        <f>VLOOKUP(G318,COSTS!$V$11:$X$14,3,FALSE)</f>
        <v>0</v>
      </c>
      <c r="Q318" s="69">
        <f t="shared" si="28"/>
        <v>25.895833333333332</v>
      </c>
      <c r="R318" s="69">
        <f t="shared" si="29"/>
        <v>14.645833333333334</v>
      </c>
      <c r="S318" s="87">
        <f>VLOOKUP(A:A,'Flat Bed &amp; Late Fees'!A:J,6,FALSE)</f>
        <v>0</v>
      </c>
      <c r="T318" s="87">
        <f>VLOOKUP(A:A,'Flat Bed &amp; Late Fees'!A:J,7,FALSE)</f>
        <v>0</v>
      </c>
      <c r="U318" s="68">
        <f>VLOOKUP(C318&amp;G318,OTR!E:J,6,FALSE)/88</f>
        <v>7.3863636363636367</v>
      </c>
      <c r="V318" s="87"/>
      <c r="W318" s="68">
        <f t="shared" si="30"/>
        <v>7.3863636363636367</v>
      </c>
      <c r="X318" s="69">
        <f>VLOOKUP(G318,COSTS!$Z$18:$AC$23,2,FALSE)</f>
        <v>2.7</v>
      </c>
      <c r="Y318" s="87">
        <f>VLOOKUP(G318,COSTS!$Z$18:$AC$23,4,FALSE)</f>
        <v>2.52</v>
      </c>
      <c r="Z318" s="69">
        <f>(COSTS!$W$3*COSTS!$W$4*500)/52*COSTS!$AE$17</f>
        <v>1.3125</v>
      </c>
      <c r="AB318" s="69">
        <f t="shared" si="31"/>
        <v>6.5325000000000006</v>
      </c>
      <c r="AC318" s="69">
        <f>VLOOKUP(G318,COSTS!$Z$11:$AE$14,5,FALSE)</f>
        <v>8.125</v>
      </c>
      <c r="AD318" s="69">
        <f>VLOOKUP(G318,COSTS!$Z$4:$AD$7,4,FALSE)</f>
        <v>13.409090909090908</v>
      </c>
      <c r="AE318" s="69"/>
      <c r="AF318" s="69">
        <f t="shared" si="32"/>
        <v>21.534090909090907</v>
      </c>
      <c r="AG318" s="87">
        <f>((COSTS!$C$5*88)/20)/88</f>
        <v>1.4407150000000002</v>
      </c>
      <c r="AH318" s="69">
        <f>(COSTS!$X$38/88)*20</f>
        <v>0.34865702479338845</v>
      </c>
      <c r="AI318" s="87">
        <f>((COSTS!$E$5*88)/20)/88</f>
        <v>0.62936587135988387</v>
      </c>
      <c r="AJ318" s="87">
        <f>((COSTS!$D$5*88)/20)/88</f>
        <v>0.33676</v>
      </c>
      <c r="AL318" s="387">
        <f t="shared" si="33"/>
        <v>2.7554978961532726</v>
      </c>
      <c r="AM318" s="69">
        <f>(COSTS!$W$3+0.1)*500*0.01</f>
        <v>3.9999999999999996</v>
      </c>
      <c r="AN318" s="387">
        <f>((COSTS!$G$5/20)*88)/88</f>
        <v>1.308904109589041</v>
      </c>
      <c r="AR318" s="69">
        <f t="shared" si="34"/>
        <v>5.3089041095890401</v>
      </c>
      <c r="AT318" s="1" t="e">
        <f>VLOOKUP(C318&amp;$AT$1,OTR!E:J,6,FALSE)/88</f>
        <v>#N/A</v>
      </c>
      <c r="AU318" s="1" t="e">
        <f>VLOOKUP(C318&amp;$AU$1,OTR!E:J,6,FALSE)/88</f>
        <v>#N/A</v>
      </c>
    </row>
    <row r="319" spans="1:47">
      <c r="A319" s="125">
        <v>867017</v>
      </c>
      <c r="B319" s="1" t="s">
        <v>712</v>
      </c>
      <c r="C319" s="1" t="s">
        <v>713</v>
      </c>
      <c r="D319" s="1" t="s">
        <v>71</v>
      </c>
      <c r="E319" s="1" t="s">
        <v>2067</v>
      </c>
      <c r="F319" s="1" t="str">
        <f>VLOOKUP(A:A,'Regions and Ports'!A:F,6,FALSE)</f>
        <v>WTX</v>
      </c>
      <c r="G319" s="1" t="s">
        <v>439</v>
      </c>
      <c r="H319" s="87">
        <v>2</v>
      </c>
      <c r="I319" s="69">
        <f>VLOOKUP(A:A,'Seam Tariffs'!A:AB,9,FALSE)</f>
        <v>5</v>
      </c>
      <c r="J319" s="69">
        <f>VLOOKUP(A:A,'Seam Tariffs'!A:AB,11,FALSE)</f>
        <v>6.25</v>
      </c>
      <c r="K319" s="69">
        <f>VLOOKUP(A:A,'Seam Tariffs'!A:AB,12,FALSE)</f>
        <v>10.25</v>
      </c>
      <c r="L319" s="69">
        <f>VLOOKUP(A:A,'Seam Tariffs'!A:AB,13,FALSE)</f>
        <v>0</v>
      </c>
      <c r="M319" s="69">
        <f>VLOOKUP(A:A,'Seam Tariffs'!A:AB,14,FALSE)</f>
        <v>0</v>
      </c>
      <c r="N319" s="69">
        <f>VLOOKUP(A:A,'Seam Tariffs'!A:AB,28,FALSE)</f>
        <v>2.5</v>
      </c>
      <c r="O319" s="69">
        <f>COSTS!$W$6</f>
        <v>1.8958333333333335</v>
      </c>
      <c r="P319" s="69">
        <f>VLOOKUP(G319,COSTS!$V$11:$X$14,3,FALSE)</f>
        <v>0</v>
      </c>
      <c r="Q319" s="69">
        <f t="shared" si="28"/>
        <v>25.895833333333332</v>
      </c>
      <c r="R319" s="69">
        <f t="shared" si="29"/>
        <v>14.645833333333334</v>
      </c>
      <c r="S319" s="87">
        <f>VLOOKUP(A:A,'Flat Bed &amp; Late Fees'!A:J,6,FALSE)</f>
        <v>0</v>
      </c>
      <c r="T319" s="87">
        <f>VLOOKUP(A:A,'Flat Bed &amp; Late Fees'!A:J,7,FALSE)</f>
        <v>0</v>
      </c>
      <c r="U319" s="68">
        <f>VLOOKUP(C319&amp;G319,OTR!E:J,6,FALSE)/88</f>
        <v>14.681818181818182</v>
      </c>
      <c r="V319" s="87"/>
      <c r="W319" s="68">
        <f t="shared" si="30"/>
        <v>14.681818181818182</v>
      </c>
      <c r="X319" s="69">
        <f>VLOOKUP(G319,COSTS!$Z$18:$AC$23,2,FALSE)</f>
        <v>2.7</v>
      </c>
      <c r="Y319" s="87">
        <f>VLOOKUP(G319,COSTS!$Z$18:$AC$23,4,FALSE)</f>
        <v>2.52</v>
      </c>
      <c r="Z319" s="69">
        <f>(COSTS!$W$3*COSTS!$W$4*500)/52*COSTS!$AE$17</f>
        <v>1.3125</v>
      </c>
      <c r="AB319" s="69">
        <f t="shared" si="31"/>
        <v>6.5325000000000006</v>
      </c>
      <c r="AC319" s="69">
        <f>VLOOKUP(G319,COSTS!$Z$11:$AE$14,5,FALSE)</f>
        <v>6.6477272727272725</v>
      </c>
      <c r="AD319" s="69">
        <f>VLOOKUP(G319,COSTS!$Z$4:$AD$7,4,FALSE)</f>
        <v>9.8977272727272734</v>
      </c>
      <c r="AE319" s="69"/>
      <c r="AF319" s="69">
        <f t="shared" si="32"/>
        <v>16.545454545454547</v>
      </c>
      <c r="AG319" s="87">
        <f>((COSTS!$C$5*88)/20)/88</f>
        <v>1.4407150000000002</v>
      </c>
      <c r="AH319" s="69">
        <f>(COSTS!$X$38/88)*20</f>
        <v>0.34865702479338845</v>
      </c>
      <c r="AI319" s="87">
        <f>((COSTS!$E$5*88)/20)/88</f>
        <v>0.62936587135988387</v>
      </c>
      <c r="AJ319" s="87">
        <f>((COSTS!$D$5*88)/20)/88</f>
        <v>0.33676</v>
      </c>
      <c r="AL319" s="387">
        <f t="shared" si="33"/>
        <v>2.7554978961532726</v>
      </c>
      <c r="AM319" s="69">
        <f>(COSTS!$W$3+0.1)*500*0.01</f>
        <v>3.9999999999999996</v>
      </c>
      <c r="AN319" s="387">
        <f>((COSTS!$G$5/20)*88)/88</f>
        <v>1.308904109589041</v>
      </c>
      <c r="AR319" s="69">
        <f t="shared" si="34"/>
        <v>5.3089041095890401</v>
      </c>
      <c r="AT319" s="1" t="e">
        <f>VLOOKUP(C319&amp;$AT$1,OTR!E:J,6,FALSE)/88</f>
        <v>#N/A</v>
      </c>
      <c r="AU319" s="1" t="e">
        <f>VLOOKUP(C319&amp;$AU$1,OTR!E:J,6,FALSE)/88</f>
        <v>#N/A</v>
      </c>
    </row>
    <row r="320" spans="1:47">
      <c r="A320" s="1">
        <v>935002</v>
      </c>
      <c r="B320" s="1" t="s">
        <v>714</v>
      </c>
      <c r="C320" s="1" t="s">
        <v>715</v>
      </c>
      <c r="D320" s="1" t="s">
        <v>71</v>
      </c>
      <c r="E320" s="1" t="str">
        <f>VLOOKUP(A:A,'Regions and Ports'!A:G,5,FALSE)</f>
        <v>WTX</v>
      </c>
      <c r="F320" s="1" t="str">
        <f>VLOOKUP(A:A,'Regions and Ports'!A:F,6,FALSE)</f>
        <v>WTX</v>
      </c>
      <c r="G320" s="1" t="str">
        <f>VLOOKUP(A:A,'Regions and Ports'!A:G,7,FALSE)</f>
        <v>Dallas</v>
      </c>
      <c r="H320" s="87">
        <v>2</v>
      </c>
      <c r="I320" s="69">
        <f>VLOOKUP(A:A,'Seam Tariffs'!A:AB,9,FALSE)</f>
        <v>4.3499999999999996</v>
      </c>
      <c r="J320" s="69">
        <f>VLOOKUP(A:A,'Seam Tariffs'!A:AB,11,FALSE)</f>
        <v>5.75</v>
      </c>
      <c r="K320" s="69">
        <f>VLOOKUP(A:A,'Seam Tariffs'!A:AB,12,FALSE)</f>
        <v>11.25</v>
      </c>
      <c r="L320" s="69">
        <f>VLOOKUP(A:A,'Seam Tariffs'!A:AB,13,FALSE)</f>
        <v>0</v>
      </c>
      <c r="M320" s="69">
        <f>VLOOKUP(A:A,'Seam Tariffs'!A:AB,14,FALSE)</f>
        <v>0</v>
      </c>
      <c r="N320" s="69">
        <f>VLOOKUP(A:A,'Seam Tariffs'!A:AB,28,FALSE)</f>
        <v>2.25</v>
      </c>
      <c r="O320" s="69">
        <f>COSTS!$W$6</f>
        <v>1.8958333333333335</v>
      </c>
      <c r="P320" s="69">
        <f>VLOOKUP(G320,COSTS!$V$11:$X$14,3,FALSE)</f>
        <v>0</v>
      </c>
      <c r="Q320" s="69">
        <f t="shared" si="28"/>
        <v>25.495833333333334</v>
      </c>
      <c r="R320" s="69">
        <f t="shared" si="29"/>
        <v>15.395833333333334</v>
      </c>
      <c r="S320" s="87">
        <f>VLOOKUP(A:A,'Flat Bed &amp; Late Fees'!A:J,6,FALSE)</f>
        <v>0</v>
      </c>
      <c r="T320" s="87">
        <f>VLOOKUP(A:A,'Flat Bed &amp; Late Fees'!A:J,7,FALSE)</f>
        <v>0</v>
      </c>
      <c r="U320" s="68">
        <f>VLOOKUP(C320&amp;G320,OTR!E:J,6,FALSE)/88</f>
        <v>8.920454545454545</v>
      </c>
      <c r="V320" s="87"/>
      <c r="W320" s="68">
        <f t="shared" si="30"/>
        <v>8.920454545454545</v>
      </c>
      <c r="X320" s="69">
        <f>VLOOKUP(G320,COSTS!$Z$18:$AC$23,2,FALSE)</f>
        <v>2.7</v>
      </c>
      <c r="Y320" s="87">
        <f>VLOOKUP(G320,COSTS!$Z$18:$AC$23,4,FALSE)</f>
        <v>2.52</v>
      </c>
      <c r="Z320" s="69">
        <f>(COSTS!$W$3*COSTS!$W$4*500)/52*COSTS!$AE$17</f>
        <v>1.3125</v>
      </c>
      <c r="AB320" s="69">
        <f t="shared" si="31"/>
        <v>6.5325000000000006</v>
      </c>
      <c r="AC320" s="69">
        <f>VLOOKUP(G320,COSTS!$Z$11:$AE$14,5,FALSE)</f>
        <v>8.125</v>
      </c>
      <c r="AD320" s="69">
        <f>VLOOKUP(G320,COSTS!$Z$4:$AD$7,4,FALSE)</f>
        <v>13.409090909090908</v>
      </c>
      <c r="AE320" s="69"/>
      <c r="AF320" s="69">
        <f t="shared" si="32"/>
        <v>21.534090909090907</v>
      </c>
      <c r="AG320" s="87">
        <f>((COSTS!$C$5*88)/20)/88</f>
        <v>1.4407150000000002</v>
      </c>
      <c r="AH320" s="69">
        <f>(COSTS!$X$38/88)*20</f>
        <v>0.34865702479338845</v>
      </c>
      <c r="AI320" s="87">
        <f>((COSTS!$E$5*88)/20)/88</f>
        <v>0.62936587135988387</v>
      </c>
      <c r="AJ320" s="87">
        <f>((COSTS!$D$5*88)/20)/88</f>
        <v>0.33676</v>
      </c>
      <c r="AL320" s="387">
        <f t="shared" si="33"/>
        <v>2.7554978961532726</v>
      </c>
      <c r="AM320" s="69">
        <f>(COSTS!$W$3+0.1)*500*0.01</f>
        <v>3.9999999999999996</v>
      </c>
      <c r="AN320" s="387">
        <f>((COSTS!$G$5/20)*88)/88</f>
        <v>1.308904109589041</v>
      </c>
      <c r="AR320" s="69">
        <f t="shared" si="34"/>
        <v>5.3089041095890401</v>
      </c>
      <c r="AT320" s="1">
        <f>VLOOKUP(C320&amp;$AT$1,OTR!E:J,6,FALSE)/88</f>
        <v>16.270454545454545</v>
      </c>
      <c r="AU320" s="1" t="e">
        <f>VLOOKUP(C320&amp;$AU$1,OTR!E:J,6,FALSE)/88</f>
        <v>#N/A</v>
      </c>
    </row>
    <row r="321" spans="1:47">
      <c r="A321" s="125">
        <v>935002</v>
      </c>
      <c r="B321" s="1" t="s">
        <v>714</v>
      </c>
      <c r="C321" s="1" t="s">
        <v>715</v>
      </c>
      <c r="D321" s="1" t="s">
        <v>71</v>
      </c>
      <c r="E321" s="1" t="s">
        <v>2067</v>
      </c>
      <c r="F321" s="1" t="str">
        <f>VLOOKUP(A:A,'Regions and Ports'!A:F,6,FALSE)</f>
        <v>WTX</v>
      </c>
      <c r="G321" s="1" t="s">
        <v>439</v>
      </c>
      <c r="H321" s="87">
        <v>2</v>
      </c>
      <c r="I321" s="69">
        <f>VLOOKUP(A:A,'Seam Tariffs'!A:AB,9,FALSE)</f>
        <v>4.3499999999999996</v>
      </c>
      <c r="J321" s="69">
        <f>VLOOKUP(A:A,'Seam Tariffs'!A:AB,11,FALSE)</f>
        <v>5.75</v>
      </c>
      <c r="K321" s="69">
        <f>VLOOKUP(A:A,'Seam Tariffs'!A:AB,12,FALSE)</f>
        <v>11.25</v>
      </c>
      <c r="L321" s="69">
        <f>VLOOKUP(A:A,'Seam Tariffs'!A:AB,13,FALSE)</f>
        <v>0</v>
      </c>
      <c r="M321" s="69">
        <f>VLOOKUP(A:A,'Seam Tariffs'!A:AB,14,FALSE)</f>
        <v>0</v>
      </c>
      <c r="N321" s="69">
        <f>VLOOKUP(A:A,'Seam Tariffs'!A:AB,28,FALSE)</f>
        <v>2.25</v>
      </c>
      <c r="O321" s="69">
        <f>COSTS!$W$6</f>
        <v>1.8958333333333335</v>
      </c>
      <c r="P321" s="69">
        <f>VLOOKUP(G321,COSTS!$V$11:$X$14,3,FALSE)</f>
        <v>0</v>
      </c>
      <c r="Q321" s="69">
        <f t="shared" si="28"/>
        <v>25.495833333333334</v>
      </c>
      <c r="R321" s="69">
        <f t="shared" si="29"/>
        <v>15.395833333333334</v>
      </c>
      <c r="S321" s="87">
        <f>VLOOKUP(A:A,'Flat Bed &amp; Late Fees'!A:J,6,FALSE)</f>
        <v>0</v>
      </c>
      <c r="T321" s="87">
        <f>VLOOKUP(A:A,'Flat Bed &amp; Late Fees'!A:J,7,FALSE)</f>
        <v>0</v>
      </c>
      <c r="U321" s="68">
        <f>VLOOKUP(C321&amp;G321,OTR!E:J,6,FALSE)/88</f>
        <v>12.926136363636363</v>
      </c>
      <c r="V321" s="87"/>
      <c r="W321" s="68">
        <f t="shared" si="30"/>
        <v>12.926136363636363</v>
      </c>
      <c r="X321" s="69">
        <f>VLOOKUP(G321,COSTS!$Z$18:$AC$23,2,FALSE)</f>
        <v>2.7</v>
      </c>
      <c r="Y321" s="87">
        <f>VLOOKUP(G321,COSTS!$Z$18:$AC$23,4,FALSE)</f>
        <v>2.52</v>
      </c>
      <c r="Z321" s="69">
        <f>(COSTS!$W$3*COSTS!$W$4*500)/52*COSTS!$AE$17</f>
        <v>1.3125</v>
      </c>
      <c r="AB321" s="69">
        <f t="shared" si="31"/>
        <v>6.5325000000000006</v>
      </c>
      <c r="AC321" s="69">
        <f>VLOOKUP(G321,COSTS!$Z$11:$AE$14,5,FALSE)</f>
        <v>6.6477272727272725</v>
      </c>
      <c r="AD321" s="69">
        <f>VLOOKUP(G321,COSTS!$Z$4:$AD$7,4,FALSE)</f>
        <v>9.8977272727272734</v>
      </c>
      <c r="AE321" s="69"/>
      <c r="AF321" s="69">
        <f t="shared" si="32"/>
        <v>16.545454545454547</v>
      </c>
      <c r="AG321" s="87">
        <f>((COSTS!$C$5*88)/20)/88</f>
        <v>1.4407150000000002</v>
      </c>
      <c r="AH321" s="69">
        <f>(COSTS!$X$38/88)*20</f>
        <v>0.34865702479338845</v>
      </c>
      <c r="AI321" s="87">
        <f>((COSTS!$E$5*88)/20)/88</f>
        <v>0.62936587135988387</v>
      </c>
      <c r="AJ321" s="87">
        <f>((COSTS!$D$5*88)/20)/88</f>
        <v>0.33676</v>
      </c>
      <c r="AL321" s="387">
        <f t="shared" si="33"/>
        <v>2.7554978961532726</v>
      </c>
      <c r="AM321" s="69">
        <f>(COSTS!$W$3+0.1)*500*0.01</f>
        <v>3.9999999999999996</v>
      </c>
      <c r="AN321" s="387">
        <f>((COSTS!$G$5/20)*88)/88</f>
        <v>1.308904109589041</v>
      </c>
      <c r="AR321" s="69">
        <f t="shared" si="34"/>
        <v>5.3089041095890401</v>
      </c>
      <c r="AT321" s="1">
        <f>VLOOKUP(C321&amp;$AT$1,OTR!E:J,6,FALSE)/88</f>
        <v>16.270454545454545</v>
      </c>
      <c r="AU321" s="1" t="e">
        <f>VLOOKUP(C321&amp;$AU$1,OTR!E:J,6,FALSE)/88</f>
        <v>#N/A</v>
      </c>
    </row>
    <row r="322" spans="1:47">
      <c r="A322" s="1">
        <v>326202</v>
      </c>
      <c r="B322" s="1" t="s">
        <v>716</v>
      </c>
      <c r="C322" s="1" t="s">
        <v>717</v>
      </c>
      <c r="D322" s="1" t="s">
        <v>76</v>
      </c>
      <c r="E322" s="1" t="str">
        <f>VLOOKUP(A:A,'Regions and Ports'!A:G,5,FALSE)</f>
        <v>GA 30 Day</v>
      </c>
      <c r="F322" s="1" t="str">
        <f>VLOOKUP(A:A,'Regions and Ports'!A:F,6,FALSE)</f>
        <v>ER5</v>
      </c>
      <c r="G322" s="1" t="str">
        <f>VLOOKUP(A:A,'Regions and Ports'!A:G,7,FALSE)</f>
        <v>Savannah</v>
      </c>
      <c r="H322" s="87">
        <v>4</v>
      </c>
      <c r="I322" s="69">
        <f>VLOOKUP(A:A,'Seam Tariffs'!A:AB,9,FALSE)</f>
        <v>3</v>
      </c>
      <c r="J322" s="69">
        <f>VLOOKUP(A:A,'Seam Tariffs'!A:AB,11,FALSE)</f>
        <v>5</v>
      </c>
      <c r="K322" s="69">
        <f>VLOOKUP(A:A,'Seam Tariffs'!A:AB,12,FALSE)</f>
        <v>7.5</v>
      </c>
      <c r="L322" s="69">
        <f>VLOOKUP(A:A,'Seam Tariffs'!A:AB,13,FALSE)</f>
        <v>0</v>
      </c>
      <c r="M322" s="69">
        <f>VLOOKUP(A:A,'Seam Tariffs'!A:AB,14,FALSE)</f>
        <v>1</v>
      </c>
      <c r="N322" s="69">
        <f>VLOOKUP(A:A,'Seam Tariffs'!A:AB,28,FALSE)</f>
        <v>3</v>
      </c>
      <c r="O322" s="69">
        <f>COSTS!$W$6</f>
        <v>1.8958333333333335</v>
      </c>
      <c r="P322" s="69">
        <f>VLOOKUP(G322,COSTS!$V$11:$X$14,3,FALSE)</f>
        <v>0</v>
      </c>
      <c r="Q322" s="69">
        <f t="shared" si="28"/>
        <v>21.395833333333332</v>
      </c>
      <c r="R322" s="69">
        <f t="shared" si="29"/>
        <v>1.8958333333333335</v>
      </c>
      <c r="S322" s="87">
        <f>VLOOKUP(A:A,'Flat Bed &amp; Late Fees'!A:J,6,FALSE)</f>
        <v>0</v>
      </c>
      <c r="T322" s="87">
        <f>VLOOKUP(A:A,'Flat Bed &amp; Late Fees'!A:J,7,FALSE)</f>
        <v>0</v>
      </c>
      <c r="U322" s="68">
        <f>VLOOKUP(C322&amp;G322,OTR!E:J,6,FALSE)/88</f>
        <v>7.4680681818181824</v>
      </c>
      <c r="V322" s="87"/>
      <c r="W322" s="68">
        <f t="shared" si="30"/>
        <v>7.4680681818181824</v>
      </c>
      <c r="X322" s="69">
        <f>VLOOKUP(G322,COSTS!$Z$18:$AC$23,2,FALSE)</f>
        <v>2.6</v>
      </c>
      <c r="Y322" s="87">
        <f>VLOOKUP(G322,COSTS!$Z$18:$AC$23,4,FALSE)</f>
        <v>2.52</v>
      </c>
      <c r="Z322" s="69">
        <f>(COSTS!$W$3*COSTS!$W$4*500)/52*COSTS!$AE$17</f>
        <v>1.3125</v>
      </c>
      <c r="AB322" s="69">
        <f t="shared" si="31"/>
        <v>6.4325000000000001</v>
      </c>
      <c r="AC322" s="69">
        <f>VLOOKUP(G322,COSTS!$Z$11:$AE$14,5,FALSE)</f>
        <v>5.5113636363636367</v>
      </c>
      <c r="AD322" s="69">
        <f>VLOOKUP(G322,COSTS!$Z$4:$AD$7,4,FALSE)</f>
        <v>5.3522727272727275</v>
      </c>
      <c r="AE322" s="69"/>
      <c r="AF322" s="69">
        <f t="shared" si="32"/>
        <v>10.863636363636363</v>
      </c>
      <c r="AG322" s="87">
        <f>((COSTS!$C$5*88)/20)/88</f>
        <v>1.4407150000000002</v>
      </c>
      <c r="AH322" s="69">
        <f>(COSTS!$X$38/88)*20</f>
        <v>0.34865702479338845</v>
      </c>
      <c r="AI322" s="87">
        <f>((COSTS!$E$5*88)/20)/88</f>
        <v>0.62936587135988387</v>
      </c>
      <c r="AJ322" s="87">
        <f>((COSTS!$D$5*88)/20)/88</f>
        <v>0.33676</v>
      </c>
      <c r="AL322" s="387">
        <f t="shared" si="33"/>
        <v>2.7554978961532726</v>
      </c>
      <c r="AM322" s="69">
        <f>(COSTS!$W$3+0.1)*500*0.01</f>
        <v>3.9999999999999996</v>
      </c>
      <c r="AN322" s="387">
        <f>((COSTS!$G$5/20)*88)/88</f>
        <v>1.308904109589041</v>
      </c>
      <c r="AR322" s="69">
        <f t="shared" si="34"/>
        <v>5.3089041095890401</v>
      </c>
      <c r="AT322" s="1">
        <f>VLOOKUP(C322&amp;$AT$1,OTR!E:J,6,FALSE)/88</f>
        <v>27.246022727272724</v>
      </c>
      <c r="AU322" s="1">
        <f>VLOOKUP(C322&amp;$AU$1,OTR!E:J,6,FALSE)/88</f>
        <v>12.5</v>
      </c>
    </row>
    <row r="323" spans="1:47">
      <c r="A323" s="1">
        <v>333503</v>
      </c>
      <c r="B323" s="1" t="s">
        <v>718</v>
      </c>
      <c r="C323" s="1" t="s">
        <v>717</v>
      </c>
      <c r="D323" s="1" t="s">
        <v>76</v>
      </c>
      <c r="E323" s="1" t="str">
        <f>VLOOKUP(A:A,'Regions and Ports'!A:G,5,FALSE)</f>
        <v>GA 30 Day</v>
      </c>
      <c r="F323" s="1" t="str">
        <f>VLOOKUP(A:A,'Regions and Ports'!A:F,6,FALSE)</f>
        <v>ER5</v>
      </c>
      <c r="G323" s="1" t="str">
        <f>VLOOKUP(A:A,'Regions and Ports'!A:G,7,FALSE)</f>
        <v>Savannah</v>
      </c>
      <c r="H323" s="87">
        <v>4</v>
      </c>
      <c r="I323" s="69">
        <f>VLOOKUP(A:A,'Seam Tariffs'!A:AB,9,FALSE)</f>
        <v>3.5</v>
      </c>
      <c r="J323" s="69">
        <f>VLOOKUP(A:A,'Seam Tariffs'!A:AB,11,FALSE)</f>
        <v>4.5</v>
      </c>
      <c r="K323" s="69">
        <f>VLOOKUP(A:A,'Seam Tariffs'!A:AB,12,FALSE)</f>
        <v>0</v>
      </c>
      <c r="L323" s="69">
        <f>VLOOKUP(A:A,'Seam Tariffs'!A:AB,13,FALSE)</f>
        <v>0</v>
      </c>
      <c r="M323" s="69">
        <f>VLOOKUP(A:A,'Seam Tariffs'!A:AB,14,FALSE)</f>
        <v>0.5</v>
      </c>
      <c r="N323" s="69">
        <f>VLOOKUP(A:A,'Seam Tariffs'!A:AB,28,FALSE)</f>
        <v>2.5</v>
      </c>
      <c r="O323" s="69">
        <f>COSTS!$W$6</f>
        <v>1.8958333333333335</v>
      </c>
      <c r="P323" s="69">
        <f>VLOOKUP(G323,COSTS!$V$11:$X$14,3,FALSE)</f>
        <v>0</v>
      </c>
      <c r="Q323" s="69">
        <f t="shared" ref="Q323:Q375" si="35">I323+J323+K323+L323+M323+N323+O323+P323</f>
        <v>12.895833333333334</v>
      </c>
      <c r="R323" s="69">
        <f t="shared" ref="R323:R375" si="36">IF(H323=1,SUM(N323),IF(H323=2,SUM(K323,N323),IF(H323=3,SUM(J323,K323,L323,N323),IF(H323=4,SUM(L323),"ERROR"))))+O323+P323</f>
        <v>1.8958333333333335</v>
      </c>
      <c r="S323" s="87">
        <f>VLOOKUP(A:A,'Flat Bed &amp; Late Fees'!A:J,6,FALSE)</f>
        <v>0</v>
      </c>
      <c r="T323" s="87">
        <f>VLOOKUP(A:A,'Flat Bed &amp; Late Fees'!A:J,7,FALSE)</f>
        <v>0</v>
      </c>
      <c r="U323" s="68">
        <f>VLOOKUP(C323&amp;G323,OTR!E:J,6,FALSE)/88</f>
        <v>7.4680681818181824</v>
      </c>
      <c r="V323" s="87"/>
      <c r="W323" s="68">
        <f t="shared" ref="W323:W375" si="37">S323+T323+U323+V323</f>
        <v>7.4680681818181824</v>
      </c>
      <c r="X323" s="69">
        <f>VLOOKUP(G323,COSTS!$Z$18:$AC$23,2,FALSE)</f>
        <v>2.6</v>
      </c>
      <c r="Y323" s="87">
        <f>VLOOKUP(G323,COSTS!$Z$18:$AC$23,4,FALSE)</f>
        <v>2.52</v>
      </c>
      <c r="Z323" s="69">
        <f>(COSTS!$W$3*COSTS!$W$4*500)/52*COSTS!$AE$17</f>
        <v>1.3125</v>
      </c>
      <c r="AB323" s="69">
        <f t="shared" ref="AB323:AB375" si="38">X323+Y323+Z323+AA323</f>
        <v>6.4325000000000001</v>
      </c>
      <c r="AC323" s="69">
        <f>VLOOKUP(G323,COSTS!$Z$11:$AE$14,5,FALSE)</f>
        <v>5.5113636363636367</v>
      </c>
      <c r="AD323" s="69">
        <f>VLOOKUP(G323,COSTS!$Z$4:$AD$7,4,FALSE)</f>
        <v>5.3522727272727275</v>
      </c>
      <c r="AE323" s="69"/>
      <c r="AF323" s="69">
        <f t="shared" ref="AF323:AF375" si="39">AC323+AD323+AE323</f>
        <v>10.863636363636363</v>
      </c>
      <c r="AG323" s="87">
        <f>((COSTS!$C$5*88)/20)/88</f>
        <v>1.4407150000000002</v>
      </c>
      <c r="AH323" s="69">
        <f>(COSTS!$X$38/88)*20</f>
        <v>0.34865702479338845</v>
      </c>
      <c r="AI323" s="87">
        <f>((COSTS!$E$5*88)/20)/88</f>
        <v>0.62936587135988387</v>
      </c>
      <c r="AJ323" s="87">
        <f>((COSTS!$D$5*88)/20)/88</f>
        <v>0.33676</v>
      </c>
      <c r="AL323" s="387">
        <f t="shared" ref="AL323:AL375" si="40">AG323+AH323+AI323+AJ323+AK323</f>
        <v>2.7554978961532726</v>
      </c>
      <c r="AM323" s="69">
        <f>(COSTS!$W$3+0.1)*500*0.01</f>
        <v>3.9999999999999996</v>
      </c>
      <c r="AN323" s="387">
        <f>((COSTS!$G$5/20)*88)/88</f>
        <v>1.308904109589041</v>
      </c>
      <c r="AR323" s="69">
        <f t="shared" ref="AR323:AR375" si="41">AM323+AN323+AO323+AP323+AQ323</f>
        <v>5.3089041095890401</v>
      </c>
      <c r="AT323" s="1">
        <f>VLOOKUP(C323&amp;$AT$1,OTR!E:J,6,FALSE)/88</f>
        <v>27.246022727272724</v>
      </c>
      <c r="AU323" s="1">
        <f>VLOOKUP(C323&amp;$AU$1,OTR!E:J,6,FALSE)/88</f>
        <v>12.5</v>
      </c>
    </row>
    <row r="324" spans="1:47">
      <c r="A324" s="1">
        <v>936006</v>
      </c>
      <c r="B324" s="1" t="s">
        <v>719</v>
      </c>
      <c r="C324" s="1" t="s">
        <v>720</v>
      </c>
      <c r="D324" s="1" t="s">
        <v>71</v>
      </c>
      <c r="E324" s="1" t="str">
        <f>VLOOKUP(A:A,'Regions and Ports'!A:G,5,FALSE)</f>
        <v>WTX</v>
      </c>
      <c r="F324" s="1" t="str">
        <f>VLOOKUP(A:A,'Regions and Ports'!A:F,6,FALSE)</f>
        <v>WTX</v>
      </c>
      <c r="G324" s="1" t="str">
        <f>VLOOKUP(A:A,'Regions and Ports'!A:G,7,FALSE)</f>
        <v>Dallas</v>
      </c>
      <c r="H324" s="87">
        <v>2</v>
      </c>
      <c r="I324" s="69">
        <f>VLOOKUP(A:A,'Seam Tariffs'!A:AB,9,FALSE)</f>
        <v>4.3499999999999996</v>
      </c>
      <c r="J324" s="69">
        <f>VLOOKUP(A:A,'Seam Tariffs'!A:AB,11,FALSE)</f>
        <v>5.75</v>
      </c>
      <c r="K324" s="69">
        <f>VLOOKUP(A:A,'Seam Tariffs'!A:AB,12,FALSE)</f>
        <v>11.25</v>
      </c>
      <c r="L324" s="69">
        <f>VLOOKUP(A:A,'Seam Tariffs'!A:AB,13,FALSE)</f>
        <v>0</v>
      </c>
      <c r="M324" s="69">
        <f>VLOOKUP(A:A,'Seam Tariffs'!A:AB,14,FALSE)</f>
        <v>0</v>
      </c>
      <c r="N324" s="69">
        <f>VLOOKUP(A:A,'Seam Tariffs'!A:AB,28,FALSE)</f>
        <v>2.25</v>
      </c>
      <c r="O324" s="69">
        <f>COSTS!$W$6</f>
        <v>1.8958333333333335</v>
      </c>
      <c r="P324" s="69">
        <f>VLOOKUP(G324,COSTS!$V$11:$X$14,3,FALSE)</f>
        <v>0</v>
      </c>
      <c r="Q324" s="69">
        <f t="shared" si="35"/>
        <v>25.495833333333334</v>
      </c>
      <c r="R324" s="69">
        <f t="shared" si="36"/>
        <v>15.395833333333334</v>
      </c>
      <c r="S324" s="87">
        <f>VLOOKUP(A:A,'Flat Bed &amp; Late Fees'!A:J,6,FALSE)</f>
        <v>0</v>
      </c>
      <c r="T324" s="87">
        <f>VLOOKUP(A:A,'Flat Bed &amp; Late Fees'!A:J,7,FALSE)</f>
        <v>0</v>
      </c>
      <c r="U324" s="68">
        <f>VLOOKUP(C324&amp;G324,OTR!E:J,6,FALSE)/88</f>
        <v>10.113636363636363</v>
      </c>
      <c r="V324" s="87"/>
      <c r="W324" s="68">
        <f t="shared" si="37"/>
        <v>10.113636363636363</v>
      </c>
      <c r="X324" s="69">
        <f>VLOOKUP(G324,COSTS!$Z$18:$AC$23,2,FALSE)</f>
        <v>2.7</v>
      </c>
      <c r="Y324" s="87">
        <f>VLOOKUP(G324,COSTS!$Z$18:$AC$23,4,FALSE)</f>
        <v>2.52</v>
      </c>
      <c r="Z324" s="69">
        <f>(COSTS!$W$3*COSTS!$W$4*500)/52*COSTS!$AE$17</f>
        <v>1.3125</v>
      </c>
      <c r="AB324" s="69">
        <f t="shared" si="38"/>
        <v>6.5325000000000006</v>
      </c>
      <c r="AC324" s="69">
        <f>VLOOKUP(G324,COSTS!$Z$11:$AE$14,5,FALSE)</f>
        <v>8.125</v>
      </c>
      <c r="AD324" s="69">
        <f>VLOOKUP(G324,COSTS!$Z$4:$AD$7,4,FALSE)</f>
        <v>13.409090909090908</v>
      </c>
      <c r="AE324" s="69"/>
      <c r="AF324" s="69">
        <f t="shared" si="39"/>
        <v>21.534090909090907</v>
      </c>
      <c r="AG324" s="87">
        <f>((COSTS!$C$5*88)/20)/88</f>
        <v>1.4407150000000002</v>
      </c>
      <c r="AH324" s="69">
        <f>(COSTS!$X$38/88)*20</f>
        <v>0.34865702479338845</v>
      </c>
      <c r="AI324" s="87">
        <f>((COSTS!$E$5*88)/20)/88</f>
        <v>0.62936587135988387</v>
      </c>
      <c r="AJ324" s="87">
        <f>((COSTS!$D$5*88)/20)/88</f>
        <v>0.33676</v>
      </c>
      <c r="AL324" s="387">
        <f t="shared" si="40"/>
        <v>2.7554978961532726</v>
      </c>
      <c r="AM324" s="69">
        <f>(COSTS!$W$3+0.1)*500*0.01</f>
        <v>3.9999999999999996</v>
      </c>
      <c r="AN324" s="387">
        <f>((COSTS!$G$5/20)*88)/88</f>
        <v>1.308904109589041</v>
      </c>
      <c r="AR324" s="69">
        <f t="shared" si="41"/>
        <v>5.3089041095890401</v>
      </c>
      <c r="AT324" s="1">
        <f>VLOOKUP(C324&amp;$AT$1,OTR!E:J,6,FALSE)/88</f>
        <v>18.497613636363635</v>
      </c>
      <c r="AU324" s="1" t="e">
        <f>VLOOKUP(C324&amp;$AU$1,OTR!E:J,6,FALSE)/88</f>
        <v>#N/A</v>
      </c>
    </row>
    <row r="325" spans="1:47">
      <c r="A325" s="125">
        <v>936006</v>
      </c>
      <c r="B325" s="1" t="s">
        <v>719</v>
      </c>
      <c r="C325" s="1" t="s">
        <v>720</v>
      </c>
      <c r="D325" s="1" t="s">
        <v>71</v>
      </c>
      <c r="E325" s="1" t="s">
        <v>2067</v>
      </c>
      <c r="F325" s="1" t="str">
        <f>VLOOKUP(A:A,'Regions and Ports'!A:F,6,FALSE)</f>
        <v>WTX</v>
      </c>
      <c r="G325" s="1" t="s">
        <v>439</v>
      </c>
      <c r="H325" s="87">
        <v>2</v>
      </c>
      <c r="I325" s="69">
        <f>VLOOKUP(A:A,'Seam Tariffs'!A:AB,9,FALSE)</f>
        <v>4.3499999999999996</v>
      </c>
      <c r="J325" s="69">
        <f>VLOOKUP(A:A,'Seam Tariffs'!A:AB,11,FALSE)</f>
        <v>5.75</v>
      </c>
      <c r="K325" s="69">
        <f>VLOOKUP(A:A,'Seam Tariffs'!A:AB,12,FALSE)</f>
        <v>11.25</v>
      </c>
      <c r="L325" s="69">
        <f>VLOOKUP(A:A,'Seam Tariffs'!A:AB,13,FALSE)</f>
        <v>0</v>
      </c>
      <c r="M325" s="69">
        <f>VLOOKUP(A:A,'Seam Tariffs'!A:AB,14,FALSE)</f>
        <v>0</v>
      </c>
      <c r="N325" s="69">
        <f>VLOOKUP(A:A,'Seam Tariffs'!A:AB,28,FALSE)</f>
        <v>2.25</v>
      </c>
      <c r="O325" s="69">
        <f>COSTS!$W$6</f>
        <v>1.8958333333333335</v>
      </c>
      <c r="P325" s="69">
        <f>VLOOKUP(G325,COSTS!$V$11:$X$14,3,FALSE)</f>
        <v>0</v>
      </c>
      <c r="Q325" s="69">
        <f t="shared" si="35"/>
        <v>25.495833333333334</v>
      </c>
      <c r="R325" s="69">
        <f t="shared" si="36"/>
        <v>15.395833333333334</v>
      </c>
      <c r="S325" s="87">
        <f>VLOOKUP(A:A,'Flat Bed &amp; Late Fees'!A:J,6,FALSE)</f>
        <v>0</v>
      </c>
      <c r="T325" s="87">
        <f>VLOOKUP(A:A,'Flat Bed &amp; Late Fees'!A:J,7,FALSE)</f>
        <v>0</v>
      </c>
      <c r="U325" s="68">
        <f>VLOOKUP(C325&amp;G325,OTR!E:J,6,FALSE)/88</f>
        <v>14.204545454545455</v>
      </c>
      <c r="V325" s="87"/>
      <c r="W325" s="68">
        <f t="shared" si="37"/>
        <v>14.204545454545455</v>
      </c>
      <c r="X325" s="69">
        <f>VLOOKUP(G325,COSTS!$Z$18:$AC$23,2,FALSE)</f>
        <v>2.7</v>
      </c>
      <c r="Y325" s="87">
        <f>VLOOKUP(G325,COSTS!$Z$18:$AC$23,4,FALSE)</f>
        <v>2.52</v>
      </c>
      <c r="Z325" s="69">
        <f>(COSTS!$W$3*COSTS!$W$4*500)/52*COSTS!$AE$17</f>
        <v>1.3125</v>
      </c>
      <c r="AB325" s="69">
        <f t="shared" si="38"/>
        <v>6.5325000000000006</v>
      </c>
      <c r="AC325" s="69">
        <f>VLOOKUP(G325,COSTS!$Z$11:$AE$14,5,FALSE)</f>
        <v>6.6477272727272725</v>
      </c>
      <c r="AD325" s="69">
        <f>VLOOKUP(G325,COSTS!$Z$4:$AD$7,4,FALSE)</f>
        <v>9.8977272727272734</v>
      </c>
      <c r="AE325" s="69"/>
      <c r="AF325" s="69">
        <f t="shared" si="39"/>
        <v>16.545454545454547</v>
      </c>
      <c r="AG325" s="87">
        <f>((COSTS!$C$5*88)/20)/88</f>
        <v>1.4407150000000002</v>
      </c>
      <c r="AH325" s="69">
        <f>(COSTS!$X$38/88)*20</f>
        <v>0.34865702479338845</v>
      </c>
      <c r="AI325" s="87">
        <f>((COSTS!$E$5*88)/20)/88</f>
        <v>0.62936587135988387</v>
      </c>
      <c r="AJ325" s="87">
        <f>((COSTS!$D$5*88)/20)/88</f>
        <v>0.33676</v>
      </c>
      <c r="AL325" s="387">
        <f t="shared" si="40"/>
        <v>2.7554978961532726</v>
      </c>
      <c r="AM325" s="69">
        <f>(COSTS!$W$3+0.1)*500*0.01</f>
        <v>3.9999999999999996</v>
      </c>
      <c r="AN325" s="387">
        <f>((COSTS!$G$5/20)*88)/88</f>
        <v>1.308904109589041</v>
      </c>
      <c r="AR325" s="69">
        <f t="shared" si="41"/>
        <v>5.3089041095890401</v>
      </c>
      <c r="AT325" s="1">
        <f>VLOOKUP(C325&amp;$AT$1,OTR!E:J,6,FALSE)/88</f>
        <v>18.497613636363635</v>
      </c>
      <c r="AU325" s="1" t="e">
        <f>VLOOKUP(C325&amp;$AU$1,OTR!E:J,6,FALSE)/88</f>
        <v>#N/A</v>
      </c>
    </row>
    <row r="326" spans="1:47">
      <c r="A326" s="1">
        <v>985505</v>
      </c>
      <c r="B326" s="1" t="s">
        <v>722</v>
      </c>
      <c r="C326" s="1" t="s">
        <v>723</v>
      </c>
      <c r="D326" s="1" t="s">
        <v>324</v>
      </c>
      <c r="E326" s="1" t="str">
        <f>VLOOKUP(A:A,'Regions and Ports'!A:G,5,FALSE)</f>
        <v>Eastern Rule 5</v>
      </c>
      <c r="F326" s="1" t="str">
        <f>VLOOKUP(A:A,'Regions and Ports'!A:F,6,FALSE)</f>
        <v>ER5</v>
      </c>
      <c r="G326" s="1" t="str">
        <f>VLOOKUP(A:A,'Regions and Ports'!A:G,7,FALSE)</f>
        <v>Savannah</v>
      </c>
      <c r="H326" s="87">
        <v>1</v>
      </c>
      <c r="I326" s="69">
        <f>VLOOKUP(A:A,'Seam Tariffs'!A:AB,9,FALSE)</f>
        <v>4</v>
      </c>
      <c r="J326" s="69">
        <f>VLOOKUP(A:A,'Seam Tariffs'!A:AB,11,FALSE)</f>
        <v>4</v>
      </c>
      <c r="K326" s="69">
        <f>VLOOKUP(A:A,'Seam Tariffs'!A:AB,12,FALSE)</f>
        <v>0</v>
      </c>
      <c r="L326" s="69">
        <f>VLOOKUP(A:A,'Seam Tariffs'!A:AB,13,FALSE)</f>
        <v>0</v>
      </c>
      <c r="M326" s="69">
        <f>VLOOKUP(A:A,'Seam Tariffs'!A:AB,14,FALSE)</f>
        <v>1</v>
      </c>
      <c r="N326" s="69">
        <f>VLOOKUP(A:A,'Seam Tariffs'!A:AB,28,FALSE)</f>
        <v>2.25</v>
      </c>
      <c r="O326" s="69">
        <f>COSTS!$W$6</f>
        <v>1.8958333333333335</v>
      </c>
      <c r="P326" s="69">
        <f>VLOOKUP(G326,COSTS!$V$11:$X$14,3,FALSE)</f>
        <v>0</v>
      </c>
      <c r="Q326" s="69">
        <f t="shared" si="35"/>
        <v>13.145833333333334</v>
      </c>
      <c r="R326" s="69">
        <f t="shared" si="36"/>
        <v>4.1458333333333339</v>
      </c>
      <c r="S326" s="87">
        <f>VLOOKUP(A:A,'Flat Bed &amp; Late Fees'!A:J,6,FALSE)</f>
        <v>0</v>
      </c>
      <c r="T326" s="87">
        <f>VLOOKUP(A:A,'Flat Bed &amp; Late Fees'!A:J,7,FALSE)</f>
        <v>0</v>
      </c>
      <c r="U326" s="68">
        <f>VLOOKUP(C326&amp;G326,OTR!E:J,6,FALSE)/88</f>
        <v>15.712045454545455</v>
      </c>
      <c r="V326" s="87"/>
      <c r="W326" s="68">
        <f t="shared" si="37"/>
        <v>15.712045454545455</v>
      </c>
      <c r="X326" s="69">
        <f>VLOOKUP(G326,COSTS!$Z$18:$AC$23,2,FALSE)</f>
        <v>2.6</v>
      </c>
      <c r="Y326" s="87">
        <f>VLOOKUP(G326,COSTS!$Z$18:$AC$23,4,FALSE)</f>
        <v>2.52</v>
      </c>
      <c r="Z326" s="69">
        <f>(COSTS!$W$3*COSTS!$W$4*500)/52*COSTS!$AE$17</f>
        <v>1.3125</v>
      </c>
      <c r="AB326" s="69">
        <f t="shared" si="38"/>
        <v>6.4325000000000001</v>
      </c>
      <c r="AC326" s="69">
        <f>VLOOKUP(G326,COSTS!$Z$11:$AE$14,5,FALSE)</f>
        <v>5.5113636363636367</v>
      </c>
      <c r="AD326" s="69">
        <f>VLOOKUP(G326,COSTS!$Z$4:$AD$7,4,FALSE)</f>
        <v>5.3522727272727275</v>
      </c>
      <c r="AE326" s="69"/>
      <c r="AF326" s="69">
        <f t="shared" si="39"/>
        <v>10.863636363636363</v>
      </c>
      <c r="AG326" s="87">
        <f>((COSTS!$C$5*88)/20)/88</f>
        <v>1.4407150000000002</v>
      </c>
      <c r="AH326" s="69">
        <f>(COSTS!$X$38/88)*20</f>
        <v>0.34865702479338845</v>
      </c>
      <c r="AI326" s="87">
        <f>((COSTS!$E$5*88)/20)/88</f>
        <v>0.62936587135988387</v>
      </c>
      <c r="AJ326" s="87">
        <f>((COSTS!$D$5*88)/20)/88</f>
        <v>0.33676</v>
      </c>
      <c r="AL326" s="387">
        <f t="shared" si="40"/>
        <v>2.7554978961532726</v>
      </c>
      <c r="AM326" s="69">
        <f>(COSTS!$W$3+0.1)*500*0.01</f>
        <v>3.9999999999999996</v>
      </c>
      <c r="AN326" s="387">
        <f>((COSTS!$G$5/20)*88)/88</f>
        <v>1.308904109589041</v>
      </c>
      <c r="AR326" s="69">
        <f t="shared" si="41"/>
        <v>5.3089041095890401</v>
      </c>
      <c r="AT326" s="1" t="e">
        <f>VLOOKUP(C326&amp;$AT$1,OTR!E:J,6,FALSE)/88</f>
        <v>#N/A</v>
      </c>
      <c r="AU326" s="1">
        <f>VLOOKUP(C326&amp;$AU$1,OTR!E:J,6,FALSE)/88</f>
        <v>14.119318181818182</v>
      </c>
    </row>
    <row r="327" spans="1:47">
      <c r="A327" s="1">
        <v>337525</v>
      </c>
      <c r="B327" s="1" t="s">
        <v>724</v>
      </c>
      <c r="C327" s="1" t="s">
        <v>725</v>
      </c>
      <c r="D327" s="1" t="s">
        <v>76</v>
      </c>
      <c r="E327" s="1" t="str">
        <f>VLOOKUP(A:A,'Regions and Ports'!A:G,5,FALSE)</f>
        <v>GA 30 Day</v>
      </c>
      <c r="F327" s="1" t="str">
        <f>VLOOKUP(A:A,'Regions and Ports'!A:F,6,FALSE)</f>
        <v>ER5</v>
      </c>
      <c r="G327" s="1" t="str">
        <f>VLOOKUP(A:A,'Regions and Ports'!A:G,7,FALSE)</f>
        <v>Savannah</v>
      </c>
      <c r="H327" s="87">
        <v>4</v>
      </c>
      <c r="I327" s="69">
        <f>VLOOKUP(A:A,'Seam Tariffs'!A:AB,9,FALSE)</f>
        <v>3</v>
      </c>
      <c r="J327" s="69">
        <f>VLOOKUP(A:A,'Seam Tariffs'!A:AB,11,FALSE)</f>
        <v>5</v>
      </c>
      <c r="K327" s="69">
        <f>VLOOKUP(A:A,'Seam Tariffs'!A:AB,12,FALSE)</f>
        <v>7.5</v>
      </c>
      <c r="L327" s="69">
        <f>VLOOKUP(A:A,'Seam Tariffs'!A:AB,13,FALSE)</f>
        <v>0</v>
      </c>
      <c r="M327" s="69">
        <f>VLOOKUP(A:A,'Seam Tariffs'!A:AB,14,FALSE)</f>
        <v>1</v>
      </c>
      <c r="N327" s="69">
        <f>VLOOKUP(A:A,'Seam Tariffs'!A:AB,28,FALSE)</f>
        <v>3</v>
      </c>
      <c r="O327" s="69">
        <f>COSTS!$W$6</f>
        <v>1.8958333333333335</v>
      </c>
      <c r="P327" s="69">
        <f>VLOOKUP(G327,COSTS!$V$11:$X$14,3,FALSE)</f>
        <v>0</v>
      </c>
      <c r="Q327" s="69">
        <f t="shared" si="35"/>
        <v>21.395833333333332</v>
      </c>
      <c r="R327" s="69">
        <f t="shared" si="36"/>
        <v>1.8958333333333335</v>
      </c>
      <c r="S327" s="87">
        <f>VLOOKUP(A:A,'Flat Bed &amp; Late Fees'!A:J,6,FALSE)</f>
        <v>0</v>
      </c>
      <c r="T327" s="87">
        <f>VLOOKUP(A:A,'Flat Bed &amp; Late Fees'!A:J,7,FALSE)</f>
        <v>0</v>
      </c>
      <c r="U327" s="68">
        <f>VLOOKUP(C327&amp;G327,OTR!E:J,6,FALSE)/88</f>
        <v>8.1214772727272742</v>
      </c>
      <c r="V327" s="87"/>
      <c r="W327" s="68">
        <f t="shared" si="37"/>
        <v>8.1214772727272742</v>
      </c>
      <c r="X327" s="69">
        <f>VLOOKUP(G327,COSTS!$Z$18:$AC$23,2,FALSE)</f>
        <v>2.6</v>
      </c>
      <c r="Y327" s="87">
        <f>VLOOKUP(G327,COSTS!$Z$18:$AC$23,4,FALSE)</f>
        <v>2.52</v>
      </c>
      <c r="Z327" s="69">
        <f>(COSTS!$W$3*COSTS!$W$4*500)/52*COSTS!$AE$17</f>
        <v>1.3125</v>
      </c>
      <c r="AB327" s="69">
        <f t="shared" si="38"/>
        <v>6.4325000000000001</v>
      </c>
      <c r="AC327" s="69">
        <f>VLOOKUP(G327,COSTS!$Z$11:$AE$14,5,FALSE)</f>
        <v>5.5113636363636367</v>
      </c>
      <c r="AD327" s="69">
        <f>VLOOKUP(G327,COSTS!$Z$4:$AD$7,4,FALSE)</f>
        <v>5.3522727272727275</v>
      </c>
      <c r="AE327" s="69"/>
      <c r="AF327" s="69">
        <f t="shared" si="39"/>
        <v>10.863636363636363</v>
      </c>
      <c r="AG327" s="87">
        <f>((COSTS!$C$5*88)/20)/88</f>
        <v>1.4407150000000002</v>
      </c>
      <c r="AH327" s="69">
        <f>(COSTS!$X$38/88)*20</f>
        <v>0.34865702479338845</v>
      </c>
      <c r="AI327" s="87">
        <f>((COSTS!$E$5*88)/20)/88</f>
        <v>0.62936587135988387</v>
      </c>
      <c r="AJ327" s="87">
        <f>((COSTS!$D$5*88)/20)/88</f>
        <v>0.33676</v>
      </c>
      <c r="AL327" s="387">
        <f t="shared" si="40"/>
        <v>2.7554978961532726</v>
      </c>
      <c r="AM327" s="69">
        <f>(COSTS!$W$3+0.1)*500*0.01</f>
        <v>3.9999999999999996</v>
      </c>
      <c r="AN327" s="387">
        <f>((COSTS!$G$5/20)*88)/88</f>
        <v>1.308904109589041</v>
      </c>
      <c r="AR327" s="69">
        <f t="shared" si="41"/>
        <v>5.3089041095890401</v>
      </c>
      <c r="AT327" s="1">
        <f>VLOOKUP(C327&amp;$AT$1,OTR!E:J,6,FALSE)/88</f>
        <v>26.58909090909091</v>
      </c>
      <c r="AU327" s="1">
        <f>VLOOKUP(C327&amp;$AU$1,OTR!E:J,6,FALSE)/88</f>
        <v>14.034090909090908</v>
      </c>
    </row>
    <row r="328" spans="1:47">
      <c r="A328" s="1">
        <v>96505</v>
      </c>
      <c r="B328" s="1" t="s">
        <v>726</v>
      </c>
      <c r="C328" s="1" t="s">
        <v>727</v>
      </c>
      <c r="D328" s="1" t="s">
        <v>65</v>
      </c>
      <c r="E328" s="1" t="str">
        <f>VLOOKUP(A:A,'Regions and Ports'!A:G,5,FALSE)</f>
        <v>Eastern Rule 5</v>
      </c>
      <c r="F328" s="1" t="str">
        <f>VLOOKUP(A:A,'Regions and Ports'!A:F,6,FALSE)</f>
        <v>ER5</v>
      </c>
      <c r="G328" s="1" t="str">
        <f>VLOOKUP(A:A,'Regions and Ports'!A:G,7,FALSE)</f>
        <v>Savannah</v>
      </c>
      <c r="H328" s="87">
        <v>1</v>
      </c>
      <c r="I328" s="69">
        <f>VLOOKUP(A:A,'Seam Tariffs'!A:AB,9,FALSE)</f>
        <v>4</v>
      </c>
      <c r="J328" s="69">
        <f>VLOOKUP(A:A,'Seam Tariffs'!A:AB,11,FALSE)</f>
        <v>6</v>
      </c>
      <c r="K328" s="69">
        <f>VLOOKUP(A:A,'Seam Tariffs'!A:AB,12,FALSE)</f>
        <v>7</v>
      </c>
      <c r="L328" s="69">
        <f>VLOOKUP(A:A,'Seam Tariffs'!A:AB,13,FALSE)</f>
        <v>0</v>
      </c>
      <c r="M328" s="69">
        <f>VLOOKUP(A:A,'Seam Tariffs'!A:AB,14,FALSE)</f>
        <v>1</v>
      </c>
      <c r="N328" s="69">
        <f>VLOOKUP(A:A,'Seam Tariffs'!A:AB,28,FALSE)</f>
        <v>2.75</v>
      </c>
      <c r="O328" s="69">
        <f>COSTS!$W$6</f>
        <v>1.8958333333333335</v>
      </c>
      <c r="P328" s="69">
        <f>VLOOKUP(G328,COSTS!$V$11:$X$14,3,FALSE)</f>
        <v>0</v>
      </c>
      <c r="Q328" s="69">
        <f t="shared" si="35"/>
        <v>22.645833333333332</v>
      </c>
      <c r="R328" s="69">
        <f t="shared" si="36"/>
        <v>4.6458333333333339</v>
      </c>
      <c r="S328" s="87">
        <f>VLOOKUP(A:A,'Flat Bed &amp; Late Fees'!A:J,6,FALSE)</f>
        <v>0</v>
      </c>
      <c r="T328" s="87">
        <f>VLOOKUP(A:A,'Flat Bed &amp; Late Fees'!A:J,7,FALSE)</f>
        <v>0</v>
      </c>
      <c r="U328" s="68">
        <f>VLOOKUP(C328&amp;G328,OTR!E:J,6,FALSE)/88</f>
        <v>16.047585227272727</v>
      </c>
      <c r="V328" s="87"/>
      <c r="W328" s="68">
        <f t="shared" si="37"/>
        <v>16.047585227272727</v>
      </c>
      <c r="X328" s="69">
        <f>VLOOKUP(G328,COSTS!$Z$18:$AC$23,2,FALSE)</f>
        <v>2.6</v>
      </c>
      <c r="Y328" s="87">
        <f>VLOOKUP(G328,COSTS!$Z$18:$AC$23,4,FALSE)</f>
        <v>2.52</v>
      </c>
      <c r="Z328" s="69">
        <f>(COSTS!$W$3*COSTS!$W$4*500)/52*COSTS!$AE$17</f>
        <v>1.3125</v>
      </c>
      <c r="AB328" s="69">
        <f t="shared" si="38"/>
        <v>6.4325000000000001</v>
      </c>
      <c r="AC328" s="69">
        <f>VLOOKUP(G328,COSTS!$Z$11:$AE$14,5,FALSE)</f>
        <v>5.5113636363636367</v>
      </c>
      <c r="AD328" s="69">
        <f>VLOOKUP(G328,COSTS!$Z$4:$AD$7,4,FALSE)</f>
        <v>5.3522727272727275</v>
      </c>
      <c r="AE328" s="69"/>
      <c r="AF328" s="69">
        <f t="shared" si="39"/>
        <v>10.863636363636363</v>
      </c>
      <c r="AG328" s="87">
        <f>((COSTS!$C$5*88)/20)/88</f>
        <v>1.4407150000000002</v>
      </c>
      <c r="AH328" s="69">
        <f>(COSTS!$X$38/88)*20</f>
        <v>0.34865702479338845</v>
      </c>
      <c r="AI328" s="87">
        <f>((COSTS!$E$5*88)/20)/88</f>
        <v>0.62936587135988387</v>
      </c>
      <c r="AJ328" s="87">
        <f>((COSTS!$D$5*88)/20)/88</f>
        <v>0.33676</v>
      </c>
      <c r="AL328" s="387">
        <f t="shared" si="40"/>
        <v>2.7554978961532726</v>
      </c>
      <c r="AM328" s="69">
        <f>(COSTS!$W$3+0.1)*500*0.01</f>
        <v>3.9999999999999996</v>
      </c>
      <c r="AN328" s="387">
        <f>((COSTS!$G$5/20)*88)/88</f>
        <v>1.308904109589041</v>
      </c>
      <c r="AR328" s="69">
        <f t="shared" si="41"/>
        <v>5.3089041095890401</v>
      </c>
      <c r="AT328" s="1" t="e">
        <f>VLOOKUP(C328&amp;$AT$1,OTR!E:J,6,FALSE)/88</f>
        <v>#N/A</v>
      </c>
      <c r="AU328" s="1">
        <f>VLOOKUP(C328&amp;$AU$1,OTR!E:J,6,FALSE)/88</f>
        <v>19.318181818181817</v>
      </c>
    </row>
    <row r="329" spans="1:47">
      <c r="A329" s="1">
        <v>840509</v>
      </c>
      <c r="B329" s="1" t="s">
        <v>729</v>
      </c>
      <c r="C329" s="1" t="s">
        <v>732</v>
      </c>
      <c r="D329" s="1" t="s">
        <v>71</v>
      </c>
      <c r="E329" s="1" t="str">
        <f>VLOOKUP(A:A,'Regions and Ports'!A:G,5,FALSE)</f>
        <v>WTX</v>
      </c>
      <c r="F329" s="1" t="str">
        <f>VLOOKUP(A:A,'Regions and Ports'!A:F,6,FALSE)</f>
        <v>WTX</v>
      </c>
      <c r="G329" s="1" t="str">
        <f>VLOOKUP(A:A,'Regions and Ports'!A:G,7,FALSE)</f>
        <v>Dallas</v>
      </c>
      <c r="H329" s="87">
        <v>3</v>
      </c>
      <c r="I329" s="69">
        <f>VLOOKUP(A:A,'Seam Tariffs'!A:AB,9,FALSE)</f>
        <v>5.5</v>
      </c>
      <c r="J329" s="69">
        <f>VLOOKUP(A:A,'Seam Tariffs'!A:AB,11,FALSE)</f>
        <v>17.5</v>
      </c>
      <c r="K329" s="69">
        <f>VLOOKUP(A:A,'Seam Tariffs'!A:AB,12,FALSE)</f>
        <v>0</v>
      </c>
      <c r="L329" s="69">
        <f>VLOOKUP(A:A,'Seam Tariffs'!A:AB,13,FALSE)</f>
        <v>0</v>
      </c>
      <c r="M329" s="69">
        <f>VLOOKUP(A:A,'Seam Tariffs'!A:AB,14,FALSE)</f>
        <v>0</v>
      </c>
      <c r="N329" s="69">
        <f>VLOOKUP(A:A,'Seam Tariffs'!A:AB,28,FALSE)</f>
        <v>4</v>
      </c>
      <c r="O329" s="69">
        <f>COSTS!$W$6</f>
        <v>1.8958333333333335</v>
      </c>
      <c r="P329" s="69">
        <f>VLOOKUP(G329,COSTS!$V$11:$X$14,3,FALSE)</f>
        <v>0</v>
      </c>
      <c r="Q329" s="69">
        <f t="shared" si="35"/>
        <v>28.895833333333332</v>
      </c>
      <c r="R329" s="69">
        <f t="shared" si="36"/>
        <v>23.395833333333332</v>
      </c>
      <c r="S329" s="87">
        <f>VLOOKUP(A:A,'Flat Bed &amp; Late Fees'!A:J,6,FALSE)</f>
        <v>1</v>
      </c>
      <c r="T329" s="87">
        <f>VLOOKUP(A:A,'Flat Bed &amp; Late Fees'!A:J,7,FALSE)</f>
        <v>0</v>
      </c>
      <c r="U329" s="68">
        <f>VLOOKUP(C329&amp;G329,OTR!E:J,6,FALSE)/88</f>
        <v>7.3863636363636367</v>
      </c>
      <c r="V329" s="87"/>
      <c r="W329" s="68">
        <f t="shared" si="37"/>
        <v>8.3863636363636367</v>
      </c>
      <c r="X329" s="69">
        <f>VLOOKUP(G329,COSTS!$Z$18:$AC$23,2,FALSE)</f>
        <v>2.7</v>
      </c>
      <c r="Y329" s="87">
        <f>VLOOKUP(G329,COSTS!$Z$18:$AC$23,4,FALSE)</f>
        <v>2.52</v>
      </c>
      <c r="Z329" s="69">
        <f>(COSTS!$W$3*COSTS!$W$4*500)/52*COSTS!$AE$17</f>
        <v>1.3125</v>
      </c>
      <c r="AB329" s="69">
        <f t="shared" si="38"/>
        <v>6.5325000000000006</v>
      </c>
      <c r="AC329" s="69">
        <f>VLOOKUP(G329,COSTS!$Z$11:$AE$14,5,FALSE)</f>
        <v>8.125</v>
      </c>
      <c r="AD329" s="69">
        <f>VLOOKUP(G329,COSTS!$Z$4:$AD$7,4,FALSE)</f>
        <v>13.409090909090908</v>
      </c>
      <c r="AE329" s="69"/>
      <c r="AF329" s="69">
        <f t="shared" si="39"/>
        <v>21.534090909090907</v>
      </c>
      <c r="AG329" s="87">
        <f>((COSTS!$C$5*88)/20)/88</f>
        <v>1.4407150000000002</v>
      </c>
      <c r="AH329" s="69">
        <f>(COSTS!$X$38/88)*20</f>
        <v>0.34865702479338845</v>
      </c>
      <c r="AI329" s="87">
        <f>((COSTS!$E$5*88)/20)/88</f>
        <v>0.62936587135988387</v>
      </c>
      <c r="AJ329" s="87">
        <f>((COSTS!$D$5*88)/20)/88</f>
        <v>0.33676</v>
      </c>
      <c r="AL329" s="387">
        <f t="shared" si="40"/>
        <v>2.7554978961532726</v>
      </c>
      <c r="AM329" s="69">
        <f>(COSTS!$W$3+0.1)*500*0.01</f>
        <v>3.9999999999999996</v>
      </c>
      <c r="AN329" s="387">
        <f>((COSTS!$G$5/20)*88)/88</f>
        <v>1.308904109589041</v>
      </c>
      <c r="AR329" s="69">
        <f t="shared" si="41"/>
        <v>5.3089041095890401</v>
      </c>
      <c r="AT329" s="1">
        <f>VLOOKUP(C329&amp;$AT$1,OTR!E:J,6,FALSE)/88</f>
        <v>16.574886363636363</v>
      </c>
      <c r="AU329" s="1" t="e">
        <f>VLOOKUP(C329&amp;$AU$1,OTR!E:J,6,FALSE)/88</f>
        <v>#N/A</v>
      </c>
    </row>
    <row r="330" spans="1:47">
      <c r="A330" s="1">
        <v>937530</v>
      </c>
      <c r="B330" s="1" t="s">
        <v>83</v>
      </c>
      <c r="C330" s="1" t="s">
        <v>732</v>
      </c>
      <c r="D330" s="1" t="s">
        <v>71</v>
      </c>
      <c r="E330" s="1" t="str">
        <f>VLOOKUP(A:A,'Regions and Ports'!A:G,5,FALSE)</f>
        <v>WTX</v>
      </c>
      <c r="F330" s="1" t="str">
        <f>VLOOKUP(A:A,'Regions and Ports'!A:F,6,FALSE)</f>
        <v>WTX</v>
      </c>
      <c r="G330" s="1" t="str">
        <f>VLOOKUP(A:A,'Regions and Ports'!A:G,7,FALSE)</f>
        <v>Dallas</v>
      </c>
      <c r="H330" s="87">
        <v>2</v>
      </c>
      <c r="I330" s="69">
        <f>VLOOKUP(A:A,'Seam Tariffs'!A:AB,9,FALSE)</f>
        <v>5.15</v>
      </c>
      <c r="J330" s="69">
        <f>VLOOKUP(A:A,'Seam Tariffs'!A:AB,11,FALSE)</f>
        <v>6.25</v>
      </c>
      <c r="K330" s="69">
        <f>VLOOKUP(A:A,'Seam Tariffs'!A:AB,12,FALSE)</f>
        <v>12</v>
      </c>
      <c r="L330" s="69">
        <f>VLOOKUP(A:A,'Seam Tariffs'!A:AB,13,FALSE)</f>
        <v>0</v>
      </c>
      <c r="M330" s="69">
        <f>VLOOKUP(A:A,'Seam Tariffs'!A:AB,14,FALSE)</f>
        <v>0</v>
      </c>
      <c r="N330" s="69">
        <f>VLOOKUP(A:A,'Seam Tariffs'!A:AB,28,FALSE)</f>
        <v>1.9500000000000002</v>
      </c>
      <c r="O330" s="69">
        <f>COSTS!$W$6</f>
        <v>1.8958333333333335</v>
      </c>
      <c r="P330" s="69">
        <f>VLOOKUP(G330,COSTS!$V$11:$X$14,3,FALSE)</f>
        <v>0</v>
      </c>
      <c r="Q330" s="69">
        <f t="shared" si="35"/>
        <v>27.24583333333333</v>
      </c>
      <c r="R330" s="69">
        <f t="shared" si="36"/>
        <v>15.845833333333333</v>
      </c>
      <c r="S330" s="87">
        <f>VLOOKUP(A:A,'Flat Bed &amp; Late Fees'!A:J,6,FALSE)</f>
        <v>1</v>
      </c>
      <c r="T330" s="87">
        <f>VLOOKUP(A:A,'Flat Bed &amp; Late Fees'!A:J,7,FALSE)</f>
        <v>0.25</v>
      </c>
      <c r="U330" s="68">
        <f>VLOOKUP(C330&amp;G330,OTR!E:J,6,FALSE)/88</f>
        <v>7.3863636363636367</v>
      </c>
      <c r="V330" s="87"/>
      <c r="W330" s="68">
        <f t="shared" si="37"/>
        <v>8.6363636363636367</v>
      </c>
      <c r="X330" s="69">
        <f>VLOOKUP(G330,COSTS!$Z$18:$AC$23,2,FALSE)</f>
        <v>2.7</v>
      </c>
      <c r="Y330" s="87">
        <f>VLOOKUP(G330,COSTS!$Z$18:$AC$23,4,FALSE)</f>
        <v>2.52</v>
      </c>
      <c r="Z330" s="69">
        <f>(COSTS!$W$3*COSTS!$W$4*500)/52*COSTS!$AE$17</f>
        <v>1.3125</v>
      </c>
      <c r="AB330" s="69">
        <f t="shared" si="38"/>
        <v>6.5325000000000006</v>
      </c>
      <c r="AC330" s="69">
        <f>VLOOKUP(G330,COSTS!$Z$11:$AE$14,5,FALSE)</f>
        <v>8.125</v>
      </c>
      <c r="AD330" s="69">
        <f>VLOOKUP(G330,COSTS!$Z$4:$AD$7,4,FALSE)</f>
        <v>13.409090909090908</v>
      </c>
      <c r="AE330" s="69"/>
      <c r="AF330" s="69">
        <f t="shared" si="39"/>
        <v>21.534090909090907</v>
      </c>
      <c r="AG330" s="87">
        <f>((COSTS!$C$5*88)/20)/88</f>
        <v>1.4407150000000002</v>
      </c>
      <c r="AH330" s="69">
        <f>(COSTS!$X$38/88)*20</f>
        <v>0.34865702479338845</v>
      </c>
      <c r="AI330" s="87">
        <f>((COSTS!$E$5*88)/20)/88</f>
        <v>0.62936587135988387</v>
      </c>
      <c r="AJ330" s="87">
        <f>((COSTS!$D$5*88)/20)/88</f>
        <v>0.33676</v>
      </c>
      <c r="AL330" s="387">
        <f t="shared" si="40"/>
        <v>2.7554978961532726</v>
      </c>
      <c r="AM330" s="69">
        <f>(COSTS!$W$3+0.1)*500*0.01</f>
        <v>3.9999999999999996</v>
      </c>
      <c r="AN330" s="387">
        <f>((COSTS!$G$5/20)*88)/88</f>
        <v>1.308904109589041</v>
      </c>
      <c r="AR330" s="69">
        <f t="shared" si="41"/>
        <v>5.3089041095890401</v>
      </c>
      <c r="AT330" s="1">
        <f>VLOOKUP(C330&amp;$AT$1,OTR!E:J,6,FALSE)/88</f>
        <v>16.574886363636363</v>
      </c>
      <c r="AU330" s="1" t="e">
        <f>VLOOKUP(C330&amp;$AU$1,OTR!E:J,6,FALSE)/88</f>
        <v>#N/A</v>
      </c>
    </row>
    <row r="331" spans="1:47">
      <c r="A331" s="125">
        <v>937530</v>
      </c>
      <c r="B331" s="1" t="s">
        <v>83</v>
      </c>
      <c r="C331" s="1" t="s">
        <v>732</v>
      </c>
      <c r="D331" s="1" t="s">
        <v>71</v>
      </c>
      <c r="E331" s="1" t="s">
        <v>2067</v>
      </c>
      <c r="F331" s="1" t="str">
        <f>VLOOKUP(A:A,'Regions and Ports'!A:F,6,FALSE)</f>
        <v>WTX</v>
      </c>
      <c r="G331" s="1" t="s">
        <v>439</v>
      </c>
      <c r="H331" s="87">
        <v>2</v>
      </c>
      <c r="I331" s="69">
        <f>VLOOKUP(A:A,'Seam Tariffs'!A:AB,9,FALSE)</f>
        <v>5.15</v>
      </c>
      <c r="J331" s="69">
        <f>VLOOKUP(A:A,'Seam Tariffs'!A:AB,11,FALSE)</f>
        <v>6.25</v>
      </c>
      <c r="K331" s="69">
        <f>VLOOKUP(A:A,'Seam Tariffs'!A:AB,12,FALSE)</f>
        <v>12</v>
      </c>
      <c r="L331" s="69">
        <f>VLOOKUP(A:A,'Seam Tariffs'!A:AB,13,FALSE)</f>
        <v>0</v>
      </c>
      <c r="M331" s="69">
        <f>VLOOKUP(A:A,'Seam Tariffs'!A:AB,14,FALSE)</f>
        <v>0</v>
      </c>
      <c r="N331" s="69">
        <f>VLOOKUP(A:A,'Seam Tariffs'!A:AB,28,FALSE)</f>
        <v>1.9500000000000002</v>
      </c>
      <c r="O331" s="69">
        <f>COSTS!$W$6</f>
        <v>1.8958333333333335</v>
      </c>
      <c r="P331" s="69">
        <f>VLOOKUP(G331,COSTS!$V$11:$X$14,3,FALSE)</f>
        <v>0</v>
      </c>
      <c r="Q331" s="69">
        <f t="shared" si="35"/>
        <v>27.24583333333333</v>
      </c>
      <c r="R331" s="69">
        <f t="shared" si="36"/>
        <v>15.845833333333333</v>
      </c>
      <c r="S331" s="87">
        <f>VLOOKUP(A:A,'Flat Bed &amp; Late Fees'!A:J,6,FALSE)</f>
        <v>1</v>
      </c>
      <c r="T331" s="87">
        <f>VLOOKUP(A:A,'Flat Bed &amp; Late Fees'!A:J,7,FALSE)</f>
        <v>0.25</v>
      </c>
      <c r="U331" s="68">
        <f>VLOOKUP(C331&amp;G331,OTR!E:J,6,FALSE)/88</f>
        <v>12.926136363636363</v>
      </c>
      <c r="V331" s="87"/>
      <c r="W331" s="68">
        <f t="shared" si="37"/>
        <v>14.176136363636363</v>
      </c>
      <c r="X331" s="69">
        <f>VLOOKUP(G331,COSTS!$Z$18:$AC$23,2,FALSE)</f>
        <v>2.7</v>
      </c>
      <c r="Y331" s="87">
        <f>VLOOKUP(G331,COSTS!$Z$18:$AC$23,4,FALSE)</f>
        <v>2.52</v>
      </c>
      <c r="Z331" s="69">
        <f>(COSTS!$W$3*COSTS!$W$4*500)/52*COSTS!$AE$17</f>
        <v>1.3125</v>
      </c>
      <c r="AB331" s="69">
        <f t="shared" si="38"/>
        <v>6.5325000000000006</v>
      </c>
      <c r="AC331" s="69">
        <f>VLOOKUP(G331,COSTS!$Z$11:$AE$14,5,FALSE)</f>
        <v>6.6477272727272725</v>
      </c>
      <c r="AD331" s="69">
        <f>VLOOKUP(G331,COSTS!$Z$4:$AD$7,4,FALSE)</f>
        <v>9.8977272727272734</v>
      </c>
      <c r="AE331" s="69"/>
      <c r="AF331" s="69">
        <f t="shared" si="39"/>
        <v>16.545454545454547</v>
      </c>
      <c r="AG331" s="87">
        <f>((COSTS!$C$5*88)/20)/88</f>
        <v>1.4407150000000002</v>
      </c>
      <c r="AH331" s="69">
        <f>(COSTS!$X$38/88)*20</f>
        <v>0.34865702479338845</v>
      </c>
      <c r="AI331" s="87">
        <f>((COSTS!$E$5*88)/20)/88</f>
        <v>0.62936587135988387</v>
      </c>
      <c r="AJ331" s="87">
        <f>((COSTS!$D$5*88)/20)/88</f>
        <v>0.33676</v>
      </c>
      <c r="AL331" s="387">
        <f t="shared" si="40"/>
        <v>2.7554978961532726</v>
      </c>
      <c r="AM331" s="69">
        <f>(COSTS!$W$3+0.1)*500*0.01</f>
        <v>3.9999999999999996</v>
      </c>
      <c r="AN331" s="387">
        <f>((COSTS!$G$5/20)*88)/88</f>
        <v>1.308904109589041</v>
      </c>
      <c r="AR331" s="69">
        <f t="shared" si="41"/>
        <v>5.3089041095890401</v>
      </c>
      <c r="AT331" s="1">
        <f>VLOOKUP(C331&amp;$AT$1,OTR!E:J,6,FALSE)/88</f>
        <v>16.574886363636363</v>
      </c>
      <c r="AU331" s="1" t="e">
        <f>VLOOKUP(C331&amp;$AU$1,OTR!E:J,6,FALSE)/88</f>
        <v>#N/A</v>
      </c>
    </row>
    <row r="332" spans="1:47">
      <c r="A332" s="1">
        <v>339007</v>
      </c>
      <c r="B332" s="1" t="s">
        <v>733</v>
      </c>
      <c r="C332" s="1" t="s">
        <v>734</v>
      </c>
      <c r="D332" s="1" t="s">
        <v>76</v>
      </c>
      <c r="E332" s="1" t="str">
        <f>VLOOKUP(A:A,'Regions and Ports'!A:G,5,FALSE)</f>
        <v>GA 30 Day</v>
      </c>
      <c r="F332" s="1" t="str">
        <f>VLOOKUP(A:A,'Regions and Ports'!A:F,6,FALSE)</f>
        <v>ER5</v>
      </c>
      <c r="G332" s="1" t="str">
        <f>VLOOKUP(A:A,'Regions and Ports'!A:G,7,FALSE)</f>
        <v>Savannah</v>
      </c>
      <c r="H332" s="87">
        <v>4</v>
      </c>
      <c r="I332" s="69">
        <f>VLOOKUP(A:A,'Seam Tariffs'!A:AB,9,FALSE)</f>
        <v>3.75</v>
      </c>
      <c r="J332" s="69">
        <f>VLOOKUP(A:A,'Seam Tariffs'!A:AB,11,FALSE)</f>
        <v>6</v>
      </c>
      <c r="K332" s="69">
        <f>VLOOKUP(A:A,'Seam Tariffs'!A:AB,12,FALSE)</f>
        <v>0</v>
      </c>
      <c r="L332" s="69">
        <f>VLOOKUP(A:A,'Seam Tariffs'!A:AB,13,FALSE)</f>
        <v>0</v>
      </c>
      <c r="M332" s="69">
        <f>VLOOKUP(A:A,'Seam Tariffs'!A:AB,14,FALSE)</f>
        <v>1</v>
      </c>
      <c r="N332" s="69">
        <f>VLOOKUP(A:A,'Seam Tariffs'!A:AB,28,FALSE)</f>
        <v>3.75</v>
      </c>
      <c r="O332" s="69">
        <f>COSTS!$W$6</f>
        <v>1.8958333333333335</v>
      </c>
      <c r="P332" s="69">
        <f>VLOOKUP(G332,COSTS!$V$11:$X$14,3,FALSE)</f>
        <v>0</v>
      </c>
      <c r="Q332" s="69">
        <f t="shared" si="35"/>
        <v>16.395833333333332</v>
      </c>
      <c r="R332" s="69">
        <f t="shared" si="36"/>
        <v>1.8958333333333335</v>
      </c>
      <c r="S332" s="87">
        <f>VLOOKUP(A:A,'Flat Bed &amp; Late Fees'!A:J,6,FALSE)</f>
        <v>0</v>
      </c>
      <c r="T332" s="87">
        <f>VLOOKUP(A:A,'Flat Bed &amp; Late Fees'!A:J,7,FALSE)</f>
        <v>0</v>
      </c>
      <c r="U332" s="68">
        <f>VLOOKUP(C332&amp;G332,OTR!E:J,6,FALSE)/88</f>
        <v>10.815</v>
      </c>
      <c r="V332" s="87"/>
      <c r="W332" s="68">
        <f t="shared" si="37"/>
        <v>10.815</v>
      </c>
      <c r="X332" s="69">
        <f>VLOOKUP(G332,COSTS!$Z$18:$AC$23,2,FALSE)</f>
        <v>2.6</v>
      </c>
      <c r="Y332" s="87">
        <f>VLOOKUP(G332,COSTS!$Z$18:$AC$23,4,FALSE)</f>
        <v>2.52</v>
      </c>
      <c r="Z332" s="69">
        <f>(COSTS!$W$3*COSTS!$W$4*500)/52*COSTS!$AE$17</f>
        <v>1.3125</v>
      </c>
      <c r="AB332" s="69">
        <f t="shared" si="38"/>
        <v>6.4325000000000001</v>
      </c>
      <c r="AC332" s="69">
        <f>VLOOKUP(G332,COSTS!$Z$11:$AE$14,5,FALSE)</f>
        <v>5.5113636363636367</v>
      </c>
      <c r="AD332" s="69">
        <f>VLOOKUP(G332,COSTS!$Z$4:$AD$7,4,FALSE)</f>
        <v>5.3522727272727275</v>
      </c>
      <c r="AE332" s="69"/>
      <c r="AF332" s="69">
        <f t="shared" si="39"/>
        <v>10.863636363636363</v>
      </c>
      <c r="AG332" s="87">
        <f>((COSTS!$C$5*88)/20)/88</f>
        <v>1.4407150000000002</v>
      </c>
      <c r="AH332" s="69">
        <f>(COSTS!$X$38/88)*20</f>
        <v>0.34865702479338845</v>
      </c>
      <c r="AI332" s="87">
        <f>((COSTS!$E$5*88)/20)/88</f>
        <v>0.62936587135988387</v>
      </c>
      <c r="AJ332" s="87">
        <f>((COSTS!$D$5*88)/20)/88</f>
        <v>0.33676</v>
      </c>
      <c r="AL332" s="387">
        <f t="shared" si="40"/>
        <v>2.7554978961532726</v>
      </c>
      <c r="AM332" s="69">
        <f>(COSTS!$W$3+0.1)*500*0.01</f>
        <v>3.9999999999999996</v>
      </c>
      <c r="AN332" s="387">
        <f>((COSTS!$G$5/20)*88)/88</f>
        <v>1.308904109589041</v>
      </c>
      <c r="AR332" s="69">
        <f t="shared" si="41"/>
        <v>5.3089041095890401</v>
      </c>
      <c r="AT332" s="1">
        <f>VLOOKUP(C332&amp;$AT$1,OTR!E:J,6,FALSE)/88</f>
        <v>25.787954545454546</v>
      </c>
      <c r="AU332" s="1">
        <f>VLOOKUP(C332&amp;$AU$1,OTR!E:J,6,FALSE)/88</f>
        <v>15.210227272727273</v>
      </c>
    </row>
    <row r="333" spans="1:47">
      <c r="A333" s="1">
        <v>339733</v>
      </c>
      <c r="B333" s="1" t="s">
        <v>736</v>
      </c>
      <c r="C333" s="1" t="s">
        <v>737</v>
      </c>
      <c r="D333" s="1" t="s">
        <v>76</v>
      </c>
      <c r="E333" s="1" t="str">
        <f>VLOOKUP(A:A,'Regions and Ports'!A:G,5,FALSE)</f>
        <v>GA 30 Day</v>
      </c>
      <c r="F333" s="1" t="str">
        <f>VLOOKUP(A:A,'Regions and Ports'!A:F,6,FALSE)</f>
        <v>ER5</v>
      </c>
      <c r="G333" s="1" t="str">
        <f>VLOOKUP(A:A,'Regions and Ports'!A:G,7,FALSE)</f>
        <v>Savannah</v>
      </c>
      <c r="H333" s="87">
        <v>4</v>
      </c>
      <c r="I333" s="69">
        <f>VLOOKUP(A:A,'Seam Tariffs'!A:AB,9,FALSE)</f>
        <v>2.5</v>
      </c>
      <c r="J333" s="69">
        <f>VLOOKUP(A:A,'Seam Tariffs'!A:AB,11,FALSE)</f>
        <v>4.5</v>
      </c>
      <c r="K333" s="69">
        <f>VLOOKUP(A:A,'Seam Tariffs'!A:AB,12,FALSE)</f>
        <v>0</v>
      </c>
      <c r="L333" s="69">
        <f>VLOOKUP(A:A,'Seam Tariffs'!A:AB,13,FALSE)</f>
        <v>0</v>
      </c>
      <c r="M333" s="69">
        <f>VLOOKUP(A:A,'Seam Tariffs'!A:AB,14,FALSE)</f>
        <v>1</v>
      </c>
      <c r="N333" s="69">
        <f>VLOOKUP(A:A,'Seam Tariffs'!A:AB,28,FALSE)</f>
        <v>2.5</v>
      </c>
      <c r="O333" s="69">
        <f>COSTS!$W$6</f>
        <v>1.8958333333333335</v>
      </c>
      <c r="P333" s="69">
        <f>VLOOKUP(G333,COSTS!$V$11:$X$14,3,FALSE)</f>
        <v>0</v>
      </c>
      <c r="Q333" s="69">
        <f t="shared" si="35"/>
        <v>12.395833333333334</v>
      </c>
      <c r="R333" s="69">
        <f t="shared" si="36"/>
        <v>1.8958333333333335</v>
      </c>
      <c r="S333" s="87">
        <f>VLOOKUP(A:A,'Flat Bed &amp; Late Fees'!A:J,6,FALSE)</f>
        <v>0</v>
      </c>
      <c r="T333" s="87">
        <f>VLOOKUP(A:A,'Flat Bed &amp; Late Fees'!A:J,7,FALSE)</f>
        <v>0</v>
      </c>
      <c r="U333" s="68">
        <f>VLOOKUP(C333&amp;G333,OTR!E:J,6,FALSE)/88</f>
        <v>7.7237500000000008</v>
      </c>
      <c r="V333" s="87"/>
      <c r="W333" s="68">
        <f t="shared" si="37"/>
        <v>7.7237500000000008</v>
      </c>
      <c r="X333" s="69">
        <f>VLOOKUP(G333,COSTS!$Z$18:$AC$23,2,FALSE)</f>
        <v>2.6</v>
      </c>
      <c r="Y333" s="87">
        <f>VLOOKUP(G333,COSTS!$Z$18:$AC$23,4,FALSE)</f>
        <v>2.52</v>
      </c>
      <c r="Z333" s="69">
        <f>(COSTS!$W$3*COSTS!$W$4*500)/52*COSTS!$AE$17</f>
        <v>1.3125</v>
      </c>
      <c r="AB333" s="69">
        <f t="shared" si="38"/>
        <v>6.4325000000000001</v>
      </c>
      <c r="AC333" s="69">
        <f>VLOOKUP(G333,COSTS!$Z$11:$AE$14,5,FALSE)</f>
        <v>5.5113636363636367</v>
      </c>
      <c r="AD333" s="69">
        <f>VLOOKUP(G333,COSTS!$Z$4:$AD$7,4,FALSE)</f>
        <v>5.3522727272727275</v>
      </c>
      <c r="AE333" s="69"/>
      <c r="AF333" s="69">
        <f t="shared" si="39"/>
        <v>10.863636363636363</v>
      </c>
      <c r="AG333" s="87">
        <f>((COSTS!$C$5*88)/20)/88</f>
        <v>1.4407150000000002</v>
      </c>
      <c r="AH333" s="69">
        <f>(COSTS!$X$38/88)*20</f>
        <v>0.34865702479338845</v>
      </c>
      <c r="AI333" s="87">
        <f>((COSTS!$E$5*88)/20)/88</f>
        <v>0.62936587135988387</v>
      </c>
      <c r="AJ333" s="87">
        <f>((COSTS!$D$5*88)/20)/88</f>
        <v>0.33676</v>
      </c>
      <c r="AL333" s="387">
        <f t="shared" si="40"/>
        <v>2.7554978961532726</v>
      </c>
      <c r="AM333" s="69">
        <f>(COSTS!$W$3+0.1)*500*0.01</f>
        <v>3.9999999999999996</v>
      </c>
      <c r="AN333" s="387">
        <f>((COSTS!$G$5/20)*88)/88</f>
        <v>1.308904109589041</v>
      </c>
      <c r="AR333" s="69">
        <f t="shared" si="41"/>
        <v>5.3089041095890401</v>
      </c>
      <c r="AT333" s="1">
        <f>VLOOKUP(C333&amp;$AT$1,OTR!E:J,6,FALSE)/88</f>
        <v>27.886931818181814</v>
      </c>
      <c r="AU333" s="1">
        <f>VLOOKUP(C333&amp;$AU$1,OTR!E:J,6,FALSE)/88</f>
        <v>12.585227272727273</v>
      </c>
    </row>
    <row r="334" spans="1:47">
      <c r="A334" s="1">
        <v>340015</v>
      </c>
      <c r="B334" s="1" t="s">
        <v>739</v>
      </c>
      <c r="C334" s="1" t="s">
        <v>740</v>
      </c>
      <c r="D334" s="1" t="s">
        <v>76</v>
      </c>
      <c r="E334" s="1" t="str">
        <f>VLOOKUP(A:A,'Regions and Ports'!A:G,5,FALSE)</f>
        <v>GA 30 Day</v>
      </c>
      <c r="F334" s="1" t="str">
        <f>VLOOKUP(A:A,'Regions and Ports'!A:F,6,FALSE)</f>
        <v>ER5</v>
      </c>
      <c r="G334" s="1" t="str">
        <f>VLOOKUP(A:A,'Regions and Ports'!A:G,7,FALSE)</f>
        <v>Savannah</v>
      </c>
      <c r="H334" s="87">
        <v>4</v>
      </c>
      <c r="I334" s="69">
        <f>VLOOKUP(A:A,'Seam Tariffs'!A:AB,9,FALSE)</f>
        <v>4</v>
      </c>
      <c r="J334" s="69">
        <f>VLOOKUP(A:A,'Seam Tariffs'!A:AB,11,FALSE)</f>
        <v>6</v>
      </c>
      <c r="K334" s="69">
        <f>VLOOKUP(A:A,'Seam Tariffs'!A:AB,12,FALSE)</f>
        <v>0</v>
      </c>
      <c r="L334" s="69">
        <f>VLOOKUP(A:A,'Seam Tariffs'!A:AB,13,FALSE)</f>
        <v>0</v>
      </c>
      <c r="M334" s="69">
        <f>VLOOKUP(A:A,'Seam Tariffs'!A:AB,14,FALSE)</f>
        <v>1.5</v>
      </c>
      <c r="N334" s="69">
        <f>VLOOKUP(A:A,'Seam Tariffs'!A:AB,28,FALSE)</f>
        <v>3</v>
      </c>
      <c r="O334" s="69">
        <f>COSTS!$W$6</f>
        <v>1.8958333333333335</v>
      </c>
      <c r="P334" s="69">
        <f>VLOOKUP(G334,COSTS!$V$11:$X$14,3,FALSE)</f>
        <v>0</v>
      </c>
      <c r="Q334" s="69">
        <f t="shared" si="35"/>
        <v>16.395833333333332</v>
      </c>
      <c r="R334" s="69">
        <f t="shared" si="36"/>
        <v>1.8958333333333335</v>
      </c>
      <c r="S334" s="87">
        <f>VLOOKUP(A:A,'Flat Bed &amp; Late Fees'!A:J,6,FALSE)</f>
        <v>0</v>
      </c>
      <c r="T334" s="87">
        <f>VLOOKUP(A:A,'Flat Bed &amp; Late Fees'!A:J,7,FALSE)</f>
        <v>0</v>
      </c>
      <c r="U334" s="68">
        <f>VLOOKUP(C334&amp;G334,OTR!E:J,6,FALSE)/88</f>
        <v>10.871818181818183</v>
      </c>
      <c r="V334" s="87"/>
      <c r="W334" s="68">
        <f t="shared" si="37"/>
        <v>10.871818181818183</v>
      </c>
      <c r="X334" s="69">
        <f>VLOOKUP(G334,COSTS!$Z$18:$AC$23,2,FALSE)</f>
        <v>2.6</v>
      </c>
      <c r="Y334" s="87">
        <f>VLOOKUP(G334,COSTS!$Z$18:$AC$23,4,FALSE)</f>
        <v>2.52</v>
      </c>
      <c r="Z334" s="69">
        <f>(COSTS!$W$3*COSTS!$W$4*500)/52*COSTS!$AE$17</f>
        <v>1.3125</v>
      </c>
      <c r="AB334" s="69">
        <f t="shared" si="38"/>
        <v>6.4325000000000001</v>
      </c>
      <c r="AC334" s="69">
        <f>VLOOKUP(G334,COSTS!$Z$11:$AE$14,5,FALSE)</f>
        <v>5.5113636363636367</v>
      </c>
      <c r="AD334" s="69">
        <f>VLOOKUP(G334,COSTS!$Z$4:$AD$7,4,FALSE)</f>
        <v>5.3522727272727275</v>
      </c>
      <c r="AE334" s="69"/>
      <c r="AF334" s="69">
        <f t="shared" si="39"/>
        <v>10.863636363636363</v>
      </c>
      <c r="AG334" s="87">
        <f>((COSTS!$C$5*88)/20)/88</f>
        <v>1.4407150000000002</v>
      </c>
      <c r="AH334" s="69">
        <f>(COSTS!$X$38/88)*20</f>
        <v>0.34865702479338845</v>
      </c>
      <c r="AI334" s="87">
        <f>((COSTS!$E$5*88)/20)/88</f>
        <v>0.62936587135988387</v>
      </c>
      <c r="AJ334" s="87">
        <f>((COSTS!$D$5*88)/20)/88</f>
        <v>0.33676</v>
      </c>
      <c r="AL334" s="387">
        <f t="shared" si="40"/>
        <v>2.7554978961532726</v>
      </c>
      <c r="AM334" s="69">
        <f>(COSTS!$W$3+0.1)*500*0.01</f>
        <v>3.9999999999999996</v>
      </c>
      <c r="AN334" s="387">
        <f>((COSTS!$G$5/20)*88)/88</f>
        <v>1.308904109589041</v>
      </c>
      <c r="AR334" s="69">
        <f t="shared" si="41"/>
        <v>5.3089041095890401</v>
      </c>
      <c r="AT334" s="1">
        <f>VLOOKUP(C334&amp;$AT$1,OTR!E:J,6,FALSE)/88</f>
        <v>24.041477272727267</v>
      </c>
      <c r="AU334" s="1">
        <f>VLOOKUP(C334&amp;$AU$1,OTR!E:J,6,FALSE)/88</f>
        <v>15.738636363636363</v>
      </c>
    </row>
    <row r="335" spans="1:47">
      <c r="A335" s="1">
        <v>939033</v>
      </c>
      <c r="B335" s="1" t="s">
        <v>742</v>
      </c>
      <c r="C335" s="1" t="s">
        <v>743</v>
      </c>
      <c r="D335" s="1" t="s">
        <v>71</v>
      </c>
      <c r="E335" s="1" t="str">
        <f>VLOOKUP(A:A,'Regions and Ports'!A:G,5,FALSE)</f>
        <v>WTX</v>
      </c>
      <c r="F335" s="1" t="str">
        <f>VLOOKUP(A:A,'Regions and Ports'!A:F,6,FALSE)</f>
        <v>WTX</v>
      </c>
      <c r="G335" s="1" t="str">
        <f>VLOOKUP(A:A,'Regions and Ports'!A:G,7,FALSE)</f>
        <v>Dallas</v>
      </c>
      <c r="H335" s="87">
        <v>2</v>
      </c>
      <c r="I335" s="69">
        <f>VLOOKUP(A:A,'Seam Tariffs'!A:AB,9,FALSE)</f>
        <v>4.75</v>
      </c>
      <c r="J335" s="69">
        <f>VLOOKUP(A:A,'Seam Tariffs'!A:AB,11,FALSE)</f>
        <v>5.45</v>
      </c>
      <c r="K335" s="69">
        <f>VLOOKUP(A:A,'Seam Tariffs'!A:AB,12,FALSE)</f>
        <v>9.75</v>
      </c>
      <c r="L335" s="69">
        <f>VLOOKUP(A:A,'Seam Tariffs'!A:AB,13,FALSE)</f>
        <v>0</v>
      </c>
      <c r="M335" s="69">
        <f>VLOOKUP(A:A,'Seam Tariffs'!A:AB,14,FALSE)</f>
        <v>1</v>
      </c>
      <c r="N335" s="69">
        <f>VLOOKUP(A:A,'Seam Tariffs'!A:AB,28,FALSE)</f>
        <v>2.4</v>
      </c>
      <c r="O335" s="69">
        <f>COSTS!$W$6</f>
        <v>1.8958333333333335</v>
      </c>
      <c r="P335" s="69">
        <f>VLOOKUP(G335,COSTS!$V$11:$X$14,3,FALSE)</f>
        <v>0</v>
      </c>
      <c r="Q335" s="69">
        <f t="shared" si="35"/>
        <v>25.24583333333333</v>
      </c>
      <c r="R335" s="69">
        <f t="shared" si="36"/>
        <v>14.045833333333334</v>
      </c>
      <c r="S335" s="87">
        <f>VLOOKUP(A:A,'Flat Bed &amp; Late Fees'!A:J,6,FALSE)</f>
        <v>0</v>
      </c>
      <c r="T335" s="87">
        <f>VLOOKUP(A:A,'Flat Bed &amp; Late Fees'!A:J,7,FALSE)</f>
        <v>0</v>
      </c>
      <c r="U335" s="68">
        <f>VLOOKUP(C335&amp;G335,OTR!E:J,6,FALSE)/88</f>
        <v>9.0056818181818183</v>
      </c>
      <c r="V335" s="87"/>
      <c r="W335" s="68">
        <f t="shared" si="37"/>
        <v>9.0056818181818183</v>
      </c>
      <c r="X335" s="69">
        <f>VLOOKUP(G335,COSTS!$Z$18:$AC$23,2,FALSE)</f>
        <v>2.7</v>
      </c>
      <c r="Y335" s="87">
        <f>VLOOKUP(G335,COSTS!$Z$18:$AC$23,4,FALSE)</f>
        <v>2.52</v>
      </c>
      <c r="Z335" s="69">
        <f>(COSTS!$W$3*COSTS!$W$4*500)/52*COSTS!$AE$17</f>
        <v>1.3125</v>
      </c>
      <c r="AB335" s="69">
        <f t="shared" si="38"/>
        <v>6.5325000000000006</v>
      </c>
      <c r="AC335" s="69">
        <f>VLOOKUP(G335,COSTS!$Z$11:$AE$14,5,FALSE)</f>
        <v>8.125</v>
      </c>
      <c r="AD335" s="69">
        <f>VLOOKUP(G335,COSTS!$Z$4:$AD$7,4,FALSE)</f>
        <v>13.409090909090908</v>
      </c>
      <c r="AE335" s="69"/>
      <c r="AF335" s="69">
        <f t="shared" si="39"/>
        <v>21.534090909090907</v>
      </c>
      <c r="AG335" s="87">
        <f>((COSTS!$C$5*88)/20)/88</f>
        <v>1.4407150000000002</v>
      </c>
      <c r="AH335" s="69">
        <f>(COSTS!$X$38/88)*20</f>
        <v>0.34865702479338845</v>
      </c>
      <c r="AI335" s="87">
        <f>((COSTS!$E$5*88)/20)/88</f>
        <v>0.62936587135988387</v>
      </c>
      <c r="AJ335" s="87">
        <f>((COSTS!$D$5*88)/20)/88</f>
        <v>0.33676</v>
      </c>
      <c r="AL335" s="387">
        <f t="shared" si="40"/>
        <v>2.7554978961532726</v>
      </c>
      <c r="AM335" s="69">
        <f>(COSTS!$W$3+0.1)*500*0.01</f>
        <v>3.9999999999999996</v>
      </c>
      <c r="AN335" s="387">
        <f>((COSTS!$G$5/20)*88)/88</f>
        <v>1.308904109589041</v>
      </c>
      <c r="AR335" s="69">
        <f t="shared" si="41"/>
        <v>5.3089041095890401</v>
      </c>
      <c r="AT335" s="1">
        <f>VLOOKUP(C335&amp;$AT$1,OTR!E:J,6,FALSE)/88</f>
        <v>16.895340909090908</v>
      </c>
      <c r="AU335" s="1" t="e">
        <f>VLOOKUP(C335&amp;$AU$1,OTR!E:J,6,FALSE)/88</f>
        <v>#N/A</v>
      </c>
    </row>
    <row r="336" spans="1:47">
      <c r="A336" s="125">
        <v>939033</v>
      </c>
      <c r="B336" s="1" t="s">
        <v>742</v>
      </c>
      <c r="C336" s="1" t="s">
        <v>743</v>
      </c>
      <c r="D336" s="1" t="s">
        <v>71</v>
      </c>
      <c r="E336" s="1" t="s">
        <v>2067</v>
      </c>
      <c r="F336" s="1" t="str">
        <f>VLOOKUP(A:A,'Regions and Ports'!A:F,6,FALSE)</f>
        <v>WTX</v>
      </c>
      <c r="G336" s="1" t="s">
        <v>439</v>
      </c>
      <c r="H336" s="87">
        <v>2</v>
      </c>
      <c r="I336" s="69">
        <f>VLOOKUP(A:A,'Seam Tariffs'!A:AB,9,FALSE)</f>
        <v>4.75</v>
      </c>
      <c r="J336" s="69">
        <f>VLOOKUP(A:A,'Seam Tariffs'!A:AB,11,FALSE)</f>
        <v>5.45</v>
      </c>
      <c r="K336" s="69">
        <f>VLOOKUP(A:A,'Seam Tariffs'!A:AB,12,FALSE)</f>
        <v>9.75</v>
      </c>
      <c r="L336" s="69">
        <f>VLOOKUP(A:A,'Seam Tariffs'!A:AB,13,FALSE)</f>
        <v>0</v>
      </c>
      <c r="M336" s="69">
        <f>VLOOKUP(A:A,'Seam Tariffs'!A:AB,14,FALSE)</f>
        <v>1</v>
      </c>
      <c r="N336" s="69">
        <f>VLOOKUP(A:A,'Seam Tariffs'!A:AB,28,FALSE)</f>
        <v>2.4</v>
      </c>
      <c r="O336" s="69">
        <f>COSTS!$W$6</f>
        <v>1.8958333333333335</v>
      </c>
      <c r="P336" s="69">
        <f>VLOOKUP(G336,COSTS!$V$11:$X$14,3,FALSE)</f>
        <v>0</v>
      </c>
      <c r="Q336" s="69">
        <f t="shared" si="35"/>
        <v>25.24583333333333</v>
      </c>
      <c r="R336" s="69">
        <f t="shared" si="36"/>
        <v>14.045833333333334</v>
      </c>
      <c r="S336" s="87">
        <f>VLOOKUP(A:A,'Flat Bed &amp; Late Fees'!A:J,6,FALSE)</f>
        <v>0</v>
      </c>
      <c r="T336" s="87">
        <f>VLOOKUP(A:A,'Flat Bed &amp; Late Fees'!A:J,7,FALSE)</f>
        <v>0</v>
      </c>
      <c r="U336" s="68">
        <f>VLOOKUP(C336&amp;G336,OTR!E:J,6,FALSE)/88</f>
        <v>17.767045454545453</v>
      </c>
      <c r="V336" s="87"/>
      <c r="W336" s="68">
        <f t="shared" si="37"/>
        <v>17.767045454545453</v>
      </c>
      <c r="X336" s="69">
        <f>VLOOKUP(G336,COSTS!$Z$18:$AC$23,2,FALSE)</f>
        <v>2.7</v>
      </c>
      <c r="Y336" s="87">
        <f>VLOOKUP(G336,COSTS!$Z$18:$AC$23,4,FALSE)</f>
        <v>2.52</v>
      </c>
      <c r="Z336" s="69">
        <f>(COSTS!$W$3*COSTS!$W$4*500)/52*COSTS!$AE$17</f>
        <v>1.3125</v>
      </c>
      <c r="AB336" s="69">
        <f t="shared" si="38"/>
        <v>6.5325000000000006</v>
      </c>
      <c r="AC336" s="69">
        <f>VLOOKUP(G336,COSTS!$Z$11:$AE$14,5,FALSE)</f>
        <v>6.6477272727272725</v>
      </c>
      <c r="AD336" s="69">
        <f>VLOOKUP(G336,COSTS!$Z$4:$AD$7,4,FALSE)</f>
        <v>9.8977272727272734</v>
      </c>
      <c r="AE336" s="69"/>
      <c r="AF336" s="69">
        <f t="shared" si="39"/>
        <v>16.545454545454547</v>
      </c>
      <c r="AG336" s="87">
        <f>((COSTS!$C$5*88)/20)/88</f>
        <v>1.4407150000000002</v>
      </c>
      <c r="AH336" s="69">
        <f>(COSTS!$X$38/88)*20</f>
        <v>0.34865702479338845</v>
      </c>
      <c r="AI336" s="87">
        <f>((COSTS!$E$5*88)/20)/88</f>
        <v>0.62936587135988387</v>
      </c>
      <c r="AJ336" s="87">
        <f>((COSTS!$D$5*88)/20)/88</f>
        <v>0.33676</v>
      </c>
      <c r="AL336" s="387">
        <f t="shared" si="40"/>
        <v>2.7554978961532726</v>
      </c>
      <c r="AM336" s="69">
        <f>(COSTS!$W$3+0.1)*500*0.01</f>
        <v>3.9999999999999996</v>
      </c>
      <c r="AN336" s="387">
        <f>((COSTS!$G$5/20)*88)/88</f>
        <v>1.308904109589041</v>
      </c>
      <c r="AR336" s="69">
        <f t="shared" si="41"/>
        <v>5.3089041095890401</v>
      </c>
      <c r="AT336" s="1">
        <f>VLOOKUP(C336&amp;$AT$1,OTR!E:J,6,FALSE)/88</f>
        <v>16.895340909090908</v>
      </c>
      <c r="AU336" s="1" t="e">
        <f>VLOOKUP(C336&amp;$AU$1,OTR!E:J,6,FALSE)/88</f>
        <v>#N/A</v>
      </c>
    </row>
    <row r="337" spans="1:47">
      <c r="A337" s="1">
        <v>99010</v>
      </c>
      <c r="B337" s="1" t="s">
        <v>744</v>
      </c>
      <c r="C337" s="1" t="s">
        <v>745</v>
      </c>
      <c r="D337" s="1" t="s">
        <v>65</v>
      </c>
      <c r="E337" s="1" t="str">
        <f>VLOOKUP(A:A,'Regions and Ports'!A:G,5,FALSE)</f>
        <v>Eastern Rule 5</v>
      </c>
      <c r="F337" s="1" t="str">
        <f>VLOOKUP(A:A,'Regions and Ports'!A:F,6,FALSE)</f>
        <v>ER5</v>
      </c>
      <c r="G337" s="1" t="str">
        <f>VLOOKUP(A:A,'Regions and Ports'!A:G,7,FALSE)</f>
        <v>Savannah</v>
      </c>
      <c r="H337" s="87">
        <v>1</v>
      </c>
      <c r="I337" s="69">
        <f>VLOOKUP(A:A,'Seam Tariffs'!A:AB,9,FALSE)</f>
        <v>3.2</v>
      </c>
      <c r="J337" s="69">
        <f>VLOOKUP(A:A,'Seam Tariffs'!A:AB,11,FALSE)</f>
        <v>8</v>
      </c>
      <c r="K337" s="69">
        <f>VLOOKUP(A:A,'Seam Tariffs'!A:AB,12,FALSE)</f>
        <v>0</v>
      </c>
      <c r="L337" s="69">
        <f>VLOOKUP(A:A,'Seam Tariffs'!A:AB,13,FALSE)</f>
        <v>0</v>
      </c>
      <c r="M337" s="69">
        <f>VLOOKUP(A:A,'Seam Tariffs'!A:AB,14,FALSE)</f>
        <v>0.5</v>
      </c>
      <c r="N337" s="69">
        <f>VLOOKUP(A:A,'Seam Tariffs'!A:AB,28,FALSE)</f>
        <v>1.75</v>
      </c>
      <c r="O337" s="69">
        <f>COSTS!$W$6</f>
        <v>1.8958333333333335</v>
      </c>
      <c r="P337" s="69">
        <f>VLOOKUP(G337,COSTS!$V$11:$X$14,3,FALSE)</f>
        <v>0</v>
      </c>
      <c r="Q337" s="69">
        <f t="shared" si="35"/>
        <v>15.345833333333333</v>
      </c>
      <c r="R337" s="69">
        <f t="shared" si="36"/>
        <v>3.6458333333333335</v>
      </c>
      <c r="S337" s="87">
        <f>VLOOKUP(A:A,'Flat Bed &amp; Late Fees'!A:J,6,FALSE)</f>
        <v>0</v>
      </c>
      <c r="T337" s="87">
        <f>VLOOKUP(A:A,'Flat Bed &amp; Late Fees'!A:J,7,FALSE)</f>
        <v>0</v>
      </c>
      <c r="U337" s="68">
        <f>VLOOKUP(C337&amp;G337,OTR!E:J,6,FALSE)/88</f>
        <v>14.950284090909092</v>
      </c>
      <c r="V337" s="87"/>
      <c r="W337" s="68">
        <f t="shared" si="37"/>
        <v>14.950284090909092</v>
      </c>
      <c r="X337" s="69">
        <f>VLOOKUP(G337,COSTS!$Z$18:$AC$23,2,FALSE)</f>
        <v>2.6</v>
      </c>
      <c r="Y337" s="87">
        <f>VLOOKUP(G337,COSTS!$Z$18:$AC$23,4,FALSE)</f>
        <v>2.52</v>
      </c>
      <c r="Z337" s="69">
        <f>(COSTS!$W$3*COSTS!$W$4*500)/52*COSTS!$AE$17</f>
        <v>1.3125</v>
      </c>
      <c r="AB337" s="69">
        <f t="shared" si="38"/>
        <v>6.4325000000000001</v>
      </c>
      <c r="AC337" s="69">
        <f>VLOOKUP(G337,COSTS!$Z$11:$AE$14,5,FALSE)</f>
        <v>5.5113636363636367</v>
      </c>
      <c r="AD337" s="69">
        <f>VLOOKUP(G337,COSTS!$Z$4:$AD$7,4,FALSE)</f>
        <v>5.3522727272727275</v>
      </c>
      <c r="AE337" s="69"/>
      <c r="AF337" s="69">
        <f t="shared" si="39"/>
        <v>10.863636363636363</v>
      </c>
      <c r="AG337" s="87">
        <f>((COSTS!$C$5*88)/20)/88</f>
        <v>1.4407150000000002</v>
      </c>
      <c r="AH337" s="69">
        <f>(COSTS!$X$38/88)*20</f>
        <v>0.34865702479338845</v>
      </c>
      <c r="AI337" s="87">
        <f>((COSTS!$E$5*88)/20)/88</f>
        <v>0.62936587135988387</v>
      </c>
      <c r="AJ337" s="87">
        <f>((COSTS!$D$5*88)/20)/88</f>
        <v>0.33676</v>
      </c>
      <c r="AL337" s="387">
        <f t="shared" si="40"/>
        <v>2.7554978961532726</v>
      </c>
      <c r="AM337" s="69">
        <f>(COSTS!$W$3+0.1)*500*0.01</f>
        <v>3.9999999999999996</v>
      </c>
      <c r="AN337" s="387">
        <f>((COSTS!$G$5/20)*88)/88</f>
        <v>1.308904109589041</v>
      </c>
      <c r="AR337" s="69">
        <f t="shared" si="41"/>
        <v>5.3089041095890401</v>
      </c>
      <c r="AT337" s="1" t="e">
        <f>VLOOKUP(C337&amp;$AT$1,OTR!E:J,6,FALSE)/88</f>
        <v>#N/A</v>
      </c>
      <c r="AU337" s="1">
        <f>VLOOKUP(C337&amp;$AU$1,OTR!E:J,6,FALSE)/88</f>
        <v>15.3125</v>
      </c>
    </row>
    <row r="338" spans="1:47">
      <c r="A338" s="1">
        <v>418515</v>
      </c>
      <c r="B338" s="1" t="s">
        <v>746</v>
      </c>
      <c r="C338" s="1" t="s">
        <v>747</v>
      </c>
      <c r="D338" s="1" t="s">
        <v>80</v>
      </c>
      <c r="E338" s="1" t="str">
        <f>VLOOKUP(A:A,'Regions and Ports'!A:G,5,FALSE)</f>
        <v>Memphis Rule 5</v>
      </c>
      <c r="F338" s="1" t="str">
        <f>VLOOKUP(A:A,'Regions and Ports'!A:F,6,FALSE)</f>
        <v>MR5</v>
      </c>
      <c r="G338" s="1" t="str">
        <f>VLOOKUP(A:A,'Regions and Ports'!A:G,7,FALSE)</f>
        <v>Houston</v>
      </c>
      <c r="H338" s="87">
        <v>1</v>
      </c>
      <c r="I338" s="69">
        <f>VLOOKUP(A:A,'Seam Tariffs'!A:AB,9,FALSE)</f>
        <v>2.4</v>
      </c>
      <c r="J338" s="69">
        <f>VLOOKUP(A:A,'Seam Tariffs'!A:AB,11,FALSE)</f>
        <v>4</v>
      </c>
      <c r="K338" s="69">
        <f>VLOOKUP(A:A,'Seam Tariffs'!A:AB,12,FALSE)</f>
        <v>7</v>
      </c>
      <c r="L338" s="69">
        <f>VLOOKUP(A:A,'Seam Tariffs'!A:AB,13,FALSE)</f>
        <v>3.05</v>
      </c>
      <c r="M338" s="69">
        <f>VLOOKUP(A:A,'Seam Tariffs'!A:AB,14,FALSE)</f>
        <v>0</v>
      </c>
      <c r="N338" s="69">
        <f>VLOOKUP(A:A,'Seam Tariffs'!A:AB,28,FALSE)</f>
        <v>3</v>
      </c>
      <c r="O338" s="69">
        <f>COSTS!$W$6</f>
        <v>1.8958333333333335</v>
      </c>
      <c r="P338" s="69">
        <f>VLOOKUP(G338,COSTS!$V$11:$X$14,3,FALSE)</f>
        <v>0</v>
      </c>
      <c r="Q338" s="69">
        <f t="shared" si="35"/>
        <v>21.345833333333331</v>
      </c>
      <c r="R338" s="69">
        <f t="shared" si="36"/>
        <v>4.8958333333333339</v>
      </c>
      <c r="S338" s="87">
        <f>VLOOKUP(A:A,'Flat Bed &amp; Late Fees'!A:J,6,FALSE)</f>
        <v>0</v>
      </c>
      <c r="T338" s="87">
        <f>VLOOKUP(A:A,'Flat Bed &amp; Late Fees'!A:J,7,FALSE)</f>
        <v>0</v>
      </c>
      <c r="U338" s="68">
        <f>VLOOKUP(C338&amp;G338,OTR!E:J,6,FALSE)/88</f>
        <v>19.948863636363637</v>
      </c>
      <c r="V338" s="87"/>
      <c r="W338" s="68">
        <f t="shared" si="37"/>
        <v>19.948863636363637</v>
      </c>
      <c r="X338" s="69">
        <f>VLOOKUP(G338,COSTS!$Z$18:$AC$23,2,FALSE)</f>
        <v>2.7</v>
      </c>
      <c r="Y338" s="87">
        <f>VLOOKUP(G338,COSTS!$Z$18:$AC$23,4,FALSE)</f>
        <v>2.52</v>
      </c>
      <c r="Z338" s="69">
        <f>(COSTS!$W$3*COSTS!$W$4*500)/52*COSTS!$AE$17</f>
        <v>1.3125</v>
      </c>
      <c r="AB338" s="69">
        <f t="shared" si="38"/>
        <v>6.5325000000000006</v>
      </c>
      <c r="AC338" s="69">
        <f>VLOOKUP(G338,COSTS!$Z$11:$AE$14,5,FALSE)</f>
        <v>6.6477272727272725</v>
      </c>
      <c r="AD338" s="69">
        <f>VLOOKUP(G338,COSTS!$Z$4:$AD$7,4,FALSE)</f>
        <v>9.8977272727272734</v>
      </c>
      <c r="AE338" s="69"/>
      <c r="AF338" s="69">
        <f t="shared" si="39"/>
        <v>16.545454545454547</v>
      </c>
      <c r="AG338" s="87">
        <f>((COSTS!$C$5*88)/20)/88</f>
        <v>1.4407150000000002</v>
      </c>
      <c r="AH338" s="69">
        <f>(COSTS!$X$38/88)*20</f>
        <v>0.34865702479338845</v>
      </c>
      <c r="AI338" s="87">
        <f>((COSTS!$E$5*88)/20)/88</f>
        <v>0.62936587135988387</v>
      </c>
      <c r="AJ338" s="87">
        <f>((COSTS!$D$5*88)/20)/88</f>
        <v>0.33676</v>
      </c>
      <c r="AL338" s="387">
        <f t="shared" si="40"/>
        <v>2.7554978961532726</v>
      </c>
      <c r="AM338" s="69">
        <f>(COSTS!$W$3+0.1)*500*0.01</f>
        <v>3.9999999999999996</v>
      </c>
      <c r="AN338" s="387">
        <f>((COSTS!$G$5/20)*88)/88</f>
        <v>1.308904109589041</v>
      </c>
      <c r="AR338" s="69">
        <f t="shared" si="41"/>
        <v>5.3089041095890401</v>
      </c>
      <c r="AT338" s="1">
        <f>VLOOKUP(C338&amp;$AT$1,OTR!E:J,6,FALSE)/88</f>
        <v>18.417499999999997</v>
      </c>
      <c r="AU338" s="1">
        <f>VLOOKUP(C338&amp;$AU$1,OTR!E:J,6,FALSE)/88</f>
        <v>24.90909090909091</v>
      </c>
    </row>
    <row r="339" spans="1:47">
      <c r="A339" s="1">
        <v>605515</v>
      </c>
      <c r="B339" s="1" t="s">
        <v>748</v>
      </c>
      <c r="C339" s="1" t="s">
        <v>749</v>
      </c>
      <c r="D339" s="1" t="s">
        <v>136</v>
      </c>
      <c r="E339" s="1" t="str">
        <f>VLOOKUP(A:A,'Regions and Ports'!A:G,5,FALSE)</f>
        <v>Eastern Rule 5</v>
      </c>
      <c r="F339" s="1" t="str">
        <f>VLOOKUP(A:A,'Regions and Ports'!A:F,6,FALSE)</f>
        <v>ER5</v>
      </c>
      <c r="G339" s="1" t="str">
        <f>VLOOKUP(A:A,'Regions and Ports'!A:G,7,FALSE)</f>
        <v>Savannah</v>
      </c>
      <c r="H339" s="87">
        <v>1</v>
      </c>
      <c r="I339" s="69">
        <f>VLOOKUP(A:A,'Seam Tariffs'!A:AB,9,FALSE)</f>
        <v>4.05</v>
      </c>
      <c r="J339" s="69">
        <f>VLOOKUP(A:A,'Seam Tariffs'!A:AB,11,FALSE)</f>
        <v>4.05</v>
      </c>
      <c r="K339" s="69">
        <f>VLOOKUP(A:A,'Seam Tariffs'!A:AB,12,FALSE)</f>
        <v>0</v>
      </c>
      <c r="L339" s="69">
        <f>VLOOKUP(A:A,'Seam Tariffs'!A:AB,13,FALSE)</f>
        <v>0</v>
      </c>
      <c r="M339" s="69">
        <f>VLOOKUP(A:A,'Seam Tariffs'!A:AB,14,FALSE)</f>
        <v>1</v>
      </c>
      <c r="N339" s="69">
        <f>VLOOKUP(A:A,'Seam Tariffs'!A:AB,28,FALSE)</f>
        <v>2.25</v>
      </c>
      <c r="O339" s="69">
        <f>COSTS!$W$6</f>
        <v>1.8958333333333335</v>
      </c>
      <c r="P339" s="69">
        <f>VLOOKUP(G339,COSTS!$V$11:$X$14,3,FALSE)</f>
        <v>0</v>
      </c>
      <c r="Q339" s="69">
        <f t="shared" si="35"/>
        <v>13.245833333333334</v>
      </c>
      <c r="R339" s="69">
        <f t="shared" si="36"/>
        <v>4.1458333333333339</v>
      </c>
      <c r="S339" s="87">
        <f>VLOOKUP(A:A,'Flat Bed &amp; Late Fees'!A:J,6,FALSE)</f>
        <v>0</v>
      </c>
      <c r="T339" s="87">
        <f>VLOOKUP(A:A,'Flat Bed &amp; Late Fees'!A:J,7,FALSE)</f>
        <v>0</v>
      </c>
      <c r="U339" s="68">
        <f>VLOOKUP(C339&amp;G339,OTR!E:J,6,FALSE)/88</f>
        <v>13.279232954545451</v>
      </c>
      <c r="V339" s="87"/>
      <c r="W339" s="68">
        <f t="shared" si="37"/>
        <v>13.279232954545451</v>
      </c>
      <c r="X339" s="69">
        <f>VLOOKUP(G339,COSTS!$Z$18:$AC$23,2,FALSE)</f>
        <v>2.6</v>
      </c>
      <c r="Y339" s="87">
        <f>VLOOKUP(G339,COSTS!$Z$18:$AC$23,4,FALSE)</f>
        <v>2.52</v>
      </c>
      <c r="Z339" s="69">
        <f>(COSTS!$W$3*COSTS!$W$4*500)/52*COSTS!$AE$17</f>
        <v>1.3125</v>
      </c>
      <c r="AB339" s="69">
        <f t="shared" si="38"/>
        <v>6.4325000000000001</v>
      </c>
      <c r="AC339" s="69">
        <f>VLOOKUP(G339,COSTS!$Z$11:$AE$14,5,FALSE)</f>
        <v>5.5113636363636367</v>
      </c>
      <c r="AD339" s="69">
        <f>VLOOKUP(G339,COSTS!$Z$4:$AD$7,4,FALSE)</f>
        <v>5.3522727272727275</v>
      </c>
      <c r="AE339" s="69"/>
      <c r="AF339" s="69">
        <f t="shared" si="39"/>
        <v>10.863636363636363</v>
      </c>
      <c r="AG339" s="87">
        <f>((COSTS!$C$5*88)/20)/88</f>
        <v>1.4407150000000002</v>
      </c>
      <c r="AH339" s="69">
        <f>(COSTS!$X$38/88)*20</f>
        <v>0.34865702479338845</v>
      </c>
      <c r="AI339" s="87">
        <f>((COSTS!$E$5*88)/20)/88</f>
        <v>0.62936587135988387</v>
      </c>
      <c r="AJ339" s="87">
        <f>((COSTS!$D$5*88)/20)/88</f>
        <v>0.33676</v>
      </c>
      <c r="AL339" s="387">
        <f t="shared" si="40"/>
        <v>2.7554978961532726</v>
      </c>
      <c r="AM339" s="69">
        <f>(COSTS!$W$3+0.1)*500*0.01</f>
        <v>3.9999999999999996</v>
      </c>
      <c r="AN339" s="387">
        <f>((COSTS!$G$5/20)*88)/88</f>
        <v>1.308904109589041</v>
      </c>
      <c r="AR339" s="69">
        <f t="shared" si="41"/>
        <v>5.3089041095890401</v>
      </c>
      <c r="AT339" s="1" t="e">
        <f>VLOOKUP(C339&amp;$AT$1,OTR!E:J,6,FALSE)/88</f>
        <v>#N/A</v>
      </c>
      <c r="AU339" s="1">
        <f>VLOOKUP(C339&amp;$AU$1,OTR!E:J,6,FALSE)/88</f>
        <v>12.568181818181818</v>
      </c>
    </row>
    <row r="340" spans="1:47">
      <c r="A340" s="1">
        <v>840516</v>
      </c>
      <c r="B340" s="1" t="s">
        <v>751</v>
      </c>
      <c r="C340" s="1" t="s">
        <v>752</v>
      </c>
      <c r="D340" s="1" t="s">
        <v>71</v>
      </c>
      <c r="E340" s="1" t="str">
        <f>VLOOKUP(A:A,'Regions and Ports'!A:G,5,FALSE)</f>
        <v>STEX</v>
      </c>
      <c r="F340" s="1" t="str">
        <f>VLOOKUP(A:A,'Regions and Ports'!A:F,6,FALSE)</f>
        <v>STX</v>
      </c>
      <c r="G340" s="1" t="str">
        <f>VLOOKUP(A:A,'Regions and Ports'!A:G,7,FALSE)</f>
        <v>Houston</v>
      </c>
      <c r="H340" s="87">
        <v>3</v>
      </c>
      <c r="I340" s="69">
        <f>VLOOKUP(A:A,'Seam Tariffs'!A:AB,9,FALSE)</f>
        <v>5.5</v>
      </c>
      <c r="J340" s="69">
        <f>VLOOKUP(A:A,'Seam Tariffs'!A:AB,11,FALSE)</f>
        <v>17.5</v>
      </c>
      <c r="K340" s="69">
        <f>VLOOKUP(A:A,'Seam Tariffs'!A:AB,12,FALSE)</f>
        <v>0</v>
      </c>
      <c r="L340" s="69">
        <f>VLOOKUP(A:A,'Seam Tariffs'!A:AB,13,FALSE)</f>
        <v>0</v>
      </c>
      <c r="M340" s="69">
        <f>VLOOKUP(A:A,'Seam Tariffs'!A:AB,14,FALSE)</f>
        <v>0</v>
      </c>
      <c r="N340" s="69">
        <f>VLOOKUP(A:A,'Seam Tariffs'!A:AB,28,FALSE)</f>
        <v>4</v>
      </c>
      <c r="O340" s="69">
        <f>COSTS!$W$6</f>
        <v>1.8958333333333335</v>
      </c>
      <c r="P340" s="69">
        <f>VLOOKUP(G340,COSTS!$V$11:$X$14,3,FALSE)</f>
        <v>0</v>
      </c>
      <c r="Q340" s="69">
        <f t="shared" si="35"/>
        <v>28.895833333333332</v>
      </c>
      <c r="R340" s="69">
        <f t="shared" si="36"/>
        <v>23.395833333333332</v>
      </c>
      <c r="S340" s="87">
        <f>VLOOKUP(A:A,'Flat Bed &amp; Late Fees'!A:J,6,FALSE)</f>
        <v>1</v>
      </c>
      <c r="T340" s="87">
        <f>VLOOKUP(A:A,'Flat Bed &amp; Late Fees'!A:J,7,FALSE)</f>
        <v>0</v>
      </c>
      <c r="U340" s="68">
        <f>VLOOKUP(C340&amp;G340,OTR!E:J,6,FALSE)/88</f>
        <v>9.517045454545455</v>
      </c>
      <c r="V340" s="87"/>
      <c r="W340" s="68">
        <f t="shared" si="37"/>
        <v>10.517045454545455</v>
      </c>
      <c r="X340" s="69">
        <f>VLOOKUP(G340,COSTS!$Z$18:$AC$23,2,FALSE)</f>
        <v>2.7</v>
      </c>
      <c r="Y340" s="87">
        <f>VLOOKUP(G340,COSTS!$Z$18:$AC$23,4,FALSE)</f>
        <v>2.52</v>
      </c>
      <c r="Z340" s="69">
        <f>(COSTS!$W$3*COSTS!$W$4*500)/52*COSTS!$AE$17</f>
        <v>1.3125</v>
      </c>
      <c r="AB340" s="69">
        <f t="shared" si="38"/>
        <v>6.5325000000000006</v>
      </c>
      <c r="AC340" s="69">
        <f>VLOOKUP(G340,COSTS!$Z$11:$AE$14,5,FALSE)</f>
        <v>6.6477272727272725</v>
      </c>
      <c r="AD340" s="69">
        <f>VLOOKUP(G340,COSTS!$Z$4:$AD$7,4,FALSE)</f>
        <v>9.8977272727272734</v>
      </c>
      <c r="AE340" s="69"/>
      <c r="AF340" s="69">
        <f t="shared" si="39"/>
        <v>16.545454545454547</v>
      </c>
      <c r="AG340" s="87">
        <f>((COSTS!$C$5*88)/20)/88</f>
        <v>1.4407150000000002</v>
      </c>
      <c r="AH340" s="69">
        <f>(COSTS!$X$38/88)*20</f>
        <v>0.34865702479338845</v>
      </c>
      <c r="AI340" s="87">
        <f>((COSTS!$E$5*88)/20)/88</f>
        <v>0.62936587135988387</v>
      </c>
      <c r="AJ340" s="87">
        <f>((COSTS!$D$5*88)/20)/88</f>
        <v>0.33676</v>
      </c>
      <c r="AL340" s="387">
        <f t="shared" si="40"/>
        <v>2.7554978961532726</v>
      </c>
      <c r="AM340" s="69">
        <f>(COSTS!$W$3+0.1)*500*0.01</f>
        <v>3.9999999999999996</v>
      </c>
      <c r="AN340" s="387">
        <f>((COSTS!$G$5/20)*88)/88</f>
        <v>1.308904109589041</v>
      </c>
      <c r="AR340" s="69">
        <f t="shared" si="41"/>
        <v>5.3089041095890401</v>
      </c>
      <c r="AT340" s="1">
        <f>VLOOKUP(C340&amp;$AT$1,OTR!E:J,6,FALSE)/88</f>
        <v>11.944318181818181</v>
      </c>
      <c r="AU340" s="1" t="e">
        <f>VLOOKUP(C340&amp;$AU$1,OTR!E:J,6,FALSE)/88</f>
        <v>#N/A</v>
      </c>
    </row>
    <row r="341" spans="1:47">
      <c r="A341" s="1">
        <v>940015</v>
      </c>
      <c r="B341" s="1" t="s">
        <v>754</v>
      </c>
      <c r="C341" s="1" t="s">
        <v>752</v>
      </c>
      <c r="D341" s="1" t="s">
        <v>71</v>
      </c>
      <c r="E341" s="1" t="str">
        <f>VLOOKUP(A:A,'Regions and Ports'!A:G,5,FALSE)</f>
        <v>STEX</v>
      </c>
      <c r="F341" s="1" t="str">
        <f>VLOOKUP(A:A,'Regions and Ports'!A:F,6,FALSE)</f>
        <v>STX</v>
      </c>
      <c r="G341" s="1" t="str">
        <f>VLOOKUP(A:A,'Regions and Ports'!A:G,7,FALSE)</f>
        <v>Houston</v>
      </c>
      <c r="H341" s="87">
        <v>3</v>
      </c>
      <c r="I341" s="69">
        <f>VLOOKUP(A:A,'Seam Tariffs'!A:AB,9,FALSE)</f>
        <v>4.5</v>
      </c>
      <c r="J341" s="69">
        <f>VLOOKUP(A:A,'Seam Tariffs'!A:AB,11,FALSE)</f>
        <v>6.75</v>
      </c>
      <c r="K341" s="69">
        <f>VLOOKUP(A:A,'Seam Tariffs'!A:AB,12,FALSE)</f>
        <v>12</v>
      </c>
      <c r="L341" s="69">
        <f>VLOOKUP(A:A,'Seam Tariffs'!A:AB,13,FALSE)</f>
        <v>0</v>
      </c>
      <c r="M341" s="69">
        <f>VLOOKUP(A:A,'Seam Tariffs'!A:AB,14,FALSE)</f>
        <v>0</v>
      </c>
      <c r="N341" s="69">
        <f>VLOOKUP(A:A,'Seam Tariffs'!A:AB,28,FALSE)</f>
        <v>3.5</v>
      </c>
      <c r="O341" s="69">
        <f>COSTS!$W$6</f>
        <v>1.8958333333333335</v>
      </c>
      <c r="P341" s="69">
        <f>VLOOKUP(G341,COSTS!$V$11:$X$14,3,FALSE)</f>
        <v>0</v>
      </c>
      <c r="Q341" s="69">
        <f t="shared" si="35"/>
        <v>28.645833333333332</v>
      </c>
      <c r="R341" s="69">
        <f t="shared" si="36"/>
        <v>24.145833333333332</v>
      </c>
      <c r="S341" s="87">
        <f>VLOOKUP(A:A,'Flat Bed &amp; Late Fees'!A:J,6,FALSE)</f>
        <v>0</v>
      </c>
      <c r="T341" s="87">
        <f>VLOOKUP(A:A,'Flat Bed &amp; Late Fees'!A:J,7,FALSE)</f>
        <v>0</v>
      </c>
      <c r="U341" s="68">
        <f>VLOOKUP(C341&amp;G341,OTR!E:J,6,FALSE)/88</f>
        <v>9.517045454545455</v>
      </c>
      <c r="V341" s="87"/>
      <c r="W341" s="68">
        <f t="shared" si="37"/>
        <v>9.517045454545455</v>
      </c>
      <c r="X341" s="69">
        <f>VLOOKUP(G341,COSTS!$Z$18:$AC$23,2,FALSE)</f>
        <v>2.7</v>
      </c>
      <c r="Y341" s="87">
        <f>VLOOKUP(G341,COSTS!$Z$18:$AC$23,4,FALSE)</f>
        <v>2.52</v>
      </c>
      <c r="Z341" s="69">
        <f>(COSTS!$W$3*COSTS!$W$4*500)/52*COSTS!$AE$17</f>
        <v>1.3125</v>
      </c>
      <c r="AB341" s="69">
        <f t="shared" si="38"/>
        <v>6.5325000000000006</v>
      </c>
      <c r="AC341" s="69">
        <f>VLOOKUP(G341,COSTS!$Z$11:$AE$14,5,FALSE)</f>
        <v>6.6477272727272725</v>
      </c>
      <c r="AD341" s="69">
        <f>VLOOKUP(G341,COSTS!$Z$4:$AD$7,4,FALSE)</f>
        <v>9.8977272727272734</v>
      </c>
      <c r="AE341" s="69"/>
      <c r="AF341" s="69">
        <f t="shared" si="39"/>
        <v>16.545454545454547</v>
      </c>
      <c r="AG341" s="87">
        <f>((COSTS!$C$5*88)/20)/88</f>
        <v>1.4407150000000002</v>
      </c>
      <c r="AH341" s="69">
        <f>(COSTS!$X$38/88)*20</f>
        <v>0.34865702479338845</v>
      </c>
      <c r="AI341" s="87">
        <f>((COSTS!$E$5*88)/20)/88</f>
        <v>0.62936587135988387</v>
      </c>
      <c r="AJ341" s="87">
        <f>((COSTS!$D$5*88)/20)/88</f>
        <v>0.33676</v>
      </c>
      <c r="AL341" s="387">
        <f t="shared" si="40"/>
        <v>2.7554978961532726</v>
      </c>
      <c r="AM341" s="69">
        <f>(COSTS!$W$3+0.1)*500*0.01</f>
        <v>3.9999999999999996</v>
      </c>
      <c r="AN341" s="387">
        <f>((COSTS!$G$5/20)*88)/88</f>
        <v>1.308904109589041</v>
      </c>
      <c r="AR341" s="69">
        <f t="shared" si="41"/>
        <v>5.3089041095890401</v>
      </c>
      <c r="AT341" s="1">
        <f>VLOOKUP(C341&amp;$AT$1,OTR!E:J,6,FALSE)/88</f>
        <v>11.944318181818181</v>
      </c>
      <c r="AU341" s="1" t="e">
        <f>VLOOKUP(C341&amp;$AU$1,OTR!E:J,6,FALSE)/88</f>
        <v>#N/A</v>
      </c>
    </row>
    <row r="342" spans="1:47">
      <c r="A342" s="1">
        <v>940025</v>
      </c>
      <c r="B342" s="1" t="s">
        <v>755</v>
      </c>
      <c r="C342" s="1" t="s">
        <v>752</v>
      </c>
      <c r="D342" s="1" t="s">
        <v>71</v>
      </c>
      <c r="E342" s="1" t="str">
        <f>VLOOKUP(A:A,'Regions and Ports'!A:G,5,FALSE)</f>
        <v>STEX</v>
      </c>
      <c r="F342" s="1" t="str">
        <f>VLOOKUP(A:A,'Regions and Ports'!A:F,6,FALSE)</f>
        <v>STX</v>
      </c>
      <c r="G342" s="1" t="str">
        <f>VLOOKUP(A:A,'Regions and Ports'!A:G,7,FALSE)</f>
        <v>Houston</v>
      </c>
      <c r="H342" s="87">
        <v>3</v>
      </c>
      <c r="I342" s="69">
        <f>VLOOKUP(A:A,'Seam Tariffs'!A:AB,9,FALSE)</f>
        <v>4.5</v>
      </c>
      <c r="J342" s="69">
        <f>VLOOKUP(A:A,'Seam Tariffs'!A:AB,11,FALSE)</f>
        <v>6.75</v>
      </c>
      <c r="K342" s="69">
        <f>VLOOKUP(A:A,'Seam Tariffs'!A:AB,12,FALSE)</f>
        <v>12</v>
      </c>
      <c r="L342" s="69">
        <f>VLOOKUP(A:A,'Seam Tariffs'!A:AB,13,FALSE)</f>
        <v>0</v>
      </c>
      <c r="M342" s="69">
        <f>VLOOKUP(A:A,'Seam Tariffs'!A:AB,14,FALSE)</f>
        <v>0</v>
      </c>
      <c r="N342" s="69">
        <f>VLOOKUP(A:A,'Seam Tariffs'!A:AB,28,FALSE)</f>
        <v>3.5</v>
      </c>
      <c r="O342" s="69">
        <f>COSTS!$W$6</f>
        <v>1.8958333333333335</v>
      </c>
      <c r="P342" s="69">
        <f>VLOOKUP(G342,COSTS!$V$11:$X$14,3,FALSE)</f>
        <v>0</v>
      </c>
      <c r="Q342" s="69">
        <f t="shared" si="35"/>
        <v>28.645833333333332</v>
      </c>
      <c r="R342" s="69">
        <f t="shared" si="36"/>
        <v>24.145833333333332</v>
      </c>
      <c r="S342" s="87">
        <f>VLOOKUP(A:A,'Flat Bed &amp; Late Fees'!A:J,6,FALSE)</f>
        <v>0</v>
      </c>
      <c r="T342" s="87">
        <f>VLOOKUP(A:A,'Flat Bed &amp; Late Fees'!A:J,7,FALSE)</f>
        <v>0</v>
      </c>
      <c r="U342" s="68">
        <f>VLOOKUP(C342&amp;G342,OTR!E:J,6,FALSE)/88</f>
        <v>9.517045454545455</v>
      </c>
      <c r="V342" s="87"/>
      <c r="W342" s="68">
        <f t="shared" si="37"/>
        <v>9.517045454545455</v>
      </c>
      <c r="X342" s="69">
        <f>VLOOKUP(G342,COSTS!$Z$18:$AC$23,2,FALSE)</f>
        <v>2.7</v>
      </c>
      <c r="Y342" s="87">
        <f>VLOOKUP(G342,COSTS!$Z$18:$AC$23,4,FALSE)</f>
        <v>2.52</v>
      </c>
      <c r="Z342" s="69">
        <f>(COSTS!$W$3*COSTS!$W$4*500)/52*COSTS!$AE$17</f>
        <v>1.3125</v>
      </c>
      <c r="AB342" s="69">
        <f t="shared" si="38"/>
        <v>6.5325000000000006</v>
      </c>
      <c r="AC342" s="69">
        <f>VLOOKUP(G342,COSTS!$Z$11:$AE$14,5,FALSE)</f>
        <v>6.6477272727272725</v>
      </c>
      <c r="AD342" s="69">
        <f>VLOOKUP(G342,COSTS!$Z$4:$AD$7,4,FALSE)</f>
        <v>9.8977272727272734</v>
      </c>
      <c r="AE342" s="69"/>
      <c r="AF342" s="69">
        <f t="shared" si="39"/>
        <v>16.545454545454547</v>
      </c>
      <c r="AG342" s="87">
        <f>((COSTS!$C$5*88)/20)/88</f>
        <v>1.4407150000000002</v>
      </c>
      <c r="AH342" s="69">
        <f>(COSTS!$X$38/88)*20</f>
        <v>0.34865702479338845</v>
      </c>
      <c r="AI342" s="87">
        <f>((COSTS!$E$5*88)/20)/88</f>
        <v>0.62936587135988387</v>
      </c>
      <c r="AJ342" s="87">
        <f>((COSTS!$D$5*88)/20)/88</f>
        <v>0.33676</v>
      </c>
      <c r="AL342" s="387">
        <f t="shared" si="40"/>
        <v>2.7554978961532726</v>
      </c>
      <c r="AM342" s="69">
        <f>(COSTS!$W$3+0.1)*500*0.01</f>
        <v>3.9999999999999996</v>
      </c>
      <c r="AN342" s="387">
        <f>((COSTS!$G$5/20)*88)/88</f>
        <v>1.308904109589041</v>
      </c>
      <c r="AR342" s="69">
        <f t="shared" si="41"/>
        <v>5.3089041095890401</v>
      </c>
      <c r="AT342" s="1">
        <f>VLOOKUP(C342&amp;$AT$1,OTR!E:J,6,FALSE)/88</f>
        <v>11.944318181818181</v>
      </c>
      <c r="AU342" s="1" t="e">
        <f>VLOOKUP(C342&amp;$AU$1,OTR!E:J,6,FALSE)/88</f>
        <v>#N/A</v>
      </c>
    </row>
    <row r="343" spans="1:47">
      <c r="A343" s="1">
        <v>335533</v>
      </c>
      <c r="B343" s="1" t="s">
        <v>756</v>
      </c>
      <c r="C343" s="1" t="s">
        <v>757</v>
      </c>
      <c r="D343" s="1" t="s">
        <v>76</v>
      </c>
      <c r="E343" s="1" t="str">
        <f>VLOOKUP(A:A,'Regions and Ports'!A:G,5,FALSE)</f>
        <v>GA 30 Day</v>
      </c>
      <c r="F343" s="1" t="str">
        <f>VLOOKUP(A:A,'Regions and Ports'!A:F,6,FALSE)</f>
        <v>ER5</v>
      </c>
      <c r="G343" s="1" t="str">
        <f>VLOOKUP(A:A,'Regions and Ports'!A:G,7,FALSE)</f>
        <v>Savannah</v>
      </c>
      <c r="H343" s="87">
        <v>4</v>
      </c>
      <c r="I343" s="69">
        <f>VLOOKUP(A:A,'Seam Tariffs'!A:AB,9,FALSE)</f>
        <v>3.25</v>
      </c>
      <c r="J343" s="69">
        <f>VLOOKUP(A:A,'Seam Tariffs'!A:AB,11,FALSE)</f>
        <v>5</v>
      </c>
      <c r="K343" s="69">
        <f>VLOOKUP(A:A,'Seam Tariffs'!A:AB,12,FALSE)</f>
        <v>0</v>
      </c>
      <c r="L343" s="69">
        <f>VLOOKUP(A:A,'Seam Tariffs'!A:AB,13,FALSE)</f>
        <v>0</v>
      </c>
      <c r="M343" s="69">
        <f>VLOOKUP(A:A,'Seam Tariffs'!A:AB,14,FALSE)</f>
        <v>1</v>
      </c>
      <c r="N343" s="69">
        <f>VLOOKUP(A:A,'Seam Tariffs'!A:AB,28,FALSE)</f>
        <v>2.7</v>
      </c>
      <c r="O343" s="69">
        <f>COSTS!$W$6</f>
        <v>1.8958333333333335</v>
      </c>
      <c r="P343" s="69">
        <f>VLOOKUP(G343,COSTS!$V$11:$X$14,3,FALSE)</f>
        <v>0</v>
      </c>
      <c r="Q343" s="69">
        <f t="shared" si="35"/>
        <v>13.845833333333333</v>
      </c>
      <c r="R343" s="69">
        <f t="shared" si="36"/>
        <v>1.8958333333333335</v>
      </c>
      <c r="S343" s="87">
        <f>VLOOKUP(A:A,'Flat Bed &amp; Late Fees'!A:J,6,FALSE)</f>
        <v>0</v>
      </c>
      <c r="T343" s="87">
        <f>VLOOKUP(A:A,'Flat Bed &amp; Late Fees'!A:J,7,FALSE)</f>
        <v>0</v>
      </c>
      <c r="U343" s="68">
        <f>VLOOKUP(C343&amp;G343,OTR!E:J,6,FALSE)/88</f>
        <v>14.859715909090909</v>
      </c>
      <c r="V343" s="87"/>
      <c r="W343" s="68">
        <f t="shared" si="37"/>
        <v>14.859715909090909</v>
      </c>
      <c r="X343" s="69">
        <f>VLOOKUP(G343,COSTS!$Z$18:$AC$23,2,FALSE)</f>
        <v>2.6</v>
      </c>
      <c r="Y343" s="87">
        <f>VLOOKUP(G343,COSTS!$Z$18:$AC$23,4,FALSE)</f>
        <v>2.52</v>
      </c>
      <c r="Z343" s="69">
        <f>(COSTS!$W$3*COSTS!$W$4*500)/52*COSTS!$AE$17</f>
        <v>1.3125</v>
      </c>
      <c r="AB343" s="69">
        <f t="shared" si="38"/>
        <v>6.4325000000000001</v>
      </c>
      <c r="AC343" s="69">
        <f>VLOOKUP(G343,COSTS!$Z$11:$AE$14,5,FALSE)</f>
        <v>5.5113636363636367</v>
      </c>
      <c r="AD343" s="69">
        <f>VLOOKUP(G343,COSTS!$Z$4:$AD$7,4,FALSE)</f>
        <v>5.3522727272727275</v>
      </c>
      <c r="AE343" s="69"/>
      <c r="AF343" s="69">
        <f t="shared" si="39"/>
        <v>10.863636363636363</v>
      </c>
      <c r="AG343" s="87">
        <f>((COSTS!$C$5*88)/20)/88</f>
        <v>1.4407150000000002</v>
      </c>
      <c r="AH343" s="69">
        <f>(COSTS!$X$38/88)*20</f>
        <v>0.34865702479338845</v>
      </c>
      <c r="AI343" s="87">
        <f>((COSTS!$E$5*88)/20)/88</f>
        <v>0.62936587135988387</v>
      </c>
      <c r="AJ343" s="87">
        <f>((COSTS!$D$5*88)/20)/88</f>
        <v>0.33676</v>
      </c>
      <c r="AL343" s="387">
        <f t="shared" si="40"/>
        <v>2.7554978961532726</v>
      </c>
      <c r="AM343" s="69">
        <f>(COSTS!$W$3+0.1)*500*0.01</f>
        <v>3.9999999999999996</v>
      </c>
      <c r="AN343" s="387">
        <f>((COSTS!$G$5/20)*88)/88</f>
        <v>1.308904109589041</v>
      </c>
      <c r="AR343" s="69">
        <f t="shared" si="41"/>
        <v>5.3089041095890401</v>
      </c>
      <c r="AT343" s="1" t="e">
        <f>VLOOKUP(C343&amp;$AT$1,OTR!E:J,6,FALSE)/88</f>
        <v>#N/A</v>
      </c>
      <c r="AU343" s="1">
        <f>VLOOKUP(C343&amp;$AU$1,OTR!E:J,6,FALSE)/88</f>
        <v>12.755681818181818</v>
      </c>
    </row>
    <row r="344" spans="1:47">
      <c r="A344" s="1">
        <v>340100</v>
      </c>
      <c r="B344" s="1" t="s">
        <v>759</v>
      </c>
      <c r="C344" s="1" t="s">
        <v>760</v>
      </c>
      <c r="D344" s="1" t="s">
        <v>76</v>
      </c>
      <c r="E344" s="1" t="str">
        <f>VLOOKUP(A:A,'Regions and Ports'!A:G,5,FALSE)</f>
        <v>GA 30 Day</v>
      </c>
      <c r="F344" s="1" t="str">
        <f>VLOOKUP(A:A,'Regions and Ports'!A:F,6,FALSE)</f>
        <v>ER5</v>
      </c>
      <c r="G344" s="1" t="str">
        <f>VLOOKUP(A:A,'Regions and Ports'!A:G,7,FALSE)</f>
        <v>Savannah</v>
      </c>
      <c r="H344" s="87">
        <v>4</v>
      </c>
      <c r="I344" s="69">
        <f>VLOOKUP(A:A,'Seam Tariffs'!A:AB,9,FALSE)</f>
        <v>3.5</v>
      </c>
      <c r="J344" s="69">
        <f>VLOOKUP(A:A,'Seam Tariffs'!A:AB,11,FALSE)</f>
        <v>5.5</v>
      </c>
      <c r="K344" s="69">
        <f>VLOOKUP(A:A,'Seam Tariffs'!A:AB,12,FALSE)</f>
        <v>0</v>
      </c>
      <c r="L344" s="69">
        <f>VLOOKUP(A:A,'Seam Tariffs'!A:AB,13,FALSE)</f>
        <v>0</v>
      </c>
      <c r="M344" s="69">
        <f>VLOOKUP(A:A,'Seam Tariffs'!A:AB,14,FALSE)</f>
        <v>1</v>
      </c>
      <c r="N344" s="69">
        <f>VLOOKUP(A:A,'Seam Tariffs'!A:AB,28,FALSE)</f>
        <v>3.5</v>
      </c>
      <c r="O344" s="69">
        <f>COSTS!$W$6</f>
        <v>1.8958333333333335</v>
      </c>
      <c r="P344" s="69">
        <f>VLOOKUP(G344,COSTS!$V$11:$X$14,3,FALSE)</f>
        <v>0</v>
      </c>
      <c r="Q344" s="69">
        <f t="shared" si="35"/>
        <v>15.395833333333334</v>
      </c>
      <c r="R344" s="69">
        <f t="shared" si="36"/>
        <v>1.8958333333333335</v>
      </c>
      <c r="S344" s="87">
        <f>VLOOKUP(A:A,'Flat Bed &amp; Late Fees'!A:J,6,FALSE)</f>
        <v>0</v>
      </c>
      <c r="T344" s="87">
        <f>VLOOKUP(A:A,'Flat Bed &amp; Late Fees'!A:J,7,FALSE)</f>
        <v>0</v>
      </c>
      <c r="U344" s="68">
        <f>VLOOKUP(C344&amp;G344,OTR!E:J,6,FALSE)/88</f>
        <v>10.360454545454546</v>
      </c>
      <c r="V344" s="87"/>
      <c r="W344" s="68">
        <f t="shared" si="37"/>
        <v>10.360454545454546</v>
      </c>
      <c r="X344" s="69">
        <f>VLOOKUP(G344,COSTS!$Z$18:$AC$23,2,FALSE)</f>
        <v>2.6</v>
      </c>
      <c r="Y344" s="87">
        <f>VLOOKUP(G344,COSTS!$Z$18:$AC$23,4,FALSE)</f>
        <v>2.52</v>
      </c>
      <c r="Z344" s="69">
        <f>(COSTS!$W$3*COSTS!$W$4*500)/52*COSTS!$AE$17</f>
        <v>1.3125</v>
      </c>
      <c r="AB344" s="69">
        <f t="shared" si="38"/>
        <v>6.4325000000000001</v>
      </c>
      <c r="AC344" s="69">
        <f>VLOOKUP(G344,COSTS!$Z$11:$AE$14,5,FALSE)</f>
        <v>5.5113636363636367</v>
      </c>
      <c r="AD344" s="69">
        <f>VLOOKUP(G344,COSTS!$Z$4:$AD$7,4,FALSE)</f>
        <v>5.3522727272727275</v>
      </c>
      <c r="AE344" s="69"/>
      <c r="AF344" s="69">
        <f t="shared" si="39"/>
        <v>10.863636363636363</v>
      </c>
      <c r="AG344" s="87">
        <f>((COSTS!$C$5*88)/20)/88</f>
        <v>1.4407150000000002</v>
      </c>
      <c r="AH344" s="69">
        <f>(COSTS!$X$38/88)*20</f>
        <v>0.34865702479338845</v>
      </c>
      <c r="AI344" s="87">
        <f>((COSTS!$E$5*88)/20)/88</f>
        <v>0.62936587135988387</v>
      </c>
      <c r="AJ344" s="87">
        <f>((COSTS!$D$5*88)/20)/88</f>
        <v>0.33676</v>
      </c>
      <c r="AL344" s="387">
        <f t="shared" si="40"/>
        <v>2.7554978961532726</v>
      </c>
      <c r="AM344" s="69">
        <f>(COSTS!$W$3+0.1)*500*0.01</f>
        <v>3.9999999999999996</v>
      </c>
      <c r="AN344" s="387">
        <f>((COSTS!$G$5/20)*88)/88</f>
        <v>1.308904109589041</v>
      </c>
      <c r="AR344" s="69">
        <f t="shared" si="41"/>
        <v>5.3089041095890401</v>
      </c>
      <c r="AT344" s="1">
        <f>VLOOKUP(C344&amp;$AT$1,OTR!E:J,6,FALSE)/88</f>
        <v>24.361931818181816</v>
      </c>
      <c r="AU344" s="1">
        <f>VLOOKUP(C344&amp;$AU$1,OTR!E:J,6,FALSE)/88</f>
        <v>15.482954545454545</v>
      </c>
    </row>
    <row r="345" spans="1:47">
      <c r="A345" s="1">
        <v>944344</v>
      </c>
      <c r="B345" s="1" t="s">
        <v>761</v>
      </c>
      <c r="C345" s="1" t="s">
        <v>762</v>
      </c>
      <c r="D345" s="1" t="s">
        <v>71</v>
      </c>
      <c r="E345" s="1" t="str">
        <f>VLOOKUP(A:A,'Regions and Ports'!A:G,5,FALSE)</f>
        <v>WTX</v>
      </c>
      <c r="F345" s="1" t="str">
        <f>VLOOKUP(A:A,'Regions and Ports'!A:F,6,FALSE)</f>
        <v>WTX</v>
      </c>
      <c r="G345" s="1" t="str">
        <f>VLOOKUP(A:A,'Regions and Ports'!A:G,7,FALSE)</f>
        <v>Dallas</v>
      </c>
      <c r="H345" s="87">
        <v>3</v>
      </c>
      <c r="I345" s="69">
        <f>VLOOKUP(A:A,'Seam Tariffs'!A:AB,9,FALSE)</f>
        <v>3.25</v>
      </c>
      <c r="J345" s="69">
        <f>VLOOKUP(A:A,'Seam Tariffs'!A:AB,11,FALSE)</f>
        <v>6.25</v>
      </c>
      <c r="K345" s="69">
        <f>VLOOKUP(A:A,'Seam Tariffs'!A:AB,12,FALSE)</f>
        <v>7.25</v>
      </c>
      <c r="L345" s="69">
        <f>VLOOKUP(A:A,'Seam Tariffs'!A:AB,13,FALSE)</f>
        <v>0</v>
      </c>
      <c r="M345" s="69">
        <f>VLOOKUP(A:A,'Seam Tariffs'!A:AB,14,FALSE)</f>
        <v>0</v>
      </c>
      <c r="N345" s="69">
        <f>VLOOKUP(A:A,'Seam Tariffs'!A:AB,28,FALSE)</f>
        <v>3.5999999999999996</v>
      </c>
      <c r="O345" s="69">
        <f>COSTS!$W$6</f>
        <v>1.8958333333333335</v>
      </c>
      <c r="P345" s="69">
        <f>VLOOKUP(G345,COSTS!$V$11:$X$14,3,FALSE)</f>
        <v>0</v>
      </c>
      <c r="Q345" s="69">
        <f t="shared" si="35"/>
        <v>22.245833333333334</v>
      </c>
      <c r="R345" s="69">
        <f t="shared" si="36"/>
        <v>18.995833333333334</v>
      </c>
      <c r="S345" s="87">
        <f>VLOOKUP(A:A,'Flat Bed &amp; Late Fees'!A:J,6,FALSE)</f>
        <v>0</v>
      </c>
      <c r="T345" s="87">
        <f>VLOOKUP(A:A,'Flat Bed &amp; Late Fees'!A:J,7,FALSE)</f>
        <v>0</v>
      </c>
      <c r="U345" s="68">
        <f>VLOOKUP(C345&amp;G345,OTR!E:J,6,FALSE)/88</f>
        <v>16.25</v>
      </c>
      <c r="V345" s="87"/>
      <c r="W345" s="68">
        <f t="shared" si="37"/>
        <v>16.25</v>
      </c>
      <c r="X345" s="69">
        <f>VLOOKUP(G345,COSTS!$Z$18:$AC$23,2,FALSE)</f>
        <v>2.7</v>
      </c>
      <c r="Y345" s="87">
        <f>VLOOKUP(G345,COSTS!$Z$18:$AC$23,4,FALSE)</f>
        <v>2.52</v>
      </c>
      <c r="Z345" s="69">
        <f>(COSTS!$W$3*COSTS!$W$4*500)/52*COSTS!$AE$17</f>
        <v>1.3125</v>
      </c>
      <c r="AB345" s="69">
        <f t="shared" si="38"/>
        <v>6.5325000000000006</v>
      </c>
      <c r="AC345" s="69">
        <f>VLOOKUP(G345,COSTS!$Z$11:$AE$14,5,FALSE)</f>
        <v>8.125</v>
      </c>
      <c r="AD345" s="69">
        <f>VLOOKUP(G345,COSTS!$Z$4:$AD$7,4,FALSE)</f>
        <v>13.409090909090908</v>
      </c>
      <c r="AE345" s="69"/>
      <c r="AF345" s="69">
        <f t="shared" si="39"/>
        <v>21.534090909090907</v>
      </c>
      <c r="AG345" s="87">
        <f>((COSTS!$C$5*88)/20)/88</f>
        <v>1.4407150000000002</v>
      </c>
      <c r="AH345" s="69">
        <f>(COSTS!$X$38/88)*20</f>
        <v>0.34865702479338845</v>
      </c>
      <c r="AI345" s="87">
        <f>((COSTS!$E$5*88)/20)/88</f>
        <v>0.62936587135988387</v>
      </c>
      <c r="AJ345" s="87">
        <f>((COSTS!$D$5*88)/20)/88</f>
        <v>0.33676</v>
      </c>
      <c r="AL345" s="387">
        <f t="shared" si="40"/>
        <v>2.7554978961532726</v>
      </c>
      <c r="AM345" s="69">
        <f>(COSTS!$W$3+0.1)*500*0.01</f>
        <v>3.9999999999999996</v>
      </c>
      <c r="AN345" s="387">
        <f>((COSTS!$G$5/20)*88)/88</f>
        <v>1.308904109589041</v>
      </c>
      <c r="AR345" s="69">
        <f t="shared" si="41"/>
        <v>5.3089041095890401</v>
      </c>
      <c r="AT345" s="1" t="e">
        <f>VLOOKUP(C345&amp;$AT$1,OTR!E:J,6,FALSE)/88</f>
        <v>#N/A</v>
      </c>
      <c r="AU345" s="1" t="e">
        <f>VLOOKUP(C345&amp;$AU$1,OTR!E:J,6,FALSE)/88</f>
        <v>#N/A</v>
      </c>
    </row>
    <row r="346" spans="1:47">
      <c r="A346" s="125">
        <v>944344</v>
      </c>
      <c r="B346" s="1" t="s">
        <v>761</v>
      </c>
      <c r="C346" s="1" t="s">
        <v>762</v>
      </c>
      <c r="D346" s="1" t="s">
        <v>71</v>
      </c>
      <c r="E346" s="1" t="s">
        <v>2067</v>
      </c>
      <c r="F346" s="1" t="str">
        <f>VLOOKUP(A:A,'Regions and Ports'!A:F,6,FALSE)</f>
        <v>WTX</v>
      </c>
      <c r="G346" s="1" t="s">
        <v>439</v>
      </c>
      <c r="H346" s="87">
        <v>2</v>
      </c>
      <c r="I346" s="69">
        <f>VLOOKUP(A:A,'Seam Tariffs'!A:AB,9,FALSE)</f>
        <v>3.25</v>
      </c>
      <c r="J346" s="69">
        <f>VLOOKUP(A:A,'Seam Tariffs'!A:AB,11,FALSE)</f>
        <v>6.25</v>
      </c>
      <c r="K346" s="69">
        <f>VLOOKUP(A:A,'Seam Tariffs'!A:AB,12,FALSE)</f>
        <v>7.25</v>
      </c>
      <c r="L346" s="69">
        <f>VLOOKUP(A:A,'Seam Tariffs'!A:AB,13,FALSE)</f>
        <v>0</v>
      </c>
      <c r="M346" s="69">
        <f>VLOOKUP(A:A,'Seam Tariffs'!A:AB,14,FALSE)</f>
        <v>0</v>
      </c>
      <c r="N346" s="69">
        <f>VLOOKUP(A:A,'Seam Tariffs'!A:AB,28,FALSE)</f>
        <v>3.5999999999999996</v>
      </c>
      <c r="O346" s="69">
        <f>COSTS!$W$6</f>
        <v>1.8958333333333335</v>
      </c>
      <c r="P346" s="69">
        <f>VLOOKUP(G346,COSTS!$V$11:$X$14,3,FALSE)</f>
        <v>0</v>
      </c>
      <c r="Q346" s="69">
        <f t="shared" si="35"/>
        <v>22.245833333333334</v>
      </c>
      <c r="R346" s="69">
        <f t="shared" si="36"/>
        <v>12.745833333333334</v>
      </c>
      <c r="S346" s="87">
        <f>VLOOKUP(A:A,'Flat Bed &amp; Late Fees'!A:J,6,FALSE)</f>
        <v>0</v>
      </c>
      <c r="T346" s="87">
        <f>VLOOKUP(A:A,'Flat Bed &amp; Late Fees'!A:J,7,FALSE)</f>
        <v>0</v>
      </c>
      <c r="U346" s="68">
        <f>VLOOKUP(C346&amp;G346,OTR!E:J,6,FALSE)/88</f>
        <v>17.767045454545453</v>
      </c>
      <c r="V346" s="87"/>
      <c r="W346" s="68">
        <f t="shared" si="37"/>
        <v>17.767045454545453</v>
      </c>
      <c r="X346" s="69">
        <f>VLOOKUP(G346,COSTS!$Z$18:$AC$23,2,FALSE)</f>
        <v>2.7</v>
      </c>
      <c r="Y346" s="87">
        <f>VLOOKUP(G346,COSTS!$Z$18:$AC$23,4,FALSE)</f>
        <v>2.52</v>
      </c>
      <c r="Z346" s="69">
        <f>(COSTS!$W$3*COSTS!$W$4*500)/52*COSTS!$AE$17</f>
        <v>1.3125</v>
      </c>
      <c r="AB346" s="69">
        <f t="shared" si="38"/>
        <v>6.5325000000000006</v>
      </c>
      <c r="AC346" s="69">
        <f>VLOOKUP(G346,COSTS!$Z$11:$AE$14,5,FALSE)</f>
        <v>6.6477272727272725</v>
      </c>
      <c r="AD346" s="69">
        <f>VLOOKUP(G346,COSTS!$Z$4:$AD$7,4,FALSE)</f>
        <v>9.8977272727272734</v>
      </c>
      <c r="AE346" s="69"/>
      <c r="AF346" s="69">
        <f t="shared" si="39"/>
        <v>16.545454545454547</v>
      </c>
      <c r="AG346" s="87">
        <f>((COSTS!$C$5*88)/20)/88</f>
        <v>1.4407150000000002</v>
      </c>
      <c r="AH346" s="69">
        <f>(COSTS!$X$38/88)*20</f>
        <v>0.34865702479338845</v>
      </c>
      <c r="AI346" s="87">
        <f>((COSTS!$E$5*88)/20)/88</f>
        <v>0.62936587135988387</v>
      </c>
      <c r="AJ346" s="87">
        <f>((COSTS!$D$5*88)/20)/88</f>
        <v>0.33676</v>
      </c>
      <c r="AL346" s="387">
        <f t="shared" si="40"/>
        <v>2.7554978961532726</v>
      </c>
      <c r="AM346" s="69">
        <f>(COSTS!$W$3+0.1)*500*0.01</f>
        <v>3.9999999999999996</v>
      </c>
      <c r="AN346" s="387">
        <f>((COSTS!$G$5/20)*88)/88</f>
        <v>1.308904109589041</v>
      </c>
      <c r="AR346" s="69">
        <f t="shared" si="41"/>
        <v>5.3089041095890401</v>
      </c>
      <c r="AT346" s="1" t="e">
        <f>VLOOKUP(C346&amp;$AT$1,OTR!E:J,6,FALSE)/88</f>
        <v>#N/A</v>
      </c>
      <c r="AU346" s="1" t="e">
        <f>VLOOKUP(C346&amp;$AU$1,OTR!E:J,6,FALSE)/88</f>
        <v>#N/A</v>
      </c>
    </row>
    <row r="347" spans="1:47">
      <c r="A347" s="1">
        <v>577277</v>
      </c>
      <c r="B347" s="1" t="s">
        <v>763</v>
      </c>
      <c r="C347" s="1" t="s">
        <v>764</v>
      </c>
      <c r="D347" s="1" t="s">
        <v>136</v>
      </c>
      <c r="E347" s="1" t="str">
        <f>VLOOKUP(A:A,'Regions and Ports'!A:G,5,FALSE)</f>
        <v>Eastern Rule 5</v>
      </c>
      <c r="F347" s="1" t="str">
        <f>VLOOKUP(A:A,'Regions and Ports'!A:F,6,FALSE)</f>
        <v>ER5</v>
      </c>
      <c r="G347" s="1" t="str">
        <f>VLOOKUP(A:A,'Regions and Ports'!A:G,7,FALSE)</f>
        <v>Savannah</v>
      </c>
      <c r="H347" s="87">
        <v>1</v>
      </c>
      <c r="I347" s="69">
        <f>VLOOKUP(A:A,'Seam Tariffs'!A:AB,9,FALSE)</f>
        <v>4</v>
      </c>
      <c r="J347" s="69">
        <f>VLOOKUP(A:A,'Seam Tariffs'!A:AB,11,FALSE)</f>
        <v>4</v>
      </c>
      <c r="K347" s="69">
        <f>VLOOKUP(A:A,'Seam Tariffs'!A:AB,12,FALSE)</f>
        <v>0</v>
      </c>
      <c r="L347" s="69">
        <f>VLOOKUP(A:A,'Seam Tariffs'!A:AB,13,FALSE)</f>
        <v>0</v>
      </c>
      <c r="M347" s="69">
        <f>VLOOKUP(A:A,'Seam Tariffs'!A:AB,14,FALSE)</f>
        <v>0</v>
      </c>
      <c r="N347" s="69">
        <f>VLOOKUP(A:A,'Seam Tariffs'!A:AB,28,FALSE)</f>
        <v>2</v>
      </c>
      <c r="O347" s="69">
        <f>COSTS!$W$6</f>
        <v>1.8958333333333335</v>
      </c>
      <c r="P347" s="69">
        <f>VLOOKUP(G347,COSTS!$V$11:$X$14,3,FALSE)</f>
        <v>0</v>
      </c>
      <c r="Q347" s="69">
        <f t="shared" si="35"/>
        <v>11.895833333333334</v>
      </c>
      <c r="R347" s="69">
        <f t="shared" si="36"/>
        <v>3.8958333333333335</v>
      </c>
      <c r="S347" s="87">
        <f>VLOOKUP(A:A,'Flat Bed &amp; Late Fees'!A:J,6,FALSE)</f>
        <v>0</v>
      </c>
      <c r="T347" s="87">
        <f>VLOOKUP(A:A,'Flat Bed &amp; Late Fees'!A:J,7,FALSE)</f>
        <v>0</v>
      </c>
      <c r="U347" s="68">
        <f>VLOOKUP(C347&amp;G347,OTR!E:J,6,FALSE)/88</f>
        <v>12.710426136363635</v>
      </c>
      <c r="V347" s="87"/>
      <c r="W347" s="68">
        <f t="shared" si="37"/>
        <v>12.710426136363635</v>
      </c>
      <c r="X347" s="69">
        <f>VLOOKUP(G347,COSTS!$Z$18:$AC$23,2,FALSE)</f>
        <v>2.6</v>
      </c>
      <c r="Y347" s="87">
        <f>VLOOKUP(G347,COSTS!$Z$18:$AC$23,4,FALSE)</f>
        <v>2.52</v>
      </c>
      <c r="Z347" s="69">
        <f>(COSTS!$W$3*COSTS!$W$4*500)/52*COSTS!$AE$17</f>
        <v>1.3125</v>
      </c>
      <c r="AB347" s="69">
        <f t="shared" si="38"/>
        <v>6.4325000000000001</v>
      </c>
      <c r="AC347" s="69">
        <f>VLOOKUP(G347,COSTS!$Z$11:$AE$14,5,FALSE)</f>
        <v>5.5113636363636367</v>
      </c>
      <c r="AD347" s="69">
        <f>VLOOKUP(G347,COSTS!$Z$4:$AD$7,4,FALSE)</f>
        <v>5.3522727272727275</v>
      </c>
      <c r="AE347" s="69"/>
      <c r="AF347" s="69">
        <f t="shared" si="39"/>
        <v>10.863636363636363</v>
      </c>
      <c r="AG347" s="87">
        <f>((COSTS!$C$5*88)/20)/88</f>
        <v>1.4407150000000002</v>
      </c>
      <c r="AH347" s="69">
        <f>(COSTS!$X$38/88)*20</f>
        <v>0.34865702479338845</v>
      </c>
      <c r="AI347" s="87">
        <f>((COSTS!$E$5*88)/20)/88</f>
        <v>0.62936587135988387</v>
      </c>
      <c r="AJ347" s="87">
        <f>((COSTS!$D$5*88)/20)/88</f>
        <v>0.33676</v>
      </c>
      <c r="AL347" s="387">
        <f t="shared" si="40"/>
        <v>2.7554978961532726</v>
      </c>
      <c r="AM347" s="69">
        <f>(COSTS!$W$3+0.1)*500*0.01</f>
        <v>3.9999999999999996</v>
      </c>
      <c r="AN347" s="387">
        <f>((COSTS!$G$5/20)*88)/88</f>
        <v>1.308904109589041</v>
      </c>
      <c r="AR347" s="69">
        <f t="shared" si="41"/>
        <v>5.3089041095890401</v>
      </c>
      <c r="AT347" s="1" t="e">
        <f>VLOOKUP(C347&amp;$AT$1,OTR!E:J,6,FALSE)/88</f>
        <v>#N/A</v>
      </c>
      <c r="AU347" s="1">
        <f>VLOOKUP(C347&amp;$AU$1,OTR!E:J,6,FALSE)/88</f>
        <v>14.1875</v>
      </c>
    </row>
    <row r="348" spans="1:47">
      <c r="A348" s="1">
        <v>913055</v>
      </c>
      <c r="B348" s="1" t="s">
        <v>765</v>
      </c>
      <c r="C348" s="1" t="s">
        <v>766</v>
      </c>
      <c r="D348" s="1" t="s">
        <v>71</v>
      </c>
      <c r="E348" s="1" t="str">
        <f>VLOOKUP(A:A,'Regions and Ports'!A:G,5,FALSE)</f>
        <v>WTX</v>
      </c>
      <c r="F348" s="1" t="str">
        <f>VLOOKUP(A:A,'Regions and Ports'!A:F,6,FALSE)</f>
        <v>WTX</v>
      </c>
      <c r="G348" s="1" t="str">
        <f>VLOOKUP(A:A,'Regions and Ports'!A:G,7,FALSE)</f>
        <v>Dallas</v>
      </c>
      <c r="H348" s="87">
        <v>2</v>
      </c>
      <c r="I348" s="69">
        <f>VLOOKUP(A:A,'Seam Tariffs'!A:AB,9,FALSE)</f>
        <v>5</v>
      </c>
      <c r="J348" s="69">
        <f>VLOOKUP(A:A,'Seam Tariffs'!A:AB,11,FALSE)</f>
        <v>6.25</v>
      </c>
      <c r="K348" s="69">
        <f>VLOOKUP(A:A,'Seam Tariffs'!A:AB,12,FALSE)</f>
        <v>10.25</v>
      </c>
      <c r="L348" s="69">
        <f>VLOOKUP(A:A,'Seam Tariffs'!A:AB,13,FALSE)</f>
        <v>0</v>
      </c>
      <c r="M348" s="69">
        <f>VLOOKUP(A:A,'Seam Tariffs'!A:AB,14,FALSE)</f>
        <v>0</v>
      </c>
      <c r="N348" s="69">
        <f>VLOOKUP(A:A,'Seam Tariffs'!A:AB,28,FALSE)</f>
        <v>2.4</v>
      </c>
      <c r="O348" s="69">
        <f>COSTS!$W$6</f>
        <v>1.8958333333333335</v>
      </c>
      <c r="P348" s="69">
        <f>VLOOKUP(G348,COSTS!$V$11:$X$14,3,FALSE)</f>
        <v>0</v>
      </c>
      <c r="Q348" s="69">
        <f t="shared" si="35"/>
        <v>25.795833333333331</v>
      </c>
      <c r="R348" s="69">
        <f t="shared" si="36"/>
        <v>14.545833333333334</v>
      </c>
      <c r="S348" s="87">
        <f>VLOOKUP(A:A,'Flat Bed &amp; Late Fees'!A:J,6,FALSE)</f>
        <v>0</v>
      </c>
      <c r="T348" s="87">
        <f>VLOOKUP(A:A,'Flat Bed &amp; Late Fees'!A:J,7,FALSE)</f>
        <v>0</v>
      </c>
      <c r="U348" s="68">
        <f>VLOOKUP(C348&amp;G348,OTR!E:J,6,FALSE)/88</f>
        <v>10.198863636363637</v>
      </c>
      <c r="V348" s="87"/>
      <c r="W348" s="68">
        <f t="shared" si="37"/>
        <v>10.198863636363637</v>
      </c>
      <c r="X348" s="69">
        <f>VLOOKUP(G348,COSTS!$Z$18:$AC$23,2,FALSE)</f>
        <v>2.7</v>
      </c>
      <c r="Y348" s="87">
        <f>VLOOKUP(G348,COSTS!$Z$18:$AC$23,4,FALSE)</f>
        <v>2.52</v>
      </c>
      <c r="Z348" s="69">
        <f>(COSTS!$W$3*COSTS!$W$4*500)/52*COSTS!$AE$17</f>
        <v>1.3125</v>
      </c>
      <c r="AB348" s="69">
        <f t="shared" si="38"/>
        <v>6.5325000000000006</v>
      </c>
      <c r="AC348" s="69">
        <f>VLOOKUP(G348,COSTS!$Z$11:$AE$14,5,FALSE)</f>
        <v>8.125</v>
      </c>
      <c r="AD348" s="69">
        <f>VLOOKUP(G348,COSTS!$Z$4:$AD$7,4,FALSE)</f>
        <v>13.409090909090908</v>
      </c>
      <c r="AE348" s="69"/>
      <c r="AF348" s="69">
        <f t="shared" si="39"/>
        <v>21.534090909090907</v>
      </c>
      <c r="AG348" s="87">
        <f>((COSTS!$C$5*88)/20)/88</f>
        <v>1.4407150000000002</v>
      </c>
      <c r="AH348" s="69">
        <f>(COSTS!$X$38/88)*20</f>
        <v>0.34865702479338845</v>
      </c>
      <c r="AI348" s="87">
        <f>((COSTS!$E$5*88)/20)/88</f>
        <v>0.62936587135988387</v>
      </c>
      <c r="AJ348" s="87">
        <f>((COSTS!$D$5*88)/20)/88</f>
        <v>0.33676</v>
      </c>
      <c r="AL348" s="387">
        <f t="shared" si="40"/>
        <v>2.7554978961532726</v>
      </c>
      <c r="AM348" s="69">
        <f>(COSTS!$W$3+0.1)*500*0.01</f>
        <v>3.9999999999999996</v>
      </c>
      <c r="AN348" s="387">
        <f>((COSTS!$G$5/20)*88)/88</f>
        <v>1.308904109589041</v>
      </c>
      <c r="AR348" s="69">
        <f t="shared" si="41"/>
        <v>5.3089041095890401</v>
      </c>
      <c r="AT348" s="1">
        <f>VLOOKUP(C348&amp;$AT$1,OTR!E:J,6,FALSE)/88</f>
        <v>19.298749999999998</v>
      </c>
      <c r="AU348" s="1" t="e">
        <f>VLOOKUP(C348&amp;$AU$1,OTR!E:J,6,FALSE)/88</f>
        <v>#N/A</v>
      </c>
    </row>
    <row r="349" spans="1:47">
      <c r="A349" s="1">
        <v>944708</v>
      </c>
      <c r="B349" s="1" t="s">
        <v>767</v>
      </c>
      <c r="C349" s="1" t="s">
        <v>766</v>
      </c>
      <c r="D349" s="1" t="s">
        <v>71</v>
      </c>
      <c r="E349" s="1" t="str">
        <f>VLOOKUP(A:A,'Regions and Ports'!A:G,5,FALSE)</f>
        <v>WTX</v>
      </c>
      <c r="F349" s="1" t="str">
        <f>VLOOKUP(A:A,'Regions and Ports'!A:F,6,FALSE)</f>
        <v>WTX</v>
      </c>
      <c r="G349" s="1" t="str">
        <f>VLOOKUP(A:A,'Regions and Ports'!A:G,7,FALSE)</f>
        <v>Dallas</v>
      </c>
      <c r="H349" s="87">
        <v>2</v>
      </c>
      <c r="I349" s="69">
        <f>VLOOKUP(A:A,'Seam Tariffs'!A:AB,9,FALSE)</f>
        <v>5</v>
      </c>
      <c r="J349" s="69">
        <f>VLOOKUP(A:A,'Seam Tariffs'!A:AB,11,FALSE)</f>
        <v>6.25</v>
      </c>
      <c r="K349" s="69">
        <f>VLOOKUP(A:A,'Seam Tariffs'!A:AB,12,FALSE)</f>
        <v>10.25</v>
      </c>
      <c r="L349" s="69">
        <f>VLOOKUP(A:A,'Seam Tariffs'!A:AB,13,FALSE)</f>
        <v>0</v>
      </c>
      <c r="M349" s="69">
        <f>VLOOKUP(A:A,'Seam Tariffs'!A:AB,14,FALSE)</f>
        <v>0</v>
      </c>
      <c r="N349" s="69">
        <f>VLOOKUP(A:A,'Seam Tariffs'!A:AB,28,FALSE)</f>
        <v>2.4</v>
      </c>
      <c r="O349" s="69">
        <f>COSTS!$W$6</f>
        <v>1.8958333333333335</v>
      </c>
      <c r="P349" s="69">
        <f>VLOOKUP(G349,COSTS!$V$11:$X$14,3,FALSE)</f>
        <v>0</v>
      </c>
      <c r="Q349" s="69">
        <f t="shared" si="35"/>
        <v>25.795833333333331</v>
      </c>
      <c r="R349" s="69">
        <f t="shared" si="36"/>
        <v>14.545833333333334</v>
      </c>
      <c r="S349" s="87">
        <f>VLOOKUP(A:A,'Flat Bed &amp; Late Fees'!A:J,6,FALSE)</f>
        <v>0</v>
      </c>
      <c r="T349" s="87">
        <f>VLOOKUP(A:A,'Flat Bed &amp; Late Fees'!A:J,7,FALSE)</f>
        <v>0</v>
      </c>
      <c r="U349" s="68">
        <f>VLOOKUP(C349&amp;G349,OTR!E:J,6,FALSE)/88</f>
        <v>10.198863636363637</v>
      </c>
      <c r="V349" s="87"/>
      <c r="W349" s="68">
        <f t="shared" si="37"/>
        <v>10.198863636363637</v>
      </c>
      <c r="X349" s="69">
        <f>VLOOKUP(G349,COSTS!$Z$18:$AC$23,2,FALSE)</f>
        <v>2.7</v>
      </c>
      <c r="Y349" s="87">
        <f>VLOOKUP(G349,COSTS!$Z$18:$AC$23,4,FALSE)</f>
        <v>2.52</v>
      </c>
      <c r="Z349" s="69">
        <f>(COSTS!$W$3*COSTS!$W$4*500)/52*COSTS!$AE$17</f>
        <v>1.3125</v>
      </c>
      <c r="AB349" s="69">
        <f t="shared" si="38"/>
        <v>6.5325000000000006</v>
      </c>
      <c r="AC349" s="69">
        <f>VLOOKUP(G349,COSTS!$Z$11:$AE$14,5,FALSE)</f>
        <v>8.125</v>
      </c>
      <c r="AD349" s="69">
        <f>VLOOKUP(G349,COSTS!$Z$4:$AD$7,4,FALSE)</f>
        <v>13.409090909090908</v>
      </c>
      <c r="AE349" s="69"/>
      <c r="AF349" s="69">
        <f t="shared" si="39"/>
        <v>21.534090909090907</v>
      </c>
      <c r="AG349" s="87">
        <f>((COSTS!$C$5*88)/20)/88</f>
        <v>1.4407150000000002</v>
      </c>
      <c r="AH349" s="69">
        <f>(COSTS!$X$38/88)*20</f>
        <v>0.34865702479338845</v>
      </c>
      <c r="AI349" s="87">
        <f>((COSTS!$E$5*88)/20)/88</f>
        <v>0.62936587135988387</v>
      </c>
      <c r="AJ349" s="87">
        <f>((COSTS!$D$5*88)/20)/88</f>
        <v>0.33676</v>
      </c>
      <c r="AL349" s="387">
        <f t="shared" si="40"/>
        <v>2.7554978961532726</v>
      </c>
      <c r="AM349" s="69">
        <f>(COSTS!$W$3+0.1)*500*0.01</f>
        <v>3.9999999999999996</v>
      </c>
      <c r="AN349" s="387">
        <f>((COSTS!$G$5/20)*88)/88</f>
        <v>1.308904109589041</v>
      </c>
      <c r="AR349" s="69">
        <f t="shared" si="41"/>
        <v>5.3089041095890401</v>
      </c>
      <c r="AT349" s="1">
        <f>VLOOKUP(C349&amp;$AT$1,OTR!E:J,6,FALSE)/88</f>
        <v>19.298749999999998</v>
      </c>
      <c r="AU349" s="1" t="e">
        <f>VLOOKUP(C349&amp;$AU$1,OTR!E:J,6,FALSE)/88</f>
        <v>#N/A</v>
      </c>
    </row>
    <row r="350" spans="1:47">
      <c r="A350" s="125">
        <v>913055</v>
      </c>
      <c r="B350" s="1" t="s">
        <v>765</v>
      </c>
      <c r="C350" s="1" t="s">
        <v>766</v>
      </c>
      <c r="D350" s="1" t="s">
        <v>71</v>
      </c>
      <c r="E350" s="1" t="s">
        <v>2067</v>
      </c>
      <c r="F350" s="1" t="str">
        <f>VLOOKUP(A:A,'Regions and Ports'!A:F,6,FALSE)</f>
        <v>WTX</v>
      </c>
      <c r="G350" s="1" t="s">
        <v>439</v>
      </c>
      <c r="H350" s="87">
        <v>2</v>
      </c>
      <c r="I350" s="69">
        <f>VLOOKUP(A:A,'Seam Tariffs'!A:AB,9,FALSE)</f>
        <v>5</v>
      </c>
      <c r="J350" s="69">
        <f>VLOOKUP(A:A,'Seam Tariffs'!A:AB,11,FALSE)</f>
        <v>6.25</v>
      </c>
      <c r="K350" s="69">
        <f>VLOOKUP(A:A,'Seam Tariffs'!A:AB,12,FALSE)</f>
        <v>10.25</v>
      </c>
      <c r="L350" s="69">
        <f>VLOOKUP(A:A,'Seam Tariffs'!A:AB,13,FALSE)</f>
        <v>0</v>
      </c>
      <c r="M350" s="69">
        <f>VLOOKUP(A:A,'Seam Tariffs'!A:AB,14,FALSE)</f>
        <v>0</v>
      </c>
      <c r="N350" s="69">
        <f>VLOOKUP(A:A,'Seam Tariffs'!A:AB,28,FALSE)</f>
        <v>2.4</v>
      </c>
      <c r="O350" s="69">
        <f>COSTS!$W$6</f>
        <v>1.8958333333333335</v>
      </c>
      <c r="P350" s="69">
        <f>VLOOKUP(G350,COSTS!$V$11:$X$14,3,FALSE)</f>
        <v>0</v>
      </c>
      <c r="Q350" s="69">
        <f t="shared" si="35"/>
        <v>25.795833333333331</v>
      </c>
      <c r="R350" s="69">
        <f t="shared" si="36"/>
        <v>14.545833333333334</v>
      </c>
      <c r="S350" s="87">
        <f>VLOOKUP(A:A,'Flat Bed &amp; Late Fees'!A:J,6,FALSE)</f>
        <v>0</v>
      </c>
      <c r="T350" s="87">
        <f>VLOOKUP(A:A,'Flat Bed &amp; Late Fees'!A:J,7,FALSE)</f>
        <v>0</v>
      </c>
      <c r="U350" s="68">
        <f>VLOOKUP(C350&amp;G350,OTR!E:J,6,FALSE)/88</f>
        <v>15.909090909090908</v>
      </c>
      <c r="V350" s="87"/>
      <c r="W350" s="68">
        <f t="shared" si="37"/>
        <v>15.909090909090908</v>
      </c>
      <c r="X350" s="69">
        <f>VLOOKUP(G350,COSTS!$Z$18:$AC$23,2,FALSE)</f>
        <v>2.7</v>
      </c>
      <c r="Y350" s="87">
        <f>VLOOKUP(G350,COSTS!$Z$18:$AC$23,4,FALSE)</f>
        <v>2.52</v>
      </c>
      <c r="Z350" s="69">
        <f>(COSTS!$W$3*COSTS!$W$4*500)/52*COSTS!$AE$17</f>
        <v>1.3125</v>
      </c>
      <c r="AB350" s="69">
        <f t="shared" si="38"/>
        <v>6.5325000000000006</v>
      </c>
      <c r="AC350" s="69">
        <f>VLOOKUP(G350,COSTS!$Z$11:$AE$14,5,FALSE)</f>
        <v>6.6477272727272725</v>
      </c>
      <c r="AD350" s="69">
        <f>VLOOKUP(G350,COSTS!$Z$4:$AD$7,4,FALSE)</f>
        <v>9.8977272727272734</v>
      </c>
      <c r="AE350" s="69"/>
      <c r="AF350" s="69">
        <f t="shared" si="39"/>
        <v>16.545454545454547</v>
      </c>
      <c r="AG350" s="87">
        <f>((COSTS!$C$5*88)/20)/88</f>
        <v>1.4407150000000002</v>
      </c>
      <c r="AH350" s="69">
        <f>(COSTS!$X$38/88)*20</f>
        <v>0.34865702479338845</v>
      </c>
      <c r="AI350" s="87">
        <f>((COSTS!$E$5*88)/20)/88</f>
        <v>0.62936587135988387</v>
      </c>
      <c r="AJ350" s="87">
        <f>((COSTS!$D$5*88)/20)/88</f>
        <v>0.33676</v>
      </c>
      <c r="AL350" s="387">
        <f t="shared" si="40"/>
        <v>2.7554978961532726</v>
      </c>
      <c r="AM350" s="69">
        <f>(COSTS!$W$3+0.1)*500*0.01</f>
        <v>3.9999999999999996</v>
      </c>
      <c r="AN350" s="387">
        <f>((COSTS!$G$5/20)*88)/88</f>
        <v>1.308904109589041</v>
      </c>
      <c r="AR350" s="69">
        <f t="shared" si="41"/>
        <v>5.3089041095890401</v>
      </c>
      <c r="AT350" s="1">
        <f>VLOOKUP(C350&amp;$AT$1,OTR!E:J,6,FALSE)/88</f>
        <v>19.298749999999998</v>
      </c>
      <c r="AU350" s="1" t="e">
        <f>VLOOKUP(C350&amp;$AU$1,OTR!E:J,6,FALSE)/88</f>
        <v>#N/A</v>
      </c>
    </row>
    <row r="351" spans="1:47">
      <c r="A351" s="125">
        <v>944708</v>
      </c>
      <c r="B351" s="1" t="s">
        <v>767</v>
      </c>
      <c r="C351" s="1" t="s">
        <v>766</v>
      </c>
      <c r="D351" s="1" t="s">
        <v>71</v>
      </c>
      <c r="E351" s="1" t="s">
        <v>2067</v>
      </c>
      <c r="F351" s="1" t="str">
        <f>VLOOKUP(A:A,'Regions and Ports'!A:F,6,FALSE)</f>
        <v>WTX</v>
      </c>
      <c r="G351" s="1" t="s">
        <v>439</v>
      </c>
      <c r="H351" s="87">
        <v>2</v>
      </c>
      <c r="I351" s="69">
        <f>VLOOKUP(A:A,'Seam Tariffs'!A:AB,9,FALSE)</f>
        <v>5</v>
      </c>
      <c r="J351" s="69">
        <f>VLOOKUP(A:A,'Seam Tariffs'!A:AB,11,FALSE)</f>
        <v>6.25</v>
      </c>
      <c r="K351" s="69">
        <f>VLOOKUP(A:A,'Seam Tariffs'!A:AB,12,FALSE)</f>
        <v>10.25</v>
      </c>
      <c r="L351" s="69">
        <f>VLOOKUP(A:A,'Seam Tariffs'!A:AB,13,FALSE)</f>
        <v>0</v>
      </c>
      <c r="M351" s="69">
        <f>VLOOKUP(A:A,'Seam Tariffs'!A:AB,14,FALSE)</f>
        <v>0</v>
      </c>
      <c r="N351" s="69">
        <f>VLOOKUP(A:A,'Seam Tariffs'!A:AB,28,FALSE)</f>
        <v>2.4</v>
      </c>
      <c r="O351" s="69">
        <f>COSTS!$W$6</f>
        <v>1.8958333333333335</v>
      </c>
      <c r="P351" s="69">
        <f>VLOOKUP(G351,COSTS!$V$11:$X$14,3,FALSE)</f>
        <v>0</v>
      </c>
      <c r="Q351" s="69">
        <f t="shared" si="35"/>
        <v>25.795833333333331</v>
      </c>
      <c r="R351" s="69">
        <f t="shared" si="36"/>
        <v>14.545833333333334</v>
      </c>
      <c r="S351" s="87">
        <f>VLOOKUP(A:A,'Flat Bed &amp; Late Fees'!A:J,6,FALSE)</f>
        <v>0</v>
      </c>
      <c r="T351" s="87">
        <f>VLOOKUP(A:A,'Flat Bed &amp; Late Fees'!A:J,7,FALSE)</f>
        <v>0</v>
      </c>
      <c r="U351" s="68">
        <f>VLOOKUP(C351&amp;G351,OTR!E:J,6,FALSE)/88</f>
        <v>15.909090909090908</v>
      </c>
      <c r="V351" s="87"/>
      <c r="W351" s="68">
        <f t="shared" si="37"/>
        <v>15.909090909090908</v>
      </c>
      <c r="X351" s="69">
        <f>VLOOKUP(G351,COSTS!$Z$18:$AC$23,2,FALSE)</f>
        <v>2.7</v>
      </c>
      <c r="Y351" s="87">
        <f>VLOOKUP(G351,COSTS!$Z$18:$AC$23,4,FALSE)</f>
        <v>2.52</v>
      </c>
      <c r="Z351" s="69">
        <f>(COSTS!$W$3*COSTS!$W$4*500)/52*COSTS!$AE$17</f>
        <v>1.3125</v>
      </c>
      <c r="AB351" s="69">
        <f t="shared" si="38"/>
        <v>6.5325000000000006</v>
      </c>
      <c r="AC351" s="69">
        <f>VLOOKUP(G351,COSTS!$Z$11:$AE$14,5,FALSE)</f>
        <v>6.6477272727272725</v>
      </c>
      <c r="AD351" s="69">
        <f>VLOOKUP(G351,COSTS!$Z$4:$AD$7,4,FALSE)</f>
        <v>9.8977272727272734</v>
      </c>
      <c r="AE351" s="69"/>
      <c r="AF351" s="69">
        <f t="shared" si="39"/>
        <v>16.545454545454547</v>
      </c>
      <c r="AG351" s="87">
        <f>((COSTS!$C$5*88)/20)/88</f>
        <v>1.4407150000000002</v>
      </c>
      <c r="AH351" s="69">
        <f>(COSTS!$X$38/88)*20</f>
        <v>0.34865702479338845</v>
      </c>
      <c r="AI351" s="87">
        <f>((COSTS!$E$5*88)/20)/88</f>
        <v>0.62936587135988387</v>
      </c>
      <c r="AJ351" s="87">
        <f>((COSTS!$D$5*88)/20)/88</f>
        <v>0.33676</v>
      </c>
      <c r="AL351" s="387">
        <f t="shared" si="40"/>
        <v>2.7554978961532726</v>
      </c>
      <c r="AM351" s="69">
        <f>(COSTS!$W$3+0.1)*500*0.01</f>
        <v>3.9999999999999996</v>
      </c>
      <c r="AN351" s="387">
        <f>((COSTS!$G$5/20)*88)/88</f>
        <v>1.308904109589041</v>
      </c>
      <c r="AR351" s="69">
        <f t="shared" si="41"/>
        <v>5.3089041095890401</v>
      </c>
      <c r="AT351" s="1">
        <f>VLOOKUP(C351&amp;$AT$1,OTR!E:J,6,FALSE)/88</f>
        <v>19.298749999999998</v>
      </c>
      <c r="AU351" s="1" t="e">
        <f>VLOOKUP(C351&amp;$AU$1,OTR!E:J,6,FALSE)/88</f>
        <v>#N/A</v>
      </c>
    </row>
    <row r="352" spans="1:47">
      <c r="A352" s="1">
        <v>499502</v>
      </c>
      <c r="B352" s="1" t="s">
        <v>769</v>
      </c>
      <c r="C352" s="1" t="s">
        <v>770</v>
      </c>
      <c r="D352" s="1" t="s">
        <v>128</v>
      </c>
      <c r="E352" s="1" t="str">
        <f>VLOOKUP(A:A,'Regions and Ports'!A:G,5,FALSE)</f>
        <v>Memphis Rule 5</v>
      </c>
      <c r="F352" s="1" t="str">
        <f>VLOOKUP(A:A,'Regions and Ports'!A:F,6,FALSE)</f>
        <v>MR5</v>
      </c>
      <c r="G352" s="1" t="str">
        <f>VLOOKUP(A:A,'Regions and Ports'!A:G,7,FALSE)</f>
        <v>Memphis</v>
      </c>
      <c r="H352" s="87">
        <v>1</v>
      </c>
      <c r="I352" s="69">
        <f>VLOOKUP(A:A,'Seam Tariffs'!A:AB,9,FALSE)</f>
        <v>1.85</v>
      </c>
      <c r="J352" s="69">
        <f>VLOOKUP(A:A,'Seam Tariffs'!A:AB,11,FALSE)</f>
        <v>4</v>
      </c>
      <c r="K352" s="69">
        <f>VLOOKUP(A:A,'Seam Tariffs'!A:AB,12,FALSE)</f>
        <v>7</v>
      </c>
      <c r="L352" s="69">
        <f>VLOOKUP(A:A,'Seam Tariffs'!A:AB,13,FALSE)</f>
        <v>3.05</v>
      </c>
      <c r="M352" s="69">
        <f>VLOOKUP(A:A,'Seam Tariffs'!A:AB,14,FALSE)</f>
        <v>0</v>
      </c>
      <c r="N352" s="69">
        <f>VLOOKUP(A:A,'Seam Tariffs'!A:AB,28,FALSE)</f>
        <v>3</v>
      </c>
      <c r="O352" s="69">
        <f>COSTS!$W$6</f>
        <v>1.8958333333333335</v>
      </c>
      <c r="P352" s="69">
        <f>VLOOKUP(G352,COSTS!$V$11:$X$14,3,FALSE)</f>
        <v>0</v>
      </c>
      <c r="Q352" s="69">
        <f t="shared" si="35"/>
        <v>20.795833333333331</v>
      </c>
      <c r="R352" s="69">
        <f t="shared" si="36"/>
        <v>4.8958333333333339</v>
      </c>
      <c r="S352" s="87">
        <f>VLOOKUP(A:A,'Flat Bed &amp; Late Fees'!A:J,6,FALSE)</f>
        <v>0</v>
      </c>
      <c r="T352" s="87">
        <f>VLOOKUP(A:A,'Flat Bed &amp; Late Fees'!A:J,7,FALSE)</f>
        <v>0</v>
      </c>
      <c r="U352" s="68">
        <f>VLOOKUP(C352&amp;G352,OTR!E:J,6,FALSE)/88</f>
        <v>7.3863636363636367</v>
      </c>
      <c r="V352" s="87"/>
      <c r="W352" s="68">
        <f t="shared" si="37"/>
        <v>7.3863636363636367</v>
      </c>
      <c r="X352" s="69">
        <f>VLOOKUP(G352,COSTS!$Z$18:$AC$23,2,FALSE)</f>
        <v>2.5</v>
      </c>
      <c r="Y352" s="87">
        <f>VLOOKUP(G352,COSTS!$Z$18:$AC$23,4,FALSE)</f>
        <v>1.68</v>
      </c>
      <c r="Z352" s="69">
        <f>(COSTS!$W$3*COSTS!$W$4*500)/52*COSTS!$AE$17</f>
        <v>1.3125</v>
      </c>
      <c r="AB352" s="69">
        <f t="shared" si="38"/>
        <v>5.4924999999999997</v>
      </c>
      <c r="AC352" s="69">
        <f>VLOOKUP(G352,COSTS!$Z$11:$AE$14,5,FALSE)</f>
        <v>7.3011363636363633</v>
      </c>
      <c r="AD352" s="69">
        <f>VLOOKUP(G352,COSTS!$Z$4:$AD$7,4,FALSE)</f>
        <v>9.1363636363636367</v>
      </c>
      <c r="AE352" s="69"/>
      <c r="AF352" s="69">
        <f t="shared" si="39"/>
        <v>16.4375</v>
      </c>
      <c r="AG352" s="87">
        <f>((COSTS!$C$5*88)/20)/88</f>
        <v>1.4407150000000002</v>
      </c>
      <c r="AH352" s="69">
        <f>(COSTS!$X$38/88)*20</f>
        <v>0.34865702479338845</v>
      </c>
      <c r="AI352" s="87">
        <f>((COSTS!$E$5*88)/20)/88</f>
        <v>0.62936587135988387</v>
      </c>
      <c r="AJ352" s="87">
        <f>((COSTS!$D$5*88)/20)/88</f>
        <v>0.33676</v>
      </c>
      <c r="AL352" s="387">
        <f t="shared" si="40"/>
        <v>2.7554978961532726</v>
      </c>
      <c r="AM352" s="69">
        <f>(COSTS!$W$3+0.1)*500*0.01</f>
        <v>3.9999999999999996</v>
      </c>
      <c r="AN352" s="387">
        <f>((COSTS!$G$5/20)*88)/88</f>
        <v>1.308904109589041</v>
      </c>
      <c r="AR352" s="69">
        <f t="shared" si="41"/>
        <v>5.3089041095890401</v>
      </c>
      <c r="AT352" s="1">
        <f>VLOOKUP(C352&amp;$AT$1,OTR!E:J,6,FALSE)/88</f>
        <v>26.252613636363638</v>
      </c>
      <c r="AU352" s="1">
        <f>VLOOKUP(C352&amp;$AU$1,OTR!E:J,6,FALSE)/88</f>
        <v>25.079545454545453</v>
      </c>
    </row>
    <row r="353" spans="1:47">
      <c r="A353" s="1">
        <v>566505</v>
      </c>
      <c r="B353" s="1" t="s">
        <v>772</v>
      </c>
      <c r="C353" s="1" t="s">
        <v>773</v>
      </c>
      <c r="D353" s="1" t="s">
        <v>136</v>
      </c>
      <c r="E353" s="1" t="str">
        <f>VLOOKUP(A:A,'Regions and Ports'!A:G,5,FALSE)</f>
        <v>Eastern Rule 5</v>
      </c>
      <c r="F353" s="1" t="str">
        <f>VLOOKUP(A:A,'Regions and Ports'!A:F,6,FALSE)</f>
        <v>ER5</v>
      </c>
      <c r="G353" s="1" t="str">
        <f>VLOOKUP(A:A,'Regions and Ports'!A:G,7,FALSE)</f>
        <v>Savannah</v>
      </c>
      <c r="H353" s="87">
        <v>1</v>
      </c>
      <c r="I353" s="69">
        <f>VLOOKUP(A:A,'Seam Tariffs'!A:AB,9,FALSE)</f>
        <v>2</v>
      </c>
      <c r="J353" s="69">
        <f>VLOOKUP(A:A,'Seam Tariffs'!A:AB,11,FALSE)</f>
        <v>4</v>
      </c>
      <c r="K353" s="69">
        <f>VLOOKUP(A:A,'Seam Tariffs'!A:AB,12,FALSE)</f>
        <v>0</v>
      </c>
      <c r="L353" s="69">
        <f>VLOOKUP(A:A,'Seam Tariffs'!A:AB,13,FALSE)</f>
        <v>0</v>
      </c>
      <c r="M353" s="69">
        <f>VLOOKUP(A:A,'Seam Tariffs'!A:AB,14,FALSE)</f>
        <v>0</v>
      </c>
      <c r="N353" s="69">
        <f>VLOOKUP(A:A,'Seam Tariffs'!A:AB,28,FALSE)</f>
        <v>1.7</v>
      </c>
      <c r="O353" s="69">
        <f>COSTS!$W$6</f>
        <v>1.8958333333333335</v>
      </c>
      <c r="P353" s="69">
        <f>VLOOKUP(G353,COSTS!$V$11:$X$14,3,FALSE)</f>
        <v>0</v>
      </c>
      <c r="Q353" s="69">
        <f t="shared" si="35"/>
        <v>9.5958333333333332</v>
      </c>
      <c r="R353" s="69">
        <f t="shared" si="36"/>
        <v>3.5958333333333332</v>
      </c>
      <c r="S353" s="87">
        <f>VLOOKUP(A:A,'Flat Bed &amp; Late Fees'!A:J,6,FALSE)</f>
        <v>0</v>
      </c>
      <c r="T353" s="87">
        <f>VLOOKUP(A:A,'Flat Bed &amp; Late Fees'!A:J,7,FALSE)</f>
        <v>0</v>
      </c>
      <c r="U353" s="68">
        <f>VLOOKUP(C353&amp;G353,OTR!E:J,6,FALSE)/88</f>
        <v>15.07284090909091</v>
      </c>
      <c r="V353" s="87"/>
      <c r="W353" s="68">
        <f t="shared" si="37"/>
        <v>15.07284090909091</v>
      </c>
      <c r="X353" s="69">
        <f>VLOOKUP(G353,COSTS!$Z$18:$AC$23,2,FALSE)</f>
        <v>2.6</v>
      </c>
      <c r="Y353" s="87">
        <f>VLOOKUP(G353,COSTS!$Z$18:$AC$23,4,FALSE)</f>
        <v>2.52</v>
      </c>
      <c r="Z353" s="69">
        <f>(COSTS!$W$3*COSTS!$W$4*500)/52*COSTS!$AE$17</f>
        <v>1.3125</v>
      </c>
      <c r="AB353" s="69">
        <f t="shared" si="38"/>
        <v>6.4325000000000001</v>
      </c>
      <c r="AC353" s="69">
        <f>VLOOKUP(G353,COSTS!$Z$11:$AE$14,5,FALSE)</f>
        <v>5.5113636363636367</v>
      </c>
      <c r="AD353" s="69">
        <f>VLOOKUP(G353,COSTS!$Z$4:$AD$7,4,FALSE)</f>
        <v>5.3522727272727275</v>
      </c>
      <c r="AE353" s="69"/>
      <c r="AF353" s="69">
        <f t="shared" si="39"/>
        <v>10.863636363636363</v>
      </c>
      <c r="AG353" s="87">
        <f>((COSTS!$C$5*88)/20)/88</f>
        <v>1.4407150000000002</v>
      </c>
      <c r="AH353" s="69">
        <f>(COSTS!$X$38/88)*20</f>
        <v>0.34865702479338845</v>
      </c>
      <c r="AI353" s="87">
        <f>((COSTS!$E$5*88)/20)/88</f>
        <v>0.62936587135988387</v>
      </c>
      <c r="AJ353" s="87">
        <f>((COSTS!$D$5*88)/20)/88</f>
        <v>0.33676</v>
      </c>
      <c r="AL353" s="387">
        <f t="shared" si="40"/>
        <v>2.7554978961532726</v>
      </c>
      <c r="AM353" s="69">
        <f>(COSTS!$W$3+0.1)*500*0.01</f>
        <v>3.9999999999999996</v>
      </c>
      <c r="AN353" s="387">
        <f>((COSTS!$G$5/20)*88)/88</f>
        <v>1.308904109589041</v>
      </c>
      <c r="AR353" s="69">
        <f t="shared" si="41"/>
        <v>5.3089041095890401</v>
      </c>
      <c r="AT353" s="1" t="e">
        <f>VLOOKUP(C353&amp;$AT$1,OTR!E:J,6,FALSE)/88</f>
        <v>#N/A</v>
      </c>
      <c r="AU353" s="1">
        <f>VLOOKUP(C353&amp;$AU$1,OTR!E:J,6,FALSE)/88</f>
        <v>14.528409090909092</v>
      </c>
    </row>
    <row r="354" spans="1:47">
      <c r="A354" s="1">
        <v>301535</v>
      </c>
      <c r="B354" s="1" t="s">
        <v>774</v>
      </c>
      <c r="C354" s="1" t="s">
        <v>775</v>
      </c>
      <c r="D354" s="1" t="s">
        <v>76</v>
      </c>
      <c r="E354" s="1" t="str">
        <f>VLOOKUP(A:A,'Regions and Ports'!A:G,5,FALSE)</f>
        <v>GA 30 Day</v>
      </c>
      <c r="F354" s="1" t="str">
        <f>VLOOKUP(A:A,'Regions and Ports'!A:F,6,FALSE)</f>
        <v>ER5</v>
      </c>
      <c r="G354" s="1" t="str">
        <f>VLOOKUP(A:A,'Regions and Ports'!A:G,7,FALSE)</f>
        <v>Savannah</v>
      </c>
      <c r="H354" s="87">
        <v>4</v>
      </c>
      <c r="I354" s="69">
        <f>VLOOKUP(A:A,'Seam Tariffs'!A:AB,9,FALSE)</f>
        <v>4</v>
      </c>
      <c r="J354" s="69">
        <f>VLOOKUP(A:A,'Seam Tariffs'!A:AB,11,FALSE)</f>
        <v>6</v>
      </c>
      <c r="K354" s="69">
        <f>VLOOKUP(A:A,'Seam Tariffs'!A:AB,12,FALSE)</f>
        <v>0</v>
      </c>
      <c r="L354" s="69">
        <f>VLOOKUP(A:A,'Seam Tariffs'!A:AB,13,FALSE)</f>
        <v>0</v>
      </c>
      <c r="M354" s="69">
        <f>VLOOKUP(A:A,'Seam Tariffs'!A:AB,14,FALSE)</f>
        <v>0</v>
      </c>
      <c r="N354" s="69">
        <f>VLOOKUP(A:A,'Seam Tariffs'!A:AB,28,FALSE)</f>
        <v>3</v>
      </c>
      <c r="O354" s="69">
        <f>COSTS!$W$6</f>
        <v>1.8958333333333335</v>
      </c>
      <c r="P354" s="69">
        <f>VLOOKUP(G354,COSTS!$V$11:$X$14,3,FALSE)</f>
        <v>0</v>
      </c>
      <c r="Q354" s="69">
        <f t="shared" si="35"/>
        <v>14.895833333333334</v>
      </c>
      <c r="R354" s="69">
        <f t="shared" si="36"/>
        <v>1.8958333333333335</v>
      </c>
      <c r="S354" s="87">
        <f>VLOOKUP(A:A,'Flat Bed &amp; Late Fees'!A:J,6,FALSE)</f>
        <v>0</v>
      </c>
      <c r="T354" s="87">
        <f>VLOOKUP(A:A,'Flat Bed &amp; Late Fees'!A:J,7,FALSE)</f>
        <v>0</v>
      </c>
      <c r="U354" s="68">
        <f>VLOOKUP(C354&amp;G354,OTR!E:J,6,FALSE)/88</f>
        <v>11.202045454545454</v>
      </c>
      <c r="V354" s="87"/>
      <c r="W354" s="68">
        <f t="shared" si="37"/>
        <v>11.202045454545454</v>
      </c>
      <c r="X354" s="69">
        <f>VLOOKUP(G354,COSTS!$Z$18:$AC$23,2,FALSE)</f>
        <v>2.6</v>
      </c>
      <c r="Y354" s="87">
        <f>VLOOKUP(G354,COSTS!$Z$18:$AC$23,4,FALSE)</f>
        <v>2.52</v>
      </c>
      <c r="Z354" s="69">
        <f>(COSTS!$W$3*COSTS!$W$4*500)/52*COSTS!$AE$17</f>
        <v>1.3125</v>
      </c>
      <c r="AB354" s="69">
        <f t="shared" si="38"/>
        <v>6.4325000000000001</v>
      </c>
      <c r="AC354" s="69">
        <f>VLOOKUP(G354,COSTS!$Z$11:$AE$14,5,FALSE)</f>
        <v>5.5113636363636367</v>
      </c>
      <c r="AD354" s="69">
        <f>VLOOKUP(G354,COSTS!$Z$4:$AD$7,4,FALSE)</f>
        <v>5.3522727272727275</v>
      </c>
      <c r="AE354" s="69"/>
      <c r="AF354" s="69">
        <f t="shared" si="39"/>
        <v>10.863636363636363</v>
      </c>
      <c r="AG354" s="87">
        <f>((COSTS!$C$5*88)/20)/88</f>
        <v>1.4407150000000002</v>
      </c>
      <c r="AH354" s="69">
        <f>(COSTS!$X$38/88)*20</f>
        <v>0.34865702479338845</v>
      </c>
      <c r="AI354" s="87">
        <f>((COSTS!$E$5*88)/20)/88</f>
        <v>0.62936587135988387</v>
      </c>
      <c r="AJ354" s="87">
        <f>((COSTS!$D$5*88)/20)/88</f>
        <v>0.33676</v>
      </c>
      <c r="AL354" s="387">
        <f t="shared" si="40"/>
        <v>2.7554978961532726</v>
      </c>
      <c r="AM354" s="69">
        <f>(COSTS!$W$3+0.1)*500*0.01</f>
        <v>3.9999999999999996</v>
      </c>
      <c r="AN354" s="387">
        <f>((COSTS!$G$5/20)*88)/88</f>
        <v>1.308904109589041</v>
      </c>
      <c r="AR354" s="69">
        <f t="shared" si="41"/>
        <v>5.3089041095890401</v>
      </c>
      <c r="AT354" s="1">
        <f>VLOOKUP(C354&amp;$AT$1,OTR!E:J,6,FALSE)/88</f>
        <v>27.262045454545454</v>
      </c>
      <c r="AU354" s="1">
        <f>VLOOKUP(C354&amp;$AU$1,OTR!E:J,6,FALSE)/88</f>
        <v>15.142045454545455</v>
      </c>
    </row>
    <row r="355" spans="1:47">
      <c r="A355" s="1">
        <v>104510</v>
      </c>
      <c r="B355" s="1" t="s">
        <v>777</v>
      </c>
      <c r="C355" s="1" t="s">
        <v>778</v>
      </c>
      <c r="D355" s="1" t="s">
        <v>65</v>
      </c>
      <c r="E355" s="1" t="str">
        <f>VLOOKUP(A:A,'Regions and Ports'!A:G,5,FALSE)</f>
        <v>Eastern Rule 5</v>
      </c>
      <c r="F355" s="1" t="str">
        <f>VLOOKUP(A:A,'Regions and Ports'!A:F,6,FALSE)</f>
        <v>ER5</v>
      </c>
      <c r="G355" s="1" t="str">
        <f>VLOOKUP(A:A,'Regions and Ports'!A:G,7,FALSE)</f>
        <v>Savannah</v>
      </c>
      <c r="H355" s="87">
        <v>1</v>
      </c>
      <c r="I355" s="69">
        <f>VLOOKUP(A:A,'Seam Tariffs'!A:AB,9,FALSE)</f>
        <v>3.25</v>
      </c>
      <c r="J355" s="69">
        <f>VLOOKUP(A:A,'Seam Tariffs'!A:AB,11,FALSE)</f>
        <v>5.5</v>
      </c>
      <c r="K355" s="69">
        <f>VLOOKUP(A:A,'Seam Tariffs'!A:AB,12,FALSE)</f>
        <v>3.5</v>
      </c>
      <c r="L355" s="69">
        <f>VLOOKUP(A:A,'Seam Tariffs'!A:AB,13,FALSE)</f>
        <v>3</v>
      </c>
      <c r="M355" s="69">
        <f>VLOOKUP(A:A,'Seam Tariffs'!A:AB,14,FALSE)</f>
        <v>1</v>
      </c>
      <c r="N355" s="69">
        <f>VLOOKUP(A:A,'Seam Tariffs'!A:AB,28,FALSE)</f>
        <v>2.75</v>
      </c>
      <c r="O355" s="69">
        <f>COSTS!$W$6</f>
        <v>1.8958333333333335</v>
      </c>
      <c r="P355" s="69">
        <f>VLOOKUP(G355,COSTS!$V$11:$X$14,3,FALSE)</f>
        <v>0</v>
      </c>
      <c r="Q355" s="69">
        <f t="shared" si="35"/>
        <v>20.895833333333332</v>
      </c>
      <c r="R355" s="69">
        <f t="shared" si="36"/>
        <v>4.6458333333333339</v>
      </c>
      <c r="S355" s="87">
        <f>VLOOKUP(A:A,'Flat Bed &amp; Late Fees'!A:J,6,FALSE)</f>
        <v>0</v>
      </c>
      <c r="T355" s="87">
        <f>VLOOKUP(A:A,'Flat Bed &amp; Late Fees'!A:J,7,FALSE)</f>
        <v>0</v>
      </c>
      <c r="U355" s="68">
        <f>VLOOKUP(C355&amp;G355,OTR!E:J,6,FALSE)/88</f>
        <v>16.764005681818183</v>
      </c>
      <c r="V355" s="87"/>
      <c r="W355" s="68">
        <f t="shared" si="37"/>
        <v>16.764005681818183</v>
      </c>
      <c r="X355" s="69">
        <f>VLOOKUP(G355,COSTS!$Z$18:$AC$23,2,FALSE)</f>
        <v>2.6</v>
      </c>
      <c r="Y355" s="87">
        <f>VLOOKUP(G355,COSTS!$Z$18:$AC$23,4,FALSE)</f>
        <v>2.52</v>
      </c>
      <c r="Z355" s="69">
        <f>(COSTS!$W$3*COSTS!$W$4*500)/52*COSTS!$AE$17</f>
        <v>1.3125</v>
      </c>
      <c r="AB355" s="69">
        <f t="shared" si="38"/>
        <v>6.4325000000000001</v>
      </c>
      <c r="AC355" s="69">
        <f>VLOOKUP(G355,COSTS!$Z$11:$AE$14,5,FALSE)</f>
        <v>5.5113636363636367</v>
      </c>
      <c r="AD355" s="69">
        <f>VLOOKUP(G355,COSTS!$Z$4:$AD$7,4,FALSE)</f>
        <v>5.3522727272727275</v>
      </c>
      <c r="AE355" s="69"/>
      <c r="AF355" s="69">
        <f t="shared" si="39"/>
        <v>10.863636363636363</v>
      </c>
      <c r="AG355" s="87">
        <f>((COSTS!$C$5*88)/20)/88</f>
        <v>1.4407150000000002</v>
      </c>
      <c r="AH355" s="69">
        <f>(COSTS!$X$38/88)*20</f>
        <v>0.34865702479338845</v>
      </c>
      <c r="AI355" s="87">
        <f>((COSTS!$E$5*88)/20)/88</f>
        <v>0.62936587135988387</v>
      </c>
      <c r="AJ355" s="87">
        <f>((COSTS!$D$5*88)/20)/88</f>
        <v>0.33676</v>
      </c>
      <c r="AL355" s="387">
        <f t="shared" si="40"/>
        <v>2.7554978961532726</v>
      </c>
      <c r="AM355" s="69">
        <f>(COSTS!$W$3+0.1)*500*0.01</f>
        <v>3.9999999999999996</v>
      </c>
      <c r="AN355" s="387">
        <f>((COSTS!$G$5/20)*88)/88</f>
        <v>1.308904109589041</v>
      </c>
      <c r="AR355" s="69">
        <f t="shared" si="41"/>
        <v>5.3089041095890401</v>
      </c>
      <c r="AT355" s="1" t="e">
        <f>VLOOKUP(C355&amp;$AT$1,OTR!E:J,6,FALSE)/88</f>
        <v>#N/A</v>
      </c>
      <c r="AU355" s="1">
        <f>VLOOKUP(C355&amp;$AU$1,OTR!E:J,6,FALSE)/88</f>
        <v>19.147727272727273</v>
      </c>
    </row>
    <row r="356" spans="1:47">
      <c r="A356" s="1">
        <v>548900</v>
      </c>
      <c r="B356" s="1" t="s">
        <v>780</v>
      </c>
      <c r="C356" s="1" t="s">
        <v>781</v>
      </c>
      <c r="D356" s="1" t="s">
        <v>253</v>
      </c>
      <c r="E356" s="1" t="str">
        <f>VLOOKUP(A:A,'Regions and Ports'!A:G,5,FALSE)</f>
        <v>WTX</v>
      </c>
      <c r="F356" s="1" t="str">
        <f>VLOOKUP(A:A,'Regions and Ports'!A:F,6,FALSE)</f>
        <v>WTX</v>
      </c>
      <c r="G356" s="1" t="str">
        <f>VLOOKUP(A:A,'Regions and Ports'!A:G,7,FALSE)</f>
        <v>Los Angeles</v>
      </c>
      <c r="H356" s="87">
        <v>2</v>
      </c>
      <c r="I356" s="69">
        <f>VLOOKUP(A:A,'Seam Tariffs'!A:AB,9,FALSE)</f>
        <v>3</v>
      </c>
      <c r="J356" s="69">
        <f>VLOOKUP(A:A,'Seam Tariffs'!A:AB,11,FALSE)</f>
        <v>6</v>
      </c>
      <c r="K356" s="69">
        <f>VLOOKUP(A:A,'Seam Tariffs'!A:AB,12,FALSE)</f>
        <v>8.25</v>
      </c>
      <c r="L356" s="69">
        <f>VLOOKUP(A:A,'Seam Tariffs'!A:AB,13,FALSE)</f>
        <v>0</v>
      </c>
      <c r="M356" s="69">
        <f>VLOOKUP(A:A,'Seam Tariffs'!A:AB,14,FALSE)</f>
        <v>0</v>
      </c>
      <c r="N356" s="69">
        <f>VLOOKUP(A:A,'Seam Tariffs'!A:AB,28,FALSE)</f>
        <v>3.9000000000000004</v>
      </c>
      <c r="O356" s="69">
        <f>COSTS!$W$6</f>
        <v>1.8958333333333335</v>
      </c>
      <c r="P356" s="69" t="e">
        <f>VLOOKUP(G356,COSTS!$V$11:$X$14,3,FALSE)</f>
        <v>#N/A</v>
      </c>
      <c r="Q356" s="69" t="e">
        <f t="shared" si="35"/>
        <v>#N/A</v>
      </c>
      <c r="R356" s="69" t="e">
        <f t="shared" si="36"/>
        <v>#N/A</v>
      </c>
      <c r="S356" s="87">
        <f>VLOOKUP(A:A,'Flat Bed &amp; Late Fees'!A:J,6,FALSE)</f>
        <v>0</v>
      </c>
      <c r="T356" s="87">
        <f>VLOOKUP(A:A,'Flat Bed &amp; Late Fees'!A:J,7,FALSE)</f>
        <v>0</v>
      </c>
      <c r="U356" s="68" t="e">
        <f>VLOOKUP(C356&amp;G356,OTR!E:J,6,FALSE)/88</f>
        <v>#N/A</v>
      </c>
      <c r="V356" s="87"/>
      <c r="W356" s="68" t="e">
        <f t="shared" si="37"/>
        <v>#N/A</v>
      </c>
      <c r="X356" s="69" t="e">
        <f>VLOOKUP(G356,COSTS!$Z$18:$AC$23,2,FALSE)</f>
        <v>#N/A</v>
      </c>
      <c r="Y356" s="87" t="e">
        <f>VLOOKUP(G356,COSTS!$Z$18:$AC$23,4,FALSE)</f>
        <v>#N/A</v>
      </c>
      <c r="Z356" s="69">
        <f>(COSTS!$W$3*COSTS!$W$4*500)/52*COSTS!$AE$17</f>
        <v>1.3125</v>
      </c>
      <c r="AB356" s="69" t="e">
        <f t="shared" si="38"/>
        <v>#N/A</v>
      </c>
      <c r="AC356" s="69" t="e">
        <f>VLOOKUP(G356,COSTS!$Z$11:$AE$14,5,FALSE)</f>
        <v>#N/A</v>
      </c>
      <c r="AD356" s="69" t="e">
        <f>VLOOKUP(G356,COSTS!$Z$4:$AD$7,4,FALSE)</f>
        <v>#N/A</v>
      </c>
      <c r="AE356" s="69"/>
      <c r="AF356" s="69" t="e">
        <f t="shared" si="39"/>
        <v>#N/A</v>
      </c>
      <c r="AG356" s="87">
        <f>((COSTS!$C$5*88)/20)/88</f>
        <v>1.4407150000000002</v>
      </c>
      <c r="AH356" s="69">
        <f>(COSTS!$X$38/88)*20</f>
        <v>0.34865702479338845</v>
      </c>
      <c r="AI356" s="87">
        <f>((COSTS!$E$5*88)/20)/88</f>
        <v>0.62936587135988387</v>
      </c>
      <c r="AJ356" s="87">
        <f>((COSTS!$D$5*88)/20)/88</f>
        <v>0.33676</v>
      </c>
      <c r="AL356" s="387">
        <f t="shared" si="40"/>
        <v>2.7554978961532726</v>
      </c>
      <c r="AM356" s="69">
        <f>(COSTS!$W$3+0.1)*500*0.01</f>
        <v>3.9999999999999996</v>
      </c>
      <c r="AN356" s="387">
        <f>((COSTS!$G$5/20)*88)/88</f>
        <v>1.308904109589041</v>
      </c>
      <c r="AR356" s="69">
        <f t="shared" si="41"/>
        <v>5.3089041095890401</v>
      </c>
      <c r="AT356" s="1" t="e">
        <f>VLOOKUP(C356&amp;$AT$1,OTR!E:J,6,FALSE)/88</f>
        <v>#N/A</v>
      </c>
      <c r="AU356" s="1" t="e">
        <f>VLOOKUP(C356&amp;$AU$1,OTR!E:J,6,FALSE)/88</f>
        <v>#N/A</v>
      </c>
    </row>
    <row r="357" spans="1:47">
      <c r="A357" s="1">
        <v>947505</v>
      </c>
      <c r="B357" s="1" t="s">
        <v>783</v>
      </c>
      <c r="C357" s="1" t="s">
        <v>784</v>
      </c>
      <c r="D357" s="1" t="s">
        <v>71</v>
      </c>
      <c r="E357" s="1" t="str">
        <f>VLOOKUP(A:A,'Regions and Ports'!A:G,5,FALSE)</f>
        <v>WTX</v>
      </c>
      <c r="F357" s="1" t="str">
        <f>VLOOKUP(A:A,'Regions and Ports'!A:F,6,FALSE)</f>
        <v>WTX</v>
      </c>
      <c r="G357" s="1" t="str">
        <f>VLOOKUP(A:A,'Regions and Ports'!A:G,7,FALSE)</f>
        <v>Dallas</v>
      </c>
      <c r="H357" s="87">
        <v>2</v>
      </c>
      <c r="I357" s="69">
        <f>VLOOKUP(A:A,'Seam Tariffs'!A:AB,9,FALSE)</f>
        <v>4.5</v>
      </c>
      <c r="J357" s="69">
        <f>VLOOKUP(A:A,'Seam Tariffs'!A:AB,11,FALSE)</f>
        <v>6</v>
      </c>
      <c r="K357" s="69">
        <f>VLOOKUP(A:A,'Seam Tariffs'!A:AB,12,FALSE)</f>
        <v>9.75</v>
      </c>
      <c r="L357" s="69">
        <f>VLOOKUP(A:A,'Seam Tariffs'!A:AB,13,FALSE)</f>
        <v>0</v>
      </c>
      <c r="M357" s="69">
        <f>VLOOKUP(A:A,'Seam Tariffs'!A:AB,14,FALSE)</f>
        <v>0</v>
      </c>
      <c r="N357" s="69">
        <f>VLOOKUP(A:A,'Seam Tariffs'!A:AB,28,FALSE)</f>
        <v>2.1</v>
      </c>
      <c r="O357" s="69">
        <f>COSTS!$W$6</f>
        <v>1.8958333333333335</v>
      </c>
      <c r="P357" s="69">
        <f>VLOOKUP(G357,COSTS!$V$11:$X$14,3,FALSE)</f>
        <v>0</v>
      </c>
      <c r="Q357" s="69">
        <f t="shared" si="35"/>
        <v>24.245833333333334</v>
      </c>
      <c r="R357" s="69">
        <f t="shared" si="36"/>
        <v>13.745833333333334</v>
      </c>
      <c r="S357" s="87">
        <f>VLOOKUP(A:A,'Flat Bed &amp; Late Fees'!A:J,6,FALSE)</f>
        <v>0</v>
      </c>
      <c r="T357" s="87">
        <f>VLOOKUP(A:A,'Flat Bed &amp; Late Fees'!A:J,7,FALSE)</f>
        <v>0</v>
      </c>
      <c r="U357" s="68">
        <f>VLOOKUP(C357&amp;G357,OTR!E:J,6,FALSE)/88</f>
        <v>7.8977272727272725</v>
      </c>
      <c r="V357" s="87"/>
      <c r="W357" s="68">
        <f t="shared" si="37"/>
        <v>7.8977272727272725</v>
      </c>
      <c r="X357" s="69">
        <f>VLOOKUP(G357,COSTS!$Z$18:$AC$23,2,FALSE)</f>
        <v>2.7</v>
      </c>
      <c r="Y357" s="87">
        <f>VLOOKUP(G357,COSTS!$Z$18:$AC$23,4,FALSE)</f>
        <v>2.52</v>
      </c>
      <c r="Z357" s="69">
        <f>(COSTS!$W$3*COSTS!$W$4*500)/52*COSTS!$AE$17</f>
        <v>1.3125</v>
      </c>
      <c r="AB357" s="69">
        <f t="shared" si="38"/>
        <v>6.5325000000000006</v>
      </c>
      <c r="AC357" s="69">
        <f>VLOOKUP(G357,COSTS!$Z$11:$AE$14,5,FALSE)</f>
        <v>8.125</v>
      </c>
      <c r="AD357" s="69">
        <f>VLOOKUP(G357,COSTS!$Z$4:$AD$7,4,FALSE)</f>
        <v>13.409090909090908</v>
      </c>
      <c r="AE357" s="69"/>
      <c r="AF357" s="69">
        <f t="shared" si="39"/>
        <v>21.534090909090907</v>
      </c>
      <c r="AG357" s="87">
        <f>((COSTS!$C$5*88)/20)/88</f>
        <v>1.4407150000000002</v>
      </c>
      <c r="AH357" s="69">
        <f>(COSTS!$X$38/88)*20</f>
        <v>0.34865702479338845</v>
      </c>
      <c r="AI357" s="87">
        <f>((COSTS!$E$5*88)/20)/88</f>
        <v>0.62936587135988387</v>
      </c>
      <c r="AJ357" s="87">
        <f>((COSTS!$D$5*88)/20)/88</f>
        <v>0.33676</v>
      </c>
      <c r="AL357" s="387">
        <f t="shared" si="40"/>
        <v>2.7554978961532726</v>
      </c>
      <c r="AM357" s="69">
        <f>(COSTS!$W$3+0.1)*500*0.01</f>
        <v>3.9999999999999996</v>
      </c>
      <c r="AN357" s="387">
        <f>((COSTS!$G$5/20)*88)/88</f>
        <v>1.308904109589041</v>
      </c>
      <c r="AR357" s="69">
        <f t="shared" si="41"/>
        <v>5.3089041095890401</v>
      </c>
      <c r="AT357" s="1">
        <f>VLOOKUP(C357&amp;$AT$1,OTR!E:J,6,FALSE)/88</f>
        <v>14.347727272727271</v>
      </c>
      <c r="AU357" s="1" t="e">
        <f>VLOOKUP(C357&amp;$AU$1,OTR!E:J,6,FALSE)/88</f>
        <v>#N/A</v>
      </c>
    </row>
    <row r="358" spans="1:47">
      <c r="A358" s="125">
        <v>947505</v>
      </c>
      <c r="B358" s="1" t="s">
        <v>783</v>
      </c>
      <c r="C358" s="1" t="s">
        <v>784</v>
      </c>
      <c r="D358" s="1" t="s">
        <v>71</v>
      </c>
      <c r="E358" s="1" t="s">
        <v>2067</v>
      </c>
      <c r="F358" s="1" t="str">
        <f>VLOOKUP(A:A,'Regions and Ports'!A:F,6,FALSE)</f>
        <v>WTX</v>
      </c>
      <c r="G358" s="1" t="s">
        <v>439</v>
      </c>
      <c r="H358" s="87">
        <v>2</v>
      </c>
      <c r="I358" s="69">
        <f>VLOOKUP(A:A,'Seam Tariffs'!A:AB,9,FALSE)</f>
        <v>4.5</v>
      </c>
      <c r="J358" s="69">
        <f>VLOOKUP(A:A,'Seam Tariffs'!A:AB,11,FALSE)</f>
        <v>6</v>
      </c>
      <c r="K358" s="69">
        <f>VLOOKUP(A:A,'Seam Tariffs'!A:AB,12,FALSE)</f>
        <v>9.75</v>
      </c>
      <c r="L358" s="69">
        <f>VLOOKUP(A:A,'Seam Tariffs'!A:AB,13,FALSE)</f>
        <v>0</v>
      </c>
      <c r="M358" s="69">
        <f>VLOOKUP(A:A,'Seam Tariffs'!A:AB,14,FALSE)</f>
        <v>0</v>
      </c>
      <c r="N358" s="69">
        <f>VLOOKUP(A:A,'Seam Tariffs'!A:AB,28,FALSE)</f>
        <v>2.1</v>
      </c>
      <c r="O358" s="69">
        <f>COSTS!$W$6</f>
        <v>1.8958333333333335</v>
      </c>
      <c r="P358" s="69">
        <f>VLOOKUP(G358,COSTS!$V$11:$X$14,3,FALSE)</f>
        <v>0</v>
      </c>
      <c r="Q358" s="69">
        <f t="shared" si="35"/>
        <v>24.245833333333334</v>
      </c>
      <c r="R358" s="69">
        <f t="shared" si="36"/>
        <v>13.745833333333334</v>
      </c>
      <c r="S358" s="87">
        <f>VLOOKUP(A:A,'Flat Bed &amp; Late Fees'!A:J,6,FALSE)</f>
        <v>0</v>
      </c>
      <c r="T358" s="87">
        <f>VLOOKUP(A:A,'Flat Bed &amp; Late Fees'!A:J,7,FALSE)</f>
        <v>0</v>
      </c>
      <c r="U358" s="68">
        <f>VLOOKUP(C358&amp;G358,OTR!E:J,6,FALSE)/88</f>
        <v>17.613636363636363</v>
      </c>
      <c r="V358" s="87"/>
      <c r="W358" s="68">
        <f t="shared" si="37"/>
        <v>17.613636363636363</v>
      </c>
      <c r="X358" s="69">
        <f>VLOOKUP(G358,COSTS!$Z$18:$AC$23,2,FALSE)</f>
        <v>2.7</v>
      </c>
      <c r="Y358" s="87">
        <f>VLOOKUP(G358,COSTS!$Z$18:$AC$23,4,FALSE)</f>
        <v>2.52</v>
      </c>
      <c r="Z358" s="69">
        <f>(COSTS!$W$3*COSTS!$W$4*500)/52*COSTS!$AE$17</f>
        <v>1.3125</v>
      </c>
      <c r="AB358" s="69">
        <f t="shared" si="38"/>
        <v>6.5325000000000006</v>
      </c>
      <c r="AC358" s="69">
        <f>VLOOKUP(G358,COSTS!$Z$11:$AE$14,5,FALSE)</f>
        <v>6.6477272727272725</v>
      </c>
      <c r="AD358" s="69">
        <f>VLOOKUP(G358,COSTS!$Z$4:$AD$7,4,FALSE)</f>
        <v>9.8977272727272734</v>
      </c>
      <c r="AE358" s="69"/>
      <c r="AF358" s="69">
        <f t="shared" si="39"/>
        <v>16.545454545454547</v>
      </c>
      <c r="AG358" s="87">
        <f>((COSTS!$C$5*88)/20)/88</f>
        <v>1.4407150000000002</v>
      </c>
      <c r="AH358" s="69">
        <f>(COSTS!$X$38/88)*20</f>
        <v>0.34865702479338845</v>
      </c>
      <c r="AI358" s="87">
        <f>((COSTS!$E$5*88)/20)/88</f>
        <v>0.62936587135988387</v>
      </c>
      <c r="AJ358" s="87">
        <f>((COSTS!$D$5*88)/20)/88</f>
        <v>0.33676</v>
      </c>
      <c r="AL358" s="387">
        <f t="shared" si="40"/>
        <v>2.7554978961532726</v>
      </c>
      <c r="AM358" s="69">
        <f>(COSTS!$W$3+0.1)*500*0.01</f>
        <v>3.9999999999999996</v>
      </c>
      <c r="AN358" s="387">
        <f>((COSTS!$G$5/20)*88)/88</f>
        <v>1.308904109589041</v>
      </c>
      <c r="AR358" s="69">
        <f t="shared" si="41"/>
        <v>5.3089041095890401</v>
      </c>
      <c r="AT358" s="1">
        <f>VLOOKUP(C358&amp;$AT$1,OTR!E:J,6,FALSE)/88</f>
        <v>14.347727272727271</v>
      </c>
      <c r="AU358" s="1" t="e">
        <f>VLOOKUP(C358&amp;$AU$1,OTR!E:J,6,FALSE)/88</f>
        <v>#N/A</v>
      </c>
    </row>
    <row r="359" spans="1:47">
      <c r="A359" s="1">
        <v>347750</v>
      </c>
      <c r="B359" s="1" t="s">
        <v>786</v>
      </c>
      <c r="C359" s="1" t="s">
        <v>787</v>
      </c>
      <c r="D359" s="1" t="s">
        <v>76</v>
      </c>
      <c r="E359" s="1" t="str">
        <f>VLOOKUP(A:A,'Regions and Ports'!A:G,5,FALSE)</f>
        <v>GA 30 Day</v>
      </c>
      <c r="F359" s="1" t="str">
        <f>VLOOKUP(A:A,'Regions and Ports'!A:F,6,FALSE)</f>
        <v>ER5</v>
      </c>
      <c r="G359" s="1" t="str">
        <f>VLOOKUP(A:A,'Regions and Ports'!A:G,7,FALSE)</f>
        <v>Savannah</v>
      </c>
      <c r="H359" s="87">
        <v>4</v>
      </c>
      <c r="I359" s="69">
        <f>VLOOKUP(A:A,'Seam Tariffs'!A:AB,9,FALSE)</f>
        <v>0</v>
      </c>
      <c r="J359" s="69">
        <f>VLOOKUP(A:A,'Seam Tariffs'!A:AB,11,FALSE)</f>
        <v>0</v>
      </c>
      <c r="K359" s="69">
        <f>VLOOKUP(A:A,'Seam Tariffs'!A:AB,12,FALSE)</f>
        <v>0</v>
      </c>
      <c r="L359" s="69">
        <f>VLOOKUP(A:A,'Seam Tariffs'!A:AB,13,FALSE)</f>
        <v>0</v>
      </c>
      <c r="M359" s="69">
        <f>VLOOKUP(A:A,'Seam Tariffs'!A:AB,14,FALSE)</f>
        <v>1</v>
      </c>
      <c r="N359" s="69">
        <f>VLOOKUP(A:A,'Seam Tariffs'!A:AB,28,FALSE)</f>
        <v>4.25</v>
      </c>
      <c r="O359" s="69">
        <f>COSTS!$W$6</f>
        <v>1.8958333333333335</v>
      </c>
      <c r="P359" s="69">
        <f>VLOOKUP(G359,COSTS!$V$11:$X$14,3,FALSE)</f>
        <v>0</v>
      </c>
      <c r="Q359" s="69">
        <f t="shared" si="35"/>
        <v>7.1458333333333339</v>
      </c>
      <c r="R359" s="69">
        <f t="shared" si="36"/>
        <v>1.8958333333333335</v>
      </c>
      <c r="S359" s="87">
        <f>VLOOKUP(A:A,'Flat Bed &amp; Late Fees'!A:J,6,FALSE)</f>
        <v>0</v>
      </c>
      <c r="T359" s="87">
        <f>VLOOKUP(A:A,'Flat Bed &amp; Late Fees'!A:J,7,FALSE)</f>
        <v>0</v>
      </c>
      <c r="U359" s="68">
        <f>VLOOKUP(C359&amp;G359,OTR!E:J,6,FALSE)/88</f>
        <v>11.3725</v>
      </c>
      <c r="V359" s="87"/>
      <c r="W359" s="68">
        <f t="shared" si="37"/>
        <v>11.3725</v>
      </c>
      <c r="X359" s="69">
        <f>VLOOKUP(G359,COSTS!$Z$18:$AC$23,2,FALSE)</f>
        <v>2.6</v>
      </c>
      <c r="Y359" s="87">
        <f>VLOOKUP(G359,COSTS!$Z$18:$AC$23,4,FALSE)</f>
        <v>2.52</v>
      </c>
      <c r="Z359" s="69">
        <f>(COSTS!$W$3*COSTS!$W$4*500)/52*COSTS!$AE$17</f>
        <v>1.3125</v>
      </c>
      <c r="AB359" s="69">
        <f t="shared" si="38"/>
        <v>6.4325000000000001</v>
      </c>
      <c r="AC359" s="69">
        <f>VLOOKUP(G359,COSTS!$Z$11:$AE$14,5,FALSE)</f>
        <v>5.5113636363636367</v>
      </c>
      <c r="AD359" s="69">
        <f>VLOOKUP(G359,COSTS!$Z$4:$AD$7,4,FALSE)</f>
        <v>5.3522727272727275</v>
      </c>
      <c r="AE359" s="69"/>
      <c r="AF359" s="69">
        <f t="shared" si="39"/>
        <v>10.863636363636363</v>
      </c>
      <c r="AG359" s="87">
        <f>((COSTS!$C$5*88)/20)/88</f>
        <v>1.4407150000000002</v>
      </c>
      <c r="AH359" s="69">
        <f>(COSTS!$X$38/88)*20</f>
        <v>0.34865702479338845</v>
      </c>
      <c r="AI359" s="87">
        <f>((COSTS!$E$5*88)/20)/88</f>
        <v>0.62936587135988387</v>
      </c>
      <c r="AJ359" s="87">
        <f>((COSTS!$D$5*88)/20)/88</f>
        <v>0.33676</v>
      </c>
      <c r="AL359" s="387">
        <f t="shared" si="40"/>
        <v>2.7554978961532726</v>
      </c>
      <c r="AM359" s="69">
        <f>(COSTS!$W$3+0.1)*500*0.01</f>
        <v>3.9999999999999996</v>
      </c>
      <c r="AN359" s="387">
        <f>((COSTS!$G$5/20)*88)/88</f>
        <v>1.308904109589041</v>
      </c>
      <c r="AR359" s="69">
        <f t="shared" si="41"/>
        <v>5.3089041095890401</v>
      </c>
      <c r="AT359" s="1">
        <f>VLOOKUP(C359&amp;$AT$1,OTR!E:J,6,FALSE)/88</f>
        <v>26.524999999999999</v>
      </c>
      <c r="AU359" s="1">
        <f>VLOOKUP(C359&amp;$AU$1,OTR!E:J,6,FALSE)/88</f>
        <v>15.227272727272727</v>
      </c>
    </row>
    <row r="360" spans="1:47">
      <c r="A360" s="1">
        <v>349526</v>
      </c>
      <c r="B360" s="1" t="s">
        <v>788</v>
      </c>
      <c r="C360" s="1" t="s">
        <v>787</v>
      </c>
      <c r="D360" s="1" t="s">
        <v>76</v>
      </c>
      <c r="E360" s="1" t="str">
        <f>VLOOKUP(A:A,'Regions and Ports'!A:G,5,FALSE)</f>
        <v>GA 30 Day</v>
      </c>
      <c r="F360" s="1" t="str">
        <f>VLOOKUP(A:A,'Regions and Ports'!A:F,6,FALSE)</f>
        <v>ER5</v>
      </c>
      <c r="G360" s="1" t="str">
        <f>VLOOKUP(A:A,'Regions and Ports'!A:G,7,FALSE)</f>
        <v>Savannah</v>
      </c>
      <c r="H360" s="87">
        <v>4</v>
      </c>
      <c r="I360" s="69">
        <f>VLOOKUP(A:A,'Seam Tariffs'!A:AB,9,FALSE)</f>
        <v>3.5</v>
      </c>
      <c r="J360" s="69">
        <f>VLOOKUP(A:A,'Seam Tariffs'!A:AB,11,FALSE)</f>
        <v>5</v>
      </c>
      <c r="K360" s="69">
        <f>VLOOKUP(A:A,'Seam Tariffs'!A:AB,12,FALSE)</f>
        <v>0</v>
      </c>
      <c r="L360" s="69">
        <f>VLOOKUP(A:A,'Seam Tariffs'!A:AB,13,FALSE)</f>
        <v>0</v>
      </c>
      <c r="M360" s="69">
        <f>VLOOKUP(A:A,'Seam Tariffs'!A:AB,14,FALSE)</f>
        <v>1</v>
      </c>
      <c r="N360" s="69">
        <f>VLOOKUP(A:A,'Seam Tariffs'!A:AB,28,FALSE)</f>
        <v>3</v>
      </c>
      <c r="O360" s="69">
        <f>COSTS!$W$6</f>
        <v>1.8958333333333335</v>
      </c>
      <c r="P360" s="69">
        <f>VLOOKUP(G360,COSTS!$V$11:$X$14,3,FALSE)</f>
        <v>0</v>
      </c>
      <c r="Q360" s="69">
        <f t="shared" si="35"/>
        <v>14.395833333333334</v>
      </c>
      <c r="R360" s="69">
        <f t="shared" si="36"/>
        <v>1.8958333333333335</v>
      </c>
      <c r="S360" s="87">
        <f>VLOOKUP(A:A,'Flat Bed &amp; Late Fees'!A:J,6,FALSE)</f>
        <v>0</v>
      </c>
      <c r="T360" s="87">
        <f>VLOOKUP(A:A,'Flat Bed &amp; Late Fees'!A:J,7,FALSE)</f>
        <v>0</v>
      </c>
      <c r="U360" s="68">
        <f>VLOOKUP(C360&amp;G360,OTR!E:J,6,FALSE)/88</f>
        <v>11.3725</v>
      </c>
      <c r="V360" s="87"/>
      <c r="W360" s="68">
        <f t="shared" si="37"/>
        <v>11.3725</v>
      </c>
      <c r="X360" s="69">
        <f>VLOOKUP(G360,COSTS!$Z$18:$AC$23,2,FALSE)</f>
        <v>2.6</v>
      </c>
      <c r="Y360" s="87">
        <f>VLOOKUP(G360,COSTS!$Z$18:$AC$23,4,FALSE)</f>
        <v>2.52</v>
      </c>
      <c r="Z360" s="69">
        <f>(COSTS!$W$3*COSTS!$W$4*500)/52*COSTS!$AE$17</f>
        <v>1.3125</v>
      </c>
      <c r="AB360" s="69">
        <f t="shared" si="38"/>
        <v>6.4325000000000001</v>
      </c>
      <c r="AC360" s="69">
        <f>VLOOKUP(G360,COSTS!$Z$11:$AE$14,5,FALSE)</f>
        <v>5.5113636363636367</v>
      </c>
      <c r="AD360" s="69">
        <f>VLOOKUP(G360,COSTS!$Z$4:$AD$7,4,FALSE)</f>
        <v>5.3522727272727275</v>
      </c>
      <c r="AE360" s="69"/>
      <c r="AF360" s="69">
        <f t="shared" si="39"/>
        <v>10.863636363636363</v>
      </c>
      <c r="AG360" s="87">
        <f>((COSTS!$C$5*88)/20)/88</f>
        <v>1.4407150000000002</v>
      </c>
      <c r="AH360" s="69">
        <f>(COSTS!$X$38/88)*20</f>
        <v>0.34865702479338845</v>
      </c>
      <c r="AI360" s="87">
        <f>((COSTS!$E$5*88)/20)/88</f>
        <v>0.62936587135988387</v>
      </c>
      <c r="AJ360" s="87">
        <f>((COSTS!$D$5*88)/20)/88</f>
        <v>0.33676</v>
      </c>
      <c r="AL360" s="387">
        <f t="shared" si="40"/>
        <v>2.7554978961532726</v>
      </c>
      <c r="AM360" s="69">
        <f>(COSTS!$W$3+0.1)*500*0.01</f>
        <v>3.9999999999999996</v>
      </c>
      <c r="AN360" s="387">
        <f>((COSTS!$G$5/20)*88)/88</f>
        <v>1.308904109589041</v>
      </c>
      <c r="AR360" s="69">
        <f t="shared" si="41"/>
        <v>5.3089041095890401</v>
      </c>
      <c r="AT360" s="1">
        <f>VLOOKUP(C360&amp;$AT$1,OTR!E:J,6,FALSE)/88</f>
        <v>26.524999999999999</v>
      </c>
      <c r="AU360" s="1">
        <f>VLOOKUP(C360&amp;$AU$1,OTR!E:J,6,FALSE)/88</f>
        <v>15.227272727272727</v>
      </c>
    </row>
    <row r="361" spans="1:47">
      <c r="A361" s="1">
        <v>349527</v>
      </c>
      <c r="B361" s="1" t="s">
        <v>789</v>
      </c>
      <c r="C361" s="1" t="s">
        <v>787</v>
      </c>
      <c r="D361" s="1" t="s">
        <v>76</v>
      </c>
      <c r="E361" s="1" t="str">
        <f>VLOOKUP(A:A,'Regions and Ports'!A:G,5,FALSE)</f>
        <v>GA 30 Day</v>
      </c>
      <c r="F361" s="1" t="str">
        <f>VLOOKUP(A:A,'Regions and Ports'!A:F,6,FALSE)</f>
        <v>ER5</v>
      </c>
      <c r="G361" s="1" t="str">
        <f>VLOOKUP(A:A,'Regions and Ports'!A:G,7,FALSE)</f>
        <v>Savannah</v>
      </c>
      <c r="H361" s="87">
        <v>4</v>
      </c>
      <c r="I361" s="69">
        <f>VLOOKUP(A:A,'Seam Tariffs'!A:AB,9,FALSE)</f>
        <v>3.5</v>
      </c>
      <c r="J361" s="69">
        <f>VLOOKUP(A:A,'Seam Tariffs'!A:AB,11,FALSE)</f>
        <v>5</v>
      </c>
      <c r="K361" s="69">
        <f>VLOOKUP(A:A,'Seam Tariffs'!A:AB,12,FALSE)</f>
        <v>0</v>
      </c>
      <c r="L361" s="69">
        <f>VLOOKUP(A:A,'Seam Tariffs'!A:AB,13,FALSE)</f>
        <v>0</v>
      </c>
      <c r="M361" s="69">
        <f>VLOOKUP(A:A,'Seam Tariffs'!A:AB,14,FALSE)</f>
        <v>0.5</v>
      </c>
      <c r="N361" s="69">
        <f>VLOOKUP(A:A,'Seam Tariffs'!A:AB,28,FALSE)</f>
        <v>2</v>
      </c>
      <c r="O361" s="69">
        <f>COSTS!$W$6</f>
        <v>1.8958333333333335</v>
      </c>
      <c r="P361" s="69">
        <f>VLOOKUP(G361,COSTS!$V$11:$X$14,3,FALSE)</f>
        <v>0</v>
      </c>
      <c r="Q361" s="69">
        <f t="shared" si="35"/>
        <v>12.895833333333334</v>
      </c>
      <c r="R361" s="69">
        <f t="shared" si="36"/>
        <v>1.8958333333333335</v>
      </c>
      <c r="S361" s="87">
        <f>VLOOKUP(A:A,'Flat Bed &amp; Late Fees'!A:J,6,FALSE)</f>
        <v>0</v>
      </c>
      <c r="T361" s="87">
        <f>VLOOKUP(A:A,'Flat Bed &amp; Late Fees'!A:J,7,FALSE)</f>
        <v>0</v>
      </c>
      <c r="U361" s="68">
        <f>VLOOKUP(C361&amp;G361,OTR!E:J,6,FALSE)/88</f>
        <v>11.3725</v>
      </c>
      <c r="V361" s="87"/>
      <c r="W361" s="68">
        <f t="shared" si="37"/>
        <v>11.3725</v>
      </c>
      <c r="X361" s="69">
        <f>VLOOKUP(G361,COSTS!$Z$18:$AC$23,2,FALSE)</f>
        <v>2.6</v>
      </c>
      <c r="Y361" s="87">
        <f>VLOOKUP(G361,COSTS!$Z$18:$AC$23,4,FALSE)</f>
        <v>2.52</v>
      </c>
      <c r="Z361" s="69">
        <f>(COSTS!$W$3*COSTS!$W$4*500)/52*COSTS!$AE$17</f>
        <v>1.3125</v>
      </c>
      <c r="AB361" s="69">
        <f t="shared" si="38"/>
        <v>6.4325000000000001</v>
      </c>
      <c r="AC361" s="69">
        <f>VLOOKUP(G361,COSTS!$Z$11:$AE$14,5,FALSE)</f>
        <v>5.5113636363636367</v>
      </c>
      <c r="AD361" s="69">
        <f>VLOOKUP(G361,COSTS!$Z$4:$AD$7,4,FALSE)</f>
        <v>5.3522727272727275</v>
      </c>
      <c r="AE361" s="69"/>
      <c r="AF361" s="69">
        <f t="shared" si="39"/>
        <v>10.863636363636363</v>
      </c>
      <c r="AG361" s="87">
        <f>((COSTS!$C$5*88)/20)/88</f>
        <v>1.4407150000000002</v>
      </c>
      <c r="AH361" s="69">
        <f>(COSTS!$X$38/88)*20</f>
        <v>0.34865702479338845</v>
      </c>
      <c r="AI361" s="87">
        <f>((COSTS!$E$5*88)/20)/88</f>
        <v>0.62936587135988387</v>
      </c>
      <c r="AJ361" s="87">
        <f>((COSTS!$D$5*88)/20)/88</f>
        <v>0.33676</v>
      </c>
      <c r="AL361" s="387">
        <f t="shared" si="40"/>
        <v>2.7554978961532726</v>
      </c>
      <c r="AM361" s="69">
        <f>(COSTS!$W$3+0.1)*500*0.01</f>
        <v>3.9999999999999996</v>
      </c>
      <c r="AN361" s="387">
        <f>((COSTS!$G$5/20)*88)/88</f>
        <v>1.308904109589041</v>
      </c>
      <c r="AR361" s="69">
        <f t="shared" si="41"/>
        <v>5.3089041095890401</v>
      </c>
      <c r="AT361" s="1">
        <f>VLOOKUP(C361&amp;$AT$1,OTR!E:J,6,FALSE)/88</f>
        <v>26.524999999999999</v>
      </c>
      <c r="AU361" s="1">
        <f>VLOOKUP(C361&amp;$AU$1,OTR!E:J,6,FALSE)/88</f>
        <v>15.227272727272727</v>
      </c>
    </row>
    <row r="362" spans="1:47">
      <c r="A362" s="1">
        <v>350503</v>
      </c>
      <c r="B362" s="1" t="s">
        <v>790</v>
      </c>
      <c r="C362" s="1" t="s">
        <v>791</v>
      </c>
      <c r="D362" s="1" t="s">
        <v>76</v>
      </c>
      <c r="E362" s="1" t="str">
        <f>VLOOKUP(A:A,'Regions and Ports'!A:G,5,FALSE)</f>
        <v>GA 30 Day</v>
      </c>
      <c r="F362" s="1" t="str">
        <f>VLOOKUP(A:A,'Regions and Ports'!A:F,6,FALSE)</f>
        <v>ER5</v>
      </c>
      <c r="G362" s="1" t="str">
        <f>VLOOKUP(A:A,'Regions and Ports'!A:G,7,FALSE)</f>
        <v>Savannah</v>
      </c>
      <c r="H362" s="87">
        <v>4</v>
      </c>
      <c r="I362" s="69">
        <f>VLOOKUP(A:A,'Seam Tariffs'!A:AB,9,FALSE)</f>
        <v>2.5</v>
      </c>
      <c r="J362" s="69">
        <f>VLOOKUP(A:A,'Seam Tariffs'!A:AB,11,FALSE)</f>
        <v>4.5</v>
      </c>
      <c r="K362" s="69">
        <f>VLOOKUP(A:A,'Seam Tariffs'!A:AB,12,FALSE)</f>
        <v>0</v>
      </c>
      <c r="L362" s="69">
        <f>VLOOKUP(A:A,'Seam Tariffs'!A:AB,13,FALSE)</f>
        <v>0</v>
      </c>
      <c r="M362" s="69">
        <f>VLOOKUP(A:A,'Seam Tariffs'!A:AB,14,FALSE)</f>
        <v>1</v>
      </c>
      <c r="N362" s="69">
        <f>VLOOKUP(A:A,'Seam Tariffs'!A:AB,28,FALSE)</f>
        <v>1.6</v>
      </c>
      <c r="O362" s="69">
        <f>COSTS!$W$6</f>
        <v>1.8958333333333335</v>
      </c>
      <c r="P362" s="69">
        <f>VLOOKUP(G362,COSTS!$V$11:$X$14,3,FALSE)</f>
        <v>0</v>
      </c>
      <c r="Q362" s="69">
        <f t="shared" si="35"/>
        <v>11.495833333333334</v>
      </c>
      <c r="R362" s="69">
        <f t="shared" si="36"/>
        <v>1.8958333333333335</v>
      </c>
      <c r="S362" s="87">
        <f>VLOOKUP(A:A,'Flat Bed &amp; Late Fees'!A:J,6,FALSE)</f>
        <v>0</v>
      </c>
      <c r="T362" s="87">
        <f>VLOOKUP(A:A,'Flat Bed &amp; Late Fees'!A:J,7,FALSE)</f>
        <v>0</v>
      </c>
      <c r="U362" s="68">
        <f>VLOOKUP(C362&amp;G362,OTR!E:J,6,FALSE)/88</f>
        <v>9.1939204545454558</v>
      </c>
      <c r="V362" s="87"/>
      <c r="W362" s="68">
        <f t="shared" si="37"/>
        <v>9.1939204545454558</v>
      </c>
      <c r="X362" s="69">
        <f>VLOOKUP(G362,COSTS!$Z$18:$AC$23,2,FALSE)</f>
        <v>2.6</v>
      </c>
      <c r="Y362" s="87">
        <f>VLOOKUP(G362,COSTS!$Z$18:$AC$23,4,FALSE)</f>
        <v>2.52</v>
      </c>
      <c r="Z362" s="69">
        <f>(COSTS!$W$3*COSTS!$W$4*500)/52*COSTS!$AE$17</f>
        <v>1.3125</v>
      </c>
      <c r="AB362" s="69">
        <f t="shared" si="38"/>
        <v>6.4325000000000001</v>
      </c>
      <c r="AC362" s="69">
        <f>VLOOKUP(G362,COSTS!$Z$11:$AE$14,5,FALSE)</f>
        <v>5.5113636363636367</v>
      </c>
      <c r="AD362" s="69">
        <f>VLOOKUP(G362,COSTS!$Z$4:$AD$7,4,FALSE)</f>
        <v>5.3522727272727275</v>
      </c>
      <c r="AE362" s="69"/>
      <c r="AF362" s="69">
        <f t="shared" si="39"/>
        <v>10.863636363636363</v>
      </c>
      <c r="AG362" s="87">
        <f>((COSTS!$C$5*88)/20)/88</f>
        <v>1.4407150000000002</v>
      </c>
      <c r="AH362" s="69">
        <f>(COSTS!$X$38/88)*20</f>
        <v>0.34865702479338845</v>
      </c>
      <c r="AI362" s="87">
        <f>((COSTS!$E$5*88)/20)/88</f>
        <v>0.62936587135988387</v>
      </c>
      <c r="AJ362" s="87">
        <f>((COSTS!$D$5*88)/20)/88</f>
        <v>0.33676</v>
      </c>
      <c r="AL362" s="387">
        <f t="shared" si="40"/>
        <v>2.7554978961532726</v>
      </c>
      <c r="AM362" s="69">
        <f>(COSTS!$W$3+0.1)*500*0.01</f>
        <v>3.9999999999999996</v>
      </c>
      <c r="AN362" s="387">
        <f>((COSTS!$G$5/20)*88)/88</f>
        <v>1.308904109589041</v>
      </c>
      <c r="AR362" s="69">
        <f t="shared" si="41"/>
        <v>5.3089041095890401</v>
      </c>
      <c r="AT362" s="1">
        <f>VLOOKUP(C362&amp;$AT$1,OTR!E:J,6,FALSE)/88</f>
        <v>26.733295454545452</v>
      </c>
      <c r="AU362" s="1">
        <f>VLOOKUP(C362&amp;$AU$1,OTR!E:J,6,FALSE)/88</f>
        <v>12.585227272727273</v>
      </c>
    </row>
    <row r="363" spans="1:47">
      <c r="A363" s="1">
        <v>208710</v>
      </c>
      <c r="B363" s="1" t="s">
        <v>792</v>
      </c>
      <c r="C363" s="1" t="s">
        <v>793</v>
      </c>
      <c r="D363" s="1" t="s">
        <v>461</v>
      </c>
      <c r="E363" s="1" t="str">
        <f>VLOOKUP(A:A,'Regions and Ports'!A:G,5,FALSE)</f>
        <v>Eastern Rule 5</v>
      </c>
      <c r="F363" s="1" t="str">
        <f>VLOOKUP(A:A,'Regions and Ports'!A:F,6,FALSE)</f>
        <v>ER5</v>
      </c>
      <c r="G363" s="1" t="str">
        <f>VLOOKUP(A:A,'Regions and Ports'!A:G,7,FALSE)</f>
        <v>Savannah</v>
      </c>
      <c r="H363" s="87">
        <v>1</v>
      </c>
      <c r="I363" s="69">
        <f>VLOOKUP(A:A,'Seam Tariffs'!A:AB,9,FALSE)</f>
        <v>2.75</v>
      </c>
      <c r="J363" s="69">
        <f>VLOOKUP(A:A,'Seam Tariffs'!A:AB,11,FALSE)</f>
        <v>4.75</v>
      </c>
      <c r="K363" s="69">
        <f>VLOOKUP(A:A,'Seam Tariffs'!A:AB,12,FALSE)</f>
        <v>7</v>
      </c>
      <c r="L363" s="69">
        <f>VLOOKUP(A:A,'Seam Tariffs'!A:AB,13,FALSE)</f>
        <v>0</v>
      </c>
      <c r="M363" s="69">
        <f>VLOOKUP(A:A,'Seam Tariffs'!A:AB,14,FALSE)</f>
        <v>1</v>
      </c>
      <c r="N363" s="69">
        <f>VLOOKUP(A:A,'Seam Tariffs'!A:AB,28,FALSE)</f>
        <v>2.5</v>
      </c>
      <c r="O363" s="69">
        <f>COSTS!$W$6</f>
        <v>1.8958333333333335</v>
      </c>
      <c r="P363" s="69">
        <f>VLOOKUP(G363,COSTS!$V$11:$X$14,3,FALSE)</f>
        <v>0</v>
      </c>
      <c r="Q363" s="69">
        <f t="shared" si="35"/>
        <v>19.895833333333332</v>
      </c>
      <c r="R363" s="69">
        <f t="shared" si="36"/>
        <v>4.3958333333333339</v>
      </c>
      <c r="S363" s="87">
        <f>VLOOKUP(A:A,'Flat Bed &amp; Late Fees'!A:J,6,FALSE)</f>
        <v>0</v>
      </c>
      <c r="T363" s="87">
        <f>VLOOKUP(A:A,'Flat Bed &amp; Late Fees'!A:J,7,FALSE)</f>
        <v>0</v>
      </c>
      <c r="U363" s="68">
        <f>VLOOKUP(C363&amp;G363,OTR!E:J,6,FALSE)/88</f>
        <v>16.5509375</v>
      </c>
      <c r="V363" s="87"/>
      <c r="W363" s="68">
        <f t="shared" si="37"/>
        <v>16.5509375</v>
      </c>
      <c r="X363" s="69">
        <f>VLOOKUP(G363,COSTS!$Z$18:$AC$23,2,FALSE)</f>
        <v>2.6</v>
      </c>
      <c r="Y363" s="87">
        <f>VLOOKUP(G363,COSTS!$Z$18:$AC$23,4,FALSE)</f>
        <v>2.52</v>
      </c>
      <c r="Z363" s="69">
        <f>(COSTS!$W$3*COSTS!$W$4*500)/52*COSTS!$AE$17</f>
        <v>1.3125</v>
      </c>
      <c r="AB363" s="69">
        <f t="shared" si="38"/>
        <v>6.4325000000000001</v>
      </c>
      <c r="AC363" s="69">
        <f>VLOOKUP(G363,COSTS!$Z$11:$AE$14,5,FALSE)</f>
        <v>5.5113636363636367</v>
      </c>
      <c r="AD363" s="69">
        <f>VLOOKUP(G363,COSTS!$Z$4:$AD$7,4,FALSE)</f>
        <v>5.3522727272727275</v>
      </c>
      <c r="AE363" s="69"/>
      <c r="AF363" s="69">
        <f t="shared" si="39"/>
        <v>10.863636363636363</v>
      </c>
      <c r="AG363" s="87">
        <f>((COSTS!$C$5*88)/20)/88</f>
        <v>1.4407150000000002</v>
      </c>
      <c r="AH363" s="69">
        <f>(COSTS!$X$38/88)*20</f>
        <v>0.34865702479338845</v>
      </c>
      <c r="AI363" s="87">
        <f>((COSTS!$E$5*88)/20)/88</f>
        <v>0.62936587135988387</v>
      </c>
      <c r="AJ363" s="87">
        <f>((COSTS!$D$5*88)/20)/88</f>
        <v>0.33676</v>
      </c>
      <c r="AL363" s="387">
        <f t="shared" si="40"/>
        <v>2.7554978961532726</v>
      </c>
      <c r="AM363" s="69">
        <f>(COSTS!$W$3+0.1)*500*0.01</f>
        <v>3.9999999999999996</v>
      </c>
      <c r="AN363" s="387">
        <f>((COSTS!$G$5/20)*88)/88</f>
        <v>1.308904109589041</v>
      </c>
      <c r="AR363" s="69">
        <f t="shared" si="41"/>
        <v>5.3089041095890401</v>
      </c>
      <c r="AT363" s="1" t="e">
        <f>VLOOKUP(C363&amp;$AT$1,OTR!E:J,6,FALSE)/88</f>
        <v>#N/A</v>
      </c>
      <c r="AU363" s="1">
        <f>VLOOKUP(C363&amp;$AU$1,OTR!E:J,6,FALSE)/88</f>
        <v>19.40340909090909</v>
      </c>
    </row>
    <row r="364" spans="1:47">
      <c r="A364" s="1">
        <v>345008</v>
      </c>
      <c r="B364" s="1" t="s">
        <v>794</v>
      </c>
      <c r="C364" s="1" t="s">
        <v>795</v>
      </c>
      <c r="D364" s="1" t="s">
        <v>76</v>
      </c>
      <c r="E364" s="1" t="str">
        <f>VLOOKUP(A:A,'Regions and Ports'!A:G,5,FALSE)</f>
        <v>GA 30 Day</v>
      </c>
      <c r="F364" s="1" t="str">
        <f>VLOOKUP(A:A,'Regions and Ports'!A:F,6,FALSE)</f>
        <v>ER5</v>
      </c>
      <c r="G364" s="1" t="str">
        <f>VLOOKUP(A:A,'Regions and Ports'!A:G,7,FALSE)</f>
        <v>Savannah</v>
      </c>
      <c r="H364" s="87">
        <v>4</v>
      </c>
      <c r="I364" s="69">
        <f>VLOOKUP(A:A,'Seam Tariffs'!A:AB,9,FALSE)</f>
        <v>3</v>
      </c>
      <c r="J364" s="69">
        <f>VLOOKUP(A:A,'Seam Tariffs'!A:AB,11,FALSE)</f>
        <v>5</v>
      </c>
      <c r="K364" s="69">
        <f>VLOOKUP(A:A,'Seam Tariffs'!A:AB,12,FALSE)</f>
        <v>0</v>
      </c>
      <c r="L364" s="69">
        <f>VLOOKUP(A:A,'Seam Tariffs'!A:AB,13,FALSE)</f>
        <v>0</v>
      </c>
      <c r="M364" s="69">
        <f>VLOOKUP(A:A,'Seam Tariffs'!A:AB,14,FALSE)</f>
        <v>0</v>
      </c>
      <c r="N364" s="69">
        <f>VLOOKUP(A:A,'Seam Tariffs'!A:AB,28,FALSE)</f>
        <v>2</v>
      </c>
      <c r="O364" s="69">
        <f>COSTS!$W$6</f>
        <v>1.8958333333333335</v>
      </c>
      <c r="P364" s="69">
        <f>VLOOKUP(G364,COSTS!$V$11:$X$14,3,FALSE)</f>
        <v>0</v>
      </c>
      <c r="Q364" s="69">
        <f t="shared" si="35"/>
        <v>11.895833333333334</v>
      </c>
      <c r="R364" s="69">
        <f t="shared" si="36"/>
        <v>1.8958333333333335</v>
      </c>
      <c r="S364" s="87">
        <f>VLOOKUP(A:A,'Flat Bed &amp; Late Fees'!A:J,6,FALSE)</f>
        <v>0</v>
      </c>
      <c r="T364" s="87">
        <f>VLOOKUP(A:A,'Flat Bed &amp; Late Fees'!A:J,7,FALSE)</f>
        <v>0</v>
      </c>
      <c r="U364" s="68">
        <f>VLOOKUP(C364&amp;G364,OTR!E:J,6,FALSE)/88</f>
        <v>9.3039772727272734</v>
      </c>
      <c r="V364" s="87"/>
      <c r="W364" s="68">
        <f t="shared" si="37"/>
        <v>9.3039772727272734</v>
      </c>
      <c r="X364" s="69">
        <f>VLOOKUP(G364,COSTS!$Z$18:$AC$23,2,FALSE)</f>
        <v>2.6</v>
      </c>
      <c r="Y364" s="87">
        <f>VLOOKUP(G364,COSTS!$Z$18:$AC$23,4,FALSE)</f>
        <v>2.52</v>
      </c>
      <c r="Z364" s="69">
        <f>(COSTS!$W$3*COSTS!$W$4*500)/52*COSTS!$AE$17</f>
        <v>1.3125</v>
      </c>
      <c r="AB364" s="69">
        <f t="shared" si="38"/>
        <v>6.4325000000000001</v>
      </c>
      <c r="AC364" s="69">
        <f>VLOOKUP(G364,COSTS!$Z$11:$AE$14,5,FALSE)</f>
        <v>5.5113636363636367</v>
      </c>
      <c r="AD364" s="69">
        <f>VLOOKUP(G364,COSTS!$Z$4:$AD$7,4,FALSE)</f>
        <v>5.3522727272727275</v>
      </c>
      <c r="AE364" s="69"/>
      <c r="AF364" s="69">
        <f t="shared" si="39"/>
        <v>10.863636363636363</v>
      </c>
      <c r="AG364" s="87">
        <f>((COSTS!$C$5*88)/20)/88</f>
        <v>1.4407150000000002</v>
      </c>
      <c r="AH364" s="69">
        <f>(COSTS!$X$38/88)*20</f>
        <v>0.34865702479338845</v>
      </c>
      <c r="AI364" s="87">
        <f>((COSTS!$E$5*88)/20)/88</f>
        <v>0.62936587135988387</v>
      </c>
      <c r="AJ364" s="87">
        <f>((COSTS!$D$5*88)/20)/88</f>
        <v>0.33676</v>
      </c>
      <c r="AL364" s="387">
        <f t="shared" si="40"/>
        <v>2.7554978961532726</v>
      </c>
      <c r="AM364" s="69">
        <f>(COSTS!$W$3+0.1)*500*0.01</f>
        <v>3.9999999999999996</v>
      </c>
      <c r="AN364" s="387">
        <f>((COSTS!$G$5/20)*88)/88</f>
        <v>1.308904109589041</v>
      </c>
      <c r="AR364" s="69">
        <f t="shared" si="41"/>
        <v>5.3089041095890401</v>
      </c>
      <c r="AT364" s="1">
        <f>VLOOKUP(C364&amp;$AT$1,OTR!E:J,6,FALSE)/88</f>
        <v>27.710681818181818</v>
      </c>
      <c r="AU364" s="1">
        <f>VLOOKUP(C364&amp;$AU$1,OTR!E:J,6,FALSE)/88</f>
        <v>11.221590909090908</v>
      </c>
    </row>
    <row r="365" spans="1:47">
      <c r="A365" s="1">
        <v>601006</v>
      </c>
      <c r="B365" s="1" t="s">
        <v>796</v>
      </c>
      <c r="C365" s="1" t="s">
        <v>797</v>
      </c>
      <c r="D365" s="1" t="s">
        <v>136</v>
      </c>
      <c r="E365" s="1" t="str">
        <f>VLOOKUP(A:A,'Regions and Ports'!A:G,5,FALSE)</f>
        <v>Eastern Rule 5</v>
      </c>
      <c r="F365" s="1" t="str">
        <f>VLOOKUP(A:A,'Regions and Ports'!A:F,6,FALSE)</f>
        <v>ER5</v>
      </c>
      <c r="G365" s="1" t="str">
        <f>VLOOKUP(A:A,'Regions and Ports'!A:G,7,FALSE)</f>
        <v>Savannah</v>
      </c>
      <c r="H365" s="87">
        <v>1</v>
      </c>
      <c r="I365" s="69">
        <f>VLOOKUP(A:A,'Seam Tariffs'!A:AB,9,FALSE)</f>
        <v>2.75</v>
      </c>
      <c r="J365" s="69">
        <f>VLOOKUP(A:A,'Seam Tariffs'!A:AB,11,FALSE)</f>
        <v>5</v>
      </c>
      <c r="K365" s="69">
        <f>VLOOKUP(A:A,'Seam Tariffs'!A:AB,12,FALSE)</f>
        <v>0</v>
      </c>
      <c r="L365" s="69">
        <f>VLOOKUP(A:A,'Seam Tariffs'!A:AB,13,FALSE)</f>
        <v>0</v>
      </c>
      <c r="M365" s="69">
        <f>VLOOKUP(A:A,'Seam Tariffs'!A:AB,14,FALSE)</f>
        <v>0.35</v>
      </c>
      <c r="N365" s="69">
        <f>VLOOKUP(A:A,'Seam Tariffs'!A:AB,28,FALSE)</f>
        <v>2.65</v>
      </c>
      <c r="O365" s="69">
        <f>COSTS!$W$6</f>
        <v>1.8958333333333335</v>
      </c>
      <c r="P365" s="69">
        <f>VLOOKUP(G365,COSTS!$V$11:$X$14,3,FALSE)</f>
        <v>0</v>
      </c>
      <c r="Q365" s="69">
        <f t="shared" si="35"/>
        <v>12.645833333333334</v>
      </c>
      <c r="R365" s="69">
        <f t="shared" si="36"/>
        <v>4.5458333333333334</v>
      </c>
      <c r="S365" s="87">
        <f>VLOOKUP(A:A,'Flat Bed &amp; Late Fees'!A:J,6,FALSE)</f>
        <v>0</v>
      </c>
      <c r="T365" s="87">
        <f>VLOOKUP(A:A,'Flat Bed &amp; Late Fees'!A:J,7,FALSE)</f>
        <v>0</v>
      </c>
      <c r="U365" s="68">
        <f>VLOOKUP(C365&amp;G365,OTR!E:J,6,FALSE)/88</f>
        <v>14.710369318181817</v>
      </c>
      <c r="V365" s="87"/>
      <c r="W365" s="68">
        <f t="shared" si="37"/>
        <v>14.710369318181817</v>
      </c>
      <c r="X365" s="69">
        <f>VLOOKUP(G365,COSTS!$Z$18:$AC$23,2,FALSE)</f>
        <v>2.6</v>
      </c>
      <c r="Y365" s="87">
        <f>VLOOKUP(G365,COSTS!$Z$18:$AC$23,4,FALSE)</f>
        <v>2.52</v>
      </c>
      <c r="Z365" s="69">
        <f>(COSTS!$W$3*COSTS!$W$4*500)/52*COSTS!$AE$17</f>
        <v>1.3125</v>
      </c>
      <c r="AB365" s="69">
        <f t="shared" si="38"/>
        <v>6.4325000000000001</v>
      </c>
      <c r="AC365" s="69">
        <f>VLOOKUP(G365,COSTS!$Z$11:$AE$14,5,FALSE)</f>
        <v>5.5113636363636367</v>
      </c>
      <c r="AD365" s="69">
        <f>VLOOKUP(G365,COSTS!$Z$4:$AD$7,4,FALSE)</f>
        <v>5.3522727272727275</v>
      </c>
      <c r="AE365" s="69"/>
      <c r="AF365" s="69">
        <f t="shared" si="39"/>
        <v>10.863636363636363</v>
      </c>
      <c r="AG365" s="87">
        <f>((COSTS!$C$5*88)/20)/88</f>
        <v>1.4407150000000002</v>
      </c>
      <c r="AH365" s="69">
        <f>(COSTS!$X$38/88)*20</f>
        <v>0.34865702479338845</v>
      </c>
      <c r="AI365" s="87">
        <f>((COSTS!$E$5*88)/20)/88</f>
        <v>0.62936587135988387</v>
      </c>
      <c r="AJ365" s="87">
        <f>((COSTS!$D$5*88)/20)/88</f>
        <v>0.33676</v>
      </c>
      <c r="AL365" s="387">
        <f t="shared" si="40"/>
        <v>2.7554978961532726</v>
      </c>
      <c r="AM365" s="69">
        <f>(COSTS!$W$3+0.1)*500*0.01</f>
        <v>3.9999999999999996</v>
      </c>
      <c r="AN365" s="387">
        <f>((COSTS!$G$5/20)*88)/88</f>
        <v>1.308904109589041</v>
      </c>
      <c r="AR365" s="69">
        <f t="shared" si="41"/>
        <v>5.3089041095890401</v>
      </c>
      <c r="AT365" s="1" t="e">
        <f>VLOOKUP(C365&amp;$AT$1,OTR!E:J,6,FALSE)/88</f>
        <v>#N/A</v>
      </c>
      <c r="AU365" s="1">
        <f>VLOOKUP(C365&amp;$AU$1,OTR!E:J,6,FALSE)/88</f>
        <v>12.414772727272727</v>
      </c>
    </row>
    <row r="366" spans="1:47">
      <c r="A366" s="1">
        <v>898030</v>
      </c>
      <c r="B366" s="1" t="s">
        <v>798</v>
      </c>
      <c r="C366" s="1" t="s">
        <v>6</v>
      </c>
      <c r="D366" s="1" t="s">
        <v>71</v>
      </c>
      <c r="E366" s="1" t="str">
        <f>VLOOKUP(A:A,'Regions and Ports'!A:G,5,FALSE)</f>
        <v>STEX</v>
      </c>
      <c r="F366" s="1" t="str">
        <f>VLOOKUP(A:A,'Regions and Ports'!A:F,6,FALSE)</f>
        <v>STX</v>
      </c>
      <c r="G366" s="1" t="str">
        <f>VLOOKUP(A:A,'Regions and Ports'!A:G,7,FALSE)</f>
        <v>Houston</v>
      </c>
      <c r="H366" s="87">
        <v>3</v>
      </c>
      <c r="I366" s="69">
        <f>VLOOKUP(A:A,'Seam Tariffs'!A:AB,9,FALSE)</f>
        <v>6</v>
      </c>
      <c r="J366" s="69">
        <f>VLOOKUP(A:A,'Seam Tariffs'!A:AB,11,FALSE)</f>
        <v>8.25</v>
      </c>
      <c r="K366" s="69">
        <f>VLOOKUP(A:A,'Seam Tariffs'!A:AB,12,FALSE)</f>
        <v>11.75</v>
      </c>
      <c r="L366" s="69">
        <f>VLOOKUP(A:A,'Seam Tariffs'!A:AB,13,FALSE)</f>
        <v>0</v>
      </c>
      <c r="M366" s="69">
        <f>VLOOKUP(A:A,'Seam Tariffs'!A:AB,14,FALSE)</f>
        <v>0</v>
      </c>
      <c r="N366" s="69">
        <f>VLOOKUP(A:A,'Seam Tariffs'!A:AB,28,FALSE)</f>
        <v>3.4</v>
      </c>
      <c r="O366" s="69">
        <f>COSTS!$W$6</f>
        <v>1.8958333333333335</v>
      </c>
      <c r="P366" s="69">
        <f>VLOOKUP(G366,COSTS!$V$11:$X$14,3,FALSE)</f>
        <v>0</v>
      </c>
      <c r="Q366" s="69">
        <f t="shared" si="35"/>
        <v>31.295833333333331</v>
      </c>
      <c r="R366" s="69">
        <f t="shared" si="36"/>
        <v>25.295833333333331</v>
      </c>
      <c r="S366" s="87">
        <f>VLOOKUP(A:A,'Flat Bed &amp; Late Fees'!A:J,6,FALSE)</f>
        <v>0</v>
      </c>
      <c r="T366" s="87">
        <f>VLOOKUP(A:A,'Flat Bed &amp; Late Fees'!A:J,7,FALSE)</f>
        <v>0</v>
      </c>
      <c r="U366" s="68">
        <f>VLOOKUP(C366&amp;G366,OTR!E:J,6,FALSE)/88</f>
        <v>13.778409090909092</v>
      </c>
      <c r="V366" s="87"/>
      <c r="W366" s="68">
        <f t="shared" si="37"/>
        <v>13.778409090909092</v>
      </c>
      <c r="X366" s="69">
        <f>VLOOKUP(G366,COSTS!$Z$18:$AC$23,2,FALSE)</f>
        <v>2.7</v>
      </c>
      <c r="Y366" s="87">
        <f>VLOOKUP(G366,COSTS!$Z$18:$AC$23,4,FALSE)</f>
        <v>2.52</v>
      </c>
      <c r="Z366" s="69">
        <f>(COSTS!$W$3*COSTS!$W$4*500)/52*COSTS!$AE$17</f>
        <v>1.3125</v>
      </c>
      <c r="AB366" s="69">
        <f t="shared" si="38"/>
        <v>6.5325000000000006</v>
      </c>
      <c r="AC366" s="69">
        <f>VLOOKUP(G366,COSTS!$Z$11:$AE$14,5,FALSE)</f>
        <v>6.6477272727272725</v>
      </c>
      <c r="AD366" s="69">
        <f>VLOOKUP(G366,COSTS!$Z$4:$AD$7,4,FALSE)</f>
        <v>9.8977272727272734</v>
      </c>
      <c r="AE366" s="69"/>
      <c r="AF366" s="69">
        <f t="shared" si="39"/>
        <v>16.545454545454547</v>
      </c>
      <c r="AG366" s="87">
        <f>((COSTS!$C$5*88)/20)/88</f>
        <v>1.4407150000000002</v>
      </c>
      <c r="AH366" s="69">
        <f>(COSTS!$X$38/88)*20</f>
        <v>0.34865702479338845</v>
      </c>
      <c r="AI366" s="87">
        <f>((COSTS!$E$5*88)/20)/88</f>
        <v>0.62936587135988387</v>
      </c>
      <c r="AJ366" s="87">
        <f>((COSTS!$D$5*88)/20)/88</f>
        <v>0.33676</v>
      </c>
      <c r="AL366" s="387">
        <f t="shared" si="40"/>
        <v>2.7554978961532726</v>
      </c>
      <c r="AM366" s="69">
        <f>(COSTS!$W$3+0.1)*500*0.01</f>
        <v>3.9999999999999996</v>
      </c>
      <c r="AN366" s="387">
        <f>((COSTS!$G$5/20)*88)/88</f>
        <v>1.308904109589041</v>
      </c>
      <c r="AR366" s="69">
        <f t="shared" si="41"/>
        <v>5.3089041095890401</v>
      </c>
      <c r="AT366" s="1" t="e">
        <f>VLOOKUP(C366&amp;$AT$1,OTR!E:J,6,FALSE)/88</f>
        <v>#N/A</v>
      </c>
      <c r="AU366" s="1" t="e">
        <f>VLOOKUP(C366&amp;$AU$1,OTR!E:J,6,FALSE)/88</f>
        <v>#N/A</v>
      </c>
    </row>
    <row r="367" spans="1:47">
      <c r="A367" s="1">
        <v>925013</v>
      </c>
      <c r="B367" s="1" t="s">
        <v>808</v>
      </c>
      <c r="C367" s="1" t="s">
        <v>6</v>
      </c>
      <c r="D367" s="1" t="s">
        <v>71</v>
      </c>
      <c r="E367" s="1" t="str">
        <f>VLOOKUP(A:A,'Regions and Ports'!A:G,5,FALSE)</f>
        <v>STEX</v>
      </c>
      <c r="F367" s="1" t="str">
        <f>VLOOKUP(A:A,'Regions and Ports'!A:F,6,FALSE)</f>
        <v>STX</v>
      </c>
      <c r="G367" s="1" t="str">
        <f>VLOOKUP(A:A,'Regions and Ports'!A:G,7,FALSE)</f>
        <v>Houston</v>
      </c>
      <c r="H367" s="87">
        <v>3</v>
      </c>
      <c r="I367" s="69">
        <f>VLOOKUP(A:A,'Seam Tariffs'!A:AB,9,FALSE)</f>
        <v>6</v>
      </c>
      <c r="J367" s="69">
        <f>VLOOKUP(A:A,'Seam Tariffs'!A:AB,11,FALSE)</f>
        <v>8.25</v>
      </c>
      <c r="K367" s="69">
        <f>VLOOKUP(A:A,'Seam Tariffs'!A:AB,12,FALSE)</f>
        <v>11.75</v>
      </c>
      <c r="L367" s="69">
        <f>VLOOKUP(A:A,'Seam Tariffs'!A:AB,13,FALSE)</f>
        <v>0</v>
      </c>
      <c r="M367" s="69">
        <f>VLOOKUP(A:A,'Seam Tariffs'!A:AB,14,FALSE)</f>
        <v>0</v>
      </c>
      <c r="N367" s="69">
        <f>VLOOKUP(A:A,'Seam Tariffs'!A:AB,28,FALSE)</f>
        <v>3.4</v>
      </c>
      <c r="O367" s="69">
        <f>COSTS!$W$6</f>
        <v>1.8958333333333335</v>
      </c>
      <c r="P367" s="69">
        <f>VLOOKUP(G367,COSTS!$V$11:$X$14,3,FALSE)</f>
        <v>0</v>
      </c>
      <c r="Q367" s="69">
        <f t="shared" si="35"/>
        <v>31.295833333333331</v>
      </c>
      <c r="R367" s="69">
        <f t="shared" si="36"/>
        <v>25.295833333333331</v>
      </c>
      <c r="S367" s="87">
        <f>VLOOKUP(A:A,'Flat Bed &amp; Late Fees'!A:J,6,FALSE)</f>
        <v>0</v>
      </c>
      <c r="T367" s="87">
        <f>VLOOKUP(A:A,'Flat Bed &amp; Late Fees'!A:J,7,FALSE)</f>
        <v>0</v>
      </c>
      <c r="U367" s="68">
        <f>VLOOKUP(C367&amp;G367,OTR!E:J,6,FALSE)/88</f>
        <v>13.778409090909092</v>
      </c>
      <c r="V367" s="87"/>
      <c r="W367" s="68">
        <f t="shared" si="37"/>
        <v>13.778409090909092</v>
      </c>
      <c r="X367" s="69">
        <f>VLOOKUP(G367,COSTS!$Z$18:$AC$23,2,FALSE)</f>
        <v>2.7</v>
      </c>
      <c r="Y367" s="87">
        <f>VLOOKUP(G367,COSTS!$Z$18:$AC$23,4,FALSE)</f>
        <v>2.52</v>
      </c>
      <c r="Z367" s="69">
        <f>(COSTS!$W$3*COSTS!$W$4*500)/52*COSTS!$AE$17</f>
        <v>1.3125</v>
      </c>
      <c r="AB367" s="69">
        <f t="shared" si="38"/>
        <v>6.5325000000000006</v>
      </c>
      <c r="AC367" s="69">
        <f>VLOOKUP(G367,COSTS!$Z$11:$AE$14,5,FALSE)</f>
        <v>6.6477272727272725</v>
      </c>
      <c r="AD367" s="69">
        <f>VLOOKUP(G367,COSTS!$Z$4:$AD$7,4,FALSE)</f>
        <v>9.8977272727272734</v>
      </c>
      <c r="AE367" s="69"/>
      <c r="AF367" s="69">
        <f t="shared" si="39"/>
        <v>16.545454545454547</v>
      </c>
      <c r="AG367" s="87">
        <f>((COSTS!$C$5*88)/20)/88</f>
        <v>1.4407150000000002</v>
      </c>
      <c r="AH367" s="69">
        <f>(COSTS!$X$38/88)*20</f>
        <v>0.34865702479338845</v>
      </c>
      <c r="AI367" s="87">
        <f>((COSTS!$E$5*88)/20)/88</f>
        <v>0.62936587135988387</v>
      </c>
      <c r="AJ367" s="87">
        <f>((COSTS!$D$5*88)/20)/88</f>
        <v>0.33676</v>
      </c>
      <c r="AL367" s="387">
        <f t="shared" si="40"/>
        <v>2.7554978961532726</v>
      </c>
      <c r="AM367" s="69">
        <f>(COSTS!$W$3+0.1)*500*0.01</f>
        <v>3.9999999999999996</v>
      </c>
      <c r="AN367" s="387">
        <f>((COSTS!$G$5/20)*88)/88</f>
        <v>1.308904109589041</v>
      </c>
      <c r="AR367" s="69">
        <f t="shared" si="41"/>
        <v>5.3089041095890401</v>
      </c>
      <c r="AT367" s="1" t="e">
        <f>VLOOKUP(C367&amp;$AT$1,OTR!E:J,6,FALSE)/88</f>
        <v>#N/A</v>
      </c>
      <c r="AU367" s="1" t="e">
        <f>VLOOKUP(C367&amp;$AU$1,OTR!E:J,6,FALSE)/88</f>
        <v>#N/A</v>
      </c>
    </row>
    <row r="368" spans="1:47">
      <c r="A368" s="1">
        <v>166150</v>
      </c>
      <c r="B368" s="1" t="s">
        <v>800</v>
      </c>
      <c r="C368" s="1" t="s">
        <v>801</v>
      </c>
      <c r="D368" s="1" t="s">
        <v>149</v>
      </c>
      <c r="E368" s="1" t="str">
        <f>VLOOKUP(A:A,'Regions and Ports'!A:G,5,FALSE)</f>
        <v>Memphis Rule 5</v>
      </c>
      <c r="F368" s="1" t="str">
        <f>VLOOKUP(A:A,'Regions and Ports'!A:F,6,FALSE)</f>
        <v>MR5</v>
      </c>
      <c r="G368" s="1" t="str">
        <f>VLOOKUP(A:A,'Regions and Ports'!A:G,7,FALSE)</f>
        <v>Memphis</v>
      </c>
      <c r="H368" s="87">
        <v>1</v>
      </c>
      <c r="I368" s="69">
        <f>VLOOKUP(A:A,'Seam Tariffs'!A:AB,9,FALSE)</f>
        <v>2.75</v>
      </c>
      <c r="J368" s="69">
        <f>VLOOKUP(A:A,'Seam Tariffs'!A:AB,11,FALSE)</f>
        <v>16</v>
      </c>
      <c r="K368" s="69">
        <f>VLOOKUP(A:A,'Seam Tariffs'!A:AB,12,FALSE)</f>
        <v>0</v>
      </c>
      <c r="L368" s="69">
        <f>VLOOKUP(A:A,'Seam Tariffs'!A:AB,13,FALSE)</f>
        <v>3.05</v>
      </c>
      <c r="M368" s="69">
        <f>VLOOKUP(A:A,'Seam Tariffs'!A:AB,14,FALSE)</f>
        <v>0.5</v>
      </c>
      <c r="N368" s="69">
        <f>VLOOKUP(A:A,'Seam Tariffs'!A:AB,28,FALSE)</f>
        <v>3.75</v>
      </c>
      <c r="O368" s="69">
        <f>COSTS!$W$6</f>
        <v>1.8958333333333335</v>
      </c>
      <c r="P368" s="69">
        <f>VLOOKUP(G368,COSTS!$V$11:$X$14,3,FALSE)</f>
        <v>0</v>
      </c>
      <c r="Q368" s="69">
        <f t="shared" si="35"/>
        <v>27.945833333333333</v>
      </c>
      <c r="R368" s="69">
        <f t="shared" si="36"/>
        <v>5.6458333333333339</v>
      </c>
      <c r="S368" s="87">
        <f>VLOOKUP(A:A,'Flat Bed &amp; Late Fees'!A:J,6,FALSE)</f>
        <v>0</v>
      </c>
      <c r="T368" s="87">
        <f>VLOOKUP(A:A,'Flat Bed &amp; Late Fees'!A:J,7,FALSE)</f>
        <v>0</v>
      </c>
      <c r="U368" s="68">
        <f>VLOOKUP(C368&amp;G368,OTR!E:J,6,FALSE)/88</f>
        <v>6.9602272727272725</v>
      </c>
      <c r="V368" s="87"/>
      <c r="W368" s="68">
        <f t="shared" si="37"/>
        <v>6.9602272727272725</v>
      </c>
      <c r="X368" s="69">
        <f>VLOOKUP(G368,COSTS!$Z$18:$AC$23,2,FALSE)</f>
        <v>2.5</v>
      </c>
      <c r="Y368" s="87">
        <f>VLOOKUP(G368,COSTS!$Z$18:$AC$23,4,FALSE)</f>
        <v>1.68</v>
      </c>
      <c r="Z368" s="69">
        <f>(COSTS!$W$3*COSTS!$W$4*500)/52*COSTS!$AE$17</f>
        <v>1.3125</v>
      </c>
      <c r="AB368" s="69">
        <f t="shared" si="38"/>
        <v>5.4924999999999997</v>
      </c>
      <c r="AC368" s="69">
        <f>VLOOKUP(G368,COSTS!$Z$11:$AE$14,5,FALSE)</f>
        <v>7.3011363636363633</v>
      </c>
      <c r="AD368" s="69">
        <f>VLOOKUP(G368,COSTS!$Z$4:$AD$7,4,FALSE)</f>
        <v>9.1363636363636367</v>
      </c>
      <c r="AE368" s="69"/>
      <c r="AF368" s="69">
        <f t="shared" si="39"/>
        <v>16.4375</v>
      </c>
      <c r="AG368" s="87">
        <f>((COSTS!$C$5*88)/20)/88</f>
        <v>1.4407150000000002</v>
      </c>
      <c r="AH368" s="69">
        <f>(COSTS!$X$38/88)*20</f>
        <v>0.34865702479338845</v>
      </c>
      <c r="AI368" s="87">
        <f>((COSTS!$E$5*88)/20)/88</f>
        <v>0.62936587135988387</v>
      </c>
      <c r="AJ368" s="87">
        <f>((COSTS!$D$5*88)/20)/88</f>
        <v>0.33676</v>
      </c>
      <c r="AL368" s="387">
        <f t="shared" si="40"/>
        <v>2.7554978961532726</v>
      </c>
      <c r="AM368" s="69">
        <f>(COSTS!$W$3+0.1)*500*0.01</f>
        <v>3.9999999999999996</v>
      </c>
      <c r="AN368" s="387">
        <f>((COSTS!$G$5/20)*88)/88</f>
        <v>1.308904109589041</v>
      </c>
      <c r="AR368" s="69">
        <f t="shared" si="41"/>
        <v>5.3089041095890401</v>
      </c>
      <c r="AT368" s="1" t="e">
        <f>VLOOKUP(C368&amp;$AT$1,OTR!E:J,6,FALSE)/88</f>
        <v>#N/A</v>
      </c>
      <c r="AU368" s="1">
        <f>VLOOKUP(C368&amp;$AU$1,OTR!E:J,6,FALSE)/88</f>
        <v>23.90340909090909</v>
      </c>
    </row>
    <row r="369" spans="1:47">
      <c r="A369" s="1">
        <v>167003</v>
      </c>
      <c r="B369" s="1" t="s">
        <v>802</v>
      </c>
      <c r="C369" s="1" t="s">
        <v>801</v>
      </c>
      <c r="D369" s="1" t="s">
        <v>149</v>
      </c>
      <c r="E369" s="1" t="str">
        <f>VLOOKUP(A:A,'Regions and Ports'!A:G,5,FALSE)</f>
        <v>Memphis Rule 5</v>
      </c>
      <c r="F369" s="1" t="str">
        <f>VLOOKUP(A:A,'Regions and Ports'!A:F,6,FALSE)</f>
        <v>MR5</v>
      </c>
      <c r="G369" s="1" t="str">
        <f>VLOOKUP(A:A,'Regions and Ports'!A:G,7,FALSE)</f>
        <v>Memphis</v>
      </c>
      <c r="H369" s="87">
        <v>1</v>
      </c>
      <c r="I369" s="69">
        <f>VLOOKUP(A:A,'Seam Tariffs'!A:AB,9,FALSE)</f>
        <v>2.25</v>
      </c>
      <c r="J369" s="69">
        <f>VLOOKUP(A:A,'Seam Tariffs'!A:AB,11,FALSE)</f>
        <v>16.5</v>
      </c>
      <c r="K369" s="69">
        <f>VLOOKUP(A:A,'Seam Tariffs'!A:AB,12,FALSE)</f>
        <v>0</v>
      </c>
      <c r="L369" s="69">
        <f>VLOOKUP(A:A,'Seam Tariffs'!A:AB,13,FALSE)</f>
        <v>0</v>
      </c>
      <c r="M369" s="69">
        <f>VLOOKUP(A:A,'Seam Tariffs'!A:AB,14,FALSE)</f>
        <v>0.5</v>
      </c>
      <c r="N369" s="69">
        <f>VLOOKUP(A:A,'Seam Tariffs'!A:AB,28,FALSE)</f>
        <v>3.75</v>
      </c>
      <c r="O369" s="69">
        <f>COSTS!$W$6</f>
        <v>1.8958333333333335</v>
      </c>
      <c r="P369" s="69">
        <f>VLOOKUP(G369,COSTS!$V$11:$X$14,3,FALSE)</f>
        <v>0</v>
      </c>
      <c r="Q369" s="69">
        <f t="shared" si="35"/>
        <v>24.895833333333332</v>
      </c>
      <c r="R369" s="69">
        <f t="shared" si="36"/>
        <v>5.6458333333333339</v>
      </c>
      <c r="S369" s="87">
        <f>VLOOKUP(A:A,'Flat Bed &amp; Late Fees'!A:J,6,FALSE)</f>
        <v>0</v>
      </c>
      <c r="T369" s="87">
        <f>VLOOKUP(A:A,'Flat Bed &amp; Late Fees'!A:J,7,FALSE)</f>
        <v>0</v>
      </c>
      <c r="U369" s="68">
        <f>VLOOKUP(C369&amp;G369,OTR!E:J,6,FALSE)/88</f>
        <v>6.9602272727272725</v>
      </c>
      <c r="V369" s="87"/>
      <c r="W369" s="68">
        <f t="shared" si="37"/>
        <v>6.9602272727272725</v>
      </c>
      <c r="X369" s="69">
        <f>VLOOKUP(G369,COSTS!$Z$18:$AC$23,2,FALSE)</f>
        <v>2.5</v>
      </c>
      <c r="Y369" s="87">
        <f>VLOOKUP(G369,COSTS!$Z$18:$AC$23,4,FALSE)</f>
        <v>1.68</v>
      </c>
      <c r="Z369" s="69">
        <f>(COSTS!$W$3*COSTS!$W$4*500)/52*COSTS!$AE$17</f>
        <v>1.3125</v>
      </c>
      <c r="AB369" s="69">
        <f t="shared" si="38"/>
        <v>5.4924999999999997</v>
      </c>
      <c r="AC369" s="69">
        <f>VLOOKUP(G369,COSTS!$Z$11:$AE$14,5,FALSE)</f>
        <v>7.3011363636363633</v>
      </c>
      <c r="AD369" s="69">
        <f>VLOOKUP(G369,COSTS!$Z$4:$AD$7,4,FALSE)</f>
        <v>9.1363636363636367</v>
      </c>
      <c r="AE369" s="69"/>
      <c r="AF369" s="69">
        <f t="shared" si="39"/>
        <v>16.4375</v>
      </c>
      <c r="AG369" s="87">
        <f>((COSTS!$C$5*88)/20)/88</f>
        <v>1.4407150000000002</v>
      </c>
      <c r="AH369" s="69">
        <f>(COSTS!$X$38/88)*20</f>
        <v>0.34865702479338845</v>
      </c>
      <c r="AI369" s="87">
        <f>((COSTS!$E$5*88)/20)/88</f>
        <v>0.62936587135988387</v>
      </c>
      <c r="AJ369" s="87">
        <f>((COSTS!$D$5*88)/20)/88</f>
        <v>0.33676</v>
      </c>
      <c r="AL369" s="387">
        <f t="shared" si="40"/>
        <v>2.7554978961532726</v>
      </c>
      <c r="AM369" s="69">
        <f>(COSTS!$W$3+0.1)*500*0.01</f>
        <v>3.9999999999999996</v>
      </c>
      <c r="AN369" s="387">
        <f>((COSTS!$G$5/20)*88)/88</f>
        <v>1.308904109589041</v>
      </c>
      <c r="AR369" s="69">
        <f t="shared" si="41"/>
        <v>5.3089041095890401</v>
      </c>
      <c r="AT369" s="1" t="e">
        <f>VLOOKUP(C369&amp;$AT$1,OTR!E:J,6,FALSE)/88</f>
        <v>#N/A</v>
      </c>
      <c r="AU369" s="1">
        <f>VLOOKUP(C369&amp;$AU$1,OTR!E:J,6,FALSE)/88</f>
        <v>23.90340909090909</v>
      </c>
    </row>
    <row r="370" spans="1:47">
      <c r="A370" s="1">
        <v>167025</v>
      </c>
      <c r="B370" s="1" t="s">
        <v>804</v>
      </c>
      <c r="C370" s="1" t="s">
        <v>801</v>
      </c>
      <c r="D370" s="1" t="s">
        <v>149</v>
      </c>
      <c r="E370" s="1" t="str">
        <f>VLOOKUP(A:A,'Regions and Ports'!A:G,5,FALSE)</f>
        <v>Memphis Rule 5</v>
      </c>
      <c r="F370" s="1" t="str">
        <f>VLOOKUP(A:A,'Regions and Ports'!A:F,6,FALSE)</f>
        <v>MR5</v>
      </c>
      <c r="G370" s="1" t="str">
        <f>VLOOKUP(A:A,'Regions and Ports'!A:G,7,FALSE)</f>
        <v>Memphis</v>
      </c>
      <c r="H370" s="87">
        <v>1</v>
      </c>
      <c r="I370" s="69">
        <f>VLOOKUP(A:A,'Seam Tariffs'!A:AB,9,FALSE)</f>
        <v>1.85</v>
      </c>
      <c r="J370" s="69">
        <f>VLOOKUP(A:A,'Seam Tariffs'!A:AB,11,FALSE)</f>
        <v>4</v>
      </c>
      <c r="K370" s="69">
        <f>VLOOKUP(A:A,'Seam Tariffs'!A:AB,12,FALSE)</f>
        <v>7</v>
      </c>
      <c r="L370" s="69">
        <f>VLOOKUP(A:A,'Seam Tariffs'!A:AB,13,FALSE)</f>
        <v>3.05</v>
      </c>
      <c r="M370" s="69">
        <f>VLOOKUP(A:A,'Seam Tariffs'!A:AB,14,FALSE)</f>
        <v>0</v>
      </c>
      <c r="N370" s="69">
        <f>VLOOKUP(A:A,'Seam Tariffs'!A:AB,28,FALSE)</f>
        <v>3</v>
      </c>
      <c r="O370" s="69">
        <f>COSTS!$W$6</f>
        <v>1.8958333333333335</v>
      </c>
      <c r="P370" s="69">
        <f>VLOOKUP(G370,COSTS!$V$11:$X$14,3,FALSE)</f>
        <v>0</v>
      </c>
      <c r="Q370" s="69">
        <f t="shared" si="35"/>
        <v>20.795833333333331</v>
      </c>
      <c r="R370" s="69">
        <f t="shared" si="36"/>
        <v>4.8958333333333339</v>
      </c>
      <c r="S370" s="87">
        <f>VLOOKUP(A:A,'Flat Bed &amp; Late Fees'!A:J,6,FALSE)</f>
        <v>0</v>
      </c>
      <c r="T370" s="87">
        <f>VLOOKUP(A:A,'Flat Bed &amp; Late Fees'!A:J,7,FALSE)</f>
        <v>0</v>
      </c>
      <c r="U370" s="68">
        <f>VLOOKUP(C370&amp;G370,OTR!E:J,6,FALSE)/88</f>
        <v>6.9602272727272725</v>
      </c>
      <c r="V370" s="87"/>
      <c r="W370" s="68">
        <f t="shared" si="37"/>
        <v>6.9602272727272725</v>
      </c>
      <c r="X370" s="69">
        <f>VLOOKUP(G370,COSTS!$Z$18:$AC$23,2,FALSE)</f>
        <v>2.5</v>
      </c>
      <c r="Y370" s="87">
        <f>VLOOKUP(G370,COSTS!$Z$18:$AC$23,4,FALSE)</f>
        <v>1.68</v>
      </c>
      <c r="Z370" s="69">
        <f>(COSTS!$W$3*COSTS!$W$4*500)/52*COSTS!$AE$17</f>
        <v>1.3125</v>
      </c>
      <c r="AB370" s="69">
        <f t="shared" si="38"/>
        <v>5.4924999999999997</v>
      </c>
      <c r="AC370" s="69">
        <f>VLOOKUP(G370,COSTS!$Z$11:$AE$14,5,FALSE)</f>
        <v>7.3011363636363633</v>
      </c>
      <c r="AD370" s="69">
        <f>VLOOKUP(G370,COSTS!$Z$4:$AD$7,4,FALSE)</f>
        <v>9.1363636363636367</v>
      </c>
      <c r="AE370" s="69"/>
      <c r="AF370" s="69">
        <f t="shared" si="39"/>
        <v>16.4375</v>
      </c>
      <c r="AG370" s="87">
        <f>((COSTS!$C$5*88)/20)/88</f>
        <v>1.4407150000000002</v>
      </c>
      <c r="AH370" s="69">
        <f>(COSTS!$X$38/88)*20</f>
        <v>0.34865702479338845</v>
      </c>
      <c r="AI370" s="87">
        <f>((COSTS!$E$5*88)/20)/88</f>
        <v>0.62936587135988387</v>
      </c>
      <c r="AJ370" s="87">
        <f>((COSTS!$D$5*88)/20)/88</f>
        <v>0.33676</v>
      </c>
      <c r="AL370" s="387">
        <f t="shared" si="40"/>
        <v>2.7554978961532726</v>
      </c>
      <c r="AM370" s="69">
        <f>(COSTS!$W$3+0.1)*500*0.01</f>
        <v>3.9999999999999996</v>
      </c>
      <c r="AN370" s="387">
        <f>((COSTS!$G$5/20)*88)/88</f>
        <v>1.308904109589041</v>
      </c>
      <c r="AR370" s="69">
        <f t="shared" si="41"/>
        <v>5.3089041095890401</v>
      </c>
      <c r="AT370" s="1" t="e">
        <f>VLOOKUP(C370&amp;$AT$1,OTR!E:J,6,FALSE)/88</f>
        <v>#N/A</v>
      </c>
      <c r="AU370" s="1">
        <f>VLOOKUP(C370&amp;$AU$1,OTR!E:J,6,FALSE)/88</f>
        <v>23.90340909090909</v>
      </c>
    </row>
    <row r="371" spans="1:47">
      <c r="A371" s="1">
        <v>167035</v>
      </c>
      <c r="B371" s="1" t="s">
        <v>806</v>
      </c>
      <c r="C371" s="1" t="s">
        <v>801</v>
      </c>
      <c r="D371" s="1" t="s">
        <v>149</v>
      </c>
      <c r="E371" s="1" t="str">
        <f>VLOOKUP(A:A,'Regions and Ports'!A:G,5,FALSE)</f>
        <v>Memphis Rule 5</v>
      </c>
      <c r="F371" s="1" t="str">
        <f>VLOOKUP(A:A,'Regions and Ports'!A:F,6,FALSE)</f>
        <v>MR5</v>
      </c>
      <c r="G371" s="1" t="str">
        <f>VLOOKUP(A:A,'Regions and Ports'!A:G,7,FALSE)</f>
        <v>Memphis</v>
      </c>
      <c r="H371" s="87">
        <v>1</v>
      </c>
      <c r="I371" s="69">
        <f>VLOOKUP(A:A,'Seam Tariffs'!A:AB,9,FALSE)</f>
        <v>2.75</v>
      </c>
      <c r="J371" s="69">
        <f>VLOOKUP(A:A,'Seam Tariffs'!A:AB,11,FALSE)</f>
        <v>16</v>
      </c>
      <c r="K371" s="69">
        <f>VLOOKUP(A:A,'Seam Tariffs'!A:AB,12,FALSE)</f>
        <v>0</v>
      </c>
      <c r="L371" s="69">
        <f>VLOOKUP(A:A,'Seam Tariffs'!A:AB,13,FALSE)</f>
        <v>3.05</v>
      </c>
      <c r="M371" s="69">
        <f>VLOOKUP(A:A,'Seam Tariffs'!A:AB,14,FALSE)</f>
        <v>0.5</v>
      </c>
      <c r="N371" s="69">
        <f>VLOOKUP(A:A,'Seam Tariffs'!A:AB,28,FALSE)</f>
        <v>3.75</v>
      </c>
      <c r="O371" s="69">
        <f>COSTS!$W$6</f>
        <v>1.8958333333333335</v>
      </c>
      <c r="P371" s="69">
        <f>VLOOKUP(G371,COSTS!$V$11:$X$14,3,FALSE)</f>
        <v>0</v>
      </c>
      <c r="Q371" s="69">
        <f t="shared" si="35"/>
        <v>27.945833333333333</v>
      </c>
      <c r="R371" s="69">
        <f t="shared" si="36"/>
        <v>5.6458333333333339</v>
      </c>
      <c r="S371" s="87">
        <f>VLOOKUP(A:A,'Flat Bed &amp; Late Fees'!A:J,6,FALSE)</f>
        <v>0</v>
      </c>
      <c r="T371" s="87">
        <f>VLOOKUP(A:A,'Flat Bed &amp; Late Fees'!A:J,7,FALSE)</f>
        <v>0</v>
      </c>
      <c r="U371" s="68">
        <f>VLOOKUP(C371&amp;G371,OTR!E:J,6,FALSE)/88</f>
        <v>6.9602272727272725</v>
      </c>
      <c r="V371" s="87"/>
      <c r="W371" s="68">
        <f t="shared" si="37"/>
        <v>6.9602272727272725</v>
      </c>
      <c r="X371" s="69">
        <f>VLOOKUP(G371,COSTS!$Z$18:$AC$23,2,FALSE)</f>
        <v>2.5</v>
      </c>
      <c r="Y371" s="87">
        <f>VLOOKUP(G371,COSTS!$Z$18:$AC$23,4,FALSE)</f>
        <v>1.68</v>
      </c>
      <c r="Z371" s="69">
        <f>(COSTS!$W$3*COSTS!$W$4*500)/52*COSTS!$AE$17</f>
        <v>1.3125</v>
      </c>
      <c r="AB371" s="69">
        <f t="shared" si="38"/>
        <v>5.4924999999999997</v>
      </c>
      <c r="AC371" s="69">
        <f>VLOOKUP(G371,COSTS!$Z$11:$AE$14,5,FALSE)</f>
        <v>7.3011363636363633</v>
      </c>
      <c r="AD371" s="69">
        <f>VLOOKUP(G371,COSTS!$Z$4:$AD$7,4,FALSE)</f>
        <v>9.1363636363636367</v>
      </c>
      <c r="AE371" s="69"/>
      <c r="AF371" s="69">
        <f t="shared" si="39"/>
        <v>16.4375</v>
      </c>
      <c r="AG371" s="87">
        <f>((COSTS!$C$5*88)/20)/88</f>
        <v>1.4407150000000002</v>
      </c>
      <c r="AH371" s="69">
        <f>(COSTS!$X$38/88)*20</f>
        <v>0.34865702479338845</v>
      </c>
      <c r="AI371" s="87">
        <f>((COSTS!$E$5*88)/20)/88</f>
        <v>0.62936587135988387</v>
      </c>
      <c r="AJ371" s="87">
        <f>((COSTS!$D$5*88)/20)/88</f>
        <v>0.33676</v>
      </c>
      <c r="AL371" s="387">
        <f t="shared" si="40"/>
        <v>2.7554978961532726</v>
      </c>
      <c r="AM371" s="69">
        <f>(COSTS!$W$3+0.1)*500*0.01</f>
        <v>3.9999999999999996</v>
      </c>
      <c r="AN371" s="387">
        <f>((COSTS!$G$5/20)*88)/88</f>
        <v>1.308904109589041</v>
      </c>
      <c r="AR371" s="69">
        <f t="shared" si="41"/>
        <v>5.3089041095890401</v>
      </c>
      <c r="AT371" s="1" t="e">
        <f>VLOOKUP(C371&amp;$AT$1,OTR!E:J,6,FALSE)/88</f>
        <v>#N/A</v>
      </c>
      <c r="AU371" s="1">
        <f>VLOOKUP(C371&amp;$AU$1,OTR!E:J,6,FALSE)/88</f>
        <v>23.90340909090909</v>
      </c>
    </row>
    <row r="372" spans="1:47">
      <c r="A372" s="1">
        <v>607541</v>
      </c>
      <c r="B372" s="1" t="s">
        <v>810</v>
      </c>
      <c r="C372" s="1" t="s">
        <v>811</v>
      </c>
      <c r="D372" s="1" t="s">
        <v>136</v>
      </c>
      <c r="E372" s="1" t="str">
        <f>VLOOKUP(A:A,'Regions and Ports'!A:G,5,FALSE)</f>
        <v>Eastern Rule 5</v>
      </c>
      <c r="F372" s="1" t="str">
        <f>VLOOKUP(A:A,'Regions and Ports'!A:F,6,FALSE)</f>
        <v>ER5</v>
      </c>
      <c r="G372" s="1" t="str">
        <f>VLOOKUP(A:A,'Regions and Ports'!A:G,7,FALSE)</f>
        <v>Savannah</v>
      </c>
      <c r="H372" s="87">
        <v>1</v>
      </c>
      <c r="I372" s="69">
        <f>VLOOKUP(A:A,'Seam Tariffs'!A:AB,9,FALSE)</f>
        <v>4</v>
      </c>
      <c r="J372" s="69">
        <f>VLOOKUP(A:A,'Seam Tariffs'!A:AB,11,FALSE)</f>
        <v>5</v>
      </c>
      <c r="K372" s="69">
        <f>VLOOKUP(A:A,'Seam Tariffs'!A:AB,12,FALSE)</f>
        <v>0</v>
      </c>
      <c r="L372" s="69">
        <f>VLOOKUP(A:A,'Seam Tariffs'!A:AB,13,FALSE)</f>
        <v>0</v>
      </c>
      <c r="M372" s="69">
        <f>VLOOKUP(A:A,'Seam Tariffs'!A:AB,14,FALSE)</f>
        <v>1</v>
      </c>
      <c r="N372" s="69">
        <f>VLOOKUP(A:A,'Seam Tariffs'!A:AB,28,FALSE)</f>
        <v>2</v>
      </c>
      <c r="O372" s="69">
        <f>COSTS!$W$6</f>
        <v>1.8958333333333335</v>
      </c>
      <c r="P372" s="69">
        <f>VLOOKUP(G372,COSTS!$V$11:$X$14,3,FALSE)</f>
        <v>0</v>
      </c>
      <c r="Q372" s="69">
        <f t="shared" si="35"/>
        <v>13.895833333333334</v>
      </c>
      <c r="R372" s="69">
        <f t="shared" si="36"/>
        <v>3.8958333333333335</v>
      </c>
      <c r="S372" s="87">
        <f>VLOOKUP(A:A,'Flat Bed &amp; Late Fees'!A:J,6,FALSE)</f>
        <v>0</v>
      </c>
      <c r="T372" s="87">
        <f>VLOOKUP(A:A,'Flat Bed &amp; Late Fees'!A:J,7,FALSE)</f>
        <v>0</v>
      </c>
      <c r="U372" s="68">
        <f>VLOOKUP(C372&amp;G372,OTR!E:J,6,FALSE)/88</f>
        <v>12.069517045454546</v>
      </c>
      <c r="V372" s="87"/>
      <c r="W372" s="68">
        <f t="shared" si="37"/>
        <v>12.069517045454546</v>
      </c>
      <c r="X372" s="69">
        <f>VLOOKUP(G372,COSTS!$Z$18:$AC$23,2,FALSE)</f>
        <v>2.6</v>
      </c>
      <c r="Y372" s="87">
        <f>VLOOKUP(G372,COSTS!$Z$18:$AC$23,4,FALSE)</f>
        <v>2.52</v>
      </c>
      <c r="Z372" s="69">
        <f>(COSTS!$W$3*COSTS!$W$4*500)/52*COSTS!$AE$17</f>
        <v>1.3125</v>
      </c>
      <c r="AB372" s="69">
        <f t="shared" si="38"/>
        <v>6.4325000000000001</v>
      </c>
      <c r="AC372" s="69">
        <f>VLOOKUP(G372,COSTS!$Z$11:$AE$14,5,FALSE)</f>
        <v>5.5113636363636367</v>
      </c>
      <c r="AD372" s="69">
        <f>VLOOKUP(G372,COSTS!$Z$4:$AD$7,4,FALSE)</f>
        <v>5.3522727272727275</v>
      </c>
      <c r="AE372" s="69"/>
      <c r="AF372" s="69">
        <f t="shared" si="39"/>
        <v>10.863636363636363</v>
      </c>
      <c r="AG372" s="87">
        <f>((COSTS!$C$5*88)/20)/88</f>
        <v>1.4407150000000002</v>
      </c>
      <c r="AH372" s="69">
        <f>(COSTS!$X$38/88)*20</f>
        <v>0.34865702479338845</v>
      </c>
      <c r="AI372" s="87">
        <f>((COSTS!$E$5*88)/20)/88</f>
        <v>0.62936587135988387</v>
      </c>
      <c r="AJ372" s="87">
        <f>((COSTS!$D$5*88)/20)/88</f>
        <v>0.33676</v>
      </c>
      <c r="AL372" s="387">
        <f t="shared" si="40"/>
        <v>2.7554978961532726</v>
      </c>
      <c r="AM372" s="69">
        <f>(COSTS!$W$3+0.1)*500*0.01</f>
        <v>3.9999999999999996</v>
      </c>
      <c r="AN372" s="387">
        <f>((COSTS!$G$5/20)*88)/88</f>
        <v>1.308904109589041</v>
      </c>
      <c r="AR372" s="69">
        <f t="shared" si="41"/>
        <v>5.3089041095890401</v>
      </c>
      <c r="AT372" s="1" t="e">
        <f>VLOOKUP(C372&amp;$AT$1,OTR!E:J,6,FALSE)/88</f>
        <v>#N/A</v>
      </c>
      <c r="AU372" s="1">
        <f>VLOOKUP(C372&amp;$AU$1,OTR!E:J,6,FALSE)/88</f>
        <v>11.221590909090908</v>
      </c>
    </row>
    <row r="373" spans="1:47">
      <c r="A373" s="1">
        <v>611030</v>
      </c>
      <c r="B373" s="1" t="s">
        <v>812</v>
      </c>
      <c r="C373" s="1" t="s">
        <v>811</v>
      </c>
      <c r="D373" s="1" t="s">
        <v>136</v>
      </c>
      <c r="E373" s="1" t="str">
        <f>VLOOKUP(A:A,'Regions and Ports'!A:G,5,FALSE)</f>
        <v>Eastern Rule 5</v>
      </c>
      <c r="F373" s="1" t="str">
        <f>VLOOKUP(A:A,'Regions and Ports'!A:F,6,FALSE)</f>
        <v>ER5</v>
      </c>
      <c r="G373" s="1" t="str">
        <f>VLOOKUP(A:A,'Regions and Ports'!A:G,7,FALSE)</f>
        <v>Savannah</v>
      </c>
      <c r="H373" s="87">
        <v>1</v>
      </c>
      <c r="I373" s="69">
        <f>VLOOKUP(A:A,'Seam Tariffs'!A:AB,9,FALSE)</f>
        <v>4</v>
      </c>
      <c r="J373" s="69">
        <f>VLOOKUP(A:A,'Seam Tariffs'!A:AB,11,FALSE)</f>
        <v>5</v>
      </c>
      <c r="K373" s="69">
        <f>VLOOKUP(A:A,'Seam Tariffs'!A:AB,12,FALSE)</f>
        <v>0</v>
      </c>
      <c r="L373" s="69">
        <f>VLOOKUP(A:A,'Seam Tariffs'!A:AB,13,FALSE)</f>
        <v>0</v>
      </c>
      <c r="M373" s="69">
        <f>VLOOKUP(A:A,'Seam Tariffs'!A:AB,14,FALSE)</f>
        <v>1</v>
      </c>
      <c r="N373" s="69">
        <f>VLOOKUP(A:A,'Seam Tariffs'!A:AB,28,FALSE)</f>
        <v>2</v>
      </c>
      <c r="O373" s="69">
        <f>COSTS!$W$6</f>
        <v>1.8958333333333335</v>
      </c>
      <c r="P373" s="69">
        <f>VLOOKUP(G373,COSTS!$V$11:$X$14,3,FALSE)</f>
        <v>0</v>
      </c>
      <c r="Q373" s="69">
        <f t="shared" si="35"/>
        <v>13.895833333333334</v>
      </c>
      <c r="R373" s="69">
        <f t="shared" si="36"/>
        <v>3.8958333333333335</v>
      </c>
      <c r="S373" s="87">
        <f>VLOOKUP(A:A,'Flat Bed &amp; Late Fees'!A:J,6,FALSE)</f>
        <v>0</v>
      </c>
      <c r="T373" s="87">
        <f>VLOOKUP(A:A,'Flat Bed &amp; Late Fees'!A:J,7,FALSE)</f>
        <v>0</v>
      </c>
      <c r="U373" s="68">
        <f>VLOOKUP(C373&amp;G373,OTR!E:J,6,FALSE)/88</f>
        <v>12.069517045454546</v>
      </c>
      <c r="V373" s="87"/>
      <c r="W373" s="68">
        <f t="shared" si="37"/>
        <v>12.069517045454546</v>
      </c>
      <c r="X373" s="69">
        <f>VLOOKUP(G373,COSTS!$Z$18:$AC$23,2,FALSE)</f>
        <v>2.6</v>
      </c>
      <c r="Y373" s="87">
        <f>VLOOKUP(G373,COSTS!$Z$18:$AC$23,4,FALSE)</f>
        <v>2.52</v>
      </c>
      <c r="Z373" s="69">
        <f>(COSTS!$W$3*COSTS!$W$4*500)/52*COSTS!$AE$17</f>
        <v>1.3125</v>
      </c>
      <c r="AB373" s="69">
        <f t="shared" si="38"/>
        <v>6.4325000000000001</v>
      </c>
      <c r="AC373" s="69">
        <f>VLOOKUP(G373,COSTS!$Z$11:$AE$14,5,FALSE)</f>
        <v>5.5113636363636367</v>
      </c>
      <c r="AD373" s="69">
        <f>VLOOKUP(G373,COSTS!$Z$4:$AD$7,4,FALSE)</f>
        <v>5.3522727272727275</v>
      </c>
      <c r="AE373" s="69"/>
      <c r="AF373" s="69">
        <f t="shared" si="39"/>
        <v>10.863636363636363</v>
      </c>
      <c r="AG373" s="87">
        <f>((COSTS!$C$5*88)/20)/88</f>
        <v>1.4407150000000002</v>
      </c>
      <c r="AH373" s="69">
        <f>(COSTS!$X$38/88)*20</f>
        <v>0.34865702479338845</v>
      </c>
      <c r="AI373" s="87">
        <f>((COSTS!$E$5*88)/20)/88</f>
        <v>0.62936587135988387</v>
      </c>
      <c r="AJ373" s="87">
        <f>((COSTS!$D$5*88)/20)/88</f>
        <v>0.33676</v>
      </c>
      <c r="AL373" s="387">
        <f t="shared" si="40"/>
        <v>2.7554978961532726</v>
      </c>
      <c r="AM373" s="69">
        <f>(COSTS!$W$3+0.1)*500*0.01</f>
        <v>3.9999999999999996</v>
      </c>
      <c r="AN373" s="387">
        <f>((COSTS!$G$5/20)*88)/88</f>
        <v>1.308904109589041</v>
      </c>
      <c r="AR373" s="69">
        <f t="shared" si="41"/>
        <v>5.3089041095890401</v>
      </c>
      <c r="AT373" s="1" t="e">
        <f>VLOOKUP(C373&amp;$AT$1,OTR!E:J,6,FALSE)/88</f>
        <v>#N/A</v>
      </c>
      <c r="AU373" s="1">
        <f>VLOOKUP(C373&amp;$AU$1,OTR!E:J,6,FALSE)/88</f>
        <v>11.221590909090908</v>
      </c>
    </row>
    <row r="374" spans="1:47">
      <c r="A374" s="1">
        <v>998008</v>
      </c>
      <c r="B374" s="1" t="s">
        <v>813</v>
      </c>
      <c r="C374" s="1" t="s">
        <v>814</v>
      </c>
      <c r="D374" s="1" t="s">
        <v>324</v>
      </c>
      <c r="E374" s="1" t="str">
        <f>VLOOKUP(A:A,'Regions and Ports'!A:G,5,FALSE)</f>
        <v>Eastern Rule 5</v>
      </c>
      <c r="F374" s="1" t="str">
        <f>VLOOKUP(A:A,'Regions and Ports'!A:F,6,FALSE)</f>
        <v>ER5</v>
      </c>
      <c r="G374" s="1" t="str">
        <f>VLOOKUP(A:A,'Regions and Ports'!A:G,7,FALSE)</f>
        <v>Savannah</v>
      </c>
      <c r="H374" s="87">
        <v>1</v>
      </c>
      <c r="I374" s="69">
        <f>VLOOKUP(A:A,'Seam Tariffs'!A:AB,9,FALSE)</f>
        <v>3.75</v>
      </c>
      <c r="J374" s="69">
        <f>VLOOKUP(A:A,'Seam Tariffs'!A:AB,11,FALSE)</f>
        <v>5</v>
      </c>
      <c r="K374" s="69">
        <f>VLOOKUP(A:A,'Seam Tariffs'!A:AB,12,FALSE)</f>
        <v>0</v>
      </c>
      <c r="L374" s="69">
        <f>VLOOKUP(A:A,'Seam Tariffs'!A:AB,13,FALSE)</f>
        <v>0</v>
      </c>
      <c r="M374" s="69">
        <f>VLOOKUP(A:A,'Seam Tariffs'!A:AB,14,FALSE)</f>
        <v>0.75</v>
      </c>
      <c r="N374" s="69">
        <f>VLOOKUP(A:A,'Seam Tariffs'!A:AB,28,FALSE)</f>
        <v>1.78</v>
      </c>
      <c r="O374" s="69">
        <f>COSTS!$W$6</f>
        <v>1.8958333333333335</v>
      </c>
      <c r="P374" s="69">
        <f>VLOOKUP(G374,COSTS!$V$11:$X$14,3,FALSE)</f>
        <v>0</v>
      </c>
      <c r="Q374" s="69">
        <f t="shared" si="35"/>
        <v>13.175833333333333</v>
      </c>
      <c r="R374" s="69">
        <f t="shared" si="36"/>
        <v>3.6758333333333333</v>
      </c>
      <c r="S374" s="87">
        <f>VLOOKUP(A:A,'Flat Bed &amp; Late Fees'!A:J,6,FALSE)</f>
        <v>0</v>
      </c>
      <c r="T374" s="87">
        <f>VLOOKUP(A:A,'Flat Bed &amp; Late Fees'!A:J,7,FALSE)</f>
        <v>0</v>
      </c>
      <c r="U374" s="68">
        <f>VLOOKUP(C374&amp;G374,OTR!E:J,6,FALSE)/88</f>
        <v>15.712045454545455</v>
      </c>
      <c r="V374" s="87"/>
      <c r="W374" s="68">
        <f t="shared" si="37"/>
        <v>15.712045454545455</v>
      </c>
      <c r="X374" s="69">
        <f>VLOOKUP(G374,COSTS!$Z$18:$AC$23,2,FALSE)</f>
        <v>2.6</v>
      </c>
      <c r="Y374" s="87">
        <f>VLOOKUP(G374,COSTS!$Z$18:$AC$23,4,FALSE)</f>
        <v>2.52</v>
      </c>
      <c r="Z374" s="69">
        <f>(COSTS!$W$3*COSTS!$W$4*500)/52*COSTS!$AE$17</f>
        <v>1.3125</v>
      </c>
      <c r="AB374" s="69">
        <f t="shared" si="38"/>
        <v>6.4325000000000001</v>
      </c>
      <c r="AC374" s="69">
        <f>VLOOKUP(G374,COSTS!$Z$11:$AE$14,5,FALSE)</f>
        <v>5.5113636363636367</v>
      </c>
      <c r="AD374" s="69">
        <f>VLOOKUP(G374,COSTS!$Z$4:$AD$7,4,FALSE)</f>
        <v>5.3522727272727275</v>
      </c>
      <c r="AE374" s="69"/>
      <c r="AF374" s="69">
        <f t="shared" si="39"/>
        <v>10.863636363636363</v>
      </c>
      <c r="AG374" s="87">
        <f>((COSTS!$C$5*88)/20)/88</f>
        <v>1.4407150000000002</v>
      </c>
      <c r="AH374" s="69">
        <f>(COSTS!$X$38/88)*20</f>
        <v>0.34865702479338845</v>
      </c>
      <c r="AI374" s="87">
        <f>((COSTS!$E$5*88)/20)/88</f>
        <v>0.62936587135988387</v>
      </c>
      <c r="AJ374" s="87">
        <f>((COSTS!$D$5*88)/20)/88</f>
        <v>0.33676</v>
      </c>
      <c r="AL374" s="387">
        <f t="shared" si="40"/>
        <v>2.7554978961532726</v>
      </c>
      <c r="AM374" s="69">
        <f>(COSTS!$W$3+0.1)*500*0.01</f>
        <v>3.9999999999999996</v>
      </c>
      <c r="AN374" s="387">
        <f>((COSTS!$G$5/20)*88)/88</f>
        <v>1.308904109589041</v>
      </c>
      <c r="AR374" s="69">
        <f t="shared" si="41"/>
        <v>5.3089041095890401</v>
      </c>
      <c r="AT374" s="1" t="e">
        <f>VLOOKUP(C374&amp;$AT$1,OTR!E:J,6,FALSE)/88</f>
        <v>#N/A</v>
      </c>
      <c r="AU374" s="1">
        <f>VLOOKUP(C374&amp;$AU$1,OTR!E:J,6,FALSE)/88</f>
        <v>14.289772727272727</v>
      </c>
    </row>
    <row r="375" spans="1:47">
      <c r="A375" s="1">
        <v>420002</v>
      </c>
      <c r="B375" s="1" t="s">
        <v>816</v>
      </c>
      <c r="C375" s="1" t="s">
        <v>817</v>
      </c>
      <c r="D375" s="1" t="s">
        <v>80</v>
      </c>
      <c r="E375" s="1" t="str">
        <f>VLOOKUP(A:A,'Regions and Ports'!A:G,5,FALSE)</f>
        <v>Memphis Rule 5</v>
      </c>
      <c r="F375" s="1" t="str">
        <f>VLOOKUP(A:A,'Regions and Ports'!A:F,6,FALSE)</f>
        <v>MR5</v>
      </c>
      <c r="G375" s="1" t="str">
        <f>VLOOKUP(A:A,'Regions and Ports'!A:G,7,FALSE)</f>
        <v>Houston</v>
      </c>
      <c r="H375" s="87">
        <v>1</v>
      </c>
      <c r="I375" s="69">
        <f>VLOOKUP(A:A,'Seam Tariffs'!A:AB,9,FALSE)</f>
        <v>5.3</v>
      </c>
      <c r="J375" s="69">
        <f>VLOOKUP(A:A,'Seam Tariffs'!A:AB,11,FALSE)</f>
        <v>9</v>
      </c>
      <c r="K375" s="69">
        <f>VLOOKUP(A:A,'Seam Tariffs'!A:AB,12,FALSE)</f>
        <v>8</v>
      </c>
      <c r="L375" s="69">
        <f>VLOOKUP(A:A,'Seam Tariffs'!A:AB,13,FALSE)</f>
        <v>0</v>
      </c>
      <c r="M375" s="69">
        <f>VLOOKUP(A:A,'Seam Tariffs'!A:AB,14,FALSE)</f>
        <v>0</v>
      </c>
      <c r="N375" s="69">
        <f>VLOOKUP(A:A,'Seam Tariffs'!A:AB,28,FALSE)</f>
        <v>3.5</v>
      </c>
      <c r="O375" s="69">
        <f>COSTS!$W$6</f>
        <v>1.8958333333333335</v>
      </c>
      <c r="P375" s="69">
        <f>VLOOKUP(G375,COSTS!$V$11:$X$14,3,FALSE)</f>
        <v>0</v>
      </c>
      <c r="Q375" s="69">
        <f t="shared" si="35"/>
        <v>27.695833333333333</v>
      </c>
      <c r="R375" s="69">
        <f t="shared" si="36"/>
        <v>5.3958333333333339</v>
      </c>
      <c r="S375" s="87">
        <f>VLOOKUP(A:A,'Flat Bed &amp; Late Fees'!A:J,6,FALSE)</f>
        <v>0</v>
      </c>
      <c r="T375" s="87">
        <f>VLOOKUP(A:A,'Flat Bed &amp; Late Fees'!A:J,7,FALSE)</f>
        <v>0</v>
      </c>
      <c r="U375" s="68">
        <f>VLOOKUP(C375&amp;G375,OTR!E:J,6,FALSE)/88</f>
        <v>15.909090909090908</v>
      </c>
      <c r="V375" s="87"/>
      <c r="W375" s="68">
        <f t="shared" si="37"/>
        <v>15.909090909090908</v>
      </c>
      <c r="X375" s="69">
        <f>VLOOKUP(G375,COSTS!$Z$18:$AC$23,2,FALSE)</f>
        <v>2.7</v>
      </c>
      <c r="Y375" s="87">
        <f>VLOOKUP(G375,COSTS!$Z$18:$AC$23,4,FALSE)</f>
        <v>2.52</v>
      </c>
      <c r="Z375" s="69">
        <f>(COSTS!$W$3*COSTS!$W$4*500)/52*COSTS!$AE$17</f>
        <v>1.3125</v>
      </c>
      <c r="AB375" s="69">
        <f t="shared" si="38"/>
        <v>6.5325000000000006</v>
      </c>
      <c r="AC375" s="69">
        <f>VLOOKUP(G375,COSTS!$Z$11:$AE$14,5,FALSE)</f>
        <v>6.6477272727272725</v>
      </c>
      <c r="AD375" s="69">
        <f>VLOOKUP(G375,COSTS!$Z$4:$AD$7,4,FALSE)</f>
        <v>9.8977272727272734</v>
      </c>
      <c r="AE375" s="69"/>
      <c r="AF375" s="69">
        <f t="shared" si="39"/>
        <v>16.545454545454547</v>
      </c>
      <c r="AG375" s="87">
        <f>((COSTS!$C$5*88)/20)/88</f>
        <v>1.4407150000000002</v>
      </c>
      <c r="AH375" s="69">
        <f>(COSTS!$X$38/88)*20</f>
        <v>0.34865702479338845</v>
      </c>
      <c r="AI375" s="87">
        <f>((COSTS!$E$5*88)/20)/88</f>
        <v>0.62936587135988387</v>
      </c>
      <c r="AJ375" s="87">
        <f>((COSTS!$D$5*88)/20)/88</f>
        <v>0.33676</v>
      </c>
      <c r="AL375" s="387">
        <f t="shared" si="40"/>
        <v>2.7554978961532726</v>
      </c>
      <c r="AM375" s="69">
        <f>(COSTS!$W$3+0.1)*500*0.01</f>
        <v>3.9999999999999996</v>
      </c>
      <c r="AN375" s="387">
        <f>((COSTS!$G$5/20)*88)/88</f>
        <v>1.308904109589041</v>
      </c>
      <c r="AR375" s="69">
        <f t="shared" si="41"/>
        <v>5.3089041095890401</v>
      </c>
      <c r="AT375" s="1">
        <f>VLOOKUP(C375&amp;$AT$1,OTR!E:J,6,FALSE)/88</f>
        <v>17.696477272727272</v>
      </c>
      <c r="AU375" s="1">
        <f>VLOOKUP(C375&amp;$AU$1,OTR!E:J,6,FALSE)/88</f>
        <v>26.630681818181817</v>
      </c>
    </row>
  </sheetData>
  <autoFilter ref="A2:AU375" xr:uid="{660F8060-5601-48AE-8538-2A9C8F34D0FE}">
    <sortState xmlns:xlrd2="http://schemas.microsoft.com/office/spreadsheetml/2017/richdata2" ref="A3:AU375">
      <sortCondition ref="C2:C375"/>
    </sortState>
  </autoFilter>
  <mergeCells count="6">
    <mergeCell ref="AM1:AR1"/>
    <mergeCell ref="H1:R1"/>
    <mergeCell ref="S1:W1"/>
    <mergeCell ref="X1:AB1"/>
    <mergeCell ref="AC1:AF1"/>
    <mergeCell ref="AG1:AL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2C58-2F50-42FE-8976-66DAF935BA99}">
  <dimension ref="A3:AG31"/>
  <sheetViews>
    <sheetView showGridLines="0" workbookViewId="0">
      <selection activeCell="L15" sqref="L15"/>
    </sheetView>
  </sheetViews>
  <sheetFormatPr defaultColWidth="9.1796875" defaultRowHeight="13"/>
  <cols>
    <col min="1" max="1" width="12.81640625" style="10" bestFit="1" customWidth="1"/>
    <col min="2" max="2" width="5.7265625" style="10" bestFit="1" customWidth="1"/>
    <col min="3" max="3" width="8.453125" style="10" bestFit="1" customWidth="1"/>
    <col min="4" max="4" width="7.81640625" style="10" bestFit="1" customWidth="1"/>
    <col min="5" max="5" width="11.26953125" style="10" bestFit="1" customWidth="1"/>
    <col min="6" max="6" width="5.26953125" style="10" bestFit="1" customWidth="1"/>
    <col min="7" max="7" width="7" style="10" bestFit="1" customWidth="1"/>
    <col min="8" max="8" width="6.81640625" style="10" bestFit="1" customWidth="1"/>
    <col min="9" max="9" width="7.1796875" style="10" bestFit="1" customWidth="1"/>
    <col min="10" max="10" width="15.54296875" style="10" bestFit="1" customWidth="1"/>
    <col min="11" max="11" width="9.7265625" style="10" bestFit="1" customWidth="1"/>
    <col min="12" max="12" width="6.81640625" style="10" bestFit="1" customWidth="1"/>
    <col min="13" max="14" width="10.54296875" style="10" bestFit="1" customWidth="1"/>
    <col min="15" max="15" width="10.1796875" style="10" bestFit="1" customWidth="1"/>
    <col min="16" max="16" width="12.453125" style="10" bestFit="1" customWidth="1"/>
    <col min="17" max="17" width="6.81640625" style="10" bestFit="1" customWidth="1"/>
    <col min="18" max="18" width="10.7265625" style="10" bestFit="1" customWidth="1"/>
    <col min="19" max="19" width="4.453125" style="10" bestFit="1" customWidth="1"/>
    <col min="20" max="20" width="6" style="10" bestFit="1" customWidth="1"/>
    <col min="21" max="21" width="8" style="10" bestFit="1" customWidth="1"/>
    <col min="22" max="22" width="7.1796875" style="10" bestFit="1" customWidth="1"/>
    <col min="23" max="23" width="9.453125" style="10" bestFit="1" customWidth="1"/>
    <col min="24" max="24" width="9.7265625" style="10" bestFit="1" customWidth="1"/>
    <col min="25" max="25" width="8.7265625" style="10" bestFit="1" customWidth="1"/>
    <col min="26" max="26" width="8.1796875" style="10" bestFit="1" customWidth="1"/>
    <col min="27" max="27" width="18.54296875" style="10" bestFit="1" customWidth="1"/>
    <col min="28" max="28" width="8.453125" style="10" bestFit="1" customWidth="1"/>
    <col min="29" max="29" width="11.26953125" style="10" bestFit="1" customWidth="1"/>
    <col min="30" max="30" width="7.7265625" style="10" bestFit="1" customWidth="1"/>
    <col min="31" max="31" width="5.26953125" style="10" bestFit="1" customWidth="1"/>
    <col min="32" max="32" width="3.7265625" style="10" bestFit="1" customWidth="1"/>
    <col min="33" max="16384" width="9.1796875" style="10"/>
  </cols>
  <sheetData>
    <row r="3" spans="1:33" ht="13.5" thickBot="1"/>
    <row r="4" spans="1:33" ht="13.5" thickBot="1">
      <c r="B4" s="620" t="s">
        <v>0</v>
      </c>
      <c r="C4" s="621"/>
      <c r="D4" s="621"/>
      <c r="E4" s="621"/>
      <c r="F4" s="621"/>
      <c r="G4" s="621"/>
      <c r="H4" s="621"/>
      <c r="I4" s="621"/>
      <c r="J4" s="621"/>
      <c r="K4" s="622"/>
      <c r="L4" s="623" t="s">
        <v>1</v>
      </c>
      <c r="M4" s="624"/>
      <c r="N4" s="624"/>
      <c r="O4" s="625"/>
      <c r="P4" s="626" t="s">
        <v>2</v>
      </c>
      <c r="Q4" s="627"/>
      <c r="R4" s="627"/>
      <c r="S4" s="628" t="s">
        <v>3</v>
      </c>
      <c r="T4" s="629"/>
      <c r="U4" s="630"/>
      <c r="V4" s="631" t="s">
        <v>4</v>
      </c>
      <c r="W4" s="631"/>
      <c r="X4" s="631"/>
      <c r="Y4" s="631"/>
      <c r="Z4" s="632"/>
      <c r="AA4" s="614" t="s">
        <v>5</v>
      </c>
      <c r="AB4" s="615"/>
      <c r="AC4" s="615"/>
      <c r="AD4" s="615"/>
      <c r="AE4" s="617" t="s">
        <v>2059</v>
      </c>
      <c r="AF4" s="645"/>
      <c r="AG4" s="646"/>
    </row>
    <row r="5" spans="1:33" ht="13.5" thickBot="1">
      <c r="B5" s="513" t="s">
        <v>14</v>
      </c>
      <c r="C5" s="513" t="s">
        <v>15</v>
      </c>
      <c r="D5" s="513" t="s">
        <v>16</v>
      </c>
      <c r="E5" s="513" t="s">
        <v>17</v>
      </c>
      <c r="F5" s="513" t="s">
        <v>18</v>
      </c>
      <c r="G5" s="513" t="s">
        <v>19</v>
      </c>
      <c r="H5" s="513" t="s">
        <v>20</v>
      </c>
      <c r="I5" s="513" t="s">
        <v>28</v>
      </c>
      <c r="J5" s="513" t="s">
        <v>1650</v>
      </c>
      <c r="K5" s="310" t="s">
        <v>22</v>
      </c>
      <c r="L5" s="329" t="s">
        <v>23</v>
      </c>
      <c r="M5" s="329" t="s">
        <v>24</v>
      </c>
      <c r="N5" s="329" t="s">
        <v>25</v>
      </c>
      <c r="O5" s="312" t="s">
        <v>2060</v>
      </c>
      <c r="P5" s="515" t="s">
        <v>27</v>
      </c>
      <c r="Q5" s="515" t="s">
        <v>20</v>
      </c>
      <c r="R5" s="510" t="s">
        <v>29</v>
      </c>
      <c r="S5" s="516" t="s">
        <v>30</v>
      </c>
      <c r="T5" s="516" t="s">
        <v>31</v>
      </c>
      <c r="U5" s="511" t="s">
        <v>32</v>
      </c>
      <c r="V5" s="517" t="s">
        <v>33</v>
      </c>
      <c r="W5" s="518" t="s">
        <v>34</v>
      </c>
      <c r="X5" s="518" t="s">
        <v>35</v>
      </c>
      <c r="Y5" s="518" t="s">
        <v>36</v>
      </c>
      <c r="Z5" s="512" t="s">
        <v>37</v>
      </c>
      <c r="AA5" s="519" t="s">
        <v>2061</v>
      </c>
      <c r="AB5" s="520" t="s">
        <v>2062</v>
      </c>
      <c r="AC5" s="520" t="s">
        <v>2139</v>
      </c>
      <c r="AD5" s="521" t="s">
        <v>40</v>
      </c>
      <c r="AE5" s="522" t="s">
        <v>1688</v>
      </c>
      <c r="AF5" s="523" t="s">
        <v>2063</v>
      </c>
      <c r="AG5" s="326" t="s">
        <v>2064</v>
      </c>
    </row>
    <row r="6" spans="1:33">
      <c r="A6" s="32" t="s">
        <v>2140</v>
      </c>
      <c r="B6" s="721" t="s">
        <v>2144</v>
      </c>
      <c r="C6" s="722"/>
      <c r="D6" s="722"/>
      <c r="E6" s="722"/>
      <c r="F6" s="722"/>
      <c r="G6" s="722"/>
      <c r="H6" s="722"/>
      <c r="I6" s="722"/>
      <c r="J6" s="722"/>
      <c r="K6" s="722"/>
      <c r="L6" s="721" t="s">
        <v>2154</v>
      </c>
      <c r="M6" s="722"/>
      <c r="N6" s="355"/>
      <c r="O6" s="532"/>
      <c r="P6" s="535" t="s">
        <v>2162</v>
      </c>
      <c r="Q6" s="355"/>
      <c r="R6" s="532"/>
    </row>
    <row r="7" spans="1:33">
      <c r="A7" s="32" t="s">
        <v>2141</v>
      </c>
      <c r="B7" s="723" t="s">
        <v>2145</v>
      </c>
      <c r="C7" s="724"/>
      <c r="D7" s="724"/>
      <c r="E7" s="724"/>
      <c r="F7" s="724"/>
      <c r="G7" s="724"/>
      <c r="H7" s="724"/>
      <c r="I7" s="724"/>
      <c r="J7" s="724"/>
      <c r="K7" s="724"/>
      <c r="L7" s="723" t="s">
        <v>2156</v>
      </c>
      <c r="M7" s="724"/>
      <c r="N7" s="319" t="s">
        <v>2155</v>
      </c>
      <c r="O7" s="533"/>
      <c r="P7" s="536" t="s">
        <v>2163</v>
      </c>
      <c r="R7" s="533"/>
    </row>
    <row r="8" spans="1:33">
      <c r="A8" s="32" t="s">
        <v>2142</v>
      </c>
      <c r="B8" s="723" t="s">
        <v>2149</v>
      </c>
      <c r="C8" s="724"/>
      <c r="D8" s="724"/>
      <c r="E8" s="724"/>
      <c r="F8" s="724"/>
      <c r="G8" s="724"/>
      <c r="H8" s="724"/>
      <c r="I8" s="724"/>
      <c r="J8" s="724"/>
      <c r="K8" s="724"/>
      <c r="L8" s="723"/>
      <c r="M8" s="724"/>
      <c r="O8" s="533"/>
      <c r="P8" s="536" t="s">
        <v>2164</v>
      </c>
      <c r="R8" s="533"/>
    </row>
    <row r="9" spans="1:33">
      <c r="A9" s="32" t="s">
        <v>2143</v>
      </c>
      <c r="B9" s="723" t="s">
        <v>2148</v>
      </c>
      <c r="C9" s="724"/>
      <c r="D9" s="724"/>
      <c r="E9" s="724"/>
      <c r="F9" s="724"/>
      <c r="G9" s="724"/>
      <c r="H9" s="724"/>
      <c r="I9" s="724"/>
      <c r="J9" s="724"/>
      <c r="K9" s="724"/>
      <c r="L9" s="723" t="s">
        <v>2157</v>
      </c>
      <c r="M9" s="724"/>
      <c r="N9" s="10" t="s">
        <v>2159</v>
      </c>
      <c r="O9" s="533"/>
      <c r="P9" s="536" t="s">
        <v>2158</v>
      </c>
      <c r="R9" s="533"/>
    </row>
    <row r="10" spans="1:33">
      <c r="A10" s="32" t="s">
        <v>2146</v>
      </c>
      <c r="B10" s="723" t="s">
        <v>2147</v>
      </c>
      <c r="C10" s="724"/>
      <c r="D10" s="724"/>
      <c r="E10" s="724"/>
      <c r="F10" s="724"/>
      <c r="G10" s="724"/>
      <c r="H10" s="724"/>
      <c r="I10" s="724"/>
      <c r="J10" s="724"/>
      <c r="K10" s="724"/>
      <c r="L10" s="723" t="s">
        <v>2158</v>
      </c>
      <c r="M10" s="724"/>
      <c r="N10" s="10" t="s">
        <v>2160</v>
      </c>
      <c r="O10" s="533"/>
      <c r="P10" s="536" t="s">
        <v>2165</v>
      </c>
      <c r="R10" s="533"/>
    </row>
    <row r="11" spans="1:33">
      <c r="A11" s="32" t="s">
        <v>2150</v>
      </c>
      <c r="B11" s="716" t="s">
        <v>2152</v>
      </c>
      <c r="C11" s="717"/>
      <c r="D11" s="717"/>
      <c r="E11" s="717"/>
      <c r="F11" s="717"/>
      <c r="G11" s="717"/>
      <c r="H11" s="717"/>
      <c r="I11" s="717"/>
      <c r="J11" s="717"/>
      <c r="K11" s="718"/>
      <c r="L11" s="723"/>
      <c r="M11" s="724"/>
      <c r="N11" s="538" t="s">
        <v>2161</v>
      </c>
      <c r="O11" s="533"/>
      <c r="P11" s="536" t="s">
        <v>2151</v>
      </c>
      <c r="R11" s="533"/>
    </row>
    <row r="12" spans="1:33" ht="13.5" thickBot="1">
      <c r="A12" s="32" t="s">
        <v>2151</v>
      </c>
      <c r="B12" s="719" t="s">
        <v>2153</v>
      </c>
      <c r="C12" s="720"/>
      <c r="D12" s="720"/>
      <c r="E12" s="720"/>
      <c r="F12" s="720"/>
      <c r="G12" s="720"/>
      <c r="H12" s="720"/>
      <c r="I12" s="720"/>
      <c r="J12" s="720"/>
      <c r="K12" s="720"/>
      <c r="L12" s="719"/>
      <c r="M12" s="720"/>
      <c r="N12" s="356" t="s">
        <v>2151</v>
      </c>
      <c r="O12" s="534"/>
      <c r="P12" s="537" t="s">
        <v>2166</v>
      </c>
      <c r="Q12" s="356"/>
      <c r="R12" s="534"/>
    </row>
    <row r="22" spans="5:10" ht="14.5">
      <c r="F22" s="10" t="s">
        <v>2113</v>
      </c>
      <c r="G22" s="10" t="s">
        <v>2114</v>
      </c>
      <c r="H22" s="10" t="s">
        <v>2115</v>
      </c>
      <c r="I22" s="10" t="s">
        <v>2116</v>
      </c>
      <c r="J22"/>
    </row>
    <row r="23" spans="5:10" ht="14.5">
      <c r="E23" s="456" t="s">
        <v>2117</v>
      </c>
      <c r="F23" s="456" t="s">
        <v>2118</v>
      </c>
      <c r="G23" s="456" t="s">
        <v>2118</v>
      </c>
      <c r="H23" s="456" t="s">
        <v>2118</v>
      </c>
      <c r="I23" s="456" t="s">
        <v>2118</v>
      </c>
      <c r="J23"/>
    </row>
    <row r="24" spans="5:10" ht="14.5">
      <c r="E24"/>
      <c r="F24"/>
      <c r="G24"/>
      <c r="H24"/>
      <c r="I24"/>
      <c r="J24"/>
    </row>
    <row r="25" spans="5:10" ht="14.5">
      <c r="E25"/>
      <c r="F25"/>
      <c r="G25"/>
      <c r="H25"/>
      <c r="I25"/>
      <c r="J25"/>
    </row>
    <row r="26" spans="5:10" ht="14.5">
      <c r="E26"/>
      <c r="F26"/>
      <c r="G26"/>
      <c r="H26"/>
      <c r="I26"/>
      <c r="J26"/>
    </row>
    <row r="27" spans="5:10" ht="14.5">
      <c r="E27"/>
      <c r="F27"/>
      <c r="G27"/>
      <c r="H27"/>
      <c r="I27"/>
      <c r="J27"/>
    </row>
    <row r="28" spans="5:10" ht="14.5">
      <c r="E28"/>
      <c r="F28"/>
      <c r="G28"/>
      <c r="H28"/>
      <c r="I28"/>
      <c r="J28"/>
    </row>
    <row r="29" spans="5:10" ht="14.5">
      <c r="E29"/>
      <c r="F29"/>
      <c r="G29"/>
      <c r="H29"/>
      <c r="I29"/>
      <c r="J29"/>
    </row>
    <row r="30" spans="5:10" ht="14.5">
      <c r="E30"/>
      <c r="F30"/>
      <c r="G30"/>
      <c r="H30"/>
      <c r="I30"/>
      <c r="J30"/>
    </row>
    <row r="31" spans="5:10" ht="14.5">
      <c r="E31"/>
      <c r="F31"/>
      <c r="G31"/>
      <c r="H31"/>
      <c r="I31"/>
      <c r="J31"/>
    </row>
  </sheetData>
  <mergeCells count="21">
    <mergeCell ref="L8:M8"/>
    <mergeCell ref="L9:M9"/>
    <mergeCell ref="L10:M10"/>
    <mergeCell ref="L11:M11"/>
    <mergeCell ref="L12:M12"/>
    <mergeCell ref="B11:K11"/>
    <mergeCell ref="B12:K12"/>
    <mergeCell ref="L6:M6"/>
    <mergeCell ref="L7:M7"/>
    <mergeCell ref="AE4:AG4"/>
    <mergeCell ref="B6:K6"/>
    <mergeCell ref="B7:K7"/>
    <mergeCell ref="B10:K10"/>
    <mergeCell ref="B9:K9"/>
    <mergeCell ref="B8:K8"/>
    <mergeCell ref="B4:K4"/>
    <mergeCell ref="L4:O4"/>
    <mergeCell ref="P4:R4"/>
    <mergeCell ref="S4:U4"/>
    <mergeCell ref="V4:Z4"/>
    <mergeCell ref="AA4:AD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F2B5-4529-41F6-A606-C56B4C7AE8FC}">
  <sheetPr>
    <tabColor theme="7" tint="-0.249977111117893"/>
  </sheetPr>
  <dimension ref="A1:AD322"/>
  <sheetViews>
    <sheetView workbookViewId="0">
      <selection activeCell="F21" sqref="F21"/>
    </sheetView>
  </sheetViews>
  <sheetFormatPr defaultColWidth="9.1796875" defaultRowHeight="13"/>
  <cols>
    <col min="1" max="1" width="11" style="10" bestFit="1" customWidth="1"/>
    <col min="2" max="2" width="24.453125" style="10" customWidth="1"/>
    <col min="3" max="3" width="15.453125" style="10" bestFit="1" customWidth="1"/>
    <col min="4" max="4" width="5.453125" style="10" bestFit="1" customWidth="1"/>
    <col min="5" max="5" width="21.7265625" style="10" bestFit="1" customWidth="1"/>
    <col min="6" max="6" width="6.453125" style="10" bestFit="1" customWidth="1"/>
    <col min="7" max="7" width="7.7265625" style="10" bestFit="1" customWidth="1"/>
    <col min="8" max="8" width="7.1796875" style="10" bestFit="1" customWidth="1"/>
    <col min="9" max="9" width="7.453125" style="10" bestFit="1" customWidth="1"/>
    <col min="10" max="10" width="6.7265625" style="10" bestFit="1" customWidth="1"/>
    <col min="11" max="11" width="7.26953125" style="10" bestFit="1" customWidth="1"/>
    <col min="12" max="12" width="8.81640625" style="10" bestFit="1" customWidth="1"/>
    <col min="13" max="13" width="7.81640625" style="10" bestFit="1" customWidth="1"/>
    <col min="14" max="14" width="7.453125" style="10" bestFit="1" customWidth="1"/>
    <col min="15" max="15" width="10.1796875" style="10" bestFit="1" customWidth="1"/>
    <col min="16" max="16" width="4.453125" style="10" bestFit="1" customWidth="1"/>
    <col min="17" max="17" width="9.453125" style="10" bestFit="1" customWidth="1"/>
    <col min="18" max="18" width="8.54296875" style="10" bestFit="1" customWidth="1"/>
    <col min="19" max="19" width="10.7265625" style="10" bestFit="1" customWidth="1"/>
    <col min="20" max="20" width="12.453125" style="10" bestFit="1" customWidth="1"/>
    <col min="21" max="22" width="11" style="10" bestFit="1" customWidth="1"/>
    <col min="23" max="23" width="10.1796875" style="10" bestFit="1" customWidth="1"/>
    <col min="24" max="24" width="11.453125" style="10" bestFit="1" customWidth="1"/>
    <col min="25" max="25" width="12.7265625" style="10" bestFit="1" customWidth="1"/>
    <col min="26" max="26" width="11" style="10" bestFit="1" customWidth="1"/>
    <col min="27" max="27" width="4.26953125" style="10" customWidth="1"/>
    <col min="28" max="28" width="18.1796875" style="14" bestFit="1" customWidth="1"/>
    <col min="29" max="16384" width="9.1796875" style="10"/>
  </cols>
  <sheetData>
    <row r="1" spans="1:30" ht="13.5" thickBot="1">
      <c r="A1" s="7" t="s">
        <v>7</v>
      </c>
      <c r="B1" s="8" t="s">
        <v>8</v>
      </c>
      <c r="C1" s="8" t="s">
        <v>9</v>
      </c>
      <c r="D1" s="8" t="s">
        <v>10</v>
      </c>
      <c r="E1" s="8" t="s">
        <v>41</v>
      </c>
      <c r="F1" s="8" t="s">
        <v>14</v>
      </c>
      <c r="G1" s="8" t="s">
        <v>42</v>
      </c>
      <c r="H1" s="8" t="s">
        <v>43</v>
      </c>
      <c r="I1" s="8" t="s">
        <v>44</v>
      </c>
      <c r="J1" s="8" t="s">
        <v>45</v>
      </c>
      <c r="K1" s="8" t="s">
        <v>46</v>
      </c>
      <c r="L1" s="8" t="s">
        <v>47</v>
      </c>
      <c r="M1" s="8" t="s">
        <v>18</v>
      </c>
      <c r="N1" s="8" t="s">
        <v>48</v>
      </c>
      <c r="O1" s="8" t="s">
        <v>49</v>
      </c>
      <c r="P1" s="8" t="s">
        <v>50</v>
      </c>
      <c r="Q1" s="8" t="s">
        <v>51</v>
      </c>
      <c r="R1" s="8" t="s">
        <v>52</v>
      </c>
      <c r="S1" s="8" t="s">
        <v>53</v>
      </c>
      <c r="T1" s="8" t="s">
        <v>54</v>
      </c>
      <c r="U1" s="8" t="s">
        <v>55</v>
      </c>
      <c r="V1" s="8" t="s">
        <v>56</v>
      </c>
      <c r="W1" s="8" t="s">
        <v>57</v>
      </c>
      <c r="X1" s="8" t="s">
        <v>58</v>
      </c>
      <c r="Y1" s="8" t="s">
        <v>59</v>
      </c>
      <c r="Z1" s="9" t="s">
        <v>60</v>
      </c>
      <c r="AB1" s="11" t="s">
        <v>61</v>
      </c>
      <c r="AD1" s="12" t="s">
        <v>62</v>
      </c>
    </row>
    <row r="2" spans="1:30">
      <c r="A2" s="10">
        <v>520</v>
      </c>
      <c r="B2" s="10" t="s">
        <v>63</v>
      </c>
      <c r="C2" s="10" t="s">
        <v>64</v>
      </c>
      <c r="D2" s="10" t="s">
        <v>65</v>
      </c>
      <c r="E2" s="10" t="s">
        <v>66</v>
      </c>
      <c r="F2" s="10">
        <v>1</v>
      </c>
      <c r="G2" s="10" t="s">
        <v>67</v>
      </c>
      <c r="H2" s="10">
        <v>2.1999999999999999E-2</v>
      </c>
      <c r="I2" s="10">
        <v>0</v>
      </c>
      <c r="J2" s="10">
        <v>3.5</v>
      </c>
      <c r="K2" s="10">
        <v>7</v>
      </c>
      <c r="L2" s="10">
        <v>0</v>
      </c>
      <c r="M2" s="10">
        <v>0</v>
      </c>
      <c r="N2" s="10">
        <v>0.5</v>
      </c>
      <c r="O2" s="13">
        <v>45505</v>
      </c>
      <c r="P2" s="10" t="s">
        <v>68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AB2" s="14">
        <f t="shared" ref="AB2:AB65" si="0">IF(J2&lt;1,J2*30,J2)</f>
        <v>3.5</v>
      </c>
    </row>
    <row r="3" spans="1:30">
      <c r="A3" s="10">
        <v>810537</v>
      </c>
      <c r="B3" s="10" t="s">
        <v>69</v>
      </c>
      <c r="C3" s="10" t="s">
        <v>70</v>
      </c>
      <c r="D3" s="10" t="s">
        <v>71</v>
      </c>
      <c r="E3" s="10" t="s">
        <v>72</v>
      </c>
      <c r="F3" s="10">
        <v>2</v>
      </c>
      <c r="G3" s="10" t="s">
        <v>73</v>
      </c>
      <c r="H3" s="10">
        <v>4.65E-2</v>
      </c>
      <c r="I3" s="10">
        <v>4.75</v>
      </c>
      <c r="J3" s="10">
        <v>2.5</v>
      </c>
      <c r="K3" s="10">
        <v>6</v>
      </c>
      <c r="L3" s="10">
        <v>10</v>
      </c>
      <c r="M3" s="10">
        <v>0</v>
      </c>
      <c r="N3" s="10">
        <v>0</v>
      </c>
      <c r="O3" s="13">
        <v>45901</v>
      </c>
      <c r="P3" s="10" t="s">
        <v>68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AB3" s="14">
        <f t="shared" si="0"/>
        <v>2.5</v>
      </c>
    </row>
    <row r="4" spans="1:30">
      <c r="A4" s="10">
        <v>213008</v>
      </c>
      <c r="B4" s="10" t="s">
        <v>74</v>
      </c>
      <c r="C4" s="10" t="s">
        <v>75</v>
      </c>
      <c r="D4" s="10" t="s">
        <v>76</v>
      </c>
      <c r="E4" s="10" t="s">
        <v>77</v>
      </c>
      <c r="F4" s="10">
        <v>4</v>
      </c>
      <c r="G4" s="10" t="s">
        <v>73</v>
      </c>
      <c r="H4" s="10">
        <v>2.5499999999999998E-2</v>
      </c>
      <c r="I4" s="10">
        <v>3.5</v>
      </c>
      <c r="J4" s="10">
        <v>2.75</v>
      </c>
      <c r="K4" s="10">
        <v>6.5</v>
      </c>
      <c r="L4" s="10">
        <v>0</v>
      </c>
      <c r="M4" s="10">
        <v>0</v>
      </c>
      <c r="N4" s="10">
        <v>0</v>
      </c>
      <c r="O4" s="13">
        <v>45901</v>
      </c>
      <c r="P4" s="10" t="s">
        <v>68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AB4" s="14">
        <f t="shared" si="0"/>
        <v>2.75</v>
      </c>
    </row>
    <row r="5" spans="1:30">
      <c r="A5" s="10">
        <v>400510</v>
      </c>
      <c r="B5" s="10" t="s">
        <v>78</v>
      </c>
      <c r="C5" s="10" t="s">
        <v>79</v>
      </c>
      <c r="D5" s="10" t="s">
        <v>80</v>
      </c>
      <c r="E5" s="10" t="s">
        <v>81</v>
      </c>
      <c r="F5" s="10">
        <v>1</v>
      </c>
      <c r="G5" s="10" t="s">
        <v>73</v>
      </c>
      <c r="H5" s="10">
        <v>5.2699999999999997E-2</v>
      </c>
      <c r="I5" s="10">
        <v>5.35</v>
      </c>
      <c r="J5" s="10">
        <v>3.5</v>
      </c>
      <c r="K5" s="10">
        <v>9</v>
      </c>
      <c r="L5" s="10">
        <v>8.5</v>
      </c>
      <c r="M5" s="10">
        <v>0</v>
      </c>
      <c r="N5" s="10">
        <v>0</v>
      </c>
      <c r="O5" s="13">
        <v>45901</v>
      </c>
      <c r="P5" s="10" t="s">
        <v>82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AB5" s="14">
        <f t="shared" si="0"/>
        <v>3.5</v>
      </c>
    </row>
    <row r="6" spans="1:30">
      <c r="A6" s="10">
        <v>631020</v>
      </c>
      <c r="B6" s="10" t="s">
        <v>83</v>
      </c>
      <c r="C6" s="10" t="s">
        <v>84</v>
      </c>
      <c r="D6" s="10" t="s">
        <v>85</v>
      </c>
      <c r="E6" s="10" t="s">
        <v>86</v>
      </c>
      <c r="F6" s="10">
        <v>2</v>
      </c>
      <c r="G6" s="10" t="s">
        <v>73</v>
      </c>
      <c r="H6" s="10">
        <v>5.0700000000000002E-2</v>
      </c>
      <c r="I6" s="10">
        <v>5.15</v>
      </c>
      <c r="J6" s="10">
        <v>6.5000000000000002E-2</v>
      </c>
      <c r="K6" s="10">
        <v>6.25</v>
      </c>
      <c r="L6" s="10">
        <v>12</v>
      </c>
      <c r="M6" s="10">
        <v>0</v>
      </c>
      <c r="N6" s="10">
        <v>0</v>
      </c>
      <c r="O6" s="13">
        <v>45870</v>
      </c>
      <c r="P6" s="10" t="s">
        <v>82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1.95</v>
      </c>
      <c r="AB6" s="14">
        <f t="shared" si="0"/>
        <v>1.9500000000000002</v>
      </c>
    </row>
    <row r="7" spans="1:30">
      <c r="A7" s="10">
        <v>810001</v>
      </c>
      <c r="B7" s="10" t="s">
        <v>87</v>
      </c>
      <c r="C7" s="10" t="s">
        <v>88</v>
      </c>
      <c r="D7" s="10" t="s">
        <v>71</v>
      </c>
      <c r="E7" s="10" t="s">
        <v>89</v>
      </c>
      <c r="F7" s="10">
        <v>2</v>
      </c>
      <c r="G7" s="10" t="s">
        <v>73</v>
      </c>
      <c r="H7" s="10">
        <v>4.7199999999999999E-2</v>
      </c>
      <c r="I7" s="10">
        <v>4.3499999999999996</v>
      </c>
      <c r="J7" s="10">
        <v>7.4999999999999997E-2</v>
      </c>
      <c r="K7" s="10">
        <v>5.75</v>
      </c>
      <c r="L7" s="10">
        <v>11.25</v>
      </c>
      <c r="M7" s="10">
        <v>0</v>
      </c>
      <c r="N7" s="10">
        <v>0</v>
      </c>
      <c r="O7" s="13">
        <v>45901</v>
      </c>
      <c r="P7" s="10" t="s">
        <v>68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2.25</v>
      </c>
      <c r="AB7" s="14">
        <f t="shared" si="0"/>
        <v>2.25</v>
      </c>
    </row>
    <row r="8" spans="1:30">
      <c r="A8" s="10">
        <v>810002</v>
      </c>
      <c r="B8" s="10" t="s">
        <v>90</v>
      </c>
      <c r="C8" s="10" t="s">
        <v>88</v>
      </c>
      <c r="D8" s="10" t="s">
        <v>71</v>
      </c>
      <c r="E8" s="10" t="s">
        <v>89</v>
      </c>
      <c r="F8" s="10">
        <v>2</v>
      </c>
      <c r="G8" s="10" t="s">
        <v>67</v>
      </c>
      <c r="H8" s="10">
        <v>4.7800000000000002E-2</v>
      </c>
      <c r="I8" s="10">
        <v>5</v>
      </c>
      <c r="J8" s="10">
        <v>0.08</v>
      </c>
      <c r="K8" s="10">
        <v>6.25</v>
      </c>
      <c r="L8" s="10">
        <v>10.25</v>
      </c>
      <c r="M8" s="10">
        <v>0</v>
      </c>
      <c r="N8" s="10">
        <v>0</v>
      </c>
      <c r="O8" s="13">
        <v>45536</v>
      </c>
      <c r="P8" s="10" t="s">
        <v>68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2.4</v>
      </c>
      <c r="AB8" s="14">
        <f t="shared" si="0"/>
        <v>2.4</v>
      </c>
    </row>
    <row r="9" spans="1:30">
      <c r="A9" s="10">
        <v>810003</v>
      </c>
      <c r="B9" s="10" t="s">
        <v>90</v>
      </c>
      <c r="C9" s="10" t="s">
        <v>88</v>
      </c>
      <c r="D9" s="10" t="s">
        <v>71</v>
      </c>
      <c r="E9" s="10" t="s">
        <v>89</v>
      </c>
      <c r="F9" s="10">
        <v>2</v>
      </c>
      <c r="G9" s="10" t="s">
        <v>67</v>
      </c>
      <c r="H9" s="10">
        <v>4.7800000000000002E-2</v>
      </c>
      <c r="I9" s="10">
        <v>5</v>
      </c>
      <c r="J9" s="10">
        <v>0.08</v>
      </c>
      <c r="K9" s="10">
        <v>6.25</v>
      </c>
      <c r="L9" s="10">
        <v>10.25</v>
      </c>
      <c r="M9" s="10">
        <v>0</v>
      </c>
      <c r="N9" s="10">
        <v>0</v>
      </c>
      <c r="O9" s="13">
        <v>45536</v>
      </c>
      <c r="P9" s="10" t="s">
        <v>68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2.4</v>
      </c>
      <c r="AB9" s="14">
        <f t="shared" si="0"/>
        <v>2.4</v>
      </c>
    </row>
    <row r="10" spans="1:30">
      <c r="A10" s="10">
        <v>810535</v>
      </c>
      <c r="B10" s="10" t="s">
        <v>90</v>
      </c>
      <c r="C10" s="10" t="s">
        <v>88</v>
      </c>
      <c r="D10" s="10" t="s">
        <v>71</v>
      </c>
      <c r="E10" s="10" t="s">
        <v>89</v>
      </c>
      <c r="F10" s="10">
        <v>2</v>
      </c>
      <c r="G10" s="10" t="s">
        <v>73</v>
      </c>
      <c r="H10" s="10">
        <v>4.7800000000000002E-2</v>
      </c>
      <c r="I10" s="10">
        <v>5</v>
      </c>
      <c r="J10" s="10">
        <v>0.08</v>
      </c>
      <c r="K10" s="10">
        <v>6.25</v>
      </c>
      <c r="L10" s="10">
        <v>10.25</v>
      </c>
      <c r="M10" s="10">
        <v>0</v>
      </c>
      <c r="N10" s="10">
        <v>0</v>
      </c>
      <c r="O10" s="13">
        <v>45536</v>
      </c>
      <c r="P10" s="10" t="s">
        <v>68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2.4</v>
      </c>
      <c r="AB10" s="14">
        <f t="shared" si="0"/>
        <v>2.4</v>
      </c>
    </row>
    <row r="11" spans="1:30">
      <c r="A11" s="10">
        <v>810538</v>
      </c>
      <c r="B11" s="10" t="s">
        <v>90</v>
      </c>
      <c r="C11" s="10" t="s">
        <v>88</v>
      </c>
      <c r="D11" s="10" t="s">
        <v>71</v>
      </c>
      <c r="E11" s="10" t="s">
        <v>89</v>
      </c>
      <c r="F11" s="10">
        <v>2</v>
      </c>
      <c r="G11" s="10" t="s">
        <v>67</v>
      </c>
      <c r="H11" s="10">
        <v>4.7800000000000002E-2</v>
      </c>
      <c r="I11" s="10">
        <v>5</v>
      </c>
      <c r="J11" s="10">
        <v>0.08</v>
      </c>
      <c r="K11" s="10">
        <v>6.25</v>
      </c>
      <c r="L11" s="10">
        <v>10.25</v>
      </c>
      <c r="M11" s="10">
        <v>0</v>
      </c>
      <c r="N11" s="10">
        <v>0</v>
      </c>
      <c r="O11" s="13">
        <v>45536</v>
      </c>
      <c r="P11" s="10" t="s">
        <v>68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2.4</v>
      </c>
      <c r="AB11" s="14">
        <f t="shared" si="0"/>
        <v>2.4</v>
      </c>
    </row>
    <row r="12" spans="1:30">
      <c r="A12" s="10">
        <v>220586</v>
      </c>
      <c r="B12" s="10" t="s">
        <v>91</v>
      </c>
      <c r="C12" s="10" t="s">
        <v>92</v>
      </c>
      <c r="D12" s="10" t="s">
        <v>76</v>
      </c>
      <c r="E12" s="10" t="s">
        <v>93</v>
      </c>
      <c r="F12" s="10">
        <v>4</v>
      </c>
      <c r="G12" s="10" t="s">
        <v>73</v>
      </c>
      <c r="H12" s="10">
        <v>2.1999999999999999E-2</v>
      </c>
      <c r="I12" s="10">
        <v>3.5</v>
      </c>
      <c r="J12" s="10">
        <v>2</v>
      </c>
      <c r="K12" s="10">
        <v>5</v>
      </c>
      <c r="L12" s="10">
        <v>0</v>
      </c>
      <c r="M12" s="10">
        <v>0</v>
      </c>
      <c r="N12" s="10">
        <v>0.5</v>
      </c>
      <c r="O12" s="13">
        <v>45720</v>
      </c>
      <c r="P12" s="10" t="s">
        <v>82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AB12" s="14">
        <f t="shared" si="0"/>
        <v>2</v>
      </c>
    </row>
    <row r="13" spans="1:30">
      <c r="A13" s="10">
        <v>4004</v>
      </c>
      <c r="B13" s="10" t="s">
        <v>94</v>
      </c>
      <c r="C13" s="10" t="s">
        <v>95</v>
      </c>
      <c r="D13" s="10" t="s">
        <v>65</v>
      </c>
      <c r="E13" s="10" t="s">
        <v>96</v>
      </c>
      <c r="F13" s="10">
        <v>1</v>
      </c>
      <c r="G13" s="10" t="s">
        <v>67</v>
      </c>
      <c r="H13" s="10">
        <v>5.0000000000000001E-3</v>
      </c>
      <c r="I13" s="10">
        <v>0</v>
      </c>
      <c r="J13" s="10">
        <v>2.5</v>
      </c>
      <c r="K13" s="10">
        <v>0</v>
      </c>
      <c r="L13" s="10">
        <v>0</v>
      </c>
      <c r="M13" s="10">
        <v>0</v>
      </c>
      <c r="N13" s="10">
        <v>0</v>
      </c>
      <c r="O13" s="13">
        <v>45536</v>
      </c>
      <c r="P13" s="10" t="s">
        <v>68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AB13" s="14">
        <f t="shared" si="0"/>
        <v>2.5</v>
      </c>
    </row>
    <row r="14" spans="1:30">
      <c r="A14" s="10">
        <v>217517</v>
      </c>
      <c r="B14" s="10" t="s">
        <v>97</v>
      </c>
      <c r="C14" s="10" t="s">
        <v>98</v>
      </c>
      <c r="D14" s="10" t="s">
        <v>76</v>
      </c>
      <c r="E14" s="10" t="s">
        <v>99</v>
      </c>
      <c r="F14" s="10">
        <v>4</v>
      </c>
      <c r="G14" s="10" t="s">
        <v>73</v>
      </c>
      <c r="H14" s="10">
        <v>2.35E-2</v>
      </c>
      <c r="I14" s="10">
        <v>3.25</v>
      </c>
      <c r="J14" s="10">
        <v>3</v>
      </c>
      <c r="K14" s="10">
        <v>5.5</v>
      </c>
      <c r="L14" s="10">
        <v>0</v>
      </c>
      <c r="M14" s="10">
        <v>0</v>
      </c>
      <c r="N14" s="10">
        <v>0</v>
      </c>
      <c r="O14" s="13">
        <v>45839</v>
      </c>
      <c r="P14" s="10" t="s">
        <v>68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AB14" s="14">
        <f t="shared" si="0"/>
        <v>3</v>
      </c>
    </row>
    <row r="15" spans="1:30">
      <c r="A15" s="10">
        <v>1100</v>
      </c>
      <c r="B15" s="10" t="s">
        <v>100</v>
      </c>
      <c r="C15" s="10" t="s">
        <v>101</v>
      </c>
      <c r="D15" s="10" t="s">
        <v>65</v>
      </c>
      <c r="E15" s="10" t="s">
        <v>102</v>
      </c>
      <c r="F15" s="10">
        <v>1</v>
      </c>
      <c r="G15" s="10" t="s">
        <v>67</v>
      </c>
      <c r="H15" s="10">
        <v>3.8300000000000001E-2</v>
      </c>
      <c r="I15" s="10">
        <v>2.15</v>
      </c>
      <c r="J15" s="10">
        <v>3</v>
      </c>
      <c r="K15" s="10">
        <v>6</v>
      </c>
      <c r="L15" s="10">
        <v>7.5</v>
      </c>
      <c r="M15" s="10">
        <v>0</v>
      </c>
      <c r="N15" s="10">
        <v>0.5</v>
      </c>
      <c r="O15" s="13">
        <v>45536</v>
      </c>
      <c r="P15" s="10" t="s">
        <v>68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AB15" s="14">
        <f t="shared" si="0"/>
        <v>3</v>
      </c>
    </row>
    <row r="16" spans="1:30">
      <c r="A16" s="10">
        <v>221010</v>
      </c>
      <c r="B16" s="10" t="s">
        <v>103</v>
      </c>
      <c r="C16" s="10" t="s">
        <v>104</v>
      </c>
      <c r="D16" s="10" t="s">
        <v>76</v>
      </c>
      <c r="E16" s="10" t="s">
        <v>105</v>
      </c>
      <c r="F16" s="10">
        <v>4</v>
      </c>
      <c r="G16" s="10" t="s">
        <v>67</v>
      </c>
      <c r="H16" s="10">
        <v>5.0000000000000001E-3</v>
      </c>
      <c r="I16" s="10">
        <v>0</v>
      </c>
      <c r="J16" s="10">
        <v>2.5</v>
      </c>
      <c r="K16" s="10">
        <v>0</v>
      </c>
      <c r="L16" s="10">
        <v>0</v>
      </c>
      <c r="M16" s="10">
        <v>0</v>
      </c>
      <c r="N16" s="10">
        <v>0</v>
      </c>
      <c r="O16" s="13">
        <v>45536</v>
      </c>
      <c r="P16" s="10" t="s">
        <v>68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AB16" s="14">
        <f t="shared" si="0"/>
        <v>2.5</v>
      </c>
    </row>
    <row r="17" spans="1:28">
      <c r="A17" s="10">
        <v>176000</v>
      </c>
      <c r="B17" s="10" t="s">
        <v>106</v>
      </c>
      <c r="C17" s="10" t="s">
        <v>107</v>
      </c>
      <c r="D17" s="10" t="s">
        <v>108</v>
      </c>
      <c r="E17" s="10" t="s">
        <v>109</v>
      </c>
      <c r="F17" s="10">
        <v>5</v>
      </c>
      <c r="G17" s="10" t="s">
        <v>73</v>
      </c>
      <c r="H17" s="10">
        <v>3.0200000000000001E-2</v>
      </c>
      <c r="I17" s="10">
        <v>0</v>
      </c>
      <c r="J17" s="10">
        <v>0.17</v>
      </c>
      <c r="K17" s="10">
        <v>10</v>
      </c>
      <c r="L17" s="10">
        <v>0</v>
      </c>
      <c r="M17" s="10">
        <v>0</v>
      </c>
      <c r="N17" s="10">
        <v>0</v>
      </c>
      <c r="O17" s="13">
        <v>45931</v>
      </c>
      <c r="P17" s="10" t="s">
        <v>82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5.0999999999999996</v>
      </c>
      <c r="AB17" s="14">
        <f t="shared" si="0"/>
        <v>5.1000000000000005</v>
      </c>
    </row>
    <row r="18" spans="1:28">
      <c r="A18" s="10">
        <v>176001</v>
      </c>
      <c r="B18" s="10" t="s">
        <v>110</v>
      </c>
      <c r="C18" s="10" t="s">
        <v>107</v>
      </c>
      <c r="D18" s="10" t="s">
        <v>108</v>
      </c>
      <c r="E18" s="10" t="s">
        <v>109</v>
      </c>
      <c r="F18" s="10">
        <v>5</v>
      </c>
      <c r="G18" s="10" t="s">
        <v>67</v>
      </c>
      <c r="H18" s="10">
        <v>5.6599999999999998E-2</v>
      </c>
      <c r="I18" s="10">
        <v>4</v>
      </c>
      <c r="J18" s="10">
        <v>0.16</v>
      </c>
      <c r="K18" s="10">
        <v>9</v>
      </c>
      <c r="L18" s="10">
        <v>9.5</v>
      </c>
      <c r="M18" s="10">
        <v>0</v>
      </c>
      <c r="N18" s="10">
        <v>1</v>
      </c>
      <c r="O18" s="13">
        <v>45536</v>
      </c>
      <c r="P18" s="10" t="s">
        <v>68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AB18" s="14">
        <f t="shared" si="0"/>
        <v>4.8</v>
      </c>
    </row>
    <row r="19" spans="1:28">
      <c r="A19" s="10">
        <v>176006</v>
      </c>
      <c r="B19" s="10" t="s">
        <v>111</v>
      </c>
      <c r="C19" s="10" t="s">
        <v>107</v>
      </c>
      <c r="D19" s="10" t="s">
        <v>108</v>
      </c>
      <c r="E19" s="10" t="s">
        <v>109</v>
      </c>
      <c r="F19" s="10">
        <v>5</v>
      </c>
      <c r="G19" s="10" t="s">
        <v>67</v>
      </c>
      <c r="H19" s="10">
        <v>2.9600000000000001E-2</v>
      </c>
      <c r="I19" s="10">
        <v>0</v>
      </c>
      <c r="J19" s="10">
        <v>0.16</v>
      </c>
      <c r="K19" s="10">
        <v>9.5</v>
      </c>
      <c r="L19" s="10">
        <v>0</v>
      </c>
      <c r="M19" s="10">
        <v>0</v>
      </c>
      <c r="N19" s="10">
        <v>0.5</v>
      </c>
      <c r="O19" s="13">
        <v>45536</v>
      </c>
      <c r="P19" s="10" t="s">
        <v>68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AB19" s="14">
        <f t="shared" si="0"/>
        <v>4.8</v>
      </c>
    </row>
    <row r="20" spans="1:28">
      <c r="A20" s="10">
        <v>820010</v>
      </c>
      <c r="B20" s="10" t="s">
        <v>112</v>
      </c>
      <c r="C20" s="10" t="s">
        <v>113</v>
      </c>
      <c r="D20" s="10" t="s">
        <v>71</v>
      </c>
      <c r="E20" s="10" t="s">
        <v>114</v>
      </c>
      <c r="F20" s="10">
        <v>2</v>
      </c>
      <c r="G20" s="10" t="s">
        <v>73</v>
      </c>
      <c r="H20" s="10">
        <v>5.2400000000000002E-2</v>
      </c>
      <c r="I20" s="10">
        <v>5.0999999999999996</v>
      </c>
      <c r="J20" s="10">
        <v>9.5000000000000001E-2</v>
      </c>
      <c r="K20" s="10">
        <v>6.25</v>
      </c>
      <c r="L20" s="10">
        <v>12</v>
      </c>
      <c r="M20" s="10">
        <v>0</v>
      </c>
      <c r="N20" s="10">
        <v>0</v>
      </c>
      <c r="O20" s="13">
        <v>45901</v>
      </c>
      <c r="P20" s="10" t="s">
        <v>68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2.85</v>
      </c>
      <c r="AB20" s="14">
        <f t="shared" si="0"/>
        <v>2.85</v>
      </c>
    </row>
    <row r="21" spans="1:28">
      <c r="A21" s="10">
        <v>222010</v>
      </c>
      <c r="B21" s="10" t="s">
        <v>115</v>
      </c>
      <c r="C21" s="10" t="s">
        <v>116</v>
      </c>
      <c r="D21" s="10" t="s">
        <v>76</v>
      </c>
      <c r="E21" s="10" t="s">
        <v>117</v>
      </c>
      <c r="F21" s="10">
        <v>4</v>
      </c>
      <c r="G21" s="10" t="s">
        <v>67</v>
      </c>
      <c r="H21" s="10">
        <v>1.9E-2</v>
      </c>
      <c r="I21" s="10">
        <v>3</v>
      </c>
      <c r="J21" s="10">
        <v>2</v>
      </c>
      <c r="K21" s="10">
        <v>4.5</v>
      </c>
      <c r="L21" s="10">
        <v>0</v>
      </c>
      <c r="M21" s="10">
        <v>0</v>
      </c>
      <c r="N21" s="10">
        <v>0</v>
      </c>
      <c r="O21" s="13">
        <v>45566</v>
      </c>
      <c r="P21" s="10" t="s">
        <v>68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AB21" s="14">
        <f t="shared" si="0"/>
        <v>2</v>
      </c>
    </row>
    <row r="22" spans="1:28">
      <c r="A22" s="10">
        <v>220900</v>
      </c>
      <c r="B22" s="10" t="s">
        <v>118</v>
      </c>
      <c r="C22" s="10" t="s">
        <v>119</v>
      </c>
      <c r="D22" s="10" t="s">
        <v>76</v>
      </c>
      <c r="E22" s="10" t="s">
        <v>120</v>
      </c>
      <c r="F22" s="10">
        <v>4</v>
      </c>
      <c r="G22" s="10" t="s">
        <v>67</v>
      </c>
      <c r="H22" s="10">
        <v>2.1899999999999999E-2</v>
      </c>
      <c r="I22" s="10">
        <v>2.95</v>
      </c>
      <c r="J22" s="10">
        <v>3</v>
      </c>
      <c r="K22" s="10">
        <v>5</v>
      </c>
      <c r="L22" s="10">
        <v>0</v>
      </c>
      <c r="M22" s="10">
        <v>0</v>
      </c>
      <c r="N22" s="10">
        <v>0</v>
      </c>
      <c r="O22" s="13">
        <v>45509</v>
      </c>
      <c r="P22" s="10" t="s">
        <v>68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AB22" s="14">
        <f t="shared" si="0"/>
        <v>3</v>
      </c>
    </row>
    <row r="23" spans="1:28">
      <c r="A23" s="10">
        <v>819202</v>
      </c>
      <c r="B23" s="10" t="s">
        <v>121</v>
      </c>
      <c r="C23" s="10" t="s">
        <v>122</v>
      </c>
      <c r="D23" s="10" t="s">
        <v>71</v>
      </c>
      <c r="E23" s="10" t="s">
        <v>123</v>
      </c>
      <c r="F23" s="10">
        <v>3</v>
      </c>
      <c r="G23" s="10" t="s">
        <v>67</v>
      </c>
      <c r="H23" s="10">
        <v>5.8799999999999998E-2</v>
      </c>
      <c r="I23" s="10">
        <v>4.5</v>
      </c>
      <c r="J23" s="10">
        <v>4.25</v>
      </c>
      <c r="K23" s="10">
        <v>7.5</v>
      </c>
      <c r="L23" s="10">
        <v>10.15</v>
      </c>
      <c r="M23" s="10">
        <v>3</v>
      </c>
      <c r="N23" s="10">
        <v>0</v>
      </c>
      <c r="O23" s="13">
        <v>45505</v>
      </c>
      <c r="P23" s="10" t="s">
        <v>68</v>
      </c>
      <c r="S23" s="10">
        <v>7.5</v>
      </c>
      <c r="T23" s="10">
        <v>0</v>
      </c>
      <c r="U23" s="10">
        <v>0.5</v>
      </c>
      <c r="V23" s="10">
        <v>2.5</v>
      </c>
      <c r="W23" s="10">
        <v>4.25</v>
      </c>
      <c r="X23" s="10">
        <v>0</v>
      </c>
      <c r="Y23" s="10">
        <v>0</v>
      </c>
      <c r="AB23" s="14">
        <f t="shared" si="0"/>
        <v>4.25</v>
      </c>
    </row>
    <row r="24" spans="1:28">
      <c r="A24" s="10">
        <v>11515</v>
      </c>
      <c r="B24" s="10" t="s">
        <v>124</v>
      </c>
      <c r="C24" s="10" t="s">
        <v>125</v>
      </c>
      <c r="D24" s="10" t="s">
        <v>65</v>
      </c>
      <c r="E24" s="10" t="s">
        <v>102</v>
      </c>
      <c r="F24" s="10">
        <v>1</v>
      </c>
      <c r="G24" s="10" t="s">
        <v>67</v>
      </c>
      <c r="H24" s="10">
        <v>4.0500000000000001E-2</v>
      </c>
      <c r="I24" s="10">
        <v>4</v>
      </c>
      <c r="J24" s="10">
        <v>2</v>
      </c>
      <c r="K24" s="10">
        <v>6.75</v>
      </c>
      <c r="L24" s="10">
        <v>7</v>
      </c>
      <c r="M24" s="10">
        <v>0</v>
      </c>
      <c r="N24" s="10">
        <v>0.5</v>
      </c>
      <c r="O24" s="13">
        <v>45505</v>
      </c>
      <c r="P24" s="10" t="s">
        <v>68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AB24" s="14">
        <f t="shared" si="0"/>
        <v>2</v>
      </c>
    </row>
    <row r="25" spans="1:28">
      <c r="A25" s="10">
        <v>467005</v>
      </c>
      <c r="B25" s="10" t="s">
        <v>126</v>
      </c>
      <c r="C25" s="10" t="s">
        <v>127</v>
      </c>
      <c r="D25" s="10" t="s">
        <v>128</v>
      </c>
      <c r="E25" s="10" t="s">
        <v>129</v>
      </c>
      <c r="F25" s="10">
        <v>1</v>
      </c>
      <c r="G25" s="10" t="s">
        <v>73</v>
      </c>
      <c r="H25" s="10">
        <v>4.1099999999999998E-2</v>
      </c>
      <c r="I25" s="10">
        <v>1.5</v>
      </c>
      <c r="J25" s="10">
        <v>3.15</v>
      </c>
      <c r="K25" s="10">
        <v>3.75</v>
      </c>
      <c r="L25" s="10">
        <v>8</v>
      </c>
      <c r="M25" s="10">
        <v>3.05</v>
      </c>
      <c r="N25" s="10">
        <v>0.5</v>
      </c>
      <c r="O25" s="13">
        <v>45901</v>
      </c>
      <c r="P25" s="10" t="s">
        <v>68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AB25" s="14">
        <f t="shared" si="0"/>
        <v>3.15</v>
      </c>
    </row>
    <row r="26" spans="1:28">
      <c r="A26" s="10">
        <v>676592</v>
      </c>
      <c r="B26" s="10" t="s">
        <v>130</v>
      </c>
      <c r="C26" s="10" t="s">
        <v>131</v>
      </c>
      <c r="D26" s="10" t="s">
        <v>132</v>
      </c>
      <c r="E26" s="10" t="s">
        <v>133</v>
      </c>
      <c r="F26" s="10">
        <v>1</v>
      </c>
      <c r="G26" s="10" t="s">
        <v>67</v>
      </c>
      <c r="H26" s="10">
        <v>2.1499999999999998E-2</v>
      </c>
      <c r="I26" s="10">
        <v>4</v>
      </c>
      <c r="J26" s="10">
        <v>2</v>
      </c>
      <c r="K26" s="10">
        <v>4.75</v>
      </c>
      <c r="L26" s="10">
        <v>0</v>
      </c>
      <c r="M26" s="10">
        <v>0</v>
      </c>
      <c r="N26" s="10">
        <v>0</v>
      </c>
      <c r="O26" s="13">
        <v>45536</v>
      </c>
      <c r="P26" s="10" t="s">
        <v>68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AB26" s="14">
        <f t="shared" si="0"/>
        <v>2</v>
      </c>
    </row>
    <row r="27" spans="1:28">
      <c r="A27" s="10">
        <v>558070</v>
      </c>
      <c r="B27" s="10" t="s">
        <v>134</v>
      </c>
      <c r="C27" s="10" t="s">
        <v>135</v>
      </c>
      <c r="D27" s="10" t="s">
        <v>136</v>
      </c>
      <c r="E27" s="10" t="s">
        <v>137</v>
      </c>
      <c r="F27" s="10">
        <v>1</v>
      </c>
      <c r="G27" s="10" t="s">
        <v>73</v>
      </c>
      <c r="H27" s="10">
        <v>2.1999999999999999E-2</v>
      </c>
      <c r="I27" s="10">
        <v>3.5</v>
      </c>
      <c r="J27" s="10">
        <v>2</v>
      </c>
      <c r="K27" s="10">
        <v>4.5</v>
      </c>
      <c r="L27" s="10">
        <v>0</v>
      </c>
      <c r="M27" s="10">
        <v>0</v>
      </c>
      <c r="N27" s="10">
        <v>1</v>
      </c>
      <c r="O27" s="13">
        <v>45931</v>
      </c>
      <c r="P27" s="10" t="s">
        <v>68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AB27" s="14">
        <f t="shared" si="0"/>
        <v>2</v>
      </c>
    </row>
    <row r="28" spans="1:28">
      <c r="A28" s="10">
        <v>829537</v>
      </c>
      <c r="B28" s="10" t="s">
        <v>138</v>
      </c>
      <c r="C28" s="10" t="s">
        <v>139</v>
      </c>
      <c r="D28" s="10" t="s">
        <v>71</v>
      </c>
      <c r="E28" s="10" t="s">
        <v>140</v>
      </c>
      <c r="F28" s="10">
        <v>2</v>
      </c>
      <c r="G28" s="10" t="s">
        <v>73</v>
      </c>
      <c r="H28" s="10">
        <v>5.0700000000000002E-2</v>
      </c>
      <c r="I28" s="10">
        <v>5.15</v>
      </c>
      <c r="J28" s="10">
        <v>6.5000000000000002E-2</v>
      </c>
      <c r="K28" s="10">
        <v>6.25</v>
      </c>
      <c r="L28" s="10">
        <v>12</v>
      </c>
      <c r="M28" s="10">
        <v>0</v>
      </c>
      <c r="N28" s="10">
        <v>0</v>
      </c>
      <c r="O28" s="13">
        <v>45870</v>
      </c>
      <c r="P28" s="10" t="s">
        <v>68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1.95</v>
      </c>
      <c r="AB28" s="14">
        <f t="shared" si="0"/>
        <v>1.9500000000000002</v>
      </c>
    </row>
    <row r="29" spans="1:28">
      <c r="A29" s="10">
        <v>677503</v>
      </c>
      <c r="B29" s="10" t="s">
        <v>141</v>
      </c>
      <c r="C29" s="10" t="s">
        <v>142</v>
      </c>
      <c r="D29" s="10" t="s">
        <v>132</v>
      </c>
      <c r="E29" s="10" t="s">
        <v>143</v>
      </c>
      <c r="F29" s="10">
        <v>1</v>
      </c>
      <c r="G29" s="10" t="s">
        <v>73</v>
      </c>
      <c r="H29" s="10">
        <v>2.1499999999999998E-2</v>
      </c>
      <c r="I29" s="10">
        <v>3.75</v>
      </c>
      <c r="J29" s="10">
        <v>2.5</v>
      </c>
      <c r="K29" s="10">
        <v>4.25</v>
      </c>
      <c r="L29" s="10">
        <v>0</v>
      </c>
      <c r="M29" s="10">
        <v>0</v>
      </c>
      <c r="N29" s="10">
        <v>0.25</v>
      </c>
      <c r="O29" s="13">
        <v>45870</v>
      </c>
      <c r="P29" s="10" t="s">
        <v>82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AB29" s="14">
        <f t="shared" si="0"/>
        <v>2.5</v>
      </c>
    </row>
    <row r="30" spans="1:28">
      <c r="A30" s="10">
        <v>224505</v>
      </c>
      <c r="B30" s="10" t="s">
        <v>144</v>
      </c>
      <c r="C30" s="10" t="s">
        <v>145</v>
      </c>
      <c r="D30" s="10" t="s">
        <v>76</v>
      </c>
      <c r="E30" s="10" t="s">
        <v>146</v>
      </c>
      <c r="F30" s="10">
        <v>4</v>
      </c>
      <c r="G30" s="10" t="s">
        <v>73</v>
      </c>
      <c r="H30" s="10">
        <v>5.3E-3</v>
      </c>
      <c r="I30" s="10">
        <v>0</v>
      </c>
      <c r="J30" s="10">
        <v>2.65</v>
      </c>
      <c r="K30" s="10">
        <v>0</v>
      </c>
      <c r="L30" s="10">
        <v>0</v>
      </c>
      <c r="M30" s="10">
        <v>0</v>
      </c>
      <c r="N30" s="10">
        <v>0</v>
      </c>
      <c r="O30" s="13">
        <v>45750</v>
      </c>
      <c r="P30" s="10" t="s">
        <v>68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AB30" s="14">
        <f t="shared" si="0"/>
        <v>2.65</v>
      </c>
    </row>
    <row r="31" spans="1:28">
      <c r="A31" s="10">
        <v>129004</v>
      </c>
      <c r="B31" s="10" t="s">
        <v>147</v>
      </c>
      <c r="C31" s="10" t="s">
        <v>148</v>
      </c>
      <c r="D31" s="10" t="s">
        <v>149</v>
      </c>
      <c r="E31" s="10" t="s">
        <v>150</v>
      </c>
      <c r="F31" s="10">
        <v>1</v>
      </c>
      <c r="G31" s="10" t="s">
        <v>67</v>
      </c>
      <c r="H31" s="10">
        <v>4.9099999999999998E-2</v>
      </c>
      <c r="I31" s="10">
        <v>3</v>
      </c>
      <c r="J31" s="10">
        <v>3.3</v>
      </c>
      <c r="K31" s="10">
        <v>10.25</v>
      </c>
      <c r="L31" s="10">
        <v>8</v>
      </c>
      <c r="M31" s="10">
        <v>0</v>
      </c>
      <c r="N31" s="10">
        <v>0</v>
      </c>
      <c r="O31" s="13">
        <v>45536</v>
      </c>
      <c r="P31" s="10" t="s">
        <v>68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AB31" s="14">
        <f t="shared" si="0"/>
        <v>3.3</v>
      </c>
    </row>
    <row r="32" spans="1:28">
      <c r="A32" s="10">
        <v>129010</v>
      </c>
      <c r="B32" s="10" t="s">
        <v>151</v>
      </c>
      <c r="C32" s="10" t="s">
        <v>148</v>
      </c>
      <c r="D32" s="10" t="s">
        <v>149</v>
      </c>
      <c r="E32" s="10" t="s">
        <v>150</v>
      </c>
      <c r="F32" s="10">
        <v>1</v>
      </c>
      <c r="G32" s="10" t="s">
        <v>73</v>
      </c>
      <c r="H32" s="10">
        <v>5.3199999999999997E-2</v>
      </c>
      <c r="I32" s="10">
        <v>2.1</v>
      </c>
      <c r="J32" s="10">
        <v>3.25</v>
      </c>
      <c r="K32" s="10">
        <v>20.75</v>
      </c>
      <c r="L32" s="10">
        <v>0</v>
      </c>
      <c r="M32" s="10">
        <v>0</v>
      </c>
      <c r="N32" s="10">
        <v>0.5</v>
      </c>
      <c r="O32" s="13">
        <v>45901</v>
      </c>
      <c r="P32" s="10" t="s">
        <v>82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AB32" s="14">
        <f t="shared" si="0"/>
        <v>3.25</v>
      </c>
    </row>
    <row r="33" spans="1:28">
      <c r="A33" s="10">
        <v>129129</v>
      </c>
      <c r="B33" s="10" t="s">
        <v>152</v>
      </c>
      <c r="C33" s="10" t="s">
        <v>153</v>
      </c>
      <c r="D33" s="10" t="s">
        <v>149</v>
      </c>
      <c r="E33" s="10" t="s">
        <v>150</v>
      </c>
      <c r="F33" s="10">
        <v>1</v>
      </c>
      <c r="G33" s="10" t="s">
        <v>73</v>
      </c>
      <c r="H33" s="10">
        <v>3.78E-2</v>
      </c>
      <c r="I33" s="10">
        <v>1.85</v>
      </c>
      <c r="J33" s="10">
        <v>3</v>
      </c>
      <c r="K33" s="10">
        <v>4</v>
      </c>
      <c r="L33" s="10">
        <v>7</v>
      </c>
      <c r="M33" s="10">
        <v>3.05</v>
      </c>
      <c r="N33" s="10">
        <v>0</v>
      </c>
      <c r="O33" s="13">
        <v>45901</v>
      </c>
      <c r="P33" s="10" t="s">
        <v>82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AB33" s="14">
        <f t="shared" si="0"/>
        <v>3</v>
      </c>
    </row>
    <row r="34" spans="1:28">
      <c r="A34" s="10">
        <v>225625</v>
      </c>
      <c r="B34" s="10" t="s">
        <v>154</v>
      </c>
      <c r="C34" s="10" t="s">
        <v>155</v>
      </c>
      <c r="D34" s="10" t="s">
        <v>76</v>
      </c>
      <c r="E34" s="10" t="s">
        <v>156</v>
      </c>
      <c r="F34" s="10">
        <v>4</v>
      </c>
      <c r="G34" s="10" t="s">
        <v>73</v>
      </c>
      <c r="H34" s="10">
        <v>2.7E-2</v>
      </c>
      <c r="I34" s="10">
        <v>4</v>
      </c>
      <c r="J34" s="10">
        <v>2.5</v>
      </c>
      <c r="K34" s="10">
        <v>6</v>
      </c>
      <c r="L34" s="10">
        <v>0</v>
      </c>
      <c r="M34" s="10">
        <v>0</v>
      </c>
      <c r="N34" s="10">
        <v>1</v>
      </c>
      <c r="O34" s="13">
        <v>45901</v>
      </c>
      <c r="P34" s="10" t="s">
        <v>68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AB34" s="14">
        <f t="shared" si="0"/>
        <v>2.5</v>
      </c>
    </row>
    <row r="35" spans="1:28">
      <c r="A35" s="10">
        <v>227500</v>
      </c>
      <c r="B35" s="10" t="s">
        <v>157</v>
      </c>
      <c r="C35" s="10" t="s">
        <v>158</v>
      </c>
      <c r="D35" s="10" t="s">
        <v>76</v>
      </c>
      <c r="E35" s="10" t="s">
        <v>159</v>
      </c>
      <c r="F35" s="10">
        <v>4</v>
      </c>
      <c r="G35" s="10" t="s">
        <v>73</v>
      </c>
      <c r="H35" s="10">
        <v>2.5499999999999998E-2</v>
      </c>
      <c r="I35" s="10">
        <v>3.5</v>
      </c>
      <c r="J35" s="10">
        <v>2.75</v>
      </c>
      <c r="K35" s="10">
        <v>6.5</v>
      </c>
      <c r="L35" s="10">
        <v>0</v>
      </c>
      <c r="M35" s="10">
        <v>0</v>
      </c>
      <c r="N35" s="10">
        <v>0</v>
      </c>
      <c r="O35" s="13">
        <v>45901</v>
      </c>
      <c r="P35" s="10" t="s">
        <v>68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AB35" s="14">
        <f t="shared" si="0"/>
        <v>2.75</v>
      </c>
    </row>
    <row r="36" spans="1:28">
      <c r="A36" s="10">
        <v>228002</v>
      </c>
      <c r="B36" s="10" t="s">
        <v>160</v>
      </c>
      <c r="C36" s="10" t="s">
        <v>161</v>
      </c>
      <c r="D36" s="10" t="s">
        <v>76</v>
      </c>
      <c r="E36" s="10" t="s">
        <v>162</v>
      </c>
      <c r="F36" s="10">
        <v>4</v>
      </c>
      <c r="G36" s="10" t="s">
        <v>73</v>
      </c>
      <c r="H36" s="10">
        <v>2.3E-2</v>
      </c>
      <c r="I36" s="10">
        <v>3.5</v>
      </c>
      <c r="J36" s="10">
        <v>3</v>
      </c>
      <c r="K36" s="10">
        <v>4.5</v>
      </c>
      <c r="L36" s="10">
        <v>0</v>
      </c>
      <c r="M36" s="10">
        <v>0</v>
      </c>
      <c r="N36" s="10">
        <v>0.5</v>
      </c>
      <c r="O36" s="13">
        <v>45881</v>
      </c>
      <c r="P36" s="10" t="s">
        <v>68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AB36" s="14">
        <f t="shared" si="0"/>
        <v>3</v>
      </c>
    </row>
    <row r="37" spans="1:28">
      <c r="A37" s="10">
        <v>828031</v>
      </c>
      <c r="B37" s="10" t="s">
        <v>163</v>
      </c>
      <c r="C37" s="10" t="s">
        <v>164</v>
      </c>
      <c r="D37" s="10" t="s">
        <v>71</v>
      </c>
      <c r="E37" s="10" t="s">
        <v>165</v>
      </c>
      <c r="F37" s="10">
        <v>2</v>
      </c>
      <c r="G37" s="10" t="s">
        <v>73</v>
      </c>
      <c r="H37" s="10">
        <v>4.6699999999999998E-2</v>
      </c>
      <c r="I37" s="10">
        <v>4.75</v>
      </c>
      <c r="J37" s="10">
        <v>0.08</v>
      </c>
      <c r="K37" s="10">
        <v>5.45</v>
      </c>
      <c r="L37" s="10">
        <v>9.75</v>
      </c>
      <c r="M37" s="10">
        <v>0</v>
      </c>
      <c r="N37" s="10">
        <v>1</v>
      </c>
      <c r="O37" s="13">
        <v>45901</v>
      </c>
      <c r="P37" s="10" t="s">
        <v>82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2.5</v>
      </c>
      <c r="AB37" s="14">
        <f t="shared" si="0"/>
        <v>2.4</v>
      </c>
    </row>
    <row r="38" spans="1:28">
      <c r="A38" s="10">
        <v>787005</v>
      </c>
      <c r="B38" s="10" t="s">
        <v>166</v>
      </c>
      <c r="C38" s="10" t="s">
        <v>167</v>
      </c>
      <c r="D38" s="10" t="s">
        <v>168</v>
      </c>
      <c r="E38" s="10" t="s">
        <v>169</v>
      </c>
      <c r="F38" s="10">
        <v>1</v>
      </c>
      <c r="G38" s="10" t="s">
        <v>73</v>
      </c>
      <c r="H38" s="10">
        <v>4.48E-2</v>
      </c>
      <c r="I38" s="10">
        <v>2.5</v>
      </c>
      <c r="J38" s="15">
        <v>3.9</v>
      </c>
      <c r="K38" s="10">
        <v>12.5</v>
      </c>
      <c r="L38" s="10">
        <v>0</v>
      </c>
      <c r="M38" s="10">
        <v>3</v>
      </c>
      <c r="N38" s="10">
        <v>0.5</v>
      </c>
      <c r="O38" s="13">
        <v>45536</v>
      </c>
      <c r="P38" s="10" t="s">
        <v>68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AB38" s="14">
        <f t="shared" si="0"/>
        <v>3.9</v>
      </c>
    </row>
    <row r="39" spans="1:28">
      <c r="A39" s="10">
        <v>787010</v>
      </c>
      <c r="B39" s="10" t="s">
        <v>170</v>
      </c>
      <c r="C39" s="10" t="s">
        <v>167</v>
      </c>
      <c r="D39" s="10" t="s">
        <v>168</v>
      </c>
      <c r="E39" s="10" t="s">
        <v>169</v>
      </c>
      <c r="F39" s="10">
        <v>1</v>
      </c>
      <c r="G39" s="10" t="s">
        <v>73</v>
      </c>
      <c r="H39" s="10">
        <v>4.48E-2</v>
      </c>
      <c r="I39" s="10">
        <v>2.1</v>
      </c>
      <c r="J39" s="10">
        <v>3.65</v>
      </c>
      <c r="K39" s="10">
        <v>5.25</v>
      </c>
      <c r="L39" s="10">
        <v>8.35</v>
      </c>
      <c r="M39" s="10">
        <v>3.05</v>
      </c>
      <c r="N39" s="10">
        <v>0</v>
      </c>
      <c r="O39" s="13">
        <v>45901</v>
      </c>
      <c r="P39" s="10" t="s">
        <v>68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AB39" s="14">
        <f t="shared" si="0"/>
        <v>3.65</v>
      </c>
    </row>
    <row r="40" spans="1:28">
      <c r="A40" s="10">
        <v>787097</v>
      </c>
      <c r="B40" s="10" t="s">
        <v>171</v>
      </c>
      <c r="C40" s="10" t="s">
        <v>167</v>
      </c>
      <c r="D40" s="10" t="s">
        <v>168</v>
      </c>
      <c r="E40" s="10" t="s">
        <v>169</v>
      </c>
      <c r="F40" s="10">
        <v>1</v>
      </c>
      <c r="G40" s="10" t="s">
        <v>73</v>
      </c>
      <c r="H40" s="10">
        <v>4.1399999999999999E-2</v>
      </c>
      <c r="I40" s="10">
        <v>2.75</v>
      </c>
      <c r="J40" s="10">
        <v>3.7</v>
      </c>
      <c r="K40" s="10">
        <v>11.2</v>
      </c>
      <c r="L40" s="10">
        <v>0</v>
      </c>
      <c r="M40" s="10">
        <v>3.05</v>
      </c>
      <c r="N40" s="10">
        <v>0</v>
      </c>
      <c r="O40" s="13">
        <v>45901</v>
      </c>
      <c r="P40" s="10" t="s">
        <v>68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AB40" s="14">
        <f t="shared" si="0"/>
        <v>3.7</v>
      </c>
    </row>
    <row r="41" spans="1:28">
      <c r="A41" s="10">
        <v>829535</v>
      </c>
      <c r="B41" s="10" t="s">
        <v>172</v>
      </c>
      <c r="C41" s="10" t="s">
        <v>173</v>
      </c>
      <c r="D41" s="10" t="s">
        <v>71</v>
      </c>
      <c r="E41" s="10" t="s">
        <v>174</v>
      </c>
      <c r="F41" s="10">
        <v>3</v>
      </c>
      <c r="G41" s="10" t="s">
        <v>73</v>
      </c>
      <c r="H41" s="10">
        <v>5.3499999999999999E-2</v>
      </c>
      <c r="I41" s="10">
        <v>4.5</v>
      </c>
      <c r="J41" s="10">
        <v>3.5</v>
      </c>
      <c r="K41" s="10">
        <v>6.75</v>
      </c>
      <c r="L41" s="10">
        <v>12</v>
      </c>
      <c r="M41" s="10">
        <v>0</v>
      </c>
      <c r="N41" s="10">
        <v>0</v>
      </c>
      <c r="O41" s="13">
        <v>45839</v>
      </c>
      <c r="P41" s="10" t="s">
        <v>68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AB41" s="14">
        <f t="shared" si="0"/>
        <v>3.5</v>
      </c>
    </row>
    <row r="42" spans="1:28">
      <c r="A42" s="10">
        <v>282100</v>
      </c>
      <c r="B42" s="10" t="s">
        <v>175</v>
      </c>
      <c r="C42" s="10" t="s">
        <v>176</v>
      </c>
      <c r="D42" s="10" t="s">
        <v>76</v>
      </c>
      <c r="E42" s="10" t="s">
        <v>177</v>
      </c>
      <c r="F42" s="10">
        <v>4</v>
      </c>
      <c r="G42" s="10" t="s">
        <v>67</v>
      </c>
      <c r="H42" s="10">
        <v>3.7999999999999999E-2</v>
      </c>
      <c r="I42" s="10">
        <v>3</v>
      </c>
      <c r="J42" s="10">
        <v>4</v>
      </c>
      <c r="K42" s="10">
        <v>5.5</v>
      </c>
      <c r="L42" s="10">
        <v>5</v>
      </c>
      <c r="M42" s="10">
        <v>0</v>
      </c>
      <c r="N42" s="10">
        <v>1.5</v>
      </c>
      <c r="O42" s="13">
        <v>45537</v>
      </c>
      <c r="P42" s="10" t="s">
        <v>68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AB42" s="14">
        <f t="shared" si="0"/>
        <v>4</v>
      </c>
    </row>
    <row r="43" spans="1:28">
      <c r="A43" s="10">
        <v>349529</v>
      </c>
      <c r="B43" s="10" t="s">
        <v>178</v>
      </c>
      <c r="C43" s="10" t="s">
        <v>179</v>
      </c>
      <c r="D43" s="10" t="s">
        <v>76</v>
      </c>
      <c r="E43" s="10" t="s">
        <v>180</v>
      </c>
      <c r="F43" s="10">
        <v>4</v>
      </c>
      <c r="G43" s="10" t="s">
        <v>67</v>
      </c>
      <c r="H43" s="10">
        <v>2.5000000000000001E-2</v>
      </c>
      <c r="I43" s="10">
        <v>3.5</v>
      </c>
      <c r="J43" s="10">
        <v>2</v>
      </c>
      <c r="K43" s="10">
        <v>5</v>
      </c>
      <c r="L43" s="10">
        <v>0</v>
      </c>
      <c r="M43" s="10">
        <v>0</v>
      </c>
      <c r="N43" s="10">
        <v>2</v>
      </c>
      <c r="O43" s="13">
        <v>45615</v>
      </c>
      <c r="P43" s="10" t="s">
        <v>82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AB43" s="14">
        <f t="shared" si="0"/>
        <v>2</v>
      </c>
    </row>
    <row r="44" spans="1:28">
      <c r="A44" s="10">
        <v>140300</v>
      </c>
      <c r="B44" s="10" t="s">
        <v>181</v>
      </c>
      <c r="C44" s="10" t="s">
        <v>182</v>
      </c>
      <c r="D44" s="10" t="s">
        <v>149</v>
      </c>
      <c r="E44" s="10" t="s">
        <v>183</v>
      </c>
      <c r="F44" s="10">
        <v>1</v>
      </c>
      <c r="G44" s="10" t="s">
        <v>73</v>
      </c>
      <c r="H44" s="10">
        <v>5.3100000000000001E-2</v>
      </c>
      <c r="I44" s="10">
        <v>1.75</v>
      </c>
      <c r="J44" s="10">
        <v>3.5</v>
      </c>
      <c r="K44" s="10">
        <v>18.25</v>
      </c>
      <c r="L44" s="10">
        <v>0</v>
      </c>
      <c r="M44" s="10">
        <v>3.05</v>
      </c>
      <c r="N44" s="10">
        <v>0</v>
      </c>
      <c r="O44" s="13">
        <v>45901</v>
      </c>
      <c r="P44" s="10" t="s">
        <v>68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AB44" s="14">
        <f t="shared" si="0"/>
        <v>3.5</v>
      </c>
    </row>
    <row r="45" spans="1:28">
      <c r="A45" s="10">
        <v>682505</v>
      </c>
      <c r="B45" s="10" t="s">
        <v>184</v>
      </c>
      <c r="C45" s="10" t="s">
        <v>185</v>
      </c>
      <c r="D45" s="10" t="s">
        <v>132</v>
      </c>
      <c r="E45" s="10" t="s">
        <v>99</v>
      </c>
      <c r="F45" s="10">
        <v>1</v>
      </c>
      <c r="G45" s="10" t="s">
        <v>67</v>
      </c>
      <c r="H45" s="10">
        <v>2.4199999999999999E-2</v>
      </c>
      <c r="I45" s="10">
        <v>3</v>
      </c>
      <c r="J45" s="10">
        <v>3</v>
      </c>
      <c r="K45" s="10">
        <v>5.5</v>
      </c>
      <c r="L45" s="10">
        <v>0</v>
      </c>
      <c r="M45" s="10">
        <v>0</v>
      </c>
      <c r="N45" s="10">
        <v>0.6</v>
      </c>
      <c r="O45" s="13">
        <v>45536</v>
      </c>
      <c r="P45" s="10" t="s">
        <v>68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AB45" s="14">
        <f t="shared" si="0"/>
        <v>3</v>
      </c>
    </row>
    <row r="46" spans="1:28">
      <c r="A46" s="10">
        <v>313010</v>
      </c>
      <c r="B46" s="10" t="s">
        <v>186</v>
      </c>
      <c r="C46" s="10" t="s">
        <v>187</v>
      </c>
      <c r="D46" s="10" t="s">
        <v>76</v>
      </c>
      <c r="E46" s="10" t="s">
        <v>188</v>
      </c>
      <c r="F46" s="10">
        <v>4</v>
      </c>
      <c r="G46" s="10" t="s">
        <v>73</v>
      </c>
      <c r="H46" s="10">
        <v>2.5000000000000001E-2</v>
      </c>
      <c r="I46" s="10">
        <v>3.5</v>
      </c>
      <c r="J46" s="10">
        <v>2.5</v>
      </c>
      <c r="K46" s="10">
        <v>5.5</v>
      </c>
      <c r="L46" s="10">
        <v>0</v>
      </c>
      <c r="M46" s="10">
        <v>0</v>
      </c>
      <c r="N46" s="10">
        <v>1</v>
      </c>
      <c r="O46" s="13">
        <v>45859</v>
      </c>
      <c r="P46" s="10" t="s">
        <v>68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AB46" s="14">
        <f t="shared" si="0"/>
        <v>2.5</v>
      </c>
    </row>
    <row r="47" spans="1:28">
      <c r="A47" s="10">
        <v>516004</v>
      </c>
      <c r="B47" s="10" t="s">
        <v>147</v>
      </c>
      <c r="C47" s="10" t="s">
        <v>189</v>
      </c>
      <c r="D47" s="10" t="s">
        <v>190</v>
      </c>
      <c r="E47" s="10" t="s">
        <v>191</v>
      </c>
      <c r="F47" s="10">
        <v>1</v>
      </c>
      <c r="G47" s="10" t="s">
        <v>67</v>
      </c>
      <c r="H47" s="10">
        <v>4.9099999999999998E-2</v>
      </c>
      <c r="I47" s="10">
        <v>3</v>
      </c>
      <c r="J47" s="10">
        <v>3.3</v>
      </c>
      <c r="K47" s="10">
        <v>10.25</v>
      </c>
      <c r="L47" s="10">
        <v>8</v>
      </c>
      <c r="M47" s="10">
        <v>0</v>
      </c>
      <c r="N47" s="10">
        <v>0</v>
      </c>
      <c r="O47" s="13">
        <v>45536</v>
      </c>
      <c r="P47" s="10" t="s">
        <v>68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AB47" s="14">
        <f t="shared" si="0"/>
        <v>3.3</v>
      </c>
    </row>
    <row r="48" spans="1:28">
      <c r="A48" s="10">
        <v>22715</v>
      </c>
      <c r="B48" s="10" t="s">
        <v>192</v>
      </c>
      <c r="C48" s="10" t="s">
        <v>193</v>
      </c>
      <c r="D48" s="10" t="s">
        <v>65</v>
      </c>
      <c r="E48" s="10" t="s">
        <v>194</v>
      </c>
      <c r="F48" s="10">
        <v>1</v>
      </c>
      <c r="G48" s="10" t="s">
        <v>73</v>
      </c>
      <c r="H48" s="10">
        <v>2.3900000000000001E-2</v>
      </c>
      <c r="I48" s="10">
        <v>3.25</v>
      </c>
      <c r="J48" s="10">
        <v>2.7</v>
      </c>
      <c r="K48" s="10">
        <v>5</v>
      </c>
      <c r="L48" s="10">
        <v>0</v>
      </c>
      <c r="M48" s="10">
        <v>0</v>
      </c>
      <c r="N48" s="10">
        <v>1</v>
      </c>
      <c r="O48" s="13">
        <v>45901</v>
      </c>
      <c r="P48" s="10" t="s">
        <v>68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AB48" s="14">
        <f t="shared" si="0"/>
        <v>2.7</v>
      </c>
    </row>
    <row r="49" spans="1:28">
      <c r="A49" s="10">
        <v>562665</v>
      </c>
      <c r="B49" s="10" t="s">
        <v>195</v>
      </c>
      <c r="C49" s="10" t="s">
        <v>196</v>
      </c>
      <c r="D49" s="10" t="s">
        <v>136</v>
      </c>
      <c r="E49" s="10" t="s">
        <v>197</v>
      </c>
      <c r="F49" s="10">
        <v>1</v>
      </c>
      <c r="G49" s="10" t="s">
        <v>73</v>
      </c>
      <c r="H49" s="10">
        <v>2.1499999999999998E-2</v>
      </c>
      <c r="I49" s="10">
        <v>3.75</v>
      </c>
      <c r="J49" s="10">
        <v>2.5</v>
      </c>
      <c r="K49" s="10">
        <v>4.25</v>
      </c>
      <c r="L49" s="10">
        <v>0</v>
      </c>
      <c r="M49" s="10">
        <v>0</v>
      </c>
      <c r="N49" s="10">
        <v>0.25</v>
      </c>
      <c r="O49" s="13">
        <v>45870</v>
      </c>
      <c r="P49" s="10" t="s">
        <v>82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AB49" s="14">
        <f t="shared" si="0"/>
        <v>2.5</v>
      </c>
    </row>
    <row r="50" spans="1:28">
      <c r="A50" s="10">
        <v>470012</v>
      </c>
      <c r="B50" s="10" t="s">
        <v>198</v>
      </c>
      <c r="C50" s="10" t="s">
        <v>199</v>
      </c>
      <c r="D50" s="10" t="s">
        <v>128</v>
      </c>
      <c r="E50" s="10" t="s">
        <v>200</v>
      </c>
      <c r="F50" s="10">
        <v>1</v>
      </c>
      <c r="G50" s="10" t="s">
        <v>73</v>
      </c>
      <c r="H50" s="10">
        <v>4.9599999999999998E-2</v>
      </c>
      <c r="I50" s="10">
        <v>1.85</v>
      </c>
      <c r="J50" s="10">
        <v>3.2</v>
      </c>
      <c r="K50" s="10">
        <v>7.8</v>
      </c>
      <c r="L50" s="10">
        <v>8</v>
      </c>
      <c r="M50" s="10">
        <v>3.05</v>
      </c>
      <c r="N50" s="10">
        <v>0</v>
      </c>
      <c r="O50" s="13">
        <v>45901</v>
      </c>
      <c r="P50" s="10" t="s">
        <v>68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AB50" s="14">
        <f t="shared" si="0"/>
        <v>3.2</v>
      </c>
    </row>
    <row r="51" spans="1:28">
      <c r="A51" s="10">
        <v>562865</v>
      </c>
      <c r="B51" s="10" t="s">
        <v>201</v>
      </c>
      <c r="C51" s="10" t="s">
        <v>202</v>
      </c>
      <c r="D51" s="10" t="s">
        <v>136</v>
      </c>
      <c r="E51" s="10" t="s">
        <v>203</v>
      </c>
      <c r="F51" s="10">
        <v>1</v>
      </c>
      <c r="G51" s="10" t="s">
        <v>73</v>
      </c>
      <c r="H51" s="10">
        <v>3.4000000000000002E-2</v>
      </c>
      <c r="I51" s="10">
        <v>5</v>
      </c>
      <c r="J51" s="10">
        <v>3</v>
      </c>
      <c r="K51" s="10">
        <v>5</v>
      </c>
      <c r="L51" s="10">
        <v>0</v>
      </c>
      <c r="M51" s="10">
        <v>3</v>
      </c>
      <c r="N51" s="10">
        <v>1</v>
      </c>
      <c r="O51" s="13">
        <v>45901</v>
      </c>
      <c r="P51" s="10" t="s">
        <v>68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AB51" s="14">
        <f t="shared" si="0"/>
        <v>3</v>
      </c>
    </row>
    <row r="52" spans="1:28">
      <c r="A52" s="10">
        <v>385001</v>
      </c>
      <c r="B52" s="10" t="s">
        <v>83</v>
      </c>
      <c r="C52" s="10" t="s">
        <v>204</v>
      </c>
      <c r="D52" s="10" t="s">
        <v>205</v>
      </c>
      <c r="E52" s="10" t="s">
        <v>206</v>
      </c>
      <c r="F52" s="10">
        <v>2</v>
      </c>
      <c r="G52" s="10" t="s">
        <v>73</v>
      </c>
      <c r="H52" s="10">
        <v>5.0700000000000002E-2</v>
      </c>
      <c r="I52" s="10">
        <v>5.15</v>
      </c>
      <c r="J52" s="10">
        <v>6.5000000000000002E-2</v>
      </c>
      <c r="K52" s="10">
        <v>6.25</v>
      </c>
      <c r="L52" s="10">
        <v>12</v>
      </c>
      <c r="M52" s="10">
        <v>0</v>
      </c>
      <c r="N52" s="10">
        <v>0</v>
      </c>
      <c r="O52" s="13">
        <v>45870</v>
      </c>
      <c r="P52" s="10" t="s">
        <v>68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1.95</v>
      </c>
      <c r="AB52" s="14">
        <f t="shared" si="0"/>
        <v>1.9500000000000002</v>
      </c>
    </row>
    <row r="53" spans="1:28">
      <c r="A53" s="10">
        <v>240124</v>
      </c>
      <c r="B53" s="10" t="s">
        <v>207</v>
      </c>
      <c r="C53" s="10" t="s">
        <v>208</v>
      </c>
      <c r="D53" s="10" t="s">
        <v>76</v>
      </c>
      <c r="E53" s="10" t="s">
        <v>105</v>
      </c>
      <c r="F53" s="10">
        <v>4</v>
      </c>
      <c r="G53" s="10" t="s">
        <v>73</v>
      </c>
      <c r="H53" s="10">
        <v>6.0000000000000001E-3</v>
      </c>
      <c r="I53" s="10">
        <v>0</v>
      </c>
      <c r="J53" s="10">
        <v>3</v>
      </c>
      <c r="K53" s="10">
        <v>0</v>
      </c>
      <c r="L53" s="10">
        <v>0</v>
      </c>
      <c r="M53" s="10">
        <v>0</v>
      </c>
      <c r="N53" s="10">
        <v>0</v>
      </c>
      <c r="O53" s="13">
        <v>45901</v>
      </c>
      <c r="P53" s="10" t="s">
        <v>68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AB53" s="14">
        <f t="shared" si="0"/>
        <v>3</v>
      </c>
    </row>
    <row r="54" spans="1:28">
      <c r="A54" s="10">
        <v>689560</v>
      </c>
      <c r="B54" s="10" t="s">
        <v>209</v>
      </c>
      <c r="C54" s="10" t="s">
        <v>210</v>
      </c>
      <c r="D54" s="10" t="s">
        <v>132</v>
      </c>
      <c r="E54" s="10" t="s">
        <v>133</v>
      </c>
      <c r="F54" s="10">
        <v>1</v>
      </c>
      <c r="G54" s="10" t="s">
        <v>67</v>
      </c>
      <c r="H54" s="10">
        <v>2.6499999999999999E-2</v>
      </c>
      <c r="I54" s="10">
        <v>5</v>
      </c>
      <c r="J54" s="10">
        <v>2.5</v>
      </c>
      <c r="K54" s="10">
        <v>5.75</v>
      </c>
      <c r="L54" s="10">
        <v>0</v>
      </c>
      <c r="M54" s="10">
        <v>0</v>
      </c>
      <c r="N54" s="10">
        <v>0</v>
      </c>
      <c r="O54" s="13">
        <v>45536</v>
      </c>
      <c r="P54" s="10" t="s">
        <v>68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AB54" s="14">
        <f t="shared" si="0"/>
        <v>2.5</v>
      </c>
    </row>
    <row r="55" spans="1:28">
      <c r="A55" s="10">
        <v>242020</v>
      </c>
      <c r="B55" s="10" t="s">
        <v>211</v>
      </c>
      <c r="C55" s="10" t="s">
        <v>212</v>
      </c>
      <c r="D55" s="10" t="s">
        <v>76</v>
      </c>
      <c r="E55" s="10" t="s">
        <v>213</v>
      </c>
      <c r="F55" s="10">
        <v>4</v>
      </c>
      <c r="G55" s="10" t="s">
        <v>73</v>
      </c>
      <c r="H55" s="10">
        <v>5.3E-3</v>
      </c>
      <c r="I55" s="10">
        <v>0</v>
      </c>
      <c r="J55" s="10">
        <v>2.65</v>
      </c>
      <c r="K55" s="10">
        <v>0</v>
      </c>
      <c r="L55" s="10">
        <v>0</v>
      </c>
      <c r="M55" s="10">
        <v>0</v>
      </c>
      <c r="N55" s="10">
        <v>0</v>
      </c>
      <c r="O55" s="13">
        <v>45750</v>
      </c>
      <c r="P55" s="10" t="s">
        <v>68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AB55" s="14">
        <f t="shared" si="0"/>
        <v>2.65</v>
      </c>
    </row>
    <row r="56" spans="1:28">
      <c r="A56" s="10">
        <v>840515</v>
      </c>
      <c r="B56" s="10" t="s">
        <v>214</v>
      </c>
      <c r="C56" s="10" t="s">
        <v>215</v>
      </c>
      <c r="D56" s="10" t="s">
        <v>71</v>
      </c>
      <c r="E56" s="10" t="s">
        <v>216</v>
      </c>
      <c r="F56" s="10">
        <v>3</v>
      </c>
      <c r="G56" s="10" t="s">
        <v>73</v>
      </c>
      <c r="H56" s="10">
        <v>5.3499999999999999E-2</v>
      </c>
      <c r="I56" s="10">
        <v>4.75</v>
      </c>
      <c r="J56" s="10">
        <v>3.75</v>
      </c>
      <c r="K56" s="10">
        <v>7</v>
      </c>
      <c r="L56" s="10">
        <v>9.9499999999999993</v>
      </c>
      <c r="M56" s="10">
        <v>0</v>
      </c>
      <c r="N56" s="10">
        <v>1.3</v>
      </c>
      <c r="O56" s="13">
        <v>45748</v>
      </c>
      <c r="P56" s="10" t="s">
        <v>68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AB56" s="14">
        <f t="shared" si="0"/>
        <v>3.75</v>
      </c>
    </row>
    <row r="57" spans="1:28">
      <c r="A57" s="10">
        <v>245509</v>
      </c>
      <c r="B57" s="10" t="s">
        <v>217</v>
      </c>
      <c r="C57" s="10" t="s">
        <v>218</v>
      </c>
      <c r="D57" s="10" t="s">
        <v>76</v>
      </c>
      <c r="E57" s="10" t="s">
        <v>219</v>
      </c>
      <c r="F57" s="10">
        <v>4</v>
      </c>
      <c r="G57" s="10" t="s">
        <v>67</v>
      </c>
      <c r="H57" s="10">
        <v>3.9E-2</v>
      </c>
      <c r="I57" s="10">
        <v>3</v>
      </c>
      <c r="J57" s="10">
        <v>2.5</v>
      </c>
      <c r="K57" s="10">
        <v>5</v>
      </c>
      <c r="L57" s="10">
        <v>8</v>
      </c>
      <c r="M57" s="10">
        <v>0</v>
      </c>
      <c r="N57" s="10">
        <v>1</v>
      </c>
      <c r="O57" s="13">
        <v>45485</v>
      </c>
      <c r="P57" s="10" t="s">
        <v>68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AB57" s="14">
        <f t="shared" si="0"/>
        <v>2.5</v>
      </c>
    </row>
    <row r="58" spans="1:28">
      <c r="A58" s="10">
        <v>245545</v>
      </c>
      <c r="B58" s="10" t="s">
        <v>220</v>
      </c>
      <c r="C58" s="10" t="s">
        <v>218</v>
      </c>
      <c r="D58" s="10" t="s">
        <v>76</v>
      </c>
      <c r="E58" s="10" t="s">
        <v>219</v>
      </c>
      <c r="F58" s="10">
        <v>4</v>
      </c>
      <c r="G58" s="10" t="s">
        <v>73</v>
      </c>
      <c r="H58" s="10">
        <v>2.7199999999999998E-2</v>
      </c>
      <c r="I58" s="10">
        <v>3.85</v>
      </c>
      <c r="J58" s="10">
        <v>3.75</v>
      </c>
      <c r="K58" s="10">
        <v>5</v>
      </c>
      <c r="L58" s="10">
        <v>0</v>
      </c>
      <c r="M58" s="10">
        <v>0</v>
      </c>
      <c r="N58" s="10">
        <v>1</v>
      </c>
      <c r="O58" s="13">
        <v>45901</v>
      </c>
      <c r="P58" s="10" t="s">
        <v>82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AB58" s="14">
        <f t="shared" si="0"/>
        <v>3.75</v>
      </c>
    </row>
    <row r="59" spans="1:28">
      <c r="A59" s="10">
        <v>840512</v>
      </c>
      <c r="B59" s="10" t="s">
        <v>221</v>
      </c>
      <c r="C59" s="10" t="s">
        <v>222</v>
      </c>
      <c r="D59" s="10" t="s">
        <v>71</v>
      </c>
      <c r="E59" s="10" t="s">
        <v>223</v>
      </c>
      <c r="F59" s="10">
        <v>3</v>
      </c>
      <c r="G59" s="10" t="s">
        <v>73</v>
      </c>
      <c r="H59" s="10">
        <v>5.3999999999999999E-2</v>
      </c>
      <c r="I59" s="10">
        <v>5.5</v>
      </c>
      <c r="J59" s="10">
        <v>4</v>
      </c>
      <c r="K59" s="10">
        <v>17.5</v>
      </c>
      <c r="L59" s="10">
        <v>0</v>
      </c>
      <c r="M59" s="10">
        <v>0</v>
      </c>
      <c r="N59" s="10">
        <v>0</v>
      </c>
      <c r="O59" s="13">
        <v>45839</v>
      </c>
      <c r="P59" s="10" t="s">
        <v>82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AB59" s="14">
        <f t="shared" si="0"/>
        <v>4</v>
      </c>
    </row>
    <row r="60" spans="1:28">
      <c r="A60" s="10">
        <v>840513</v>
      </c>
      <c r="B60" s="10" t="s">
        <v>224</v>
      </c>
      <c r="C60" s="10" t="s">
        <v>222</v>
      </c>
      <c r="D60" s="10" t="s">
        <v>71</v>
      </c>
      <c r="E60" s="10" t="s">
        <v>223</v>
      </c>
      <c r="F60" s="10">
        <v>3</v>
      </c>
      <c r="G60" s="10" t="s">
        <v>73</v>
      </c>
      <c r="H60" s="10">
        <v>5.3999999999999999E-2</v>
      </c>
      <c r="I60" s="10">
        <v>5.5</v>
      </c>
      <c r="J60" s="10">
        <v>4</v>
      </c>
      <c r="K60" s="10">
        <v>17.5</v>
      </c>
      <c r="L60" s="10">
        <v>0</v>
      </c>
      <c r="M60" s="10">
        <v>0</v>
      </c>
      <c r="N60" s="10">
        <v>0</v>
      </c>
      <c r="O60" s="13">
        <v>45839</v>
      </c>
      <c r="P60" s="10" t="s">
        <v>82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AB60" s="14">
        <f t="shared" si="0"/>
        <v>4</v>
      </c>
    </row>
    <row r="61" spans="1:28">
      <c r="A61" s="10">
        <v>29010</v>
      </c>
      <c r="B61" s="10" t="s">
        <v>225</v>
      </c>
      <c r="C61" s="10" t="s">
        <v>226</v>
      </c>
      <c r="D61" s="10" t="s">
        <v>65</v>
      </c>
      <c r="E61" s="10" t="s">
        <v>227</v>
      </c>
      <c r="F61" s="10">
        <v>1</v>
      </c>
      <c r="G61" s="10" t="s">
        <v>73</v>
      </c>
      <c r="H61" s="10">
        <v>4.24E-2</v>
      </c>
      <c r="I61" s="10">
        <v>4</v>
      </c>
      <c r="J61" s="10">
        <v>2.5</v>
      </c>
      <c r="K61" s="10">
        <v>6.7</v>
      </c>
      <c r="L61" s="10">
        <v>7.5</v>
      </c>
      <c r="M61" s="10">
        <v>0</v>
      </c>
      <c r="N61" s="10">
        <v>0.5</v>
      </c>
      <c r="O61" s="13">
        <v>45901</v>
      </c>
      <c r="P61" s="10" t="s">
        <v>82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AB61" s="14">
        <f t="shared" si="0"/>
        <v>2.5</v>
      </c>
    </row>
    <row r="62" spans="1:28">
      <c r="A62" s="10">
        <v>788008</v>
      </c>
      <c r="B62" s="10" t="s">
        <v>228</v>
      </c>
      <c r="C62" s="10" t="s">
        <v>229</v>
      </c>
      <c r="D62" s="10" t="s">
        <v>168</v>
      </c>
      <c r="E62" s="10" t="s">
        <v>230</v>
      </c>
      <c r="F62" s="10">
        <v>1</v>
      </c>
      <c r="G62" s="10" t="s">
        <v>73</v>
      </c>
      <c r="H62" s="10">
        <v>4.2200000000000001E-2</v>
      </c>
      <c r="I62" s="10">
        <v>3.05</v>
      </c>
      <c r="J62" s="10">
        <v>3.55</v>
      </c>
      <c r="K62" s="10">
        <v>8.5</v>
      </c>
      <c r="L62" s="10">
        <v>6</v>
      </c>
      <c r="M62" s="10">
        <v>0</v>
      </c>
      <c r="N62" s="10">
        <v>0</v>
      </c>
      <c r="O62" s="13">
        <v>45901</v>
      </c>
      <c r="P62" s="10" t="s">
        <v>68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AB62" s="14">
        <f t="shared" si="0"/>
        <v>3.55</v>
      </c>
    </row>
    <row r="63" spans="1:28">
      <c r="A63" s="10">
        <v>788020</v>
      </c>
      <c r="B63" s="10" t="s">
        <v>231</v>
      </c>
      <c r="C63" s="10" t="s">
        <v>229</v>
      </c>
      <c r="D63" s="10" t="s">
        <v>168</v>
      </c>
      <c r="E63" s="10" t="s">
        <v>230</v>
      </c>
      <c r="F63" s="10">
        <v>1</v>
      </c>
      <c r="G63" s="10" t="s">
        <v>67</v>
      </c>
      <c r="H63" s="10">
        <v>3.9100000000000003E-2</v>
      </c>
      <c r="I63" s="10">
        <v>2</v>
      </c>
      <c r="J63" s="10">
        <v>3.25</v>
      </c>
      <c r="K63" s="10">
        <v>14</v>
      </c>
      <c r="L63" s="10">
        <v>0</v>
      </c>
      <c r="M63" s="10">
        <v>0.3</v>
      </c>
      <c r="N63" s="10">
        <v>0</v>
      </c>
      <c r="O63" s="13">
        <v>45536</v>
      </c>
      <c r="P63" s="10" t="s">
        <v>68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AB63" s="14">
        <f t="shared" si="0"/>
        <v>3.25</v>
      </c>
    </row>
    <row r="64" spans="1:28">
      <c r="A64" s="10">
        <v>153505</v>
      </c>
      <c r="B64" s="10" t="s">
        <v>232</v>
      </c>
      <c r="C64" s="10" t="s">
        <v>233</v>
      </c>
      <c r="D64" s="10" t="s">
        <v>149</v>
      </c>
      <c r="E64" s="10" t="s">
        <v>234</v>
      </c>
      <c r="F64" s="10">
        <v>1</v>
      </c>
      <c r="G64" s="10" t="s">
        <v>73</v>
      </c>
      <c r="H64" s="10">
        <v>5.4100000000000002E-2</v>
      </c>
      <c r="I64" s="10">
        <v>5.05</v>
      </c>
      <c r="J64" s="10">
        <v>4</v>
      </c>
      <c r="K64" s="10">
        <v>10</v>
      </c>
      <c r="L64" s="10">
        <v>8</v>
      </c>
      <c r="M64" s="10">
        <v>0</v>
      </c>
      <c r="N64" s="10">
        <v>0</v>
      </c>
      <c r="O64" s="13">
        <v>45870</v>
      </c>
      <c r="P64" s="10" t="s">
        <v>68</v>
      </c>
      <c r="Q64" s="10" t="s">
        <v>235</v>
      </c>
      <c r="R64" s="16">
        <v>95500</v>
      </c>
      <c r="S64" s="10">
        <v>6.5</v>
      </c>
      <c r="T64" s="10">
        <v>0</v>
      </c>
      <c r="U64" s="10">
        <v>0.5</v>
      </c>
      <c r="V64" s="10">
        <v>2.5</v>
      </c>
      <c r="W64" s="10">
        <v>4.5</v>
      </c>
      <c r="X64" s="10">
        <v>0</v>
      </c>
      <c r="Y64" s="10">
        <v>0</v>
      </c>
      <c r="AB64" s="14">
        <f t="shared" si="0"/>
        <v>4</v>
      </c>
    </row>
    <row r="65" spans="1:28">
      <c r="A65" s="10">
        <v>232400</v>
      </c>
      <c r="B65" s="10" t="s">
        <v>236</v>
      </c>
      <c r="C65" s="10" t="s">
        <v>237</v>
      </c>
      <c r="D65" s="10" t="s">
        <v>76</v>
      </c>
      <c r="E65" s="10" t="s">
        <v>238</v>
      </c>
      <c r="F65" s="10">
        <v>4</v>
      </c>
      <c r="G65" s="10" t="s">
        <v>67</v>
      </c>
      <c r="H65" s="10">
        <v>2.8000000000000001E-2</v>
      </c>
      <c r="I65" s="10">
        <v>4</v>
      </c>
      <c r="J65" s="10">
        <v>3</v>
      </c>
      <c r="K65" s="10">
        <v>6</v>
      </c>
      <c r="L65" s="10">
        <v>0</v>
      </c>
      <c r="M65" s="10">
        <v>0</v>
      </c>
      <c r="N65" s="10">
        <v>1</v>
      </c>
      <c r="O65" s="13">
        <v>45536</v>
      </c>
      <c r="P65" s="10" t="s">
        <v>68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AB65" s="14">
        <f t="shared" si="0"/>
        <v>3</v>
      </c>
    </row>
    <row r="66" spans="1:28">
      <c r="A66" s="10">
        <v>232401</v>
      </c>
      <c r="B66" s="10" t="s">
        <v>239</v>
      </c>
      <c r="C66" s="10" t="s">
        <v>237</v>
      </c>
      <c r="D66" s="10" t="s">
        <v>76</v>
      </c>
      <c r="E66" s="10" t="s">
        <v>238</v>
      </c>
      <c r="F66" s="10">
        <v>4</v>
      </c>
      <c r="G66" s="10" t="s">
        <v>73</v>
      </c>
      <c r="H66" s="10">
        <v>2.5000000000000001E-2</v>
      </c>
      <c r="I66" s="10">
        <v>5</v>
      </c>
      <c r="J66" s="10">
        <v>2.5</v>
      </c>
      <c r="K66" s="10">
        <v>5</v>
      </c>
      <c r="L66" s="10">
        <v>0</v>
      </c>
      <c r="M66" s="10">
        <v>0</v>
      </c>
      <c r="N66" s="10">
        <v>0</v>
      </c>
      <c r="O66" s="13">
        <v>45838</v>
      </c>
      <c r="P66" s="10" t="s">
        <v>68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AB66" s="14">
        <f t="shared" ref="AB66:AB85" si="1">IF(J66&lt;1,J66*30,J66)</f>
        <v>2.5</v>
      </c>
    </row>
    <row r="67" spans="1:28">
      <c r="A67" s="10">
        <v>846847</v>
      </c>
      <c r="B67" s="10" t="s">
        <v>240</v>
      </c>
      <c r="C67" s="10" t="s">
        <v>241</v>
      </c>
      <c r="D67" s="10" t="s">
        <v>71</v>
      </c>
      <c r="E67" s="10" t="s">
        <v>242</v>
      </c>
      <c r="F67" s="10">
        <v>3</v>
      </c>
      <c r="G67" s="10" t="s">
        <v>73</v>
      </c>
      <c r="H67" s="10">
        <v>5.3999999999999999E-2</v>
      </c>
      <c r="I67" s="10">
        <v>7</v>
      </c>
      <c r="J67" s="10">
        <v>4</v>
      </c>
      <c r="K67" s="10">
        <v>8</v>
      </c>
      <c r="L67" s="10">
        <v>8</v>
      </c>
      <c r="M67" s="10">
        <v>0</v>
      </c>
      <c r="N67" s="10">
        <v>0</v>
      </c>
      <c r="O67" s="13">
        <v>45870</v>
      </c>
      <c r="P67" s="10" t="s">
        <v>68</v>
      </c>
      <c r="S67" s="10">
        <v>9</v>
      </c>
      <c r="T67" s="10">
        <v>0</v>
      </c>
      <c r="U67" s="10">
        <v>0</v>
      </c>
      <c r="V67" s="10">
        <v>2.25</v>
      </c>
      <c r="W67" s="10">
        <v>5</v>
      </c>
      <c r="X67" s="10">
        <v>0</v>
      </c>
      <c r="Y67" s="10">
        <v>4</v>
      </c>
      <c r="AB67" s="14">
        <f t="shared" si="1"/>
        <v>4</v>
      </c>
    </row>
    <row r="68" spans="1:28">
      <c r="A68" s="10">
        <v>54205</v>
      </c>
      <c r="B68" s="10" t="s">
        <v>243</v>
      </c>
      <c r="C68" s="10" t="s">
        <v>244</v>
      </c>
      <c r="D68" s="10" t="s">
        <v>65</v>
      </c>
      <c r="E68" s="10" t="s">
        <v>245</v>
      </c>
      <c r="F68" s="10">
        <v>1</v>
      </c>
      <c r="G68" s="10" t="s">
        <v>73</v>
      </c>
      <c r="H68" s="10">
        <v>2.1999999999999999E-2</v>
      </c>
      <c r="I68" s="10">
        <v>3</v>
      </c>
      <c r="J68" s="10">
        <v>2</v>
      </c>
      <c r="K68" s="10">
        <v>6</v>
      </c>
      <c r="L68" s="10">
        <v>0</v>
      </c>
      <c r="M68" s="10">
        <v>0</v>
      </c>
      <c r="N68" s="10">
        <v>0</v>
      </c>
      <c r="O68" s="13">
        <v>45901</v>
      </c>
      <c r="P68" s="10" t="s">
        <v>68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AB68" s="14">
        <f t="shared" si="1"/>
        <v>2</v>
      </c>
    </row>
    <row r="69" spans="1:28">
      <c r="A69" s="10">
        <v>32035</v>
      </c>
      <c r="B69" s="10" t="s">
        <v>246</v>
      </c>
      <c r="C69" s="10" t="s">
        <v>247</v>
      </c>
      <c r="D69" s="10" t="s">
        <v>65</v>
      </c>
      <c r="E69" s="10" t="s">
        <v>248</v>
      </c>
      <c r="F69" s="10">
        <v>1</v>
      </c>
      <c r="G69" s="10" t="s">
        <v>73</v>
      </c>
      <c r="H69" s="10">
        <v>3.8300000000000001E-2</v>
      </c>
      <c r="I69" s="10">
        <v>2.15</v>
      </c>
      <c r="J69" s="10">
        <v>3</v>
      </c>
      <c r="K69" s="10">
        <v>6</v>
      </c>
      <c r="L69" s="10">
        <v>7.5</v>
      </c>
      <c r="M69" s="10">
        <v>0</v>
      </c>
      <c r="N69" s="10">
        <v>0.5</v>
      </c>
      <c r="O69" s="13">
        <v>45901</v>
      </c>
      <c r="P69" s="10" t="s">
        <v>68</v>
      </c>
      <c r="S69" s="10">
        <v>6.5</v>
      </c>
      <c r="T69" s="10">
        <v>0</v>
      </c>
      <c r="U69" s="10">
        <v>0.5</v>
      </c>
      <c r="V69" s="10">
        <v>2.5</v>
      </c>
      <c r="W69" s="10">
        <v>4.5</v>
      </c>
      <c r="X69" s="10">
        <v>0</v>
      </c>
      <c r="Y69" s="10">
        <v>0</v>
      </c>
      <c r="AB69" s="14">
        <f t="shared" si="1"/>
        <v>3</v>
      </c>
    </row>
    <row r="70" spans="1:28">
      <c r="A70" s="10">
        <v>136015</v>
      </c>
      <c r="B70" s="10" t="s">
        <v>249</v>
      </c>
      <c r="C70" s="10" t="s">
        <v>250</v>
      </c>
      <c r="D70" s="10" t="s">
        <v>149</v>
      </c>
      <c r="E70" s="10" t="s">
        <v>150</v>
      </c>
      <c r="F70" s="10">
        <v>1</v>
      </c>
      <c r="G70" s="10" t="s">
        <v>73</v>
      </c>
      <c r="H70" s="10">
        <v>4.9500000000000002E-2</v>
      </c>
      <c r="I70" s="10">
        <v>3.25</v>
      </c>
      <c r="J70" s="10">
        <v>3.25</v>
      </c>
      <c r="K70" s="10">
        <v>18.25</v>
      </c>
      <c r="L70" s="10">
        <v>0</v>
      </c>
      <c r="M70" s="10">
        <v>0</v>
      </c>
      <c r="N70" s="10">
        <v>0</v>
      </c>
      <c r="O70" s="13">
        <v>45901</v>
      </c>
      <c r="P70" s="10" t="s">
        <v>68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AB70" s="14">
        <f t="shared" si="1"/>
        <v>3.25</v>
      </c>
    </row>
    <row r="71" spans="1:28">
      <c r="A71" s="10">
        <v>536304</v>
      </c>
      <c r="B71" s="10" t="s">
        <v>251</v>
      </c>
      <c r="C71" s="10" t="s">
        <v>252</v>
      </c>
      <c r="D71" s="10" t="s">
        <v>253</v>
      </c>
      <c r="E71" s="10" t="s">
        <v>254</v>
      </c>
      <c r="F71" s="10">
        <v>1</v>
      </c>
      <c r="G71" s="10" t="s">
        <v>73</v>
      </c>
      <c r="H71" s="10">
        <v>4.6600000000000003E-2</v>
      </c>
      <c r="I71" s="10">
        <v>3.5</v>
      </c>
      <c r="J71" s="10">
        <v>0.11</v>
      </c>
      <c r="K71" s="10">
        <v>6.5</v>
      </c>
      <c r="L71" s="10">
        <v>10</v>
      </c>
      <c r="M71" s="10">
        <v>0</v>
      </c>
      <c r="N71" s="10">
        <v>0</v>
      </c>
      <c r="O71" s="13">
        <v>45931</v>
      </c>
      <c r="P71" s="10" t="s">
        <v>68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3.3</v>
      </c>
      <c r="AB71" s="14">
        <f t="shared" si="1"/>
        <v>3.3</v>
      </c>
    </row>
    <row r="72" spans="1:28">
      <c r="A72" s="10">
        <v>843000</v>
      </c>
      <c r="B72" s="10" t="s">
        <v>255</v>
      </c>
      <c r="C72" s="10" t="s">
        <v>256</v>
      </c>
      <c r="D72" s="10" t="s">
        <v>71</v>
      </c>
      <c r="E72" s="10" t="s">
        <v>257</v>
      </c>
      <c r="F72" s="10">
        <v>2</v>
      </c>
      <c r="G72" s="10" t="s">
        <v>73</v>
      </c>
      <c r="H72" s="10">
        <v>5.4199999999999998E-2</v>
      </c>
      <c r="I72" s="10">
        <v>4.74</v>
      </c>
      <c r="J72" s="10">
        <v>0.23</v>
      </c>
      <c r="K72" s="10">
        <v>5.7</v>
      </c>
      <c r="L72" s="10">
        <v>9.74</v>
      </c>
      <c r="M72" s="10">
        <v>0</v>
      </c>
      <c r="N72" s="10">
        <v>0</v>
      </c>
      <c r="O72" s="13">
        <v>45901</v>
      </c>
      <c r="P72" s="10" t="s">
        <v>68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2.5499999999999998</v>
      </c>
      <c r="AB72" s="14">
        <f t="shared" si="1"/>
        <v>6.9</v>
      </c>
    </row>
    <row r="73" spans="1:28">
      <c r="A73" s="10">
        <v>846006</v>
      </c>
      <c r="B73" s="10" t="s">
        <v>258</v>
      </c>
      <c r="C73" s="10" t="s">
        <v>259</v>
      </c>
      <c r="D73" s="10" t="s">
        <v>71</v>
      </c>
      <c r="E73" s="10" t="s">
        <v>260</v>
      </c>
      <c r="F73" s="10">
        <v>3</v>
      </c>
      <c r="G73" s="10" t="s">
        <v>73</v>
      </c>
      <c r="H73" s="10">
        <v>5.3499999999999999E-2</v>
      </c>
      <c r="I73" s="10">
        <v>4.75</v>
      </c>
      <c r="J73" s="10">
        <v>3.75</v>
      </c>
      <c r="K73" s="10">
        <v>7</v>
      </c>
      <c r="L73" s="10">
        <v>9.9499999999999993</v>
      </c>
      <c r="M73" s="10">
        <v>0</v>
      </c>
      <c r="N73" s="10">
        <v>1.3</v>
      </c>
      <c r="O73" s="13">
        <v>45748</v>
      </c>
      <c r="P73" s="10" t="s">
        <v>68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AB73" s="14">
        <f t="shared" si="1"/>
        <v>3.75</v>
      </c>
    </row>
    <row r="74" spans="1:28">
      <c r="A74" s="10">
        <v>134900</v>
      </c>
      <c r="B74" s="10" t="s">
        <v>261</v>
      </c>
      <c r="C74" s="10" t="s">
        <v>262</v>
      </c>
      <c r="D74" s="10" t="s">
        <v>149</v>
      </c>
      <c r="E74" s="10" t="s">
        <v>263</v>
      </c>
      <c r="F74" s="10">
        <v>1</v>
      </c>
      <c r="G74" s="10" t="s">
        <v>67</v>
      </c>
      <c r="H74" s="10">
        <v>5.0999999999999997E-2</v>
      </c>
      <c r="I74" s="10">
        <v>4</v>
      </c>
      <c r="J74" s="10">
        <v>3.25</v>
      </c>
      <c r="K74" s="10">
        <v>10.25</v>
      </c>
      <c r="L74" s="10">
        <v>8</v>
      </c>
      <c r="M74" s="10">
        <v>0</v>
      </c>
      <c r="N74" s="10">
        <v>0</v>
      </c>
      <c r="O74" s="13">
        <v>45536</v>
      </c>
      <c r="P74" s="10" t="s">
        <v>68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AB74" s="14">
        <f t="shared" si="1"/>
        <v>3.25</v>
      </c>
    </row>
    <row r="75" spans="1:28">
      <c r="A75" s="10">
        <v>875260</v>
      </c>
      <c r="B75" s="10" t="s">
        <v>264</v>
      </c>
      <c r="C75" s="10" t="s">
        <v>265</v>
      </c>
      <c r="D75" s="10" t="s">
        <v>71</v>
      </c>
      <c r="E75" s="10" t="s">
        <v>242</v>
      </c>
      <c r="F75" s="10">
        <v>2</v>
      </c>
      <c r="G75" s="10" t="s">
        <v>73</v>
      </c>
      <c r="H75" s="10">
        <v>2.12E-2</v>
      </c>
      <c r="I75" s="10">
        <v>3</v>
      </c>
      <c r="J75" s="10">
        <v>0.12</v>
      </c>
      <c r="K75" s="10">
        <v>4</v>
      </c>
      <c r="L75" s="10">
        <v>0</v>
      </c>
      <c r="M75" s="10">
        <v>0</v>
      </c>
      <c r="N75" s="10">
        <v>0</v>
      </c>
      <c r="O75" s="13">
        <v>45901</v>
      </c>
      <c r="P75" s="10" t="s">
        <v>68</v>
      </c>
      <c r="S75" s="10">
        <v>7.5</v>
      </c>
      <c r="T75" s="10">
        <v>0</v>
      </c>
      <c r="U75" s="10">
        <v>0.5</v>
      </c>
      <c r="V75" s="10">
        <v>2.25</v>
      </c>
      <c r="W75" s="10">
        <v>5.5</v>
      </c>
      <c r="X75" s="10">
        <v>0</v>
      </c>
      <c r="Y75" s="10">
        <v>0</v>
      </c>
      <c r="AB75" s="14">
        <f t="shared" si="1"/>
        <v>3.5999999999999996</v>
      </c>
    </row>
    <row r="76" spans="1:28">
      <c r="A76" s="10">
        <v>843002</v>
      </c>
      <c r="B76" s="10" t="s">
        <v>266</v>
      </c>
      <c r="C76" s="10" t="s">
        <v>265</v>
      </c>
      <c r="D76" s="10" t="s">
        <v>71</v>
      </c>
      <c r="E76" s="10" t="s">
        <v>242</v>
      </c>
      <c r="F76" s="10">
        <v>3</v>
      </c>
      <c r="G76" s="10" t="s">
        <v>67</v>
      </c>
      <c r="H76" s="10">
        <v>2.9000000000000001E-2</v>
      </c>
      <c r="I76" s="10">
        <v>2.75</v>
      </c>
      <c r="J76" s="10">
        <v>5.25</v>
      </c>
      <c r="K76" s="10">
        <v>6.5</v>
      </c>
      <c r="L76" s="10">
        <v>0</v>
      </c>
      <c r="M76" s="10">
        <v>0</v>
      </c>
      <c r="N76" s="10">
        <v>0</v>
      </c>
      <c r="O76" s="13">
        <v>45505</v>
      </c>
      <c r="P76" s="10" t="s">
        <v>68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AB76" s="14">
        <f t="shared" si="1"/>
        <v>5.25</v>
      </c>
    </row>
    <row r="77" spans="1:28">
      <c r="A77" s="10">
        <v>253005</v>
      </c>
      <c r="B77" s="10" t="s">
        <v>267</v>
      </c>
      <c r="C77" s="10" t="s">
        <v>268</v>
      </c>
      <c r="D77" s="10" t="s">
        <v>76</v>
      </c>
      <c r="E77" s="10" t="s">
        <v>269</v>
      </c>
      <c r="F77" s="10">
        <v>4</v>
      </c>
      <c r="G77" s="10" t="s">
        <v>67</v>
      </c>
      <c r="H77" s="10">
        <v>4.0500000000000001E-2</v>
      </c>
      <c r="I77" s="10">
        <v>4</v>
      </c>
      <c r="J77" s="10">
        <v>2.75</v>
      </c>
      <c r="K77" s="10">
        <v>5</v>
      </c>
      <c r="L77" s="10">
        <v>8</v>
      </c>
      <c r="M77" s="10">
        <v>0</v>
      </c>
      <c r="N77" s="10">
        <v>0.5</v>
      </c>
      <c r="O77" s="13">
        <v>45530</v>
      </c>
      <c r="P77" s="10" t="s">
        <v>68</v>
      </c>
      <c r="S77" s="10">
        <v>5</v>
      </c>
      <c r="T77" s="10">
        <v>8</v>
      </c>
      <c r="U77" s="10">
        <v>0</v>
      </c>
      <c r="V77" s="10">
        <v>4</v>
      </c>
      <c r="W77" s="10">
        <v>2.25</v>
      </c>
      <c r="X77" s="10">
        <v>0</v>
      </c>
      <c r="Y77" s="10">
        <v>0</v>
      </c>
      <c r="AB77" s="14">
        <f t="shared" si="1"/>
        <v>2.75</v>
      </c>
    </row>
    <row r="78" spans="1:28">
      <c r="A78" s="10">
        <v>731205</v>
      </c>
      <c r="B78" s="10" t="s">
        <v>270</v>
      </c>
      <c r="C78" s="10" t="s">
        <v>271</v>
      </c>
      <c r="D78" s="10" t="s">
        <v>132</v>
      </c>
      <c r="E78" s="10" t="s">
        <v>272</v>
      </c>
      <c r="F78" s="10">
        <v>1</v>
      </c>
      <c r="G78" s="10" t="s">
        <v>67</v>
      </c>
      <c r="H78" s="10">
        <v>2.1499999999999998E-2</v>
      </c>
      <c r="I78" s="10">
        <v>4</v>
      </c>
      <c r="J78" s="10">
        <v>2</v>
      </c>
      <c r="K78" s="10">
        <v>4.75</v>
      </c>
      <c r="L78" s="10">
        <v>0</v>
      </c>
      <c r="M78" s="10">
        <v>0</v>
      </c>
      <c r="N78" s="10">
        <v>0</v>
      </c>
      <c r="O78" s="13">
        <v>45536</v>
      </c>
      <c r="P78" s="10" t="s">
        <v>68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AB78" s="14">
        <f t="shared" si="1"/>
        <v>2</v>
      </c>
    </row>
    <row r="79" spans="1:28">
      <c r="A79" s="10">
        <v>253506</v>
      </c>
      <c r="B79" s="10" t="s">
        <v>273</v>
      </c>
      <c r="C79" s="10" t="s">
        <v>274</v>
      </c>
      <c r="D79" s="10" t="s">
        <v>76</v>
      </c>
      <c r="E79" s="10" t="s">
        <v>275</v>
      </c>
      <c r="F79" s="10">
        <v>4</v>
      </c>
      <c r="G79" s="10" t="s">
        <v>73</v>
      </c>
      <c r="H79" s="10">
        <v>2.35E-2</v>
      </c>
      <c r="I79" s="10">
        <v>3</v>
      </c>
      <c r="J79" s="10">
        <v>2.75</v>
      </c>
      <c r="K79" s="10">
        <v>5</v>
      </c>
      <c r="L79" s="10">
        <v>0</v>
      </c>
      <c r="M79" s="10">
        <v>0</v>
      </c>
      <c r="N79" s="10">
        <v>1</v>
      </c>
      <c r="O79" s="13">
        <v>45845</v>
      </c>
      <c r="P79" s="10" t="s">
        <v>68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AB79" s="14">
        <f t="shared" si="1"/>
        <v>2.75</v>
      </c>
    </row>
    <row r="80" spans="1:28">
      <c r="A80" s="10">
        <v>304500</v>
      </c>
      <c r="B80" s="10" t="s">
        <v>276</v>
      </c>
      <c r="C80" s="10" t="s">
        <v>274</v>
      </c>
      <c r="D80" s="10" t="s">
        <v>76</v>
      </c>
      <c r="E80" s="10" t="s">
        <v>275</v>
      </c>
      <c r="F80" s="10">
        <v>4</v>
      </c>
      <c r="G80" s="10" t="s">
        <v>73</v>
      </c>
      <c r="H80" s="10">
        <v>2.52E-2</v>
      </c>
      <c r="I80" s="10">
        <v>3</v>
      </c>
      <c r="J80" s="10">
        <v>2.6</v>
      </c>
      <c r="K80" s="10">
        <v>5</v>
      </c>
      <c r="L80" s="10">
        <v>0</v>
      </c>
      <c r="M80" s="10">
        <v>0</v>
      </c>
      <c r="N80" s="10">
        <v>2</v>
      </c>
      <c r="O80" s="13">
        <v>45870</v>
      </c>
      <c r="P80" s="10" t="s">
        <v>68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AB80" s="14">
        <f t="shared" si="1"/>
        <v>2.6</v>
      </c>
    </row>
    <row r="81" spans="1:28">
      <c r="A81" s="10">
        <v>254002</v>
      </c>
      <c r="B81" s="10" t="s">
        <v>277</v>
      </c>
      <c r="C81" s="10" t="s">
        <v>278</v>
      </c>
      <c r="D81" s="10" t="s">
        <v>76</v>
      </c>
      <c r="E81" s="10" t="s">
        <v>279</v>
      </c>
      <c r="F81" s="10">
        <v>1</v>
      </c>
      <c r="G81" s="10" t="s">
        <v>73</v>
      </c>
      <c r="H81" s="10">
        <v>5.3E-3</v>
      </c>
      <c r="I81" s="10">
        <v>0</v>
      </c>
      <c r="J81" s="10">
        <v>2.65</v>
      </c>
      <c r="K81" s="10">
        <v>0</v>
      </c>
      <c r="L81" s="10">
        <v>0</v>
      </c>
      <c r="M81" s="10">
        <v>0</v>
      </c>
      <c r="N81" s="10">
        <v>0</v>
      </c>
      <c r="O81" s="13">
        <v>45901</v>
      </c>
      <c r="P81" s="10" t="s">
        <v>68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AB81" s="14">
        <f t="shared" si="1"/>
        <v>2.65</v>
      </c>
    </row>
    <row r="82" spans="1:28">
      <c r="A82" s="10">
        <v>31400</v>
      </c>
      <c r="B82" s="10" t="s">
        <v>280</v>
      </c>
      <c r="C82" s="10" t="s">
        <v>281</v>
      </c>
      <c r="D82" s="10" t="s">
        <v>65</v>
      </c>
      <c r="E82" s="10" t="s">
        <v>282</v>
      </c>
      <c r="F82" s="10">
        <v>1</v>
      </c>
      <c r="G82" s="10" t="s">
        <v>73</v>
      </c>
      <c r="H82" s="10">
        <v>0.03</v>
      </c>
      <c r="I82" s="10">
        <v>4.5</v>
      </c>
      <c r="J82" s="10">
        <v>3.5</v>
      </c>
      <c r="K82" s="10">
        <v>6.5</v>
      </c>
      <c r="L82" s="10">
        <v>0</v>
      </c>
      <c r="M82" s="10">
        <v>0</v>
      </c>
      <c r="N82" s="10">
        <v>0.5</v>
      </c>
      <c r="O82" s="13">
        <v>45901</v>
      </c>
      <c r="P82" s="10" t="s">
        <v>68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AB82" s="14">
        <f t="shared" si="1"/>
        <v>3.5</v>
      </c>
    </row>
    <row r="83" spans="1:28">
      <c r="A83" s="10">
        <v>255025</v>
      </c>
      <c r="B83" s="10" t="s">
        <v>283</v>
      </c>
      <c r="C83" s="10" t="s">
        <v>284</v>
      </c>
      <c r="D83" s="10" t="s">
        <v>76</v>
      </c>
      <c r="E83" s="10" t="s">
        <v>285</v>
      </c>
      <c r="F83" s="10">
        <v>4</v>
      </c>
      <c r="G83" s="10" t="s">
        <v>73</v>
      </c>
      <c r="H83" s="10">
        <v>4.2999999999999997E-2</v>
      </c>
      <c r="I83" s="10">
        <v>4</v>
      </c>
      <c r="J83" s="10">
        <v>3</v>
      </c>
      <c r="K83" s="10">
        <v>6</v>
      </c>
      <c r="L83" s="10">
        <v>7.5</v>
      </c>
      <c r="M83" s="10">
        <v>0</v>
      </c>
      <c r="N83" s="10">
        <v>1</v>
      </c>
      <c r="O83" s="13">
        <v>45882</v>
      </c>
      <c r="P83" s="10" t="s">
        <v>68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AB83" s="14">
        <f t="shared" si="1"/>
        <v>3</v>
      </c>
    </row>
    <row r="84" spans="1:28">
      <c r="A84" s="10">
        <v>255005</v>
      </c>
      <c r="B84" s="10" t="s">
        <v>286</v>
      </c>
      <c r="C84" s="10" t="s">
        <v>287</v>
      </c>
      <c r="D84" s="10" t="s">
        <v>76</v>
      </c>
      <c r="E84" s="10" t="s">
        <v>285</v>
      </c>
      <c r="F84" s="10">
        <v>4</v>
      </c>
      <c r="G84" s="10" t="s">
        <v>73</v>
      </c>
      <c r="H84" s="10">
        <v>3.9E-2</v>
      </c>
      <c r="I84" s="10">
        <v>3</v>
      </c>
      <c r="J84" s="10">
        <v>3</v>
      </c>
      <c r="K84" s="10">
        <v>5</v>
      </c>
      <c r="L84" s="10">
        <v>7.5</v>
      </c>
      <c r="M84" s="10">
        <v>0</v>
      </c>
      <c r="N84" s="10">
        <v>1</v>
      </c>
      <c r="O84" s="13">
        <v>45901</v>
      </c>
      <c r="P84" s="10" t="s">
        <v>68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AB84" s="14">
        <f t="shared" si="1"/>
        <v>3</v>
      </c>
    </row>
    <row r="85" spans="1:28">
      <c r="A85" s="10">
        <v>256030</v>
      </c>
      <c r="B85" s="10" t="s">
        <v>288</v>
      </c>
      <c r="C85" s="10" t="s">
        <v>289</v>
      </c>
      <c r="D85" s="10" t="s">
        <v>76</v>
      </c>
      <c r="E85" s="10" t="s">
        <v>269</v>
      </c>
      <c r="F85" s="10">
        <v>4</v>
      </c>
      <c r="G85" s="10" t="s">
        <v>73</v>
      </c>
      <c r="H85" s="10">
        <v>2.7400000000000001E-2</v>
      </c>
      <c r="I85" s="10">
        <v>4</v>
      </c>
      <c r="J85" s="10">
        <v>3.2</v>
      </c>
      <c r="K85" s="10">
        <v>5</v>
      </c>
      <c r="L85" s="10">
        <v>0</v>
      </c>
      <c r="M85" s="10">
        <v>0</v>
      </c>
      <c r="N85" s="10">
        <v>1.5</v>
      </c>
      <c r="O85" s="13">
        <v>45901</v>
      </c>
      <c r="P85" s="10" t="s">
        <v>68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AB85" s="14">
        <f t="shared" si="1"/>
        <v>3.2</v>
      </c>
    </row>
    <row r="86" spans="1:28">
      <c r="A86" s="10">
        <v>137001</v>
      </c>
      <c r="B86" s="10" t="s">
        <v>290</v>
      </c>
      <c r="C86" s="10" t="s">
        <v>291</v>
      </c>
      <c r="D86" s="10" t="s">
        <v>149</v>
      </c>
      <c r="E86" s="10" t="s">
        <v>292</v>
      </c>
      <c r="F86" s="10">
        <v>1</v>
      </c>
      <c r="G86" s="10" t="s">
        <v>73</v>
      </c>
      <c r="H86" s="10">
        <v>5.3100000000000001E-2</v>
      </c>
      <c r="I86" s="10">
        <v>0.65</v>
      </c>
      <c r="J86" s="10">
        <v>3.35</v>
      </c>
      <c r="K86" s="10">
        <v>19</v>
      </c>
      <c r="L86" s="10">
        <v>0</v>
      </c>
      <c r="M86" s="10">
        <v>3.05</v>
      </c>
      <c r="N86" s="10">
        <v>0.5</v>
      </c>
      <c r="O86" s="13">
        <v>45901</v>
      </c>
      <c r="P86" s="10" t="s">
        <v>82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AB86" s="17">
        <f>IF(J86&lt;1,J86*30,J86)*2</f>
        <v>6.7</v>
      </c>
    </row>
    <row r="87" spans="1:28">
      <c r="A87" s="10">
        <v>565545</v>
      </c>
      <c r="B87" s="10" t="s">
        <v>293</v>
      </c>
      <c r="C87" s="10" t="s">
        <v>294</v>
      </c>
      <c r="D87" s="10" t="s">
        <v>136</v>
      </c>
      <c r="E87" s="10" t="s">
        <v>295</v>
      </c>
      <c r="F87" s="10">
        <v>1</v>
      </c>
      <c r="G87" s="10" t="s">
        <v>73</v>
      </c>
      <c r="H87" s="10">
        <v>1.6199999999999999E-2</v>
      </c>
      <c r="I87" s="10">
        <v>3</v>
      </c>
      <c r="J87" s="10">
        <v>1.6</v>
      </c>
      <c r="K87" s="10">
        <v>3.5</v>
      </c>
      <c r="L87" s="10">
        <v>0</v>
      </c>
      <c r="M87" s="10">
        <v>0</v>
      </c>
      <c r="N87" s="10">
        <v>0</v>
      </c>
      <c r="O87" s="13">
        <v>45901</v>
      </c>
      <c r="P87" s="10" t="s">
        <v>68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AB87" s="14">
        <f t="shared" ref="AB87:AB150" si="2">IF(J87&lt;1,J87*30,J87)</f>
        <v>1.6</v>
      </c>
    </row>
    <row r="88" spans="1:28">
      <c r="A88" s="10">
        <v>149500</v>
      </c>
      <c r="B88" s="10" t="s">
        <v>296</v>
      </c>
      <c r="C88" s="10" t="s">
        <v>297</v>
      </c>
      <c r="D88" s="10" t="s">
        <v>149</v>
      </c>
      <c r="E88" s="10" t="s">
        <v>150</v>
      </c>
      <c r="F88" s="10">
        <v>1</v>
      </c>
      <c r="G88" s="10" t="s">
        <v>73</v>
      </c>
      <c r="H88" s="10">
        <v>4.53E-2</v>
      </c>
      <c r="I88" s="10">
        <v>1.5</v>
      </c>
      <c r="J88" s="10">
        <v>2.9</v>
      </c>
      <c r="K88" s="10">
        <v>18.25</v>
      </c>
      <c r="L88" s="10">
        <v>0</v>
      </c>
      <c r="M88" s="10">
        <v>0</v>
      </c>
      <c r="N88" s="10">
        <v>0</v>
      </c>
      <c r="O88" s="13">
        <v>45901</v>
      </c>
      <c r="P88" s="10" t="s">
        <v>68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AB88" s="14">
        <f t="shared" si="2"/>
        <v>2.9</v>
      </c>
    </row>
    <row r="89" spans="1:28">
      <c r="A89" s="10">
        <v>34512</v>
      </c>
      <c r="B89" s="10" t="s">
        <v>298</v>
      </c>
      <c r="C89" s="10" t="s">
        <v>299</v>
      </c>
      <c r="D89" s="10" t="s">
        <v>65</v>
      </c>
      <c r="E89" s="10" t="s">
        <v>245</v>
      </c>
      <c r="F89" s="10">
        <v>1</v>
      </c>
      <c r="G89" s="10" t="s">
        <v>73</v>
      </c>
      <c r="H89" s="10">
        <v>2.3E-2</v>
      </c>
      <c r="I89" s="10">
        <v>3.5</v>
      </c>
      <c r="J89" s="10">
        <v>2.5</v>
      </c>
      <c r="K89" s="10">
        <v>5</v>
      </c>
      <c r="L89" s="10">
        <v>0</v>
      </c>
      <c r="M89" s="10">
        <v>0</v>
      </c>
      <c r="N89" s="10">
        <v>0.5</v>
      </c>
      <c r="O89" s="13">
        <v>45901</v>
      </c>
      <c r="P89" s="10" t="s">
        <v>68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AB89" s="14">
        <f t="shared" si="2"/>
        <v>2.5</v>
      </c>
    </row>
    <row r="90" spans="1:28">
      <c r="A90" s="10">
        <v>565807</v>
      </c>
      <c r="B90" s="10" t="s">
        <v>300</v>
      </c>
      <c r="C90" s="10" t="s">
        <v>301</v>
      </c>
      <c r="D90" s="10" t="s">
        <v>136</v>
      </c>
      <c r="E90" s="10" t="s">
        <v>302</v>
      </c>
      <c r="F90" s="10">
        <v>1</v>
      </c>
      <c r="G90" s="10" t="s">
        <v>73</v>
      </c>
      <c r="H90" s="10">
        <v>2.3699999999999999E-2</v>
      </c>
      <c r="I90" s="10">
        <v>4</v>
      </c>
      <c r="J90" s="10">
        <v>3</v>
      </c>
      <c r="K90" s="10">
        <v>4.8499999999999996</v>
      </c>
      <c r="L90" s="10">
        <v>0</v>
      </c>
      <c r="M90" s="10">
        <v>0</v>
      </c>
      <c r="N90" s="10">
        <v>0</v>
      </c>
      <c r="O90" s="13">
        <v>45901</v>
      </c>
      <c r="P90" s="10" t="s">
        <v>68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AB90" s="14">
        <f t="shared" si="2"/>
        <v>3</v>
      </c>
    </row>
    <row r="91" spans="1:28">
      <c r="A91" s="10">
        <v>566501</v>
      </c>
      <c r="B91" s="10" t="s">
        <v>303</v>
      </c>
      <c r="C91" s="10" t="s">
        <v>301</v>
      </c>
      <c r="D91" s="10" t="s">
        <v>136</v>
      </c>
      <c r="E91" s="10" t="s">
        <v>302</v>
      </c>
      <c r="F91" s="10">
        <v>1</v>
      </c>
      <c r="G91" s="10" t="s">
        <v>73</v>
      </c>
      <c r="H91" s="10">
        <v>1.6400000000000001E-2</v>
      </c>
      <c r="I91" s="10">
        <v>2</v>
      </c>
      <c r="J91" s="10">
        <v>1.7</v>
      </c>
      <c r="K91" s="10">
        <v>4</v>
      </c>
      <c r="L91" s="10">
        <v>0</v>
      </c>
      <c r="M91" s="10">
        <v>0</v>
      </c>
      <c r="N91" s="10">
        <v>0.5</v>
      </c>
      <c r="O91" s="13">
        <v>45707</v>
      </c>
      <c r="P91" s="10" t="s">
        <v>68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AB91" s="14">
        <f t="shared" si="2"/>
        <v>1.7</v>
      </c>
    </row>
    <row r="92" spans="1:28">
      <c r="A92" s="10">
        <v>848548</v>
      </c>
      <c r="B92" s="10" t="s">
        <v>304</v>
      </c>
      <c r="C92" s="10" t="s">
        <v>305</v>
      </c>
      <c r="D92" s="10" t="s">
        <v>71</v>
      </c>
      <c r="E92" s="10" t="s">
        <v>306</v>
      </c>
      <c r="F92" s="10">
        <v>3</v>
      </c>
      <c r="G92" s="10" t="s">
        <v>73</v>
      </c>
      <c r="H92" s="10">
        <v>5.3999999999999999E-2</v>
      </c>
      <c r="I92" s="10">
        <v>5.5</v>
      </c>
      <c r="J92" s="10">
        <v>4</v>
      </c>
      <c r="K92" s="10">
        <v>17.5</v>
      </c>
      <c r="L92" s="10">
        <v>0</v>
      </c>
      <c r="M92" s="10">
        <v>0</v>
      </c>
      <c r="N92" s="10">
        <v>0</v>
      </c>
      <c r="O92" s="13">
        <v>45839</v>
      </c>
      <c r="P92" s="10" t="s">
        <v>68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AB92" s="14">
        <f t="shared" si="2"/>
        <v>4</v>
      </c>
    </row>
    <row r="93" spans="1:28">
      <c r="A93" s="10">
        <v>702530</v>
      </c>
      <c r="B93" s="10" t="s">
        <v>307</v>
      </c>
      <c r="C93" s="10" t="s">
        <v>308</v>
      </c>
      <c r="D93" s="10" t="s">
        <v>132</v>
      </c>
      <c r="E93" s="10" t="s">
        <v>309</v>
      </c>
      <c r="F93" s="10">
        <v>1</v>
      </c>
      <c r="G93" s="10" t="s">
        <v>73</v>
      </c>
      <c r="H93" s="10">
        <v>1.95E-2</v>
      </c>
      <c r="I93" s="10">
        <v>2.75</v>
      </c>
      <c r="J93" s="10">
        <v>2</v>
      </c>
      <c r="K93" s="10">
        <v>4</v>
      </c>
      <c r="L93" s="10">
        <v>0</v>
      </c>
      <c r="M93" s="10">
        <v>0</v>
      </c>
      <c r="N93" s="10">
        <v>1</v>
      </c>
      <c r="O93" s="13">
        <v>45692</v>
      </c>
      <c r="P93" s="10" t="s">
        <v>68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AB93" s="14">
        <f t="shared" si="2"/>
        <v>2</v>
      </c>
    </row>
    <row r="94" spans="1:28">
      <c r="A94" s="10">
        <v>565803</v>
      </c>
      <c r="B94" s="10" t="s">
        <v>310</v>
      </c>
      <c r="C94" s="10" t="s">
        <v>311</v>
      </c>
      <c r="D94" s="10" t="s">
        <v>136</v>
      </c>
      <c r="E94" s="10" t="s">
        <v>312</v>
      </c>
      <c r="F94" s="10">
        <v>1</v>
      </c>
      <c r="G94" s="10" t="s">
        <v>67</v>
      </c>
      <c r="H94" s="10">
        <v>2.2499999999999999E-2</v>
      </c>
      <c r="I94" s="10">
        <v>4</v>
      </c>
      <c r="J94" s="10">
        <v>2.25</v>
      </c>
      <c r="K94" s="10">
        <v>4</v>
      </c>
      <c r="L94" s="10">
        <v>0</v>
      </c>
      <c r="M94" s="10">
        <v>0</v>
      </c>
      <c r="N94" s="10">
        <v>1</v>
      </c>
      <c r="O94" s="13">
        <v>45636</v>
      </c>
      <c r="P94" s="10" t="s">
        <v>68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AB94" s="14">
        <f t="shared" si="2"/>
        <v>2.25</v>
      </c>
    </row>
    <row r="95" spans="1:28">
      <c r="A95" s="10">
        <v>565805</v>
      </c>
      <c r="B95" s="10" t="s">
        <v>313</v>
      </c>
      <c r="C95" s="10" t="s">
        <v>311</v>
      </c>
      <c r="D95" s="10" t="s">
        <v>136</v>
      </c>
      <c r="E95" s="10" t="s">
        <v>312</v>
      </c>
      <c r="F95" s="10">
        <v>1</v>
      </c>
      <c r="G95" s="10" t="s">
        <v>67</v>
      </c>
      <c r="H95" s="10">
        <v>2.2499999999999999E-2</v>
      </c>
      <c r="I95" s="10">
        <v>4.25</v>
      </c>
      <c r="J95" s="10">
        <v>2.25</v>
      </c>
      <c r="K95" s="10">
        <v>4.25</v>
      </c>
      <c r="L95" s="10">
        <v>0</v>
      </c>
      <c r="M95" s="10">
        <v>0</v>
      </c>
      <c r="N95" s="10">
        <v>0.5</v>
      </c>
      <c r="O95" s="13">
        <v>45550</v>
      </c>
      <c r="P95" s="10" t="s">
        <v>68</v>
      </c>
      <c r="S95" s="10">
        <v>0</v>
      </c>
      <c r="T95" s="10">
        <v>0</v>
      </c>
      <c r="U95" s="10">
        <v>0</v>
      </c>
      <c r="V95" s="10">
        <v>4</v>
      </c>
      <c r="W95" s="10">
        <v>1.7</v>
      </c>
      <c r="X95" s="10">
        <v>0</v>
      </c>
      <c r="Y95" s="10">
        <v>0</v>
      </c>
      <c r="AB95" s="14">
        <f t="shared" si="2"/>
        <v>2.25</v>
      </c>
    </row>
    <row r="96" spans="1:28">
      <c r="A96" s="10">
        <v>789505</v>
      </c>
      <c r="B96" s="10" t="s">
        <v>314</v>
      </c>
      <c r="C96" s="10" t="s">
        <v>315</v>
      </c>
      <c r="D96" s="10" t="s">
        <v>168</v>
      </c>
      <c r="E96" s="10" t="s">
        <v>316</v>
      </c>
      <c r="F96" s="10">
        <v>1</v>
      </c>
      <c r="G96" s="10" t="s">
        <v>73</v>
      </c>
      <c r="H96" s="10">
        <v>4.9099999999999998E-2</v>
      </c>
      <c r="I96" s="10">
        <v>4</v>
      </c>
      <c r="J96" s="10">
        <v>2.25</v>
      </c>
      <c r="K96" s="10">
        <v>6.75</v>
      </c>
      <c r="L96" s="10">
        <v>8</v>
      </c>
      <c r="M96" s="10">
        <v>3.05</v>
      </c>
      <c r="N96" s="10">
        <v>0.5</v>
      </c>
      <c r="O96" s="13">
        <v>45902</v>
      </c>
      <c r="P96" s="10" t="s">
        <v>68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AB96" s="14">
        <f t="shared" si="2"/>
        <v>2.25</v>
      </c>
    </row>
    <row r="97" spans="1:28">
      <c r="A97" s="10">
        <v>120945</v>
      </c>
      <c r="B97" s="10" t="s">
        <v>317</v>
      </c>
      <c r="C97" s="10" t="s">
        <v>318</v>
      </c>
      <c r="D97" s="10" t="s">
        <v>319</v>
      </c>
      <c r="E97" s="10" t="s">
        <v>320</v>
      </c>
      <c r="F97" s="10">
        <v>6</v>
      </c>
      <c r="G97" s="10" t="s">
        <v>67</v>
      </c>
      <c r="H97" s="10">
        <v>4.24E-2</v>
      </c>
      <c r="I97" s="10">
        <v>0</v>
      </c>
      <c r="J97" s="10">
        <v>0.14000000000000001</v>
      </c>
      <c r="K97" s="10">
        <v>8</v>
      </c>
      <c r="L97" s="10">
        <v>9</v>
      </c>
      <c r="M97" s="10">
        <v>0</v>
      </c>
      <c r="N97" s="10">
        <v>0</v>
      </c>
      <c r="O97" s="13">
        <v>45505</v>
      </c>
      <c r="P97" s="10" t="s">
        <v>68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2.8</v>
      </c>
      <c r="AB97" s="14">
        <f t="shared" si="2"/>
        <v>4.2</v>
      </c>
    </row>
    <row r="98" spans="1:28">
      <c r="A98" s="10">
        <v>122530</v>
      </c>
      <c r="B98" s="10" t="s">
        <v>321</v>
      </c>
      <c r="C98" s="10" t="s">
        <v>318</v>
      </c>
      <c r="D98" s="10" t="s">
        <v>319</v>
      </c>
      <c r="E98" s="10" t="s">
        <v>320</v>
      </c>
      <c r="F98" s="10">
        <v>6</v>
      </c>
      <c r="G98" s="10" t="s">
        <v>73</v>
      </c>
      <c r="H98" s="10">
        <v>3.9899999999999998E-2</v>
      </c>
      <c r="I98" s="10">
        <v>0</v>
      </c>
      <c r="J98" s="10">
        <v>0.14000000000000001</v>
      </c>
      <c r="K98" s="10">
        <v>8</v>
      </c>
      <c r="L98" s="10">
        <v>7.25</v>
      </c>
      <c r="M98" s="10">
        <v>0</v>
      </c>
      <c r="N98" s="10">
        <v>0.5</v>
      </c>
      <c r="O98" s="13">
        <v>45901</v>
      </c>
      <c r="P98" s="10" t="s">
        <v>82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2.8</v>
      </c>
      <c r="AB98" s="14">
        <f t="shared" si="2"/>
        <v>4.2</v>
      </c>
    </row>
    <row r="99" spans="1:28">
      <c r="A99" s="10">
        <v>976503</v>
      </c>
      <c r="B99" s="10" t="s">
        <v>322</v>
      </c>
      <c r="C99" s="10" t="s">
        <v>323</v>
      </c>
      <c r="D99" s="10" t="s">
        <v>324</v>
      </c>
      <c r="E99" s="10" t="s">
        <v>325</v>
      </c>
      <c r="F99" s="10">
        <v>1</v>
      </c>
      <c r="G99" s="10" t="s">
        <v>67</v>
      </c>
      <c r="H99" s="10">
        <v>2.5999999999999999E-2</v>
      </c>
      <c r="I99" s="10">
        <v>4.25</v>
      </c>
      <c r="J99" s="10">
        <v>2.5</v>
      </c>
      <c r="K99" s="10">
        <v>4.75</v>
      </c>
      <c r="L99" s="10">
        <v>0</v>
      </c>
      <c r="M99" s="10">
        <v>0</v>
      </c>
      <c r="N99" s="10">
        <v>1.5</v>
      </c>
      <c r="O99" s="13">
        <v>45603</v>
      </c>
      <c r="P99" s="10" t="s">
        <v>68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AB99" s="14">
        <f t="shared" si="2"/>
        <v>2.5</v>
      </c>
    </row>
    <row r="100" spans="1:28">
      <c r="A100" s="10">
        <v>976505</v>
      </c>
      <c r="B100" s="10" t="s">
        <v>326</v>
      </c>
      <c r="C100" s="10" t="s">
        <v>323</v>
      </c>
      <c r="D100" s="10" t="s">
        <v>324</v>
      </c>
      <c r="E100" s="10" t="s">
        <v>327</v>
      </c>
      <c r="F100" s="10">
        <v>1</v>
      </c>
      <c r="G100" s="10" t="s">
        <v>73</v>
      </c>
      <c r="H100" s="10">
        <v>2.4E-2</v>
      </c>
      <c r="I100" s="10">
        <v>3.5</v>
      </c>
      <c r="J100" s="10">
        <v>2.5</v>
      </c>
      <c r="K100" s="10">
        <v>5</v>
      </c>
      <c r="L100" s="10">
        <v>0</v>
      </c>
      <c r="M100" s="10">
        <v>0</v>
      </c>
      <c r="N100" s="10">
        <v>1</v>
      </c>
      <c r="O100" s="13">
        <v>45931</v>
      </c>
      <c r="P100" s="10" t="s">
        <v>68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AB100" s="14">
        <f t="shared" si="2"/>
        <v>2.5</v>
      </c>
    </row>
    <row r="101" spans="1:28">
      <c r="A101" s="10">
        <v>568010</v>
      </c>
      <c r="B101" s="10" t="s">
        <v>328</v>
      </c>
      <c r="C101" s="10" t="s">
        <v>329</v>
      </c>
      <c r="D101" s="10" t="s">
        <v>136</v>
      </c>
      <c r="E101" s="10" t="s">
        <v>330</v>
      </c>
      <c r="F101" s="10">
        <v>1</v>
      </c>
      <c r="G101" s="10" t="s">
        <v>67</v>
      </c>
      <c r="H101" s="10">
        <v>2.0400000000000001E-2</v>
      </c>
      <c r="I101" s="10">
        <v>3.5</v>
      </c>
      <c r="J101" s="10">
        <v>1.7</v>
      </c>
      <c r="K101" s="10">
        <v>5</v>
      </c>
      <c r="L101" s="10">
        <v>0</v>
      </c>
      <c r="M101" s="10">
        <v>0</v>
      </c>
      <c r="N101" s="10">
        <v>0</v>
      </c>
      <c r="O101" s="13">
        <v>45536</v>
      </c>
      <c r="P101" s="10" t="s">
        <v>68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AB101" s="14">
        <f t="shared" si="2"/>
        <v>1.7</v>
      </c>
    </row>
    <row r="102" spans="1:28">
      <c r="A102" s="10">
        <v>306310</v>
      </c>
      <c r="B102" s="10" t="s">
        <v>331</v>
      </c>
      <c r="C102" s="10" t="s">
        <v>332</v>
      </c>
      <c r="D102" s="10" t="s">
        <v>76</v>
      </c>
      <c r="E102" s="10" t="s">
        <v>333</v>
      </c>
      <c r="F102" s="10">
        <v>4</v>
      </c>
      <c r="G102" s="10" t="s">
        <v>73</v>
      </c>
      <c r="H102" s="10">
        <v>7.0000000000000001E-3</v>
      </c>
      <c r="I102" s="10">
        <v>0</v>
      </c>
      <c r="J102" s="10">
        <v>2.75</v>
      </c>
      <c r="K102" s="10">
        <v>0</v>
      </c>
      <c r="L102" s="10">
        <v>0</v>
      </c>
      <c r="M102" s="10">
        <v>0</v>
      </c>
      <c r="N102" s="10">
        <v>0.75</v>
      </c>
      <c r="O102" s="13">
        <v>45901</v>
      </c>
      <c r="P102" s="10" t="s">
        <v>68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AB102" s="14">
        <f t="shared" si="2"/>
        <v>2.75</v>
      </c>
    </row>
    <row r="103" spans="1:28">
      <c r="A103" s="10">
        <v>306316</v>
      </c>
      <c r="B103" s="10" t="s">
        <v>334</v>
      </c>
      <c r="C103" s="10" t="s">
        <v>335</v>
      </c>
      <c r="D103" s="10" t="s">
        <v>76</v>
      </c>
      <c r="E103" s="10" t="s">
        <v>333</v>
      </c>
      <c r="F103" s="10">
        <v>4</v>
      </c>
      <c r="G103" s="10" t="s">
        <v>73</v>
      </c>
      <c r="H103" s="10">
        <v>2.1999999999999999E-2</v>
      </c>
      <c r="I103" s="10">
        <v>3</v>
      </c>
      <c r="J103" s="10">
        <v>3</v>
      </c>
      <c r="K103" s="10">
        <v>5</v>
      </c>
      <c r="L103" s="10">
        <v>0</v>
      </c>
      <c r="M103" s="10">
        <v>0</v>
      </c>
      <c r="N103" s="10">
        <v>0</v>
      </c>
      <c r="O103" s="13">
        <v>45901</v>
      </c>
      <c r="P103" s="10" t="s">
        <v>68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AB103" s="14">
        <f t="shared" si="2"/>
        <v>3</v>
      </c>
    </row>
    <row r="104" spans="1:28">
      <c r="A104" s="10">
        <v>36016</v>
      </c>
      <c r="B104" s="10" t="s">
        <v>336</v>
      </c>
      <c r="C104" s="10" t="s">
        <v>337</v>
      </c>
      <c r="D104" s="10" t="s">
        <v>65</v>
      </c>
      <c r="E104" s="10" t="s">
        <v>285</v>
      </c>
      <c r="F104" s="10">
        <v>1</v>
      </c>
      <c r="G104" s="10" t="s">
        <v>73</v>
      </c>
      <c r="H104" s="10">
        <v>6.0000000000000001E-3</v>
      </c>
      <c r="I104" s="10">
        <v>0</v>
      </c>
      <c r="J104" s="10">
        <v>2.5</v>
      </c>
      <c r="K104" s="10">
        <v>0</v>
      </c>
      <c r="L104" s="10">
        <v>0</v>
      </c>
      <c r="M104" s="10">
        <v>0</v>
      </c>
      <c r="N104" s="10">
        <v>0.5</v>
      </c>
      <c r="O104" s="13">
        <v>45870</v>
      </c>
      <c r="P104" s="10" t="s">
        <v>68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AB104" s="14">
        <f t="shared" si="2"/>
        <v>2.5</v>
      </c>
    </row>
    <row r="105" spans="1:28">
      <c r="A105" s="10">
        <v>568017</v>
      </c>
      <c r="B105" s="10" t="s">
        <v>338</v>
      </c>
      <c r="C105" s="10" t="s">
        <v>339</v>
      </c>
      <c r="D105" s="10" t="s">
        <v>136</v>
      </c>
      <c r="E105" s="10" t="s">
        <v>340</v>
      </c>
      <c r="F105" s="10">
        <v>1</v>
      </c>
      <c r="G105" s="10" t="s">
        <v>73</v>
      </c>
      <c r="H105" s="10">
        <v>2.3699999999999999E-2</v>
      </c>
      <c r="I105" s="10">
        <v>4</v>
      </c>
      <c r="J105" s="10">
        <v>3</v>
      </c>
      <c r="K105" s="10">
        <v>4.8499999999999996</v>
      </c>
      <c r="L105" s="10">
        <v>0</v>
      </c>
      <c r="M105" s="10">
        <v>0</v>
      </c>
      <c r="N105" s="10">
        <v>0</v>
      </c>
      <c r="O105" s="13">
        <v>45901</v>
      </c>
      <c r="P105" s="10" t="s">
        <v>68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AB105" s="14">
        <f t="shared" si="2"/>
        <v>3</v>
      </c>
    </row>
    <row r="106" spans="1:28">
      <c r="A106" s="10">
        <v>568016</v>
      </c>
      <c r="B106" s="10" t="s">
        <v>341</v>
      </c>
      <c r="C106" s="10" t="s">
        <v>342</v>
      </c>
      <c r="D106" s="10" t="s">
        <v>136</v>
      </c>
      <c r="E106" s="10" t="s">
        <v>340</v>
      </c>
      <c r="F106" s="10">
        <v>1</v>
      </c>
      <c r="G106" s="10" t="s">
        <v>67</v>
      </c>
      <c r="H106" s="10">
        <v>0.02</v>
      </c>
      <c r="I106" s="10">
        <v>3.75</v>
      </c>
      <c r="J106" s="10">
        <v>2.5</v>
      </c>
      <c r="K106" s="10">
        <v>3.75</v>
      </c>
      <c r="L106" s="10">
        <v>0</v>
      </c>
      <c r="M106" s="10">
        <v>0</v>
      </c>
      <c r="N106" s="10">
        <v>0</v>
      </c>
      <c r="O106" s="13">
        <v>45536</v>
      </c>
      <c r="P106" s="10" t="s">
        <v>68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AB106" s="14">
        <f t="shared" si="2"/>
        <v>2.5</v>
      </c>
    </row>
    <row r="107" spans="1:28">
      <c r="A107" s="10">
        <v>607540</v>
      </c>
      <c r="B107" s="10" t="s">
        <v>343</v>
      </c>
      <c r="C107" s="10" t="s">
        <v>342</v>
      </c>
      <c r="D107" s="10" t="s">
        <v>136</v>
      </c>
      <c r="E107" s="10" t="s">
        <v>340</v>
      </c>
      <c r="F107" s="10">
        <v>1</v>
      </c>
      <c r="G107" s="10" t="s">
        <v>67</v>
      </c>
      <c r="H107" s="10">
        <v>0.02</v>
      </c>
      <c r="I107" s="10">
        <v>3.75</v>
      </c>
      <c r="J107" s="10">
        <v>2.5</v>
      </c>
      <c r="K107" s="10">
        <v>3.75</v>
      </c>
      <c r="L107" s="10">
        <v>0</v>
      </c>
      <c r="M107" s="10">
        <v>0</v>
      </c>
      <c r="N107" s="10">
        <v>0</v>
      </c>
      <c r="O107" s="13">
        <v>45536</v>
      </c>
      <c r="P107" s="10" t="s">
        <v>68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AB107" s="14">
        <f t="shared" si="2"/>
        <v>2.5</v>
      </c>
    </row>
    <row r="108" spans="1:28">
      <c r="A108" s="10">
        <v>853005</v>
      </c>
      <c r="B108" s="10" t="s">
        <v>110</v>
      </c>
      <c r="C108" s="10" t="s">
        <v>344</v>
      </c>
      <c r="D108" s="10" t="s">
        <v>71</v>
      </c>
      <c r="E108" s="10" t="s">
        <v>345</v>
      </c>
      <c r="F108" s="10">
        <v>6</v>
      </c>
      <c r="G108" s="10" t="s">
        <v>67</v>
      </c>
      <c r="H108" s="10">
        <v>5.6599999999999998E-2</v>
      </c>
      <c r="I108" s="10">
        <v>4</v>
      </c>
      <c r="J108" s="10">
        <v>0.16</v>
      </c>
      <c r="K108" s="10">
        <v>9</v>
      </c>
      <c r="L108" s="10">
        <v>9.5</v>
      </c>
      <c r="M108" s="10">
        <v>0</v>
      </c>
      <c r="N108" s="10">
        <v>1</v>
      </c>
      <c r="O108" s="13">
        <v>45536</v>
      </c>
      <c r="P108" s="10" t="s">
        <v>68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AB108" s="14">
        <f t="shared" si="2"/>
        <v>4.8</v>
      </c>
    </row>
    <row r="109" spans="1:28">
      <c r="A109" s="10">
        <v>406505</v>
      </c>
      <c r="B109" s="10" t="s">
        <v>346</v>
      </c>
      <c r="C109" s="10" t="s">
        <v>347</v>
      </c>
      <c r="D109" s="10" t="s">
        <v>80</v>
      </c>
      <c r="E109" s="10" t="s">
        <v>348</v>
      </c>
      <c r="F109" s="10">
        <v>1</v>
      </c>
      <c r="G109" s="10" t="s">
        <v>73</v>
      </c>
      <c r="H109" s="10">
        <v>4.8899999999999999E-2</v>
      </c>
      <c r="I109" s="10">
        <v>4.7</v>
      </c>
      <c r="J109" s="10">
        <v>3</v>
      </c>
      <c r="K109" s="10">
        <v>8.5</v>
      </c>
      <c r="L109" s="10">
        <v>8.25</v>
      </c>
      <c r="M109" s="10">
        <v>0</v>
      </c>
      <c r="N109" s="10">
        <v>0</v>
      </c>
      <c r="O109" s="13">
        <v>45901</v>
      </c>
      <c r="P109" s="10" t="s">
        <v>68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AB109" s="14">
        <f t="shared" si="2"/>
        <v>3</v>
      </c>
    </row>
    <row r="110" spans="1:28">
      <c r="A110" s="10">
        <v>39720</v>
      </c>
      <c r="B110" s="10" t="s">
        <v>349</v>
      </c>
      <c r="C110" s="10" t="s">
        <v>350</v>
      </c>
      <c r="D110" s="10" t="s">
        <v>65</v>
      </c>
      <c r="E110" s="10" t="s">
        <v>351</v>
      </c>
      <c r="F110" s="10">
        <v>1</v>
      </c>
      <c r="G110" s="10" t="s">
        <v>73</v>
      </c>
      <c r="H110" s="10">
        <v>2.2800000000000001E-2</v>
      </c>
      <c r="I110" s="10">
        <v>3.15</v>
      </c>
      <c r="J110" s="10">
        <v>2.25</v>
      </c>
      <c r="K110" s="10">
        <v>6</v>
      </c>
      <c r="L110" s="10">
        <v>0</v>
      </c>
      <c r="M110" s="10">
        <v>0</v>
      </c>
      <c r="N110" s="10">
        <v>0</v>
      </c>
      <c r="O110" s="13">
        <v>45901</v>
      </c>
      <c r="P110" s="10" t="s">
        <v>68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AB110" s="14">
        <f t="shared" si="2"/>
        <v>2.25</v>
      </c>
    </row>
    <row r="111" spans="1:28">
      <c r="A111" s="10">
        <v>39770</v>
      </c>
      <c r="B111" s="10" t="s">
        <v>352</v>
      </c>
      <c r="C111" s="10" t="s">
        <v>353</v>
      </c>
      <c r="D111" s="10" t="s">
        <v>65</v>
      </c>
      <c r="E111" s="10" t="s">
        <v>351</v>
      </c>
      <c r="F111" s="10">
        <v>1</v>
      </c>
      <c r="G111" s="10" t="s">
        <v>73</v>
      </c>
      <c r="H111" s="10">
        <v>3.3500000000000002E-2</v>
      </c>
      <c r="I111" s="10">
        <v>5</v>
      </c>
      <c r="J111" s="10">
        <v>2.5</v>
      </c>
      <c r="K111" s="10">
        <v>5</v>
      </c>
      <c r="L111" s="10">
        <v>0</v>
      </c>
      <c r="M111" s="10">
        <v>4.25</v>
      </c>
      <c r="N111" s="10">
        <v>0</v>
      </c>
      <c r="O111" s="13">
        <v>45901</v>
      </c>
      <c r="P111" s="10" t="s">
        <v>68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AB111" s="14">
        <f t="shared" si="2"/>
        <v>2.5</v>
      </c>
    </row>
    <row r="112" spans="1:28">
      <c r="A112" s="10">
        <v>140301</v>
      </c>
      <c r="B112" s="10" t="s">
        <v>354</v>
      </c>
      <c r="C112" s="10" t="s">
        <v>355</v>
      </c>
      <c r="D112" s="10" t="s">
        <v>149</v>
      </c>
      <c r="E112" s="10" t="s">
        <v>183</v>
      </c>
      <c r="F112" s="10">
        <v>1</v>
      </c>
      <c r="G112" s="10" t="s">
        <v>73</v>
      </c>
      <c r="H112" s="10">
        <v>5.3100000000000001E-2</v>
      </c>
      <c r="I112" s="10">
        <v>1.75</v>
      </c>
      <c r="J112" s="10">
        <v>3.5</v>
      </c>
      <c r="K112" s="10">
        <v>18.25</v>
      </c>
      <c r="L112" s="10">
        <v>0</v>
      </c>
      <c r="M112" s="10">
        <v>3.05</v>
      </c>
      <c r="N112" s="10">
        <v>0</v>
      </c>
      <c r="O112" s="13">
        <v>45901</v>
      </c>
      <c r="P112" s="10" t="s">
        <v>68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AB112" s="14">
        <f t="shared" si="2"/>
        <v>3.5</v>
      </c>
    </row>
    <row r="113" spans="1:28">
      <c r="A113" s="10">
        <v>177501</v>
      </c>
      <c r="B113" s="10" t="s">
        <v>356</v>
      </c>
      <c r="C113" s="10" t="s">
        <v>357</v>
      </c>
      <c r="D113" s="10" t="s">
        <v>108</v>
      </c>
      <c r="E113" s="10" t="s">
        <v>358</v>
      </c>
      <c r="F113" s="10">
        <v>5</v>
      </c>
      <c r="G113" s="10" t="s">
        <v>73</v>
      </c>
      <c r="H113" s="10">
        <v>2.9600000000000001E-2</v>
      </c>
      <c r="I113" s="10">
        <v>0</v>
      </c>
      <c r="J113" s="10">
        <v>0.16</v>
      </c>
      <c r="K113" s="10">
        <v>9.5</v>
      </c>
      <c r="L113" s="10">
        <v>0</v>
      </c>
      <c r="M113" s="10">
        <v>0</v>
      </c>
      <c r="N113" s="10">
        <v>0.5</v>
      </c>
      <c r="O113" s="13">
        <v>45901</v>
      </c>
      <c r="P113" s="10" t="s">
        <v>68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AB113" s="14">
        <f t="shared" si="2"/>
        <v>4.8</v>
      </c>
    </row>
    <row r="114" spans="1:28">
      <c r="A114" s="10">
        <v>853007</v>
      </c>
      <c r="B114" s="10" t="s">
        <v>359</v>
      </c>
      <c r="C114" s="10" t="s">
        <v>360</v>
      </c>
      <c r="D114" s="10" t="s">
        <v>71</v>
      </c>
      <c r="E114" s="10" t="s">
        <v>361</v>
      </c>
      <c r="F114" s="10">
        <v>2</v>
      </c>
      <c r="G114" s="10" t="s">
        <v>73</v>
      </c>
      <c r="H114" s="10">
        <v>6.8000000000000005E-2</v>
      </c>
      <c r="I114" s="10">
        <v>5.5</v>
      </c>
      <c r="J114" s="10">
        <v>3.5</v>
      </c>
      <c r="K114" s="10">
        <v>6</v>
      </c>
      <c r="L114" s="10">
        <v>18.5</v>
      </c>
      <c r="M114" s="10">
        <v>0</v>
      </c>
      <c r="N114" s="10">
        <v>0.5</v>
      </c>
      <c r="O114" s="13">
        <v>45839</v>
      </c>
      <c r="P114" s="10" t="s">
        <v>68</v>
      </c>
      <c r="S114" s="10">
        <v>7.5</v>
      </c>
      <c r="T114" s="10">
        <v>0</v>
      </c>
      <c r="U114" s="10">
        <v>0.5</v>
      </c>
      <c r="V114" s="10">
        <v>2.35</v>
      </c>
      <c r="W114" s="10">
        <v>4.1500000000000004</v>
      </c>
      <c r="X114" s="10">
        <v>0</v>
      </c>
      <c r="Y114" s="10">
        <v>0</v>
      </c>
      <c r="AB114" s="14">
        <f t="shared" si="2"/>
        <v>3.5</v>
      </c>
    </row>
    <row r="115" spans="1:28">
      <c r="A115" s="10">
        <v>266405</v>
      </c>
      <c r="B115" s="10" t="s">
        <v>362</v>
      </c>
      <c r="C115" s="10" t="s">
        <v>363</v>
      </c>
      <c r="D115" s="10" t="s">
        <v>76</v>
      </c>
      <c r="E115" s="10" t="s">
        <v>275</v>
      </c>
      <c r="F115" s="10">
        <v>1</v>
      </c>
      <c r="G115" s="10" t="s">
        <v>73</v>
      </c>
      <c r="H115" s="10">
        <v>2.8000000000000001E-2</v>
      </c>
      <c r="I115" s="10">
        <v>4</v>
      </c>
      <c r="J115" s="10">
        <v>3</v>
      </c>
      <c r="K115" s="10">
        <v>6</v>
      </c>
      <c r="L115" s="10">
        <v>0</v>
      </c>
      <c r="M115" s="10">
        <v>0</v>
      </c>
      <c r="N115" s="10">
        <v>1</v>
      </c>
      <c r="O115" s="13">
        <v>45901</v>
      </c>
      <c r="P115" s="10" t="s">
        <v>68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AB115" s="14">
        <f t="shared" si="2"/>
        <v>3</v>
      </c>
    </row>
    <row r="116" spans="1:28">
      <c r="A116" s="18">
        <v>858053</v>
      </c>
      <c r="B116" s="18" t="s">
        <v>364</v>
      </c>
      <c r="C116" s="18" t="s">
        <v>365</v>
      </c>
      <c r="D116" s="18" t="s">
        <v>71</v>
      </c>
      <c r="E116" s="18" t="s">
        <v>366</v>
      </c>
      <c r="F116" s="18">
        <v>3</v>
      </c>
      <c r="G116" s="18" t="s">
        <v>73</v>
      </c>
      <c r="H116" s="18">
        <v>5.7200000000000001E-2</v>
      </c>
      <c r="I116" s="18">
        <v>4.75</v>
      </c>
      <c r="J116" s="18">
        <v>4.25</v>
      </c>
      <c r="K116" s="18">
        <v>7.5</v>
      </c>
      <c r="L116" s="18">
        <v>10.5</v>
      </c>
      <c r="M116" s="18">
        <v>0</v>
      </c>
      <c r="N116" s="18">
        <v>1.6</v>
      </c>
      <c r="O116" s="19">
        <v>45839</v>
      </c>
      <c r="P116" s="18" t="s">
        <v>82</v>
      </c>
      <c r="Q116" s="18" t="s">
        <v>367</v>
      </c>
      <c r="R116" s="20">
        <v>60442</v>
      </c>
      <c r="S116" s="18">
        <v>7.5</v>
      </c>
      <c r="T116" s="18">
        <v>0</v>
      </c>
      <c r="U116" s="18">
        <v>1.6</v>
      </c>
      <c r="V116" s="18">
        <v>4.75</v>
      </c>
      <c r="W116" s="18">
        <v>5</v>
      </c>
      <c r="X116" s="18">
        <v>0</v>
      </c>
      <c r="Y116" s="18">
        <v>0</v>
      </c>
      <c r="Z116" s="18"/>
      <c r="AA116" s="18"/>
      <c r="AB116" s="21">
        <f t="shared" si="2"/>
        <v>4.25</v>
      </c>
    </row>
    <row r="117" spans="1:28">
      <c r="A117" s="18">
        <v>858054</v>
      </c>
      <c r="B117" s="18" t="s">
        <v>368</v>
      </c>
      <c r="C117" s="18" t="s">
        <v>365</v>
      </c>
      <c r="D117" s="18" t="s">
        <v>71</v>
      </c>
      <c r="E117" s="18" t="s">
        <v>366</v>
      </c>
      <c r="F117" s="18">
        <v>3</v>
      </c>
      <c r="G117" s="18" t="s">
        <v>73</v>
      </c>
      <c r="H117" s="18">
        <v>5.7200000000000001E-2</v>
      </c>
      <c r="I117" s="18">
        <v>4.75</v>
      </c>
      <c r="J117" s="18">
        <v>4.25</v>
      </c>
      <c r="K117" s="18">
        <v>7.5</v>
      </c>
      <c r="L117" s="18">
        <v>10.5</v>
      </c>
      <c r="M117" s="18">
        <v>0</v>
      </c>
      <c r="N117" s="18">
        <v>1.6</v>
      </c>
      <c r="O117" s="19">
        <v>45839</v>
      </c>
      <c r="P117" s="18" t="s">
        <v>82</v>
      </c>
      <c r="Q117" s="18" t="s">
        <v>369</v>
      </c>
      <c r="R117" s="20">
        <v>18250</v>
      </c>
      <c r="S117" s="18">
        <v>7.5</v>
      </c>
      <c r="T117" s="18">
        <v>0</v>
      </c>
      <c r="U117" s="18">
        <v>1.6</v>
      </c>
      <c r="V117" s="18">
        <v>4.75</v>
      </c>
      <c r="W117" s="18">
        <v>5</v>
      </c>
      <c r="X117" s="18">
        <v>0</v>
      </c>
      <c r="Y117" s="18">
        <v>0</v>
      </c>
      <c r="Z117" s="18"/>
      <c r="AA117" s="18"/>
      <c r="AB117" s="21">
        <f t="shared" si="2"/>
        <v>4.25</v>
      </c>
    </row>
    <row r="118" spans="1:28">
      <c r="A118" s="18">
        <v>858055</v>
      </c>
      <c r="B118" s="18" t="s">
        <v>370</v>
      </c>
      <c r="C118" s="18" t="s">
        <v>365</v>
      </c>
      <c r="D118" s="18" t="s">
        <v>71</v>
      </c>
      <c r="E118" s="18" t="s">
        <v>366</v>
      </c>
      <c r="F118" s="18">
        <v>3</v>
      </c>
      <c r="G118" s="18" t="s">
        <v>73</v>
      </c>
      <c r="H118" s="18">
        <v>5.7200000000000001E-2</v>
      </c>
      <c r="I118" s="18">
        <v>4.75</v>
      </c>
      <c r="J118" s="18">
        <v>4.25</v>
      </c>
      <c r="K118" s="18">
        <v>7.5</v>
      </c>
      <c r="L118" s="18">
        <v>10.5</v>
      </c>
      <c r="M118" s="18">
        <v>0</v>
      </c>
      <c r="N118" s="18">
        <v>1.6</v>
      </c>
      <c r="O118" s="19">
        <v>45839</v>
      </c>
      <c r="P118" s="18" t="s">
        <v>82</v>
      </c>
      <c r="Q118" s="18" t="s">
        <v>371</v>
      </c>
      <c r="R118" s="20">
        <v>20000</v>
      </c>
      <c r="S118" s="18">
        <v>7.5</v>
      </c>
      <c r="T118" s="18">
        <v>0</v>
      </c>
      <c r="U118" s="18">
        <v>1.6</v>
      </c>
      <c r="V118" s="18">
        <v>4.75</v>
      </c>
      <c r="W118" s="18">
        <v>5</v>
      </c>
      <c r="X118" s="18">
        <v>0</v>
      </c>
      <c r="Y118" s="18">
        <v>0</v>
      </c>
      <c r="Z118" s="18"/>
      <c r="AA118" s="18"/>
      <c r="AB118" s="21">
        <f t="shared" si="2"/>
        <v>4.25</v>
      </c>
    </row>
    <row r="119" spans="1:28">
      <c r="A119" s="18">
        <v>858056</v>
      </c>
      <c r="B119" s="18" t="s">
        <v>372</v>
      </c>
      <c r="C119" s="18" t="s">
        <v>365</v>
      </c>
      <c r="D119" s="18" t="s">
        <v>71</v>
      </c>
      <c r="E119" s="18" t="s">
        <v>366</v>
      </c>
      <c r="F119" s="18">
        <v>3</v>
      </c>
      <c r="G119" s="18" t="s">
        <v>73</v>
      </c>
      <c r="H119" s="18">
        <v>5.7200000000000001E-2</v>
      </c>
      <c r="I119" s="18">
        <v>4.75</v>
      </c>
      <c r="J119" s="18">
        <v>4.25</v>
      </c>
      <c r="K119" s="18">
        <v>7.5</v>
      </c>
      <c r="L119" s="18">
        <v>10.5</v>
      </c>
      <c r="M119" s="18">
        <v>0</v>
      </c>
      <c r="N119" s="18">
        <v>1.6</v>
      </c>
      <c r="O119" s="19">
        <v>45839</v>
      </c>
      <c r="P119" s="18" t="s">
        <v>82</v>
      </c>
      <c r="Q119" s="18" t="s">
        <v>373</v>
      </c>
      <c r="R119" s="20">
        <v>19120</v>
      </c>
      <c r="S119" s="18">
        <v>7.5</v>
      </c>
      <c r="T119" s="18">
        <v>0</v>
      </c>
      <c r="U119" s="18">
        <v>1.6</v>
      </c>
      <c r="V119" s="18">
        <v>4.75</v>
      </c>
      <c r="W119" s="18">
        <v>5</v>
      </c>
      <c r="X119" s="18">
        <v>0</v>
      </c>
      <c r="Y119" s="18">
        <v>0</v>
      </c>
      <c r="Z119" s="18"/>
      <c r="AA119" s="18"/>
      <c r="AB119" s="21">
        <f t="shared" si="2"/>
        <v>4.25</v>
      </c>
    </row>
    <row r="120" spans="1:28">
      <c r="A120" s="18">
        <v>858065</v>
      </c>
      <c r="B120" s="18" t="s">
        <v>374</v>
      </c>
      <c r="C120" s="18" t="s">
        <v>365</v>
      </c>
      <c r="D120" s="18" t="s">
        <v>71</v>
      </c>
      <c r="E120" s="18" t="s">
        <v>366</v>
      </c>
      <c r="F120" s="18">
        <v>3</v>
      </c>
      <c r="G120" s="18" t="s">
        <v>73</v>
      </c>
      <c r="H120" s="18">
        <v>5.5E-2</v>
      </c>
      <c r="I120" s="18">
        <v>5.5</v>
      </c>
      <c r="J120" s="18">
        <v>4</v>
      </c>
      <c r="K120" s="18">
        <v>7.5</v>
      </c>
      <c r="L120" s="18">
        <v>10</v>
      </c>
      <c r="M120" s="18">
        <v>0</v>
      </c>
      <c r="N120" s="18">
        <v>0.5</v>
      </c>
      <c r="O120" s="19">
        <v>45839</v>
      </c>
      <c r="P120" s="18" t="s">
        <v>82</v>
      </c>
      <c r="Q120" s="18" t="s">
        <v>375</v>
      </c>
      <c r="R120" s="20">
        <v>55580</v>
      </c>
      <c r="S120" s="18">
        <v>7.25</v>
      </c>
      <c r="T120" s="18">
        <v>0</v>
      </c>
      <c r="U120" s="18">
        <v>0.5</v>
      </c>
      <c r="V120" s="18">
        <v>2.75</v>
      </c>
      <c r="W120" s="18">
        <v>4.75</v>
      </c>
      <c r="X120" s="18">
        <v>0</v>
      </c>
      <c r="Y120" s="18">
        <v>0</v>
      </c>
      <c r="Z120" s="18"/>
      <c r="AA120" s="18"/>
      <c r="AB120" s="21">
        <f t="shared" si="2"/>
        <v>4</v>
      </c>
    </row>
    <row r="121" spans="1:28">
      <c r="A121" s="10">
        <v>858078</v>
      </c>
      <c r="B121" s="10" t="s">
        <v>376</v>
      </c>
      <c r="C121" s="10" t="s">
        <v>377</v>
      </c>
      <c r="D121" s="10" t="s">
        <v>71</v>
      </c>
      <c r="E121" s="10" t="s">
        <v>378</v>
      </c>
      <c r="F121" s="10">
        <v>2</v>
      </c>
      <c r="G121" s="10" t="s">
        <v>73</v>
      </c>
      <c r="H121" s="10">
        <v>5.0299999999999997E-2</v>
      </c>
      <c r="I121" s="10">
        <v>5.25</v>
      </c>
      <c r="J121" s="10">
        <v>2.65</v>
      </c>
      <c r="K121" s="10">
        <v>6.25</v>
      </c>
      <c r="L121" s="10">
        <v>11</v>
      </c>
      <c r="M121" s="10">
        <v>0</v>
      </c>
      <c r="N121" s="10">
        <v>0</v>
      </c>
      <c r="O121" s="13">
        <v>45901</v>
      </c>
      <c r="P121" s="10" t="s">
        <v>68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AB121" s="14">
        <f t="shared" si="2"/>
        <v>2.65</v>
      </c>
    </row>
    <row r="122" spans="1:28">
      <c r="A122" s="10">
        <v>570440</v>
      </c>
      <c r="B122" s="10" t="s">
        <v>379</v>
      </c>
      <c r="C122" s="10" t="s">
        <v>380</v>
      </c>
      <c r="D122" s="10" t="s">
        <v>136</v>
      </c>
      <c r="E122" s="10" t="s">
        <v>381</v>
      </c>
      <c r="F122" s="10">
        <v>1</v>
      </c>
      <c r="G122" s="10" t="s">
        <v>73</v>
      </c>
      <c r="H122" s="10">
        <v>2.4E-2</v>
      </c>
      <c r="I122" s="10">
        <v>4</v>
      </c>
      <c r="J122" s="10">
        <v>2</v>
      </c>
      <c r="K122" s="10">
        <v>5</v>
      </c>
      <c r="L122" s="10">
        <v>0</v>
      </c>
      <c r="M122" s="10">
        <v>0</v>
      </c>
      <c r="N122" s="10">
        <v>1</v>
      </c>
      <c r="O122" s="13">
        <v>45901</v>
      </c>
      <c r="P122" s="10" t="s">
        <v>68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AB122" s="14">
        <f t="shared" si="2"/>
        <v>2</v>
      </c>
    </row>
    <row r="123" spans="1:28">
      <c r="A123" s="10">
        <v>570505</v>
      </c>
      <c r="B123" s="10" t="s">
        <v>382</v>
      </c>
      <c r="C123" s="10" t="s">
        <v>383</v>
      </c>
      <c r="D123" s="10" t="s">
        <v>136</v>
      </c>
      <c r="E123" s="10" t="s">
        <v>381</v>
      </c>
      <c r="F123" s="10">
        <v>1</v>
      </c>
      <c r="G123" s="10" t="s">
        <v>73</v>
      </c>
      <c r="H123" s="10">
        <v>1.5699999999999999E-2</v>
      </c>
      <c r="I123" s="10">
        <v>2.35</v>
      </c>
      <c r="J123" s="10">
        <v>2</v>
      </c>
      <c r="K123" s="10">
        <v>3</v>
      </c>
      <c r="L123" s="10">
        <v>0</v>
      </c>
      <c r="M123" s="10">
        <v>0</v>
      </c>
      <c r="N123" s="10">
        <v>0.5</v>
      </c>
      <c r="O123" s="13">
        <v>45901</v>
      </c>
      <c r="P123" s="10" t="s">
        <v>82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AB123" s="14">
        <f t="shared" si="2"/>
        <v>2</v>
      </c>
    </row>
    <row r="124" spans="1:28">
      <c r="A124" s="10">
        <v>570507</v>
      </c>
      <c r="B124" s="10" t="s">
        <v>384</v>
      </c>
      <c r="C124" s="10" t="s">
        <v>383</v>
      </c>
      <c r="D124" s="10" t="s">
        <v>136</v>
      </c>
      <c r="E124" s="10" t="s">
        <v>381</v>
      </c>
      <c r="F124" s="10">
        <v>1</v>
      </c>
      <c r="G124" s="10" t="s">
        <v>73</v>
      </c>
      <c r="H124" s="10">
        <v>1.5900000000000001E-2</v>
      </c>
      <c r="I124" s="10">
        <v>2.75</v>
      </c>
      <c r="J124" s="10">
        <v>1.7</v>
      </c>
      <c r="K124" s="10">
        <v>3</v>
      </c>
      <c r="L124" s="10">
        <v>0</v>
      </c>
      <c r="M124" s="10">
        <v>0</v>
      </c>
      <c r="N124" s="10">
        <v>0.5</v>
      </c>
      <c r="O124" s="13">
        <v>45901</v>
      </c>
      <c r="P124" s="10" t="s">
        <v>68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AB124" s="14">
        <f t="shared" si="2"/>
        <v>1.7</v>
      </c>
    </row>
    <row r="125" spans="1:28">
      <c r="A125" s="10">
        <v>570620</v>
      </c>
      <c r="B125" s="10" t="s">
        <v>385</v>
      </c>
      <c r="C125" s="10" t="s">
        <v>386</v>
      </c>
      <c r="D125" s="10" t="s">
        <v>136</v>
      </c>
      <c r="E125" s="10" t="s">
        <v>387</v>
      </c>
      <c r="F125" s="10">
        <v>1</v>
      </c>
      <c r="G125" s="10" t="s">
        <v>67</v>
      </c>
      <c r="H125" s="10">
        <v>1.5900000000000001E-2</v>
      </c>
      <c r="I125" s="10">
        <v>2</v>
      </c>
      <c r="J125" s="10">
        <v>1.7</v>
      </c>
      <c r="K125" s="10">
        <v>4</v>
      </c>
      <c r="L125" s="10">
        <v>0</v>
      </c>
      <c r="M125" s="10">
        <v>0</v>
      </c>
      <c r="N125" s="10">
        <v>0.25</v>
      </c>
      <c r="O125" s="13">
        <v>45536</v>
      </c>
      <c r="P125" s="10" t="s">
        <v>68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AB125" s="14">
        <f t="shared" si="2"/>
        <v>1.7</v>
      </c>
    </row>
    <row r="126" spans="1:28">
      <c r="A126" s="10">
        <v>571536</v>
      </c>
      <c r="B126" s="10" t="s">
        <v>388</v>
      </c>
      <c r="C126" s="10" t="s">
        <v>389</v>
      </c>
      <c r="D126" s="10" t="s">
        <v>136</v>
      </c>
      <c r="E126" s="10" t="s">
        <v>387</v>
      </c>
      <c r="F126" s="10">
        <v>1</v>
      </c>
      <c r="G126" s="10" t="s">
        <v>73</v>
      </c>
      <c r="H126" s="10">
        <v>1.6899999999999998E-2</v>
      </c>
      <c r="I126" s="10">
        <v>2</v>
      </c>
      <c r="J126" s="10">
        <v>1.7</v>
      </c>
      <c r="K126" s="10">
        <v>4</v>
      </c>
      <c r="L126" s="10">
        <v>0</v>
      </c>
      <c r="M126" s="10">
        <v>0</v>
      </c>
      <c r="N126" s="10">
        <v>0.75</v>
      </c>
      <c r="O126" s="13">
        <v>45870</v>
      </c>
      <c r="P126" s="10" t="s">
        <v>68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AB126" s="14">
        <f t="shared" si="2"/>
        <v>1.7</v>
      </c>
    </row>
    <row r="127" spans="1:28">
      <c r="A127" s="10">
        <v>122007</v>
      </c>
      <c r="B127" s="10" t="s">
        <v>390</v>
      </c>
      <c r="C127" s="10" t="s">
        <v>391</v>
      </c>
      <c r="D127" s="10" t="s">
        <v>319</v>
      </c>
      <c r="E127" s="10" t="s">
        <v>392</v>
      </c>
      <c r="F127" s="10">
        <v>6</v>
      </c>
      <c r="G127" s="10" t="s">
        <v>67</v>
      </c>
      <c r="H127" s="10">
        <v>5.6599999999999998E-2</v>
      </c>
      <c r="I127" s="10">
        <v>4</v>
      </c>
      <c r="J127" s="10">
        <v>0.16</v>
      </c>
      <c r="K127" s="10">
        <v>9</v>
      </c>
      <c r="L127" s="10">
        <v>9.5</v>
      </c>
      <c r="M127" s="10">
        <v>0</v>
      </c>
      <c r="N127" s="10">
        <v>1</v>
      </c>
      <c r="O127" s="13">
        <v>45536</v>
      </c>
      <c r="P127" s="10" t="s">
        <v>68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AB127" s="14">
        <f t="shared" si="2"/>
        <v>4.8</v>
      </c>
    </row>
    <row r="128" spans="1:28">
      <c r="A128" s="10">
        <v>925011</v>
      </c>
      <c r="B128" s="10" t="s">
        <v>393</v>
      </c>
      <c r="C128" s="10" t="s">
        <v>394</v>
      </c>
      <c r="D128" s="10" t="s">
        <v>71</v>
      </c>
      <c r="E128" s="10" t="s">
        <v>361</v>
      </c>
      <c r="F128" s="10">
        <v>2</v>
      </c>
      <c r="G128" s="10" t="s">
        <v>73</v>
      </c>
      <c r="H128" s="10">
        <v>5.7200000000000001E-2</v>
      </c>
      <c r="I128" s="10">
        <v>4.75</v>
      </c>
      <c r="J128" s="10">
        <v>4.25</v>
      </c>
      <c r="K128" s="10">
        <v>7.5</v>
      </c>
      <c r="L128" s="10">
        <v>10.5</v>
      </c>
      <c r="M128" s="10">
        <v>0</v>
      </c>
      <c r="N128" s="10">
        <v>1.6</v>
      </c>
      <c r="O128" s="13">
        <v>45839</v>
      </c>
      <c r="P128" s="10" t="s">
        <v>68</v>
      </c>
      <c r="S128" s="10">
        <v>7.8</v>
      </c>
      <c r="T128" s="10">
        <v>0</v>
      </c>
      <c r="U128" s="10">
        <v>0.55000000000000004</v>
      </c>
      <c r="V128" s="10">
        <v>4.75</v>
      </c>
      <c r="W128" s="10">
        <v>5</v>
      </c>
      <c r="X128" s="10">
        <v>0</v>
      </c>
      <c r="Y128" s="10">
        <v>0</v>
      </c>
      <c r="AB128" s="14">
        <f t="shared" si="2"/>
        <v>4.25</v>
      </c>
    </row>
    <row r="129" spans="1:28">
      <c r="A129" s="10">
        <v>476505</v>
      </c>
      <c r="B129" s="10" t="s">
        <v>395</v>
      </c>
      <c r="C129" s="10" t="s">
        <v>396</v>
      </c>
      <c r="D129" s="10" t="s">
        <v>128</v>
      </c>
      <c r="E129" s="10" t="s">
        <v>397</v>
      </c>
      <c r="F129" s="10">
        <v>1</v>
      </c>
      <c r="G129" s="10" t="s">
        <v>73</v>
      </c>
      <c r="H129" s="10">
        <v>4.1099999999999998E-2</v>
      </c>
      <c r="I129" s="10">
        <v>1.5</v>
      </c>
      <c r="J129" s="10">
        <v>3.15</v>
      </c>
      <c r="K129" s="10">
        <v>3.75</v>
      </c>
      <c r="L129" s="10">
        <v>8</v>
      </c>
      <c r="M129" s="10">
        <v>3.05</v>
      </c>
      <c r="N129" s="10">
        <v>0.5</v>
      </c>
      <c r="O129" s="13">
        <v>45901</v>
      </c>
      <c r="P129" s="10" t="s">
        <v>68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AB129" s="14">
        <f t="shared" si="2"/>
        <v>3.15</v>
      </c>
    </row>
    <row r="130" spans="1:28">
      <c r="A130" s="10">
        <v>476512</v>
      </c>
      <c r="B130" s="10" t="s">
        <v>398</v>
      </c>
      <c r="C130" s="10" t="s">
        <v>396</v>
      </c>
      <c r="D130" s="10" t="s">
        <v>128</v>
      </c>
      <c r="E130" s="10" t="s">
        <v>397</v>
      </c>
      <c r="F130" s="10">
        <v>1</v>
      </c>
      <c r="G130" s="10" t="s">
        <v>73</v>
      </c>
      <c r="H130" s="10">
        <v>3.9E-2</v>
      </c>
      <c r="I130" s="10">
        <v>1.85</v>
      </c>
      <c r="J130" s="10">
        <v>3</v>
      </c>
      <c r="K130" s="10">
        <v>4</v>
      </c>
      <c r="L130" s="10">
        <v>7</v>
      </c>
      <c r="M130" s="10">
        <v>3.05</v>
      </c>
      <c r="N130" s="10">
        <v>0</v>
      </c>
      <c r="O130" s="13">
        <v>45901</v>
      </c>
      <c r="P130" s="10" t="s">
        <v>82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AB130" s="14">
        <f t="shared" si="2"/>
        <v>3</v>
      </c>
    </row>
    <row r="131" spans="1:28">
      <c r="A131" s="10">
        <v>476510</v>
      </c>
      <c r="B131" s="10" t="s">
        <v>399</v>
      </c>
      <c r="C131" s="10" t="s">
        <v>400</v>
      </c>
      <c r="D131" s="10" t="s">
        <v>128</v>
      </c>
      <c r="E131" s="10" t="s">
        <v>397</v>
      </c>
      <c r="F131" s="10">
        <v>1</v>
      </c>
      <c r="G131" s="10" t="s">
        <v>73</v>
      </c>
      <c r="H131" s="10">
        <v>4.1099999999999998E-2</v>
      </c>
      <c r="I131" s="10">
        <v>1.5</v>
      </c>
      <c r="J131" s="10">
        <v>3.15</v>
      </c>
      <c r="K131" s="10">
        <v>3.75</v>
      </c>
      <c r="L131" s="10">
        <v>8</v>
      </c>
      <c r="M131" s="10">
        <v>3.05</v>
      </c>
      <c r="N131" s="10">
        <v>0.5</v>
      </c>
      <c r="O131" s="13">
        <v>45901</v>
      </c>
      <c r="P131" s="10" t="s">
        <v>68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AB131" s="14">
        <f t="shared" si="2"/>
        <v>3.15</v>
      </c>
    </row>
    <row r="132" spans="1:28">
      <c r="A132" s="10">
        <v>710530</v>
      </c>
      <c r="B132" s="10" t="s">
        <v>401</v>
      </c>
      <c r="C132" s="10" t="s">
        <v>402</v>
      </c>
      <c r="D132" s="10" t="s">
        <v>132</v>
      </c>
      <c r="E132" s="10" t="s">
        <v>403</v>
      </c>
      <c r="F132" s="10">
        <v>1</v>
      </c>
      <c r="G132" s="10" t="s">
        <v>73</v>
      </c>
      <c r="H132" s="10">
        <v>2.3699999999999999E-2</v>
      </c>
      <c r="I132" s="10">
        <v>4</v>
      </c>
      <c r="J132" s="10">
        <v>3</v>
      </c>
      <c r="K132" s="10">
        <v>4.8499999999999996</v>
      </c>
      <c r="L132" s="10">
        <v>0</v>
      </c>
      <c r="M132" s="10">
        <v>0</v>
      </c>
      <c r="N132" s="10">
        <v>0</v>
      </c>
      <c r="O132" s="13">
        <v>45901</v>
      </c>
      <c r="P132" s="10" t="s">
        <v>68</v>
      </c>
      <c r="S132" s="10">
        <v>4</v>
      </c>
      <c r="T132" s="10">
        <v>0</v>
      </c>
      <c r="U132" s="10">
        <v>0</v>
      </c>
      <c r="V132" s="10">
        <v>1.85</v>
      </c>
      <c r="W132" s="10">
        <v>3.75</v>
      </c>
      <c r="X132" s="10">
        <v>0</v>
      </c>
      <c r="Y132" s="10">
        <v>0</v>
      </c>
      <c r="AB132" s="14">
        <f t="shared" si="2"/>
        <v>3</v>
      </c>
    </row>
    <row r="133" spans="1:28">
      <c r="A133" s="10">
        <v>477005</v>
      </c>
      <c r="B133" s="10" t="s">
        <v>404</v>
      </c>
      <c r="C133" s="10" t="s">
        <v>405</v>
      </c>
      <c r="D133" s="10" t="s">
        <v>128</v>
      </c>
      <c r="E133" s="10" t="s">
        <v>406</v>
      </c>
      <c r="F133" s="10">
        <v>1</v>
      </c>
      <c r="G133" s="10" t="s">
        <v>73</v>
      </c>
      <c r="H133" s="10">
        <v>4.1099999999999998E-2</v>
      </c>
      <c r="I133" s="10">
        <v>1.5</v>
      </c>
      <c r="J133" s="10">
        <v>3.15</v>
      </c>
      <c r="K133" s="10">
        <v>3.75</v>
      </c>
      <c r="L133" s="10">
        <v>8</v>
      </c>
      <c r="M133" s="10">
        <v>3.05</v>
      </c>
      <c r="N133" s="10">
        <v>0.5</v>
      </c>
      <c r="O133" s="13">
        <v>45901</v>
      </c>
      <c r="P133" s="10" t="s">
        <v>68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AB133" s="14">
        <f t="shared" si="2"/>
        <v>3.15</v>
      </c>
    </row>
    <row r="134" spans="1:28">
      <c r="A134" s="10">
        <v>790990</v>
      </c>
      <c r="B134" s="10" t="s">
        <v>407</v>
      </c>
      <c r="C134" s="10" t="s">
        <v>408</v>
      </c>
      <c r="D134" s="10" t="s">
        <v>168</v>
      </c>
      <c r="E134" s="10" t="s">
        <v>351</v>
      </c>
      <c r="F134" s="10">
        <v>1</v>
      </c>
      <c r="G134" s="10" t="s">
        <v>73</v>
      </c>
      <c r="H134" s="10">
        <v>4.1500000000000002E-2</v>
      </c>
      <c r="I134" s="10">
        <v>0</v>
      </c>
      <c r="J134" s="10">
        <v>3.7</v>
      </c>
      <c r="K134" s="10">
        <v>14</v>
      </c>
      <c r="L134" s="10">
        <v>0</v>
      </c>
      <c r="M134" s="10">
        <v>3.05</v>
      </c>
      <c r="N134" s="10">
        <v>0</v>
      </c>
      <c r="O134" s="13">
        <v>45915</v>
      </c>
      <c r="P134" s="10" t="s">
        <v>68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AB134" s="14">
        <f t="shared" si="2"/>
        <v>3.7</v>
      </c>
    </row>
    <row r="135" spans="1:28">
      <c r="A135" s="10">
        <v>866503</v>
      </c>
      <c r="B135" s="10" t="s">
        <v>409</v>
      </c>
      <c r="C135" s="10" t="s">
        <v>410</v>
      </c>
      <c r="D135" s="10" t="s">
        <v>71</v>
      </c>
      <c r="E135" s="10" t="s">
        <v>411</v>
      </c>
      <c r="F135" s="10">
        <v>3</v>
      </c>
      <c r="G135" s="10" t="s">
        <v>73</v>
      </c>
      <c r="H135" s="10">
        <v>4.7E-2</v>
      </c>
      <c r="I135" s="10">
        <v>3</v>
      </c>
      <c r="J135" s="10">
        <v>3</v>
      </c>
      <c r="K135" s="10">
        <v>9.5</v>
      </c>
      <c r="L135" s="10">
        <v>8</v>
      </c>
      <c r="M135" s="10">
        <v>0</v>
      </c>
      <c r="N135" s="10">
        <v>0</v>
      </c>
      <c r="O135" s="13">
        <v>45839</v>
      </c>
      <c r="P135" s="10" t="s">
        <v>82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AB135" s="14">
        <f t="shared" si="2"/>
        <v>3</v>
      </c>
    </row>
    <row r="136" spans="1:28">
      <c r="A136" s="10">
        <v>866505</v>
      </c>
      <c r="B136" s="10" t="s">
        <v>412</v>
      </c>
      <c r="C136" s="10" t="s">
        <v>410</v>
      </c>
      <c r="D136" s="10" t="s">
        <v>71</v>
      </c>
      <c r="E136" s="10" t="s">
        <v>411</v>
      </c>
      <c r="F136" s="10">
        <v>3</v>
      </c>
      <c r="G136" s="10" t="s">
        <v>67</v>
      </c>
      <c r="H136" s="10">
        <v>4.5600000000000002E-2</v>
      </c>
      <c r="I136" s="10">
        <v>3</v>
      </c>
      <c r="J136" s="10">
        <v>2.8</v>
      </c>
      <c r="K136" s="10">
        <v>9</v>
      </c>
      <c r="L136" s="10">
        <v>8</v>
      </c>
      <c r="M136" s="10">
        <v>0</v>
      </c>
      <c r="N136" s="10">
        <v>0</v>
      </c>
      <c r="O136" s="13">
        <v>45474</v>
      </c>
      <c r="P136" s="10" t="s">
        <v>68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AB136" s="14">
        <f t="shared" si="2"/>
        <v>2.8</v>
      </c>
    </row>
    <row r="137" spans="1:28">
      <c r="A137" s="10">
        <v>51005</v>
      </c>
      <c r="B137" s="10" t="s">
        <v>413</v>
      </c>
      <c r="C137" s="10" t="s">
        <v>414</v>
      </c>
      <c r="D137" s="10" t="s">
        <v>65</v>
      </c>
      <c r="E137" s="10" t="s">
        <v>415</v>
      </c>
      <c r="F137" s="10">
        <v>1</v>
      </c>
      <c r="G137" s="10" t="s">
        <v>73</v>
      </c>
      <c r="H137" s="10">
        <v>6.0000000000000001E-3</v>
      </c>
      <c r="I137" s="10">
        <v>0</v>
      </c>
      <c r="J137" s="10">
        <v>3</v>
      </c>
      <c r="K137" s="10">
        <v>0</v>
      </c>
      <c r="L137" s="10">
        <v>0</v>
      </c>
      <c r="M137" s="10">
        <v>0</v>
      </c>
      <c r="N137" s="10">
        <v>0</v>
      </c>
      <c r="O137" s="13">
        <v>45901</v>
      </c>
      <c r="P137" s="10" t="s">
        <v>68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AB137" s="14">
        <f t="shared" si="2"/>
        <v>3</v>
      </c>
    </row>
    <row r="138" spans="1:28">
      <c r="A138" s="10">
        <v>712575</v>
      </c>
      <c r="B138" s="10" t="s">
        <v>416</v>
      </c>
      <c r="C138" s="10" t="s">
        <v>417</v>
      </c>
      <c r="D138" s="10" t="s">
        <v>132</v>
      </c>
      <c r="E138" s="10" t="s">
        <v>418</v>
      </c>
      <c r="F138" s="10">
        <v>1</v>
      </c>
      <c r="G138" s="10" t="s">
        <v>73</v>
      </c>
      <c r="H138" s="10">
        <v>2.4500000000000001E-2</v>
      </c>
      <c r="I138" s="10">
        <v>3</v>
      </c>
      <c r="J138" s="10">
        <v>2.75</v>
      </c>
      <c r="K138" s="10">
        <v>6</v>
      </c>
      <c r="L138" s="10">
        <v>0</v>
      </c>
      <c r="M138" s="10">
        <v>0</v>
      </c>
      <c r="N138" s="10">
        <v>0.5</v>
      </c>
      <c r="O138" s="13">
        <v>45899</v>
      </c>
      <c r="P138" s="10" t="s">
        <v>68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AB138" s="14">
        <f t="shared" si="2"/>
        <v>2.75</v>
      </c>
    </row>
    <row r="139" spans="1:28">
      <c r="A139" s="10">
        <v>273518</v>
      </c>
      <c r="B139" s="10" t="s">
        <v>419</v>
      </c>
      <c r="C139" s="10" t="s">
        <v>420</v>
      </c>
      <c r="D139" s="10" t="s">
        <v>76</v>
      </c>
      <c r="E139" s="10" t="s">
        <v>421</v>
      </c>
      <c r="F139" s="10">
        <v>4</v>
      </c>
      <c r="G139" s="10" t="s">
        <v>73</v>
      </c>
      <c r="H139" s="10">
        <v>1.4E-2</v>
      </c>
      <c r="I139" s="10">
        <v>4</v>
      </c>
      <c r="J139" s="10">
        <v>3</v>
      </c>
      <c r="K139" s="10">
        <v>0</v>
      </c>
      <c r="L139" s="10">
        <v>0</v>
      </c>
      <c r="M139" s="10">
        <v>0</v>
      </c>
      <c r="N139" s="10">
        <v>0</v>
      </c>
      <c r="O139" s="13">
        <v>45845</v>
      </c>
      <c r="P139" s="10" t="s">
        <v>68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AB139" s="14">
        <f t="shared" si="2"/>
        <v>3</v>
      </c>
    </row>
    <row r="140" spans="1:28">
      <c r="A140" s="10">
        <v>517010</v>
      </c>
      <c r="B140" s="10" t="s">
        <v>422</v>
      </c>
      <c r="C140" s="10" t="s">
        <v>423</v>
      </c>
      <c r="D140" s="10" t="s">
        <v>190</v>
      </c>
      <c r="E140" s="10" t="s">
        <v>191</v>
      </c>
      <c r="F140" s="10">
        <v>1</v>
      </c>
      <c r="G140" s="10" t="s">
        <v>73</v>
      </c>
      <c r="H140" s="10">
        <v>5.3199999999999997E-2</v>
      </c>
      <c r="I140" s="10">
        <v>2.1</v>
      </c>
      <c r="J140" s="10">
        <v>3.25</v>
      </c>
      <c r="K140" s="10">
        <v>20.75</v>
      </c>
      <c r="L140" s="10">
        <v>0</v>
      </c>
      <c r="M140" s="10">
        <v>0</v>
      </c>
      <c r="N140" s="10">
        <v>0.5</v>
      </c>
      <c r="O140" s="13">
        <v>45901</v>
      </c>
      <c r="P140" s="10" t="s">
        <v>68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AB140" s="14">
        <f t="shared" si="2"/>
        <v>3.25</v>
      </c>
    </row>
    <row r="141" spans="1:28">
      <c r="A141" s="10">
        <v>270800</v>
      </c>
      <c r="B141" s="10" t="s">
        <v>424</v>
      </c>
      <c r="C141" s="10" t="s">
        <v>425</v>
      </c>
      <c r="D141" s="10" t="s">
        <v>76</v>
      </c>
      <c r="E141" s="10" t="s">
        <v>426</v>
      </c>
      <c r="F141" s="10">
        <v>4</v>
      </c>
      <c r="G141" s="10" t="s">
        <v>73</v>
      </c>
      <c r="H141" s="10">
        <v>2.1899999999999999E-2</v>
      </c>
      <c r="I141" s="10">
        <v>2.95</v>
      </c>
      <c r="J141" s="10">
        <v>3</v>
      </c>
      <c r="K141" s="10">
        <v>5</v>
      </c>
      <c r="L141" s="10">
        <v>0</v>
      </c>
      <c r="M141" s="10">
        <v>0</v>
      </c>
      <c r="N141" s="10">
        <v>0</v>
      </c>
      <c r="O141" s="13">
        <v>45868</v>
      </c>
      <c r="P141" s="10" t="s">
        <v>68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AB141" s="14">
        <f t="shared" si="2"/>
        <v>3</v>
      </c>
    </row>
    <row r="142" spans="1:28">
      <c r="A142" s="10">
        <v>274301</v>
      </c>
      <c r="B142" s="10" t="s">
        <v>427</v>
      </c>
      <c r="C142" s="10" t="s">
        <v>428</v>
      </c>
      <c r="D142" s="10" t="s">
        <v>76</v>
      </c>
      <c r="E142" s="10" t="s">
        <v>426</v>
      </c>
      <c r="F142" s="10">
        <v>4</v>
      </c>
      <c r="G142" s="10" t="s">
        <v>73</v>
      </c>
      <c r="H142" s="10">
        <v>2.1899999999999999E-2</v>
      </c>
      <c r="I142" s="10">
        <v>2.95</v>
      </c>
      <c r="J142" s="10">
        <v>3</v>
      </c>
      <c r="K142" s="10">
        <v>5</v>
      </c>
      <c r="L142" s="10">
        <v>0</v>
      </c>
      <c r="M142" s="10">
        <v>0</v>
      </c>
      <c r="N142" s="10">
        <v>0</v>
      </c>
      <c r="O142" s="13">
        <v>45868</v>
      </c>
      <c r="P142" s="10" t="s">
        <v>68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AB142" s="14">
        <f t="shared" si="2"/>
        <v>3</v>
      </c>
    </row>
    <row r="143" spans="1:28">
      <c r="A143" s="10">
        <v>52020</v>
      </c>
      <c r="B143" s="10" t="s">
        <v>429</v>
      </c>
      <c r="C143" s="10" t="s">
        <v>430</v>
      </c>
      <c r="D143" s="10" t="s">
        <v>65</v>
      </c>
      <c r="E143" s="10" t="s">
        <v>66</v>
      </c>
      <c r="F143" s="10">
        <v>1</v>
      </c>
      <c r="G143" s="10" t="s">
        <v>73</v>
      </c>
      <c r="H143" s="10">
        <v>5.7000000000000002E-3</v>
      </c>
      <c r="I143" s="10">
        <v>0</v>
      </c>
      <c r="J143" s="10">
        <v>2.85</v>
      </c>
      <c r="K143" s="10">
        <v>0</v>
      </c>
      <c r="L143" s="10">
        <v>0</v>
      </c>
      <c r="M143" s="10">
        <v>0</v>
      </c>
      <c r="N143" s="10">
        <v>0</v>
      </c>
      <c r="O143" s="13">
        <v>45870</v>
      </c>
      <c r="P143" s="10" t="s">
        <v>68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AB143" s="14">
        <f t="shared" si="2"/>
        <v>2.85</v>
      </c>
    </row>
    <row r="144" spans="1:28">
      <c r="A144" s="10">
        <v>570240</v>
      </c>
      <c r="B144" s="10" t="s">
        <v>431</v>
      </c>
      <c r="C144" s="10" t="s">
        <v>432</v>
      </c>
      <c r="D144" s="10" t="s">
        <v>136</v>
      </c>
      <c r="E144" s="10" t="s">
        <v>433</v>
      </c>
      <c r="F144" s="10">
        <v>1</v>
      </c>
      <c r="G144" s="10" t="s">
        <v>73</v>
      </c>
      <c r="H144" s="10">
        <v>1.6899999999999998E-2</v>
      </c>
      <c r="I144" s="10">
        <v>2</v>
      </c>
      <c r="J144" s="10">
        <v>1.7</v>
      </c>
      <c r="K144" s="10">
        <v>4</v>
      </c>
      <c r="L144" s="10">
        <v>0</v>
      </c>
      <c r="M144" s="10">
        <v>0</v>
      </c>
      <c r="N144" s="10">
        <v>0.75</v>
      </c>
      <c r="O144" s="13">
        <v>45870</v>
      </c>
      <c r="P144" s="10" t="s">
        <v>68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AB144" s="14">
        <f t="shared" si="2"/>
        <v>1.7</v>
      </c>
    </row>
    <row r="145" spans="1:28">
      <c r="A145" s="10">
        <v>52650</v>
      </c>
      <c r="B145" s="10" t="s">
        <v>434</v>
      </c>
      <c r="C145" s="10" t="s">
        <v>435</v>
      </c>
      <c r="D145" s="10" t="s">
        <v>65</v>
      </c>
      <c r="E145" s="10" t="s">
        <v>227</v>
      </c>
      <c r="F145" s="10">
        <v>1</v>
      </c>
      <c r="G145" s="10" t="s">
        <v>73</v>
      </c>
      <c r="H145" s="10">
        <v>3.8300000000000001E-2</v>
      </c>
      <c r="I145" s="10">
        <v>2.65</v>
      </c>
      <c r="J145" s="10">
        <v>3</v>
      </c>
      <c r="K145" s="10">
        <v>6</v>
      </c>
      <c r="L145" s="10">
        <v>7.5</v>
      </c>
      <c r="M145" s="10">
        <v>0</v>
      </c>
      <c r="N145" s="10">
        <v>0</v>
      </c>
      <c r="O145" s="13">
        <v>45870</v>
      </c>
      <c r="P145" s="10" t="s">
        <v>68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AB145" s="14">
        <f t="shared" si="2"/>
        <v>3</v>
      </c>
    </row>
    <row r="146" spans="1:28">
      <c r="A146" s="10">
        <v>565806</v>
      </c>
      <c r="B146" s="10" t="s">
        <v>436</v>
      </c>
      <c r="C146" s="10" t="s">
        <v>437</v>
      </c>
      <c r="D146" s="10" t="s">
        <v>136</v>
      </c>
      <c r="E146" s="10" t="s">
        <v>330</v>
      </c>
      <c r="F146" s="10">
        <v>1</v>
      </c>
      <c r="G146" s="10" t="s">
        <v>67</v>
      </c>
      <c r="H146" s="10">
        <v>2.07E-2</v>
      </c>
      <c r="I146" s="10">
        <v>4</v>
      </c>
      <c r="J146" s="10">
        <v>1.85</v>
      </c>
      <c r="K146" s="10">
        <v>4.5</v>
      </c>
      <c r="L146" s="10">
        <v>0</v>
      </c>
      <c r="M146" s="10">
        <v>0</v>
      </c>
      <c r="N146" s="10">
        <v>0</v>
      </c>
      <c r="O146" s="13">
        <v>45536</v>
      </c>
      <c r="P146" s="10" t="s">
        <v>68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AB146" s="14">
        <f t="shared" si="2"/>
        <v>1.85</v>
      </c>
    </row>
    <row r="147" spans="1:28">
      <c r="A147" s="18">
        <v>858063</v>
      </c>
      <c r="B147" s="18" t="s">
        <v>438</v>
      </c>
      <c r="C147" s="18" t="s">
        <v>439</v>
      </c>
      <c r="D147" s="18" t="s">
        <v>71</v>
      </c>
      <c r="E147" s="18" t="s">
        <v>440</v>
      </c>
      <c r="F147" s="18">
        <v>3</v>
      </c>
      <c r="G147" s="18" t="s">
        <v>73</v>
      </c>
      <c r="H147" s="18">
        <v>5.7200000000000001E-2</v>
      </c>
      <c r="I147" s="18">
        <v>4.75</v>
      </c>
      <c r="J147" s="18">
        <v>4.25</v>
      </c>
      <c r="K147" s="18">
        <v>7.5</v>
      </c>
      <c r="L147" s="18">
        <v>10.5</v>
      </c>
      <c r="M147" s="18">
        <v>0</v>
      </c>
      <c r="N147" s="18">
        <v>1.6</v>
      </c>
      <c r="O147" s="19">
        <v>45839</v>
      </c>
      <c r="P147" s="18" t="s">
        <v>68</v>
      </c>
      <c r="Q147" s="18"/>
      <c r="R147" s="18"/>
      <c r="S147" s="18">
        <v>7.5</v>
      </c>
      <c r="T147" s="18">
        <v>0</v>
      </c>
      <c r="U147" s="18">
        <v>1.6</v>
      </c>
      <c r="V147" s="18">
        <v>4.75</v>
      </c>
      <c r="W147" s="18">
        <v>5</v>
      </c>
      <c r="X147" s="18">
        <v>0</v>
      </c>
      <c r="Y147" s="18">
        <v>0</v>
      </c>
      <c r="Z147" s="18"/>
      <c r="AA147" s="18"/>
      <c r="AB147" s="21">
        <f t="shared" si="2"/>
        <v>4.25</v>
      </c>
    </row>
    <row r="148" spans="1:28">
      <c r="A148" s="18">
        <v>871048</v>
      </c>
      <c r="B148" s="18" t="s">
        <v>441</v>
      </c>
      <c r="C148" s="18" t="s">
        <v>439</v>
      </c>
      <c r="D148" s="18" t="s">
        <v>71</v>
      </c>
      <c r="E148" s="18" t="s">
        <v>440</v>
      </c>
      <c r="F148" s="18">
        <v>3</v>
      </c>
      <c r="G148" s="18" t="s">
        <v>73</v>
      </c>
      <c r="H148" s="18">
        <v>5.1999999999999998E-2</v>
      </c>
      <c r="I148" s="18">
        <v>5</v>
      </c>
      <c r="J148" s="18">
        <v>4</v>
      </c>
      <c r="K148" s="18">
        <v>7</v>
      </c>
      <c r="L148" s="18">
        <v>9.5</v>
      </c>
      <c r="M148" s="18">
        <v>0</v>
      </c>
      <c r="N148" s="18">
        <v>0.5</v>
      </c>
      <c r="O148" s="19">
        <v>45839</v>
      </c>
      <c r="P148" s="18" t="s">
        <v>68</v>
      </c>
      <c r="Q148" s="18" t="s">
        <v>442</v>
      </c>
      <c r="R148" s="20">
        <v>85000</v>
      </c>
      <c r="S148" s="18">
        <v>7.5</v>
      </c>
      <c r="T148" s="18">
        <v>0</v>
      </c>
      <c r="U148" s="18">
        <v>0.5</v>
      </c>
      <c r="V148" s="18">
        <v>2.35</v>
      </c>
      <c r="W148" s="18">
        <v>4.1500000000000004</v>
      </c>
      <c r="X148" s="18">
        <v>0</v>
      </c>
      <c r="Y148" s="18">
        <v>0</v>
      </c>
      <c r="Z148" s="18"/>
      <c r="AA148" s="18"/>
      <c r="AB148" s="21">
        <f t="shared" si="2"/>
        <v>4</v>
      </c>
    </row>
    <row r="149" spans="1:28">
      <c r="A149" s="18">
        <v>871049</v>
      </c>
      <c r="B149" s="18" t="s">
        <v>443</v>
      </c>
      <c r="C149" s="18" t="s">
        <v>439</v>
      </c>
      <c r="D149" s="18" t="s">
        <v>71</v>
      </c>
      <c r="E149" s="18" t="s">
        <v>440</v>
      </c>
      <c r="F149" s="18">
        <v>3</v>
      </c>
      <c r="G149" s="18" t="s">
        <v>73</v>
      </c>
      <c r="H149" s="18">
        <v>5.0999999999999997E-2</v>
      </c>
      <c r="I149" s="18">
        <v>5</v>
      </c>
      <c r="J149" s="18">
        <v>4</v>
      </c>
      <c r="K149" s="18">
        <v>7</v>
      </c>
      <c r="L149" s="18">
        <v>9.5</v>
      </c>
      <c r="M149" s="18">
        <v>0</v>
      </c>
      <c r="N149" s="18">
        <v>0</v>
      </c>
      <c r="O149" s="19">
        <v>45901</v>
      </c>
      <c r="P149" s="18" t="s">
        <v>68</v>
      </c>
      <c r="Q149" s="18"/>
      <c r="R149" s="18"/>
      <c r="S149" s="18">
        <v>7.5</v>
      </c>
      <c r="T149" s="18">
        <v>0</v>
      </c>
      <c r="U149" s="18">
        <v>0.5</v>
      </c>
      <c r="V149" s="18">
        <v>2.5</v>
      </c>
      <c r="W149" s="18">
        <v>4.25</v>
      </c>
      <c r="X149" s="18">
        <v>0</v>
      </c>
      <c r="Y149" s="18">
        <v>0</v>
      </c>
      <c r="Z149" s="18"/>
      <c r="AA149" s="18"/>
      <c r="AB149" s="21">
        <f t="shared" si="2"/>
        <v>4</v>
      </c>
    </row>
    <row r="150" spans="1:28">
      <c r="A150" s="10">
        <v>791730</v>
      </c>
      <c r="B150" s="10" t="s">
        <v>444</v>
      </c>
      <c r="C150" s="10" t="s">
        <v>445</v>
      </c>
      <c r="D150" s="10" t="s">
        <v>168</v>
      </c>
      <c r="E150" s="10" t="s">
        <v>446</v>
      </c>
      <c r="F150" s="10">
        <v>1</v>
      </c>
      <c r="G150" s="10" t="s">
        <v>73</v>
      </c>
      <c r="H150" s="10">
        <v>4.2999999999999997E-2</v>
      </c>
      <c r="I150" s="10">
        <v>0</v>
      </c>
      <c r="J150" s="10">
        <v>4</v>
      </c>
      <c r="K150" s="10">
        <v>14.45</v>
      </c>
      <c r="L150" s="10">
        <v>0</v>
      </c>
      <c r="M150" s="10">
        <v>3.05</v>
      </c>
      <c r="N150" s="10">
        <v>0</v>
      </c>
      <c r="O150" s="13">
        <v>45901</v>
      </c>
      <c r="P150" s="10" t="s">
        <v>68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AB150" s="14">
        <f t="shared" si="2"/>
        <v>4</v>
      </c>
    </row>
    <row r="151" spans="1:28">
      <c r="A151" s="10">
        <v>480505</v>
      </c>
      <c r="B151" s="10" t="s">
        <v>447</v>
      </c>
      <c r="C151" s="10" t="s">
        <v>448</v>
      </c>
      <c r="D151" s="10" t="s">
        <v>128</v>
      </c>
      <c r="E151" s="10" t="s">
        <v>449</v>
      </c>
      <c r="F151" s="10">
        <v>1</v>
      </c>
      <c r="G151" s="10" t="s">
        <v>73</v>
      </c>
      <c r="H151" s="10">
        <v>3.9E-2</v>
      </c>
      <c r="I151" s="10">
        <v>1.85</v>
      </c>
      <c r="J151" s="10">
        <v>3</v>
      </c>
      <c r="K151" s="10">
        <v>4</v>
      </c>
      <c r="L151" s="10">
        <v>7</v>
      </c>
      <c r="M151" s="10">
        <v>3.05</v>
      </c>
      <c r="N151" s="10">
        <v>0</v>
      </c>
      <c r="O151" s="13">
        <v>45901</v>
      </c>
      <c r="P151" s="10" t="s">
        <v>82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AB151" s="14">
        <f t="shared" ref="AB151:AB214" si="3">IF(J151&lt;1,J151*30,J151)</f>
        <v>3</v>
      </c>
    </row>
    <row r="152" spans="1:28">
      <c r="A152" s="10">
        <v>481005</v>
      </c>
      <c r="B152" s="10" t="s">
        <v>450</v>
      </c>
      <c r="C152" s="10" t="s">
        <v>451</v>
      </c>
      <c r="D152" s="10" t="s">
        <v>128</v>
      </c>
      <c r="E152" s="10" t="s">
        <v>449</v>
      </c>
      <c r="F152" s="10">
        <v>1</v>
      </c>
      <c r="G152" s="10" t="s">
        <v>73</v>
      </c>
      <c r="H152" s="10">
        <v>4.1099999999999998E-2</v>
      </c>
      <c r="I152" s="10">
        <v>1.5</v>
      </c>
      <c r="J152" s="10">
        <v>3.15</v>
      </c>
      <c r="K152" s="10">
        <v>3.75</v>
      </c>
      <c r="L152" s="10">
        <v>8</v>
      </c>
      <c r="M152" s="10">
        <v>3.05</v>
      </c>
      <c r="N152" s="10">
        <v>0.5</v>
      </c>
      <c r="O152" s="13">
        <v>45901</v>
      </c>
      <c r="P152" s="10" t="s">
        <v>68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AB152" s="14">
        <f t="shared" si="3"/>
        <v>3.15</v>
      </c>
    </row>
    <row r="153" spans="1:28">
      <c r="A153" s="10">
        <v>481010</v>
      </c>
      <c r="B153" s="10" t="s">
        <v>452</v>
      </c>
      <c r="C153" s="10" t="s">
        <v>451</v>
      </c>
      <c r="D153" s="10" t="s">
        <v>128</v>
      </c>
      <c r="E153" s="10" t="s">
        <v>453</v>
      </c>
      <c r="F153" s="10">
        <v>1</v>
      </c>
      <c r="G153" s="10" t="s">
        <v>73</v>
      </c>
      <c r="H153" s="10">
        <v>4.1099999999999998E-2</v>
      </c>
      <c r="I153" s="10">
        <v>1.5</v>
      </c>
      <c r="J153" s="10">
        <v>3.15</v>
      </c>
      <c r="K153" s="10">
        <v>3.75</v>
      </c>
      <c r="L153" s="10">
        <v>8</v>
      </c>
      <c r="M153" s="10">
        <v>3.05</v>
      </c>
      <c r="N153" s="10">
        <v>0.5</v>
      </c>
      <c r="O153" s="13">
        <v>45901</v>
      </c>
      <c r="P153" s="10" t="s">
        <v>68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AB153" s="14">
        <f t="shared" si="3"/>
        <v>3.15</v>
      </c>
    </row>
    <row r="154" spans="1:28">
      <c r="A154" s="10">
        <v>576503</v>
      </c>
      <c r="B154" s="10" t="s">
        <v>195</v>
      </c>
      <c r="C154" s="10" t="s">
        <v>454</v>
      </c>
      <c r="D154" s="10" t="s">
        <v>136</v>
      </c>
      <c r="E154" s="10" t="s">
        <v>455</v>
      </c>
      <c r="F154" s="10">
        <v>1</v>
      </c>
      <c r="G154" s="10" t="s">
        <v>73</v>
      </c>
      <c r="H154" s="10">
        <v>2.1499999999999998E-2</v>
      </c>
      <c r="I154" s="10">
        <v>3.75</v>
      </c>
      <c r="J154" s="10">
        <v>2.5</v>
      </c>
      <c r="K154" s="10">
        <v>4.25</v>
      </c>
      <c r="L154" s="10">
        <v>0</v>
      </c>
      <c r="M154" s="10">
        <v>0</v>
      </c>
      <c r="N154" s="10">
        <v>0.25</v>
      </c>
      <c r="O154" s="13">
        <v>45870</v>
      </c>
      <c r="P154" s="10" t="s">
        <v>82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AB154" s="14">
        <f t="shared" si="3"/>
        <v>2.5</v>
      </c>
    </row>
    <row r="155" spans="1:28">
      <c r="A155" s="10">
        <v>786225</v>
      </c>
      <c r="B155" s="10" t="s">
        <v>456</v>
      </c>
      <c r="C155" s="10" t="s">
        <v>454</v>
      </c>
      <c r="D155" s="10" t="s">
        <v>168</v>
      </c>
      <c r="E155" s="10" t="s">
        <v>457</v>
      </c>
      <c r="F155" s="10">
        <v>1</v>
      </c>
      <c r="G155" s="10" t="s">
        <v>73</v>
      </c>
      <c r="H155" s="10">
        <v>4.1200000000000001E-2</v>
      </c>
      <c r="I155" s="10">
        <v>0</v>
      </c>
      <c r="J155" s="15">
        <v>3.8</v>
      </c>
      <c r="K155" s="10">
        <v>13.8</v>
      </c>
      <c r="L155" s="10">
        <v>0</v>
      </c>
      <c r="M155" s="10">
        <v>3</v>
      </c>
      <c r="N155" s="10">
        <v>0</v>
      </c>
      <c r="O155" s="13">
        <v>45536</v>
      </c>
      <c r="P155" s="10" t="s">
        <v>68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AB155" s="14">
        <f t="shared" si="3"/>
        <v>3.8</v>
      </c>
    </row>
    <row r="156" spans="1:28">
      <c r="A156" s="10">
        <v>792025</v>
      </c>
      <c r="B156" s="10" t="s">
        <v>458</v>
      </c>
      <c r="C156" s="10" t="s">
        <v>454</v>
      </c>
      <c r="D156" s="10" t="s">
        <v>168</v>
      </c>
      <c r="E156" s="10" t="s">
        <v>457</v>
      </c>
      <c r="F156" s="10">
        <v>1</v>
      </c>
      <c r="G156" s="10" t="s">
        <v>73</v>
      </c>
      <c r="H156" s="10">
        <v>4.1300000000000003E-2</v>
      </c>
      <c r="I156" s="10">
        <v>0</v>
      </c>
      <c r="J156" s="10">
        <v>3.8</v>
      </c>
      <c r="K156" s="10">
        <v>13.8</v>
      </c>
      <c r="L156" s="10">
        <v>0</v>
      </c>
      <c r="M156" s="10">
        <v>3.05</v>
      </c>
      <c r="N156" s="10">
        <v>0</v>
      </c>
      <c r="O156" s="13">
        <v>45901</v>
      </c>
      <c r="P156" s="10" t="s">
        <v>68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AB156" s="14">
        <f t="shared" si="3"/>
        <v>3.8</v>
      </c>
    </row>
    <row r="157" spans="1:28">
      <c r="A157" s="10">
        <v>201501</v>
      </c>
      <c r="B157" s="10" t="s">
        <v>459</v>
      </c>
      <c r="C157" s="10" t="s">
        <v>460</v>
      </c>
      <c r="D157" s="10" t="s">
        <v>461</v>
      </c>
      <c r="E157" s="10" t="s">
        <v>462</v>
      </c>
      <c r="F157" s="10">
        <v>1</v>
      </c>
      <c r="G157" s="10" t="s">
        <v>73</v>
      </c>
      <c r="H157" s="10">
        <v>3.6999999999999998E-2</v>
      </c>
      <c r="I157" s="10">
        <v>3</v>
      </c>
      <c r="J157" s="10">
        <v>2.5</v>
      </c>
      <c r="K157" s="10">
        <v>5.5</v>
      </c>
      <c r="L157" s="10">
        <v>7</v>
      </c>
      <c r="M157" s="10">
        <v>0</v>
      </c>
      <c r="N157" s="10">
        <v>0.5</v>
      </c>
      <c r="O157" s="13">
        <v>45901</v>
      </c>
      <c r="P157" s="10" t="s">
        <v>68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AB157" s="14">
        <f t="shared" si="3"/>
        <v>2.5</v>
      </c>
    </row>
    <row r="158" spans="1:28">
      <c r="A158" s="10">
        <v>201505</v>
      </c>
      <c r="B158" s="10" t="s">
        <v>463</v>
      </c>
      <c r="C158" s="10" t="s">
        <v>460</v>
      </c>
      <c r="D158" s="10" t="s">
        <v>461</v>
      </c>
      <c r="E158" s="10" t="s">
        <v>462</v>
      </c>
      <c r="F158" s="10">
        <v>1</v>
      </c>
      <c r="G158" s="10" t="s">
        <v>73</v>
      </c>
      <c r="H158" s="10">
        <v>3.9E-2</v>
      </c>
      <c r="I158" s="10">
        <v>3.25</v>
      </c>
      <c r="J158" s="10">
        <v>2.75</v>
      </c>
      <c r="K158" s="10">
        <v>5.5</v>
      </c>
      <c r="L158" s="10">
        <v>7</v>
      </c>
      <c r="M158" s="10">
        <v>0</v>
      </c>
      <c r="N158" s="10">
        <v>1</v>
      </c>
      <c r="O158" s="13">
        <v>45901</v>
      </c>
      <c r="P158" s="10" t="s">
        <v>68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AB158" s="14">
        <f t="shared" si="3"/>
        <v>2.75</v>
      </c>
    </row>
    <row r="159" spans="1:28">
      <c r="A159" s="10">
        <v>576820</v>
      </c>
      <c r="B159" s="10" t="s">
        <v>464</v>
      </c>
      <c r="C159" s="10" t="s">
        <v>465</v>
      </c>
      <c r="D159" s="10" t="s">
        <v>136</v>
      </c>
      <c r="E159" s="10" t="s">
        <v>466</v>
      </c>
      <c r="F159" s="10">
        <v>1</v>
      </c>
      <c r="G159" s="10" t="s">
        <v>67</v>
      </c>
      <c r="H159" s="10">
        <v>2.1999999999999999E-2</v>
      </c>
      <c r="I159" s="10">
        <v>3.5</v>
      </c>
      <c r="J159" s="10">
        <v>2</v>
      </c>
      <c r="K159" s="10">
        <v>4.5</v>
      </c>
      <c r="L159" s="10">
        <v>0</v>
      </c>
      <c r="M159" s="10">
        <v>0</v>
      </c>
      <c r="N159" s="10">
        <v>1</v>
      </c>
      <c r="O159" s="13">
        <v>45566</v>
      </c>
      <c r="P159" s="10" t="s">
        <v>68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AB159" s="14">
        <f t="shared" si="3"/>
        <v>2</v>
      </c>
    </row>
    <row r="160" spans="1:28">
      <c r="A160" s="10">
        <v>578010</v>
      </c>
      <c r="B160" s="10" t="s">
        <v>467</v>
      </c>
      <c r="C160" s="10" t="s">
        <v>465</v>
      </c>
      <c r="D160" s="10" t="s">
        <v>136</v>
      </c>
      <c r="E160" s="10" t="s">
        <v>466</v>
      </c>
      <c r="F160" s="10">
        <v>1</v>
      </c>
      <c r="G160" s="10" t="s">
        <v>67</v>
      </c>
      <c r="H160" s="10">
        <v>2.1999999999999999E-2</v>
      </c>
      <c r="I160" s="10">
        <v>3.5</v>
      </c>
      <c r="J160" s="10">
        <v>2</v>
      </c>
      <c r="K160" s="10">
        <v>4.5</v>
      </c>
      <c r="L160" s="10">
        <v>0</v>
      </c>
      <c r="M160" s="10">
        <v>0</v>
      </c>
      <c r="N160" s="10">
        <v>1</v>
      </c>
      <c r="O160" s="13">
        <v>45566</v>
      </c>
      <c r="P160" s="10" t="s">
        <v>68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AB160" s="14">
        <f t="shared" si="3"/>
        <v>2</v>
      </c>
    </row>
    <row r="161" spans="1:28">
      <c r="A161" s="10">
        <v>720600</v>
      </c>
      <c r="B161" s="10" t="s">
        <v>468</v>
      </c>
      <c r="C161" s="10" t="s">
        <v>469</v>
      </c>
      <c r="D161" s="10" t="s">
        <v>132</v>
      </c>
      <c r="E161" s="10" t="s">
        <v>470</v>
      </c>
      <c r="F161" s="10">
        <v>1</v>
      </c>
      <c r="G161" s="10" t="s">
        <v>73</v>
      </c>
      <c r="H161" s="10">
        <v>2.4500000000000001E-2</v>
      </c>
      <c r="I161" s="10">
        <v>3</v>
      </c>
      <c r="J161" s="10">
        <v>2.75</v>
      </c>
      <c r="K161" s="10">
        <v>6</v>
      </c>
      <c r="L161" s="10">
        <v>0</v>
      </c>
      <c r="M161" s="10">
        <v>0</v>
      </c>
      <c r="N161" s="10">
        <v>0.5</v>
      </c>
      <c r="O161" s="13">
        <v>45899</v>
      </c>
      <c r="P161" s="10" t="s">
        <v>68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AB161" s="14">
        <f t="shared" si="3"/>
        <v>2.75</v>
      </c>
    </row>
    <row r="162" spans="1:28">
      <c r="A162" s="10">
        <v>721180</v>
      </c>
      <c r="B162" s="10" t="s">
        <v>471</v>
      </c>
      <c r="C162" s="10" t="s">
        <v>469</v>
      </c>
      <c r="D162" s="10" t="s">
        <v>132</v>
      </c>
      <c r="E162" s="10" t="s">
        <v>470</v>
      </c>
      <c r="F162" s="10">
        <v>1</v>
      </c>
      <c r="G162" s="10" t="s">
        <v>73</v>
      </c>
      <c r="H162" s="10">
        <v>1.4E-2</v>
      </c>
      <c r="I162" s="10">
        <v>2</v>
      </c>
      <c r="J162" s="15">
        <v>2</v>
      </c>
      <c r="K162" s="10">
        <v>3</v>
      </c>
      <c r="L162" s="10">
        <v>0</v>
      </c>
      <c r="M162" s="10">
        <v>0</v>
      </c>
      <c r="N162" s="10">
        <v>0</v>
      </c>
      <c r="O162" s="13">
        <v>45474</v>
      </c>
      <c r="P162" s="10" t="s">
        <v>68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AB162" s="14">
        <f t="shared" si="3"/>
        <v>2</v>
      </c>
    </row>
    <row r="163" spans="1:28">
      <c r="A163" s="10">
        <v>410020</v>
      </c>
      <c r="B163" s="10" t="s">
        <v>472</v>
      </c>
      <c r="C163" s="10" t="s">
        <v>473</v>
      </c>
      <c r="D163" s="10" t="s">
        <v>80</v>
      </c>
      <c r="E163" s="10" t="s">
        <v>474</v>
      </c>
      <c r="F163" s="10">
        <v>1</v>
      </c>
      <c r="G163" s="10" t="s">
        <v>73</v>
      </c>
      <c r="H163" s="10">
        <v>5.1799999999999999E-2</v>
      </c>
      <c r="I163" s="10">
        <v>2.35</v>
      </c>
      <c r="J163" s="10">
        <v>3.5</v>
      </c>
      <c r="K163" s="10">
        <v>9</v>
      </c>
      <c r="L163" s="10">
        <v>8</v>
      </c>
      <c r="M163" s="10">
        <v>3.05</v>
      </c>
      <c r="N163" s="10">
        <v>0</v>
      </c>
      <c r="O163" s="13">
        <v>45901</v>
      </c>
      <c r="P163" s="10" t="s">
        <v>82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AB163" s="14">
        <f t="shared" si="3"/>
        <v>3.5</v>
      </c>
    </row>
    <row r="164" spans="1:28">
      <c r="A164" s="10">
        <v>880533</v>
      </c>
      <c r="B164" s="10" t="s">
        <v>475</v>
      </c>
      <c r="C164" s="10" t="s">
        <v>476</v>
      </c>
      <c r="D164" s="10" t="s">
        <v>71</v>
      </c>
      <c r="E164" s="10" t="s">
        <v>477</v>
      </c>
      <c r="F164" s="10">
        <v>2</v>
      </c>
      <c r="G164" s="10" t="s">
        <v>73</v>
      </c>
      <c r="H164" s="10">
        <v>4.6699999999999998E-2</v>
      </c>
      <c r="I164" s="10">
        <v>4.75</v>
      </c>
      <c r="J164" s="10">
        <v>0.08</v>
      </c>
      <c r="K164" s="10">
        <v>5.45</v>
      </c>
      <c r="L164" s="10">
        <v>9.75</v>
      </c>
      <c r="M164" s="10">
        <v>0</v>
      </c>
      <c r="N164" s="10">
        <v>1</v>
      </c>
      <c r="O164" s="13">
        <v>45901</v>
      </c>
      <c r="P164" s="10" t="s">
        <v>68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2.5</v>
      </c>
      <c r="AB164" s="14">
        <f t="shared" si="3"/>
        <v>2.4</v>
      </c>
    </row>
    <row r="165" spans="1:28">
      <c r="A165" s="10">
        <v>886623</v>
      </c>
      <c r="B165" s="10" t="s">
        <v>478</v>
      </c>
      <c r="C165" s="10" t="s">
        <v>479</v>
      </c>
      <c r="D165" s="10" t="s">
        <v>71</v>
      </c>
      <c r="E165" s="10" t="s">
        <v>480</v>
      </c>
      <c r="F165" s="10">
        <v>3</v>
      </c>
      <c r="G165" s="10" t="s">
        <v>73</v>
      </c>
      <c r="H165" s="10">
        <v>3.3000000000000002E-2</v>
      </c>
      <c r="I165" s="10">
        <v>4.75</v>
      </c>
      <c r="J165" s="10">
        <v>4.25</v>
      </c>
      <c r="K165" s="10">
        <v>7.5</v>
      </c>
      <c r="L165" s="10">
        <v>0</v>
      </c>
      <c r="M165" s="10">
        <v>0</v>
      </c>
      <c r="N165" s="10">
        <v>0</v>
      </c>
      <c r="O165" s="13">
        <v>45901</v>
      </c>
      <c r="P165" s="10" t="s">
        <v>68</v>
      </c>
      <c r="S165" s="10">
        <v>6.5</v>
      </c>
      <c r="T165" s="10">
        <v>0</v>
      </c>
      <c r="U165" s="10">
        <v>0.5</v>
      </c>
      <c r="V165" s="10">
        <v>2.75</v>
      </c>
      <c r="W165" s="10">
        <v>5.25</v>
      </c>
      <c r="X165" s="10">
        <v>0</v>
      </c>
      <c r="Y165" s="10">
        <v>0</v>
      </c>
      <c r="AB165" s="14">
        <f t="shared" si="3"/>
        <v>4.25</v>
      </c>
    </row>
    <row r="166" spans="1:28">
      <c r="A166" s="10">
        <v>101020</v>
      </c>
      <c r="B166" s="10" t="s">
        <v>481</v>
      </c>
      <c r="C166" s="10" t="s">
        <v>482</v>
      </c>
      <c r="D166" s="10" t="s">
        <v>65</v>
      </c>
      <c r="E166" s="10" t="s">
        <v>227</v>
      </c>
      <c r="F166" s="10">
        <v>1</v>
      </c>
      <c r="G166" s="10" t="s">
        <v>73</v>
      </c>
      <c r="H166" s="10">
        <v>4.7199999999999999E-2</v>
      </c>
      <c r="I166" s="10">
        <v>7.6</v>
      </c>
      <c r="J166" s="10">
        <v>2.5</v>
      </c>
      <c r="K166" s="10">
        <v>6</v>
      </c>
      <c r="L166" s="10">
        <v>7.5</v>
      </c>
      <c r="M166" s="10">
        <v>0</v>
      </c>
      <c r="N166" s="10">
        <v>0</v>
      </c>
      <c r="O166" s="13">
        <v>45901</v>
      </c>
      <c r="P166" s="10" t="s">
        <v>68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AB166" s="14">
        <f t="shared" si="3"/>
        <v>2.5</v>
      </c>
    </row>
    <row r="167" spans="1:28">
      <c r="A167" s="10">
        <v>282101</v>
      </c>
      <c r="B167" s="10" t="s">
        <v>483</v>
      </c>
      <c r="C167" s="10" t="s">
        <v>484</v>
      </c>
      <c r="D167" s="10" t="s">
        <v>76</v>
      </c>
      <c r="E167" s="10" t="s">
        <v>485</v>
      </c>
      <c r="F167" s="10">
        <v>4</v>
      </c>
      <c r="G167" s="10" t="s">
        <v>73</v>
      </c>
      <c r="H167" s="10">
        <v>2.7E-2</v>
      </c>
      <c r="I167" s="10">
        <v>3.5</v>
      </c>
      <c r="J167" s="10">
        <v>3.5</v>
      </c>
      <c r="K167" s="10">
        <v>5.5</v>
      </c>
      <c r="L167" s="10">
        <v>0</v>
      </c>
      <c r="M167" s="10">
        <v>0</v>
      </c>
      <c r="N167" s="10">
        <v>1</v>
      </c>
      <c r="O167" s="13">
        <v>45828</v>
      </c>
      <c r="P167" s="10" t="s">
        <v>68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AB167" s="14">
        <f t="shared" si="3"/>
        <v>3.5</v>
      </c>
    </row>
    <row r="168" spans="1:28">
      <c r="A168" s="10">
        <v>882008</v>
      </c>
      <c r="B168" s="10" t="s">
        <v>486</v>
      </c>
      <c r="C168" s="10" t="s">
        <v>487</v>
      </c>
      <c r="D168" s="10" t="s">
        <v>71</v>
      </c>
      <c r="E168" s="10" t="s">
        <v>488</v>
      </c>
      <c r="F168" s="10">
        <v>2</v>
      </c>
      <c r="G168" s="10" t="s">
        <v>73</v>
      </c>
      <c r="H168" s="10">
        <v>4.7199999999999999E-2</v>
      </c>
      <c r="I168" s="10">
        <v>4.3499999999999996</v>
      </c>
      <c r="J168" s="10">
        <v>7.4999999999999997E-2</v>
      </c>
      <c r="K168" s="10">
        <v>5.75</v>
      </c>
      <c r="L168" s="10">
        <v>11.25</v>
      </c>
      <c r="M168" s="10">
        <v>0</v>
      </c>
      <c r="N168" s="10">
        <v>0</v>
      </c>
      <c r="O168" s="13">
        <v>45901</v>
      </c>
      <c r="P168" s="10" t="s">
        <v>82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2.25</v>
      </c>
      <c r="AB168" s="14">
        <f t="shared" si="3"/>
        <v>2.25</v>
      </c>
    </row>
    <row r="169" spans="1:28">
      <c r="A169" s="10">
        <v>385000</v>
      </c>
      <c r="B169" s="10" t="s">
        <v>83</v>
      </c>
      <c r="C169" s="10" t="s">
        <v>489</v>
      </c>
      <c r="D169" s="10" t="s">
        <v>205</v>
      </c>
      <c r="E169" s="10" t="s">
        <v>490</v>
      </c>
      <c r="F169" s="10">
        <v>2</v>
      </c>
      <c r="G169" s="10" t="s">
        <v>73</v>
      </c>
      <c r="H169" s="10">
        <v>5.0700000000000002E-2</v>
      </c>
      <c r="I169" s="10">
        <v>5.15</v>
      </c>
      <c r="J169" s="10">
        <v>6.5000000000000002E-2</v>
      </c>
      <c r="K169" s="10">
        <v>6.25</v>
      </c>
      <c r="L169" s="10">
        <v>12</v>
      </c>
      <c r="M169" s="10">
        <v>0</v>
      </c>
      <c r="N169" s="10">
        <v>0</v>
      </c>
      <c r="O169" s="13">
        <v>45870</v>
      </c>
      <c r="P169" s="10" t="s">
        <v>68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1.95</v>
      </c>
      <c r="AB169" s="14">
        <f t="shared" si="3"/>
        <v>1.9500000000000002</v>
      </c>
    </row>
    <row r="170" spans="1:28">
      <c r="A170" s="10">
        <v>884033</v>
      </c>
      <c r="B170" s="10" t="s">
        <v>491</v>
      </c>
      <c r="C170" s="10" t="s">
        <v>492</v>
      </c>
      <c r="D170" s="10" t="s">
        <v>71</v>
      </c>
      <c r="E170" s="10" t="s">
        <v>493</v>
      </c>
      <c r="F170" s="10">
        <v>2</v>
      </c>
      <c r="G170" s="10" t="s">
        <v>73</v>
      </c>
      <c r="H170" s="10">
        <v>4.65E-2</v>
      </c>
      <c r="I170" s="10">
        <v>4.0999999999999996</v>
      </c>
      <c r="J170" s="10">
        <v>0.08</v>
      </c>
      <c r="K170" s="10">
        <v>5</v>
      </c>
      <c r="L170" s="10">
        <v>11.25</v>
      </c>
      <c r="M170" s="10">
        <v>0</v>
      </c>
      <c r="N170" s="10">
        <v>0.5</v>
      </c>
      <c r="O170" s="13">
        <v>45901</v>
      </c>
      <c r="P170" s="10" t="s">
        <v>68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2.4</v>
      </c>
      <c r="AB170" s="14">
        <f t="shared" si="3"/>
        <v>2.4</v>
      </c>
    </row>
    <row r="171" spans="1:28">
      <c r="A171" s="10">
        <v>538013</v>
      </c>
      <c r="B171" s="10" t="s">
        <v>83</v>
      </c>
      <c r="C171" s="10" t="s">
        <v>494</v>
      </c>
      <c r="D171" s="10" t="s">
        <v>253</v>
      </c>
      <c r="E171" s="10" t="s">
        <v>495</v>
      </c>
      <c r="F171" s="10">
        <v>2</v>
      </c>
      <c r="G171" s="10" t="s">
        <v>73</v>
      </c>
      <c r="H171" s="10">
        <v>5.0700000000000002E-2</v>
      </c>
      <c r="I171" s="10">
        <v>5.15</v>
      </c>
      <c r="J171" s="10">
        <v>6.5000000000000002E-2</v>
      </c>
      <c r="K171" s="10">
        <v>6.25</v>
      </c>
      <c r="L171" s="10">
        <v>12</v>
      </c>
      <c r="M171" s="10">
        <v>0</v>
      </c>
      <c r="N171" s="10">
        <v>0</v>
      </c>
      <c r="O171" s="13">
        <v>45870</v>
      </c>
      <c r="P171" s="10" t="s">
        <v>68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1.95</v>
      </c>
      <c r="AB171" s="14">
        <f t="shared" si="3"/>
        <v>1.9500000000000002</v>
      </c>
    </row>
    <row r="172" spans="1:28">
      <c r="A172" s="10">
        <v>62306</v>
      </c>
      <c r="B172" s="10" t="s">
        <v>496</v>
      </c>
      <c r="C172" s="10" t="s">
        <v>497</v>
      </c>
      <c r="D172" s="10" t="s">
        <v>65</v>
      </c>
      <c r="E172" s="10" t="s">
        <v>498</v>
      </c>
      <c r="F172" s="10">
        <v>1</v>
      </c>
      <c r="G172" s="10" t="s">
        <v>67</v>
      </c>
      <c r="H172" s="10">
        <v>2.3400000000000001E-2</v>
      </c>
      <c r="I172" s="10">
        <v>3.45</v>
      </c>
      <c r="J172" s="10">
        <v>2.25</v>
      </c>
      <c r="K172" s="10">
        <v>5</v>
      </c>
      <c r="L172" s="10">
        <v>0</v>
      </c>
      <c r="M172" s="10">
        <v>0</v>
      </c>
      <c r="N172" s="10">
        <v>1</v>
      </c>
      <c r="O172" s="13">
        <v>45536</v>
      </c>
      <c r="P172" s="10" t="s">
        <v>68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AB172" s="14">
        <f t="shared" si="3"/>
        <v>2.25</v>
      </c>
    </row>
    <row r="173" spans="1:28">
      <c r="A173" s="10">
        <v>886506</v>
      </c>
      <c r="B173" s="10" t="s">
        <v>499</v>
      </c>
      <c r="C173" s="10" t="s">
        <v>500</v>
      </c>
      <c r="D173" s="10" t="s">
        <v>71</v>
      </c>
      <c r="E173" s="10" t="s">
        <v>501</v>
      </c>
      <c r="F173" s="10">
        <v>2</v>
      </c>
      <c r="G173" s="10" t="s">
        <v>73</v>
      </c>
      <c r="H173" s="10">
        <v>4.7199999999999999E-2</v>
      </c>
      <c r="I173" s="10">
        <v>4.3499999999999996</v>
      </c>
      <c r="J173" s="10">
        <v>7.4999999999999997E-2</v>
      </c>
      <c r="K173" s="10">
        <v>5.75</v>
      </c>
      <c r="L173" s="10">
        <v>11.25</v>
      </c>
      <c r="M173" s="10">
        <v>0</v>
      </c>
      <c r="N173" s="10">
        <v>0</v>
      </c>
      <c r="O173" s="13">
        <v>45901</v>
      </c>
      <c r="P173" s="10" t="s">
        <v>82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2.25</v>
      </c>
      <c r="AB173" s="14">
        <f t="shared" si="3"/>
        <v>2.25</v>
      </c>
    </row>
    <row r="174" spans="1:28">
      <c r="A174" s="10">
        <v>886509</v>
      </c>
      <c r="B174" s="10" t="s">
        <v>502</v>
      </c>
      <c r="C174" s="10" t="s">
        <v>500</v>
      </c>
      <c r="D174" s="10" t="s">
        <v>71</v>
      </c>
      <c r="E174" s="10" t="s">
        <v>501</v>
      </c>
      <c r="F174" s="10">
        <v>2</v>
      </c>
      <c r="G174" s="10" t="s">
        <v>73</v>
      </c>
      <c r="H174" s="10">
        <v>4.7199999999999999E-2</v>
      </c>
      <c r="I174" s="10">
        <v>4.3499999999999996</v>
      </c>
      <c r="J174" s="10">
        <v>7.4999999999999997E-2</v>
      </c>
      <c r="K174" s="10">
        <v>5.75</v>
      </c>
      <c r="L174" s="10">
        <v>11.25</v>
      </c>
      <c r="M174" s="10">
        <v>0</v>
      </c>
      <c r="N174" s="10">
        <v>0</v>
      </c>
      <c r="O174" s="13">
        <v>45901</v>
      </c>
      <c r="P174" s="10" t="s">
        <v>82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2.25</v>
      </c>
      <c r="AB174" s="14">
        <f t="shared" si="3"/>
        <v>2.25</v>
      </c>
    </row>
    <row r="175" spans="1:28">
      <c r="A175" s="10">
        <v>886512</v>
      </c>
      <c r="B175" s="10" t="s">
        <v>503</v>
      </c>
      <c r="C175" s="10" t="s">
        <v>500</v>
      </c>
      <c r="D175" s="10" t="s">
        <v>71</v>
      </c>
      <c r="E175" s="10" t="s">
        <v>501</v>
      </c>
      <c r="F175" s="10">
        <v>2</v>
      </c>
      <c r="G175" s="10" t="s">
        <v>73</v>
      </c>
      <c r="H175" s="10">
        <v>4.7199999999999999E-2</v>
      </c>
      <c r="I175" s="10">
        <v>4.3499999999999996</v>
      </c>
      <c r="J175" s="10">
        <v>7.4999999999999997E-2</v>
      </c>
      <c r="K175" s="10">
        <v>5.75</v>
      </c>
      <c r="L175" s="10">
        <v>11.25</v>
      </c>
      <c r="M175" s="10">
        <v>0</v>
      </c>
      <c r="N175" s="10">
        <v>0</v>
      </c>
      <c r="O175" s="13">
        <v>45901</v>
      </c>
      <c r="P175" s="10" t="s">
        <v>82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2.25</v>
      </c>
      <c r="AB175" s="14">
        <f t="shared" si="3"/>
        <v>2.25</v>
      </c>
    </row>
    <row r="176" spans="1:28">
      <c r="A176" s="10">
        <v>886517</v>
      </c>
      <c r="B176" s="10" t="s">
        <v>504</v>
      </c>
      <c r="C176" s="10" t="s">
        <v>500</v>
      </c>
      <c r="D176" s="10" t="s">
        <v>71</v>
      </c>
      <c r="E176" s="10" t="s">
        <v>501</v>
      </c>
      <c r="F176" s="10">
        <v>2</v>
      </c>
      <c r="G176" s="10" t="s">
        <v>73</v>
      </c>
      <c r="H176" s="10">
        <v>4.7199999999999999E-2</v>
      </c>
      <c r="I176" s="10">
        <v>4.3499999999999996</v>
      </c>
      <c r="J176" s="10">
        <v>7.4999999999999997E-2</v>
      </c>
      <c r="K176" s="10">
        <v>5.75</v>
      </c>
      <c r="L176" s="10">
        <v>11.25</v>
      </c>
      <c r="M176" s="10">
        <v>0</v>
      </c>
      <c r="N176" s="10">
        <v>0</v>
      </c>
      <c r="O176" s="13">
        <v>45901</v>
      </c>
      <c r="P176" s="10" t="s">
        <v>82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2.25</v>
      </c>
      <c r="AB176" s="14">
        <f t="shared" si="3"/>
        <v>2.25</v>
      </c>
    </row>
    <row r="177" spans="1:28">
      <c r="A177" s="10">
        <v>886520</v>
      </c>
      <c r="B177" s="10" t="s">
        <v>505</v>
      </c>
      <c r="C177" s="10" t="s">
        <v>500</v>
      </c>
      <c r="D177" s="10" t="s">
        <v>71</v>
      </c>
      <c r="E177" s="10" t="s">
        <v>501</v>
      </c>
      <c r="F177" s="10">
        <v>2</v>
      </c>
      <c r="G177" s="10" t="s">
        <v>73</v>
      </c>
      <c r="H177" s="10">
        <v>4.7199999999999999E-2</v>
      </c>
      <c r="I177" s="10">
        <v>4.3499999999999996</v>
      </c>
      <c r="J177" s="10">
        <v>7.4999999999999997E-2</v>
      </c>
      <c r="K177" s="10">
        <v>5.75</v>
      </c>
      <c r="L177" s="10">
        <v>11.25</v>
      </c>
      <c r="M177" s="10">
        <v>0</v>
      </c>
      <c r="N177" s="10">
        <v>0</v>
      </c>
      <c r="O177" s="13">
        <v>45901</v>
      </c>
      <c r="P177" s="10" t="s">
        <v>82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2.25</v>
      </c>
      <c r="AB177" s="14">
        <f t="shared" si="3"/>
        <v>2.25</v>
      </c>
    </row>
    <row r="178" spans="1:28">
      <c r="A178" s="10">
        <v>886533</v>
      </c>
      <c r="B178" s="10" t="s">
        <v>506</v>
      </c>
      <c r="C178" s="10" t="s">
        <v>500</v>
      </c>
      <c r="D178" s="10" t="s">
        <v>71</v>
      </c>
      <c r="E178" s="10" t="s">
        <v>501</v>
      </c>
      <c r="F178" s="10">
        <v>2</v>
      </c>
      <c r="G178" s="10" t="s">
        <v>73</v>
      </c>
      <c r="H178" s="10">
        <v>4.6699999999999998E-2</v>
      </c>
      <c r="I178" s="10">
        <v>4.75</v>
      </c>
      <c r="J178" s="10">
        <v>0.08</v>
      </c>
      <c r="K178" s="10">
        <v>5.45</v>
      </c>
      <c r="L178" s="10">
        <v>9.75</v>
      </c>
      <c r="M178" s="10">
        <v>0</v>
      </c>
      <c r="N178" s="10">
        <v>1</v>
      </c>
      <c r="O178" s="13">
        <v>45901</v>
      </c>
      <c r="P178" s="10" t="s">
        <v>82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2.5</v>
      </c>
      <c r="AB178" s="14">
        <f t="shared" si="3"/>
        <v>2.4</v>
      </c>
    </row>
    <row r="179" spans="1:28">
      <c r="A179" s="10">
        <v>886570</v>
      </c>
      <c r="B179" s="10" t="s">
        <v>507</v>
      </c>
      <c r="C179" s="10" t="s">
        <v>500</v>
      </c>
      <c r="D179" s="10" t="s">
        <v>71</v>
      </c>
      <c r="E179" s="10" t="s">
        <v>501</v>
      </c>
      <c r="F179" s="10">
        <v>2</v>
      </c>
      <c r="G179" s="10" t="s">
        <v>73</v>
      </c>
      <c r="H179" s="10">
        <v>4.65E-2</v>
      </c>
      <c r="I179" s="10">
        <v>4.0999999999999996</v>
      </c>
      <c r="J179" s="10">
        <v>0.08</v>
      </c>
      <c r="K179" s="10">
        <v>5</v>
      </c>
      <c r="L179" s="10">
        <v>11.25</v>
      </c>
      <c r="M179" s="10">
        <v>0</v>
      </c>
      <c r="N179" s="10">
        <v>0.5</v>
      </c>
      <c r="O179" s="13">
        <v>45901</v>
      </c>
      <c r="P179" s="10" t="s">
        <v>68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2.25</v>
      </c>
      <c r="AB179" s="14">
        <f t="shared" si="3"/>
        <v>2.4</v>
      </c>
    </row>
    <row r="180" spans="1:28">
      <c r="A180" s="10">
        <v>582003</v>
      </c>
      <c r="B180" s="10" t="s">
        <v>195</v>
      </c>
      <c r="C180" s="10" t="s">
        <v>508</v>
      </c>
      <c r="D180" s="10" t="s">
        <v>136</v>
      </c>
      <c r="E180" s="10" t="s">
        <v>509</v>
      </c>
      <c r="F180" s="10">
        <v>1</v>
      </c>
      <c r="G180" s="10" t="s">
        <v>73</v>
      </c>
      <c r="H180" s="10">
        <v>2.1499999999999998E-2</v>
      </c>
      <c r="I180" s="10">
        <v>3.75</v>
      </c>
      <c r="J180" s="10">
        <v>2.5</v>
      </c>
      <c r="K180" s="10">
        <v>4.25</v>
      </c>
      <c r="L180" s="10">
        <v>0</v>
      </c>
      <c r="M180" s="10">
        <v>0</v>
      </c>
      <c r="N180" s="10">
        <v>0.25</v>
      </c>
      <c r="O180" s="13">
        <v>45870</v>
      </c>
      <c r="P180" s="10" t="s">
        <v>68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AB180" s="14">
        <f t="shared" si="3"/>
        <v>2.5</v>
      </c>
    </row>
    <row r="181" spans="1:28">
      <c r="A181" s="10">
        <v>304553</v>
      </c>
      <c r="B181" s="10" t="s">
        <v>510</v>
      </c>
      <c r="C181" s="10" t="s">
        <v>511</v>
      </c>
      <c r="D181" s="10" t="s">
        <v>76</v>
      </c>
      <c r="E181" s="10" t="s">
        <v>248</v>
      </c>
      <c r="F181" s="10">
        <v>4</v>
      </c>
      <c r="G181" s="10" t="s">
        <v>73</v>
      </c>
      <c r="H181" s="10">
        <v>2.1999999999999999E-2</v>
      </c>
      <c r="I181" s="10">
        <v>3.5</v>
      </c>
      <c r="J181" s="10">
        <v>2.25</v>
      </c>
      <c r="K181" s="10">
        <v>5.25</v>
      </c>
      <c r="L181" s="10">
        <v>0</v>
      </c>
      <c r="M181" s="10">
        <v>0</v>
      </c>
      <c r="N181" s="10">
        <v>0</v>
      </c>
      <c r="O181" s="13">
        <v>45778</v>
      </c>
      <c r="P181" s="10" t="s">
        <v>68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AB181" s="14">
        <f t="shared" si="3"/>
        <v>2.25</v>
      </c>
    </row>
    <row r="182" spans="1:28">
      <c r="A182" s="10">
        <v>517813</v>
      </c>
      <c r="B182" s="10" t="s">
        <v>512</v>
      </c>
      <c r="C182" s="10" t="s">
        <v>513</v>
      </c>
      <c r="D182" s="10" t="s">
        <v>190</v>
      </c>
      <c r="E182" s="10" t="s">
        <v>514</v>
      </c>
      <c r="F182" s="10">
        <v>1</v>
      </c>
      <c r="G182" s="10" t="s">
        <v>73</v>
      </c>
      <c r="H182" s="10">
        <v>4.5999999999999999E-2</v>
      </c>
      <c r="I182" s="10">
        <v>0</v>
      </c>
      <c r="J182" s="10">
        <v>3.25</v>
      </c>
      <c r="K182" s="10">
        <v>19.75</v>
      </c>
      <c r="L182" s="10">
        <v>0</v>
      </c>
      <c r="M182" s="10">
        <v>0</v>
      </c>
      <c r="N182" s="10">
        <v>0</v>
      </c>
      <c r="O182" s="13">
        <v>45901</v>
      </c>
      <c r="P182" s="10" t="s">
        <v>68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AB182" s="14">
        <f t="shared" si="3"/>
        <v>3.25</v>
      </c>
    </row>
    <row r="183" spans="1:28">
      <c r="A183" s="10">
        <v>517814</v>
      </c>
      <c r="B183" s="10" t="s">
        <v>515</v>
      </c>
      <c r="C183" s="10" t="s">
        <v>513</v>
      </c>
      <c r="D183" s="10" t="s">
        <v>190</v>
      </c>
      <c r="E183" s="10" t="s">
        <v>514</v>
      </c>
      <c r="F183" s="10">
        <v>1</v>
      </c>
      <c r="G183" s="10" t="s">
        <v>73</v>
      </c>
      <c r="H183" s="10">
        <v>4.9200000000000001E-2</v>
      </c>
      <c r="I183" s="10">
        <v>1.6</v>
      </c>
      <c r="J183" s="10">
        <v>3.25</v>
      </c>
      <c r="K183" s="10">
        <v>11.25</v>
      </c>
      <c r="L183" s="10">
        <v>8</v>
      </c>
      <c r="M183" s="10">
        <v>0</v>
      </c>
      <c r="N183" s="10">
        <v>0.5</v>
      </c>
      <c r="O183" s="13">
        <v>45901</v>
      </c>
      <c r="P183" s="10" t="s">
        <v>68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AB183" s="14">
        <f t="shared" si="3"/>
        <v>3.25</v>
      </c>
    </row>
    <row r="184" spans="1:28">
      <c r="A184" s="10">
        <v>152705</v>
      </c>
      <c r="B184" s="10" t="s">
        <v>516</v>
      </c>
      <c r="C184" s="10" t="s">
        <v>517</v>
      </c>
      <c r="D184" s="10" t="s">
        <v>149</v>
      </c>
      <c r="E184" s="10" t="s">
        <v>150</v>
      </c>
      <c r="F184" s="10">
        <v>1</v>
      </c>
      <c r="G184" s="10" t="s">
        <v>73</v>
      </c>
      <c r="H184" s="10">
        <v>4.9000000000000002E-2</v>
      </c>
      <c r="I184" s="10">
        <v>1</v>
      </c>
      <c r="J184" s="10">
        <v>3.5</v>
      </c>
      <c r="K184" s="10">
        <v>19.5</v>
      </c>
      <c r="L184" s="10">
        <v>0</v>
      </c>
      <c r="M184" s="10">
        <v>0</v>
      </c>
      <c r="N184" s="10">
        <v>0.5</v>
      </c>
      <c r="O184" s="13">
        <v>45901</v>
      </c>
      <c r="P184" s="10" t="s">
        <v>68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AB184" s="14">
        <f t="shared" si="3"/>
        <v>3.5</v>
      </c>
    </row>
    <row r="185" spans="1:28">
      <c r="A185" s="10">
        <v>729020</v>
      </c>
      <c r="B185" s="10" t="s">
        <v>518</v>
      </c>
      <c r="C185" s="10" t="s">
        <v>519</v>
      </c>
      <c r="D185" s="10" t="s">
        <v>132</v>
      </c>
      <c r="E185" s="10" t="s">
        <v>520</v>
      </c>
      <c r="F185" s="10">
        <v>1</v>
      </c>
      <c r="G185" s="10" t="s">
        <v>67</v>
      </c>
      <c r="H185" s="10">
        <v>2.4899999999999999E-2</v>
      </c>
      <c r="I185" s="10">
        <v>3.9</v>
      </c>
      <c r="J185" s="10">
        <v>2.95</v>
      </c>
      <c r="K185" s="10">
        <v>4.3499999999999996</v>
      </c>
      <c r="L185" s="10">
        <v>0</v>
      </c>
      <c r="M185" s="10">
        <v>0</v>
      </c>
      <c r="N185" s="10">
        <v>1.25</v>
      </c>
      <c r="O185" s="13">
        <v>45536</v>
      </c>
      <c r="P185" s="10" t="s">
        <v>68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AB185" s="14">
        <f t="shared" si="3"/>
        <v>2.95</v>
      </c>
    </row>
    <row r="186" spans="1:28">
      <c r="A186" s="10">
        <v>153005</v>
      </c>
      <c r="B186" s="10" t="s">
        <v>521</v>
      </c>
      <c r="C186" s="10" t="s">
        <v>522</v>
      </c>
      <c r="D186" s="10" t="s">
        <v>149</v>
      </c>
      <c r="E186" s="10" t="s">
        <v>143</v>
      </c>
      <c r="F186" s="10">
        <v>1</v>
      </c>
      <c r="G186" s="10" t="s">
        <v>73</v>
      </c>
      <c r="H186" s="10">
        <v>5.3100000000000001E-2</v>
      </c>
      <c r="I186" s="10">
        <v>1.75</v>
      </c>
      <c r="J186" s="10">
        <v>3.5</v>
      </c>
      <c r="K186" s="10">
        <v>18.25</v>
      </c>
      <c r="L186" s="10">
        <v>0</v>
      </c>
      <c r="M186" s="10">
        <v>3.05</v>
      </c>
      <c r="N186" s="10">
        <v>0</v>
      </c>
      <c r="O186" s="13">
        <v>45901</v>
      </c>
      <c r="P186" s="10" t="s">
        <v>82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AB186" s="14">
        <f t="shared" si="3"/>
        <v>3.5</v>
      </c>
    </row>
    <row r="187" spans="1:28">
      <c r="A187" s="10">
        <v>156006</v>
      </c>
      <c r="B187" s="10" t="s">
        <v>523</v>
      </c>
      <c r="C187" s="10" t="s">
        <v>522</v>
      </c>
      <c r="D187" s="10" t="s">
        <v>149</v>
      </c>
      <c r="E187" s="10" t="s">
        <v>143</v>
      </c>
      <c r="F187" s="10">
        <v>1</v>
      </c>
      <c r="G187" s="10" t="s">
        <v>73</v>
      </c>
      <c r="H187" s="10">
        <v>5.3100000000000001E-2</v>
      </c>
      <c r="I187" s="10">
        <v>1.75</v>
      </c>
      <c r="J187" s="10">
        <v>3.5</v>
      </c>
      <c r="K187" s="10">
        <v>18.25</v>
      </c>
      <c r="L187" s="10">
        <v>0</v>
      </c>
      <c r="M187" s="10">
        <v>3.05</v>
      </c>
      <c r="N187" s="10">
        <v>0</v>
      </c>
      <c r="O187" s="13">
        <v>45901</v>
      </c>
      <c r="P187" s="10" t="s">
        <v>68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AB187" s="14">
        <f t="shared" si="3"/>
        <v>3.5</v>
      </c>
    </row>
    <row r="188" spans="1:28">
      <c r="A188" s="10">
        <v>794205</v>
      </c>
      <c r="B188" s="10" t="s">
        <v>524</v>
      </c>
      <c r="C188" s="10" t="s">
        <v>525</v>
      </c>
      <c r="D188" s="10" t="s">
        <v>168</v>
      </c>
      <c r="E188" s="10" t="s">
        <v>526</v>
      </c>
      <c r="F188" s="10">
        <v>1</v>
      </c>
      <c r="G188" s="10" t="s">
        <v>73</v>
      </c>
      <c r="H188" s="10">
        <v>4.1099999999999998E-2</v>
      </c>
      <c r="I188" s="10">
        <v>0</v>
      </c>
      <c r="J188" s="10">
        <v>3.75</v>
      </c>
      <c r="K188" s="10">
        <v>13.75</v>
      </c>
      <c r="L188" s="10">
        <v>0</v>
      </c>
      <c r="M188" s="10">
        <v>3.05</v>
      </c>
      <c r="N188" s="10">
        <v>0</v>
      </c>
      <c r="O188" s="13">
        <v>45901</v>
      </c>
      <c r="P188" s="10" t="s">
        <v>68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AB188" s="14">
        <f t="shared" si="3"/>
        <v>3.75</v>
      </c>
    </row>
    <row r="189" spans="1:28">
      <c r="A189" s="10">
        <v>63010</v>
      </c>
      <c r="B189" s="10" t="s">
        <v>527</v>
      </c>
      <c r="C189" s="10" t="s">
        <v>528</v>
      </c>
      <c r="D189" s="10" t="s">
        <v>65</v>
      </c>
      <c r="E189" s="10" t="s">
        <v>529</v>
      </c>
      <c r="F189" s="10">
        <v>1</v>
      </c>
      <c r="G189" s="10" t="s">
        <v>67</v>
      </c>
      <c r="H189" s="10">
        <v>2.3E-2</v>
      </c>
      <c r="I189" s="10">
        <v>3.75</v>
      </c>
      <c r="J189" s="10">
        <v>2.75</v>
      </c>
      <c r="K189" s="10">
        <v>5</v>
      </c>
      <c r="L189" s="10">
        <v>0</v>
      </c>
      <c r="M189" s="10">
        <v>0</v>
      </c>
      <c r="N189" s="10">
        <v>0</v>
      </c>
      <c r="O189" s="13">
        <v>45505</v>
      </c>
      <c r="P189" s="10" t="s">
        <v>82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AB189" s="14">
        <f t="shared" si="3"/>
        <v>2.75</v>
      </c>
    </row>
    <row r="190" spans="1:28">
      <c r="A190" s="10">
        <v>178580</v>
      </c>
      <c r="B190" s="10" t="s">
        <v>530</v>
      </c>
      <c r="C190" s="10" t="s">
        <v>531</v>
      </c>
      <c r="D190" s="10" t="s">
        <v>108</v>
      </c>
      <c r="E190" s="10" t="s">
        <v>109</v>
      </c>
      <c r="F190" s="10">
        <v>5</v>
      </c>
      <c r="G190" s="10" t="s">
        <v>73</v>
      </c>
      <c r="H190" s="10">
        <v>2.9600000000000001E-2</v>
      </c>
      <c r="I190" s="10">
        <v>0</v>
      </c>
      <c r="J190" s="10">
        <v>0.16</v>
      </c>
      <c r="K190" s="10">
        <v>9.5</v>
      </c>
      <c r="L190" s="10">
        <v>0</v>
      </c>
      <c r="M190" s="10">
        <v>0</v>
      </c>
      <c r="N190" s="10">
        <v>0.5</v>
      </c>
      <c r="O190" s="13">
        <v>45901</v>
      </c>
      <c r="P190" s="10" t="s">
        <v>68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AB190" s="14">
        <f t="shared" si="3"/>
        <v>4.8</v>
      </c>
    </row>
    <row r="191" spans="1:28">
      <c r="A191" s="10">
        <v>151005</v>
      </c>
      <c r="B191" s="10" t="s">
        <v>532</v>
      </c>
      <c r="C191" s="10" t="s">
        <v>533</v>
      </c>
      <c r="D191" s="10" t="s">
        <v>149</v>
      </c>
      <c r="E191" s="10" t="s">
        <v>292</v>
      </c>
      <c r="F191" s="10">
        <v>1</v>
      </c>
      <c r="G191" s="10" t="s">
        <v>73</v>
      </c>
      <c r="H191" s="10">
        <v>5.5500000000000001E-2</v>
      </c>
      <c r="I191" s="10">
        <v>2.7</v>
      </c>
      <c r="J191" s="10">
        <v>3.25</v>
      </c>
      <c r="K191" s="10">
        <v>18.25</v>
      </c>
      <c r="L191" s="10">
        <v>0</v>
      </c>
      <c r="M191" s="10">
        <v>3.05</v>
      </c>
      <c r="N191" s="10">
        <v>0.5</v>
      </c>
      <c r="O191" s="13">
        <v>45901</v>
      </c>
      <c r="P191" s="10" t="s">
        <v>82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AB191" s="14">
        <f t="shared" si="3"/>
        <v>3.25</v>
      </c>
    </row>
    <row r="192" spans="1:28">
      <c r="A192" s="10">
        <v>297005</v>
      </c>
      <c r="B192" s="10" t="s">
        <v>534</v>
      </c>
      <c r="C192" s="10" t="s">
        <v>535</v>
      </c>
      <c r="D192" s="10" t="s">
        <v>76</v>
      </c>
      <c r="E192" s="10" t="s">
        <v>156</v>
      </c>
      <c r="F192" s="10">
        <v>4</v>
      </c>
      <c r="G192" s="10" t="s">
        <v>73</v>
      </c>
      <c r="H192" s="10">
        <v>2.4E-2</v>
      </c>
      <c r="I192" s="10">
        <v>3</v>
      </c>
      <c r="J192" s="10">
        <v>3</v>
      </c>
      <c r="K192" s="10">
        <v>5</v>
      </c>
      <c r="L192" s="10">
        <v>0</v>
      </c>
      <c r="M192" s="10">
        <v>0</v>
      </c>
      <c r="N192" s="10">
        <v>1</v>
      </c>
      <c r="O192" s="13">
        <v>45901</v>
      </c>
      <c r="P192" s="10" t="s">
        <v>68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AB192" s="14">
        <f t="shared" si="3"/>
        <v>3</v>
      </c>
    </row>
    <row r="193" spans="1:28">
      <c r="A193" s="10">
        <v>793960</v>
      </c>
      <c r="B193" s="10" t="s">
        <v>536</v>
      </c>
      <c r="C193" s="10" t="s">
        <v>537</v>
      </c>
      <c r="D193" s="10" t="s">
        <v>168</v>
      </c>
      <c r="E193" s="10" t="s">
        <v>538</v>
      </c>
      <c r="F193" s="10">
        <v>1</v>
      </c>
      <c r="G193" s="10" t="s">
        <v>67</v>
      </c>
      <c r="H193" s="10">
        <v>2.35E-2</v>
      </c>
      <c r="I193" s="10">
        <v>2.25</v>
      </c>
      <c r="J193" s="10">
        <v>4</v>
      </c>
      <c r="K193" s="10">
        <v>5.5</v>
      </c>
      <c r="L193" s="10">
        <v>0</v>
      </c>
      <c r="M193" s="10">
        <v>0</v>
      </c>
      <c r="N193" s="10">
        <v>0</v>
      </c>
      <c r="O193" s="13">
        <v>45536</v>
      </c>
      <c r="P193" s="10" t="s">
        <v>68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AB193" s="14">
        <f t="shared" si="3"/>
        <v>4</v>
      </c>
    </row>
    <row r="194" spans="1:28">
      <c r="A194" s="10">
        <v>793961</v>
      </c>
      <c r="B194" s="10" t="s">
        <v>539</v>
      </c>
      <c r="C194" s="10" t="s">
        <v>537</v>
      </c>
      <c r="D194" s="10" t="s">
        <v>168</v>
      </c>
      <c r="E194" s="10" t="s">
        <v>538</v>
      </c>
      <c r="F194" s="10">
        <v>1</v>
      </c>
      <c r="G194" s="10" t="s">
        <v>67</v>
      </c>
      <c r="H194" s="10">
        <v>6.3399999999999998E-2</v>
      </c>
      <c r="I194" s="10">
        <v>2.4500000000000002</v>
      </c>
      <c r="J194" s="10">
        <v>4</v>
      </c>
      <c r="K194" s="10">
        <v>13.75</v>
      </c>
      <c r="L194" s="10">
        <v>8</v>
      </c>
      <c r="M194" s="10">
        <v>3</v>
      </c>
      <c r="N194" s="10">
        <v>0.5</v>
      </c>
      <c r="O194" s="13">
        <v>45536</v>
      </c>
      <c r="P194" s="10" t="s">
        <v>68</v>
      </c>
      <c r="S194" s="10">
        <v>13.75</v>
      </c>
      <c r="T194" s="10">
        <v>0</v>
      </c>
      <c r="U194" s="10">
        <v>0.5</v>
      </c>
      <c r="V194" s="10">
        <v>2.4500000000000002</v>
      </c>
      <c r="W194" s="10">
        <v>4.5</v>
      </c>
      <c r="X194" s="10">
        <v>0</v>
      </c>
      <c r="Y194" s="10">
        <v>0</v>
      </c>
      <c r="AB194" s="14">
        <f t="shared" si="3"/>
        <v>4</v>
      </c>
    </row>
    <row r="195" spans="1:28">
      <c r="A195" s="10">
        <v>793962</v>
      </c>
      <c r="B195" s="10" t="s">
        <v>540</v>
      </c>
      <c r="C195" s="10" t="s">
        <v>537</v>
      </c>
      <c r="D195" s="10" t="s">
        <v>168</v>
      </c>
      <c r="E195" s="10" t="s">
        <v>541</v>
      </c>
      <c r="F195" s="10">
        <v>1</v>
      </c>
      <c r="G195" s="10" t="s">
        <v>67</v>
      </c>
      <c r="H195" s="10">
        <v>6.3399999999999998E-2</v>
      </c>
      <c r="I195" s="10">
        <v>2.4500000000000002</v>
      </c>
      <c r="J195" s="10">
        <v>4</v>
      </c>
      <c r="K195" s="10">
        <v>13.75</v>
      </c>
      <c r="L195" s="10">
        <v>8</v>
      </c>
      <c r="M195" s="10">
        <v>3</v>
      </c>
      <c r="N195" s="10">
        <v>0.5</v>
      </c>
      <c r="O195" s="13">
        <v>45536</v>
      </c>
      <c r="P195" s="10" t="s">
        <v>68</v>
      </c>
      <c r="S195" s="10">
        <v>13.75</v>
      </c>
      <c r="T195" s="10">
        <v>0</v>
      </c>
      <c r="U195" s="10">
        <v>0.5</v>
      </c>
      <c r="V195" s="10">
        <v>2.4500000000000002</v>
      </c>
      <c r="W195" s="10">
        <v>4.5</v>
      </c>
      <c r="X195" s="10">
        <v>0</v>
      </c>
      <c r="Y195" s="10">
        <v>0</v>
      </c>
      <c r="AB195" s="14">
        <f t="shared" si="3"/>
        <v>4</v>
      </c>
    </row>
    <row r="196" spans="1:28">
      <c r="A196" s="10">
        <v>794505</v>
      </c>
      <c r="B196" s="10" t="s">
        <v>542</v>
      </c>
      <c r="C196" s="10" t="s">
        <v>537</v>
      </c>
      <c r="D196" s="10" t="s">
        <v>168</v>
      </c>
      <c r="E196" s="10" t="s">
        <v>538</v>
      </c>
      <c r="F196" s="10">
        <v>1</v>
      </c>
      <c r="G196" s="10" t="s">
        <v>67</v>
      </c>
      <c r="H196" s="10">
        <v>4.7399999999999998E-2</v>
      </c>
      <c r="I196" s="10">
        <v>2.25</v>
      </c>
      <c r="J196" s="10">
        <v>4.2</v>
      </c>
      <c r="K196" s="10">
        <v>14.25</v>
      </c>
      <c r="L196" s="10">
        <v>0</v>
      </c>
      <c r="M196" s="10">
        <v>3</v>
      </c>
      <c r="N196" s="10">
        <v>0</v>
      </c>
      <c r="O196" s="13">
        <v>45505</v>
      </c>
      <c r="P196" s="10" t="s">
        <v>82</v>
      </c>
      <c r="Q196" s="10" t="s">
        <v>543</v>
      </c>
      <c r="R196" s="16">
        <v>129000</v>
      </c>
      <c r="S196" s="10">
        <v>6.25</v>
      </c>
      <c r="T196" s="10">
        <v>0</v>
      </c>
      <c r="U196" s="10">
        <v>0.5</v>
      </c>
      <c r="V196" s="10">
        <v>2.25</v>
      </c>
      <c r="W196" s="10">
        <v>4.2</v>
      </c>
      <c r="X196" s="10">
        <v>0</v>
      </c>
      <c r="Y196" s="10">
        <v>0</v>
      </c>
      <c r="AB196" s="14">
        <f t="shared" si="3"/>
        <v>4.2</v>
      </c>
    </row>
    <row r="197" spans="1:28">
      <c r="A197" s="10">
        <v>794540</v>
      </c>
      <c r="B197" s="10" t="s">
        <v>544</v>
      </c>
      <c r="C197" s="10" t="s">
        <v>537</v>
      </c>
      <c r="D197" s="10" t="s">
        <v>168</v>
      </c>
      <c r="E197" s="10" t="s">
        <v>538</v>
      </c>
      <c r="F197" s="10">
        <v>1</v>
      </c>
      <c r="G197" s="10" t="s">
        <v>73</v>
      </c>
      <c r="H197" s="10">
        <v>5.21E-2</v>
      </c>
      <c r="I197" s="10">
        <v>2.75</v>
      </c>
      <c r="J197" s="10">
        <v>3.75</v>
      </c>
      <c r="K197" s="10">
        <v>16</v>
      </c>
      <c r="L197" s="10">
        <v>0</v>
      </c>
      <c r="M197" s="10">
        <v>3.05</v>
      </c>
      <c r="N197" s="10">
        <v>0.5</v>
      </c>
      <c r="O197" s="13">
        <v>45901</v>
      </c>
      <c r="P197" s="10" t="s">
        <v>82</v>
      </c>
      <c r="Q197" s="10" t="s">
        <v>545</v>
      </c>
      <c r="R197" s="16">
        <v>130000</v>
      </c>
      <c r="S197" s="10">
        <v>4.5</v>
      </c>
      <c r="T197" s="10">
        <v>0</v>
      </c>
      <c r="U197" s="10">
        <v>0.5</v>
      </c>
      <c r="V197" s="10">
        <v>2.5</v>
      </c>
      <c r="W197" s="10">
        <v>4.75</v>
      </c>
      <c r="X197" s="10">
        <v>0</v>
      </c>
      <c r="Y197" s="10">
        <v>0</v>
      </c>
      <c r="AB197" s="14">
        <f t="shared" si="3"/>
        <v>3.75</v>
      </c>
    </row>
    <row r="198" spans="1:28">
      <c r="A198" s="10">
        <v>794550</v>
      </c>
      <c r="B198" s="10" t="s">
        <v>546</v>
      </c>
      <c r="C198" s="10" t="s">
        <v>537</v>
      </c>
      <c r="D198" s="10" t="s">
        <v>168</v>
      </c>
      <c r="E198" s="10" t="s">
        <v>538</v>
      </c>
      <c r="F198" s="10">
        <v>1</v>
      </c>
      <c r="G198" s="10" t="s">
        <v>73</v>
      </c>
      <c r="H198" s="10">
        <v>5.21E-2</v>
      </c>
      <c r="I198" s="10">
        <v>2.75</v>
      </c>
      <c r="J198" s="10">
        <v>3.75</v>
      </c>
      <c r="K198" s="10">
        <v>16</v>
      </c>
      <c r="L198" s="10">
        <v>0</v>
      </c>
      <c r="M198" s="10">
        <v>3.05</v>
      </c>
      <c r="N198" s="10">
        <v>0.5</v>
      </c>
      <c r="O198" s="13">
        <v>45895</v>
      </c>
      <c r="P198" s="10" t="s">
        <v>68</v>
      </c>
      <c r="Q198" s="10" t="s">
        <v>547</v>
      </c>
      <c r="R198" s="16">
        <v>62600</v>
      </c>
      <c r="S198" s="10">
        <v>4.5</v>
      </c>
      <c r="T198" s="10">
        <v>0</v>
      </c>
      <c r="U198" s="10">
        <v>0.5</v>
      </c>
      <c r="V198" s="10">
        <v>2.5</v>
      </c>
      <c r="W198" s="10">
        <v>4.75</v>
      </c>
      <c r="X198" s="10">
        <v>0</v>
      </c>
      <c r="Y198" s="10">
        <v>0</v>
      </c>
      <c r="AB198" s="14">
        <f t="shared" si="3"/>
        <v>3.75</v>
      </c>
    </row>
    <row r="199" spans="1:28">
      <c r="A199" s="10">
        <v>794553</v>
      </c>
      <c r="B199" s="10" t="s">
        <v>548</v>
      </c>
      <c r="C199" s="10" t="s">
        <v>537</v>
      </c>
      <c r="D199" s="10" t="s">
        <v>168</v>
      </c>
      <c r="E199" s="10" t="s">
        <v>538</v>
      </c>
      <c r="F199" s="10">
        <v>1</v>
      </c>
      <c r="G199" s="10" t="s">
        <v>73</v>
      </c>
      <c r="H199" s="10">
        <v>5.21E-2</v>
      </c>
      <c r="I199" s="10">
        <v>2.75</v>
      </c>
      <c r="J199" s="10">
        <v>3.75</v>
      </c>
      <c r="K199" s="10">
        <v>16</v>
      </c>
      <c r="L199" s="10">
        <v>0</v>
      </c>
      <c r="M199" s="10">
        <v>3.05</v>
      </c>
      <c r="N199" s="10">
        <v>0.5</v>
      </c>
      <c r="O199" s="13">
        <v>45901</v>
      </c>
      <c r="P199" s="10" t="s">
        <v>82</v>
      </c>
      <c r="Q199" s="10" t="s">
        <v>549</v>
      </c>
      <c r="R199" s="16">
        <v>47000</v>
      </c>
      <c r="S199" s="10">
        <v>4.5</v>
      </c>
      <c r="T199" s="10">
        <v>0</v>
      </c>
      <c r="U199" s="10">
        <v>0.5</v>
      </c>
      <c r="V199" s="10">
        <v>2.5</v>
      </c>
      <c r="W199" s="10">
        <v>4.75</v>
      </c>
      <c r="X199" s="10">
        <v>0</v>
      </c>
      <c r="Y199" s="10">
        <v>0</v>
      </c>
      <c r="AB199" s="14">
        <f t="shared" si="3"/>
        <v>3.75</v>
      </c>
    </row>
    <row r="200" spans="1:28">
      <c r="A200" s="10">
        <v>794555</v>
      </c>
      <c r="B200" s="10" t="s">
        <v>550</v>
      </c>
      <c r="C200" s="10" t="s">
        <v>537</v>
      </c>
      <c r="D200" s="10" t="s">
        <v>168</v>
      </c>
      <c r="E200" s="10" t="s">
        <v>538</v>
      </c>
      <c r="F200" s="10">
        <v>1</v>
      </c>
      <c r="G200" s="10" t="s">
        <v>73</v>
      </c>
      <c r="H200" s="10">
        <v>5.21E-2</v>
      </c>
      <c r="I200" s="10">
        <v>2.75</v>
      </c>
      <c r="J200" s="10">
        <v>3.75</v>
      </c>
      <c r="K200" s="10">
        <v>16</v>
      </c>
      <c r="L200" s="10">
        <v>0</v>
      </c>
      <c r="M200" s="10">
        <v>3.05</v>
      </c>
      <c r="N200" s="10">
        <v>0.5</v>
      </c>
      <c r="O200" s="13">
        <v>45901</v>
      </c>
      <c r="P200" s="10" t="s">
        <v>82</v>
      </c>
      <c r="Q200" s="10" t="s">
        <v>551</v>
      </c>
      <c r="R200" s="16">
        <v>62500</v>
      </c>
      <c r="S200" s="10">
        <v>4.5</v>
      </c>
      <c r="T200" s="10">
        <v>0</v>
      </c>
      <c r="U200" s="10">
        <v>0.5</v>
      </c>
      <c r="V200" s="10">
        <v>2.5</v>
      </c>
      <c r="W200" s="10">
        <v>4.75</v>
      </c>
      <c r="X200" s="10">
        <v>0</v>
      </c>
      <c r="Y200" s="10">
        <v>0</v>
      </c>
      <c r="AB200" s="14">
        <f t="shared" si="3"/>
        <v>3.75</v>
      </c>
    </row>
    <row r="201" spans="1:28">
      <c r="A201" s="10">
        <v>794560</v>
      </c>
      <c r="B201" s="10" t="s">
        <v>552</v>
      </c>
      <c r="C201" s="10" t="s">
        <v>537</v>
      </c>
      <c r="D201" s="10" t="s">
        <v>168</v>
      </c>
      <c r="E201" s="10" t="s">
        <v>538</v>
      </c>
      <c r="F201" s="10">
        <v>1</v>
      </c>
      <c r="G201" s="10" t="s">
        <v>73</v>
      </c>
      <c r="H201" s="10">
        <v>5.21E-2</v>
      </c>
      <c r="I201" s="10">
        <v>2.75</v>
      </c>
      <c r="J201" s="10">
        <v>3.75</v>
      </c>
      <c r="K201" s="10">
        <v>16</v>
      </c>
      <c r="L201" s="10">
        <v>0</v>
      </c>
      <c r="M201" s="10">
        <v>3.05</v>
      </c>
      <c r="N201" s="10">
        <v>0.5</v>
      </c>
      <c r="O201" s="13">
        <v>45901</v>
      </c>
      <c r="P201" s="10" t="s">
        <v>68</v>
      </c>
      <c r="Q201" s="10" t="s">
        <v>553</v>
      </c>
      <c r="R201" s="16">
        <v>70000</v>
      </c>
      <c r="S201" s="10">
        <v>4.5</v>
      </c>
      <c r="T201" s="10">
        <v>0</v>
      </c>
      <c r="U201" s="10">
        <v>0.5</v>
      </c>
      <c r="V201" s="10">
        <v>2.5</v>
      </c>
      <c r="W201" s="10">
        <v>4.75</v>
      </c>
      <c r="X201" s="10">
        <v>0</v>
      </c>
      <c r="Y201" s="10">
        <v>0</v>
      </c>
      <c r="AB201" s="14">
        <f t="shared" si="3"/>
        <v>3.75</v>
      </c>
    </row>
    <row r="202" spans="1:28">
      <c r="A202" s="10">
        <v>794598</v>
      </c>
      <c r="B202" s="10" t="s">
        <v>554</v>
      </c>
      <c r="C202" s="10" t="s">
        <v>537</v>
      </c>
      <c r="D202" s="10" t="s">
        <v>168</v>
      </c>
      <c r="E202" s="10" t="s">
        <v>538</v>
      </c>
      <c r="F202" s="10">
        <v>1</v>
      </c>
      <c r="G202" s="10" t="s">
        <v>67</v>
      </c>
      <c r="H202" s="10">
        <v>5.4399999999999997E-2</v>
      </c>
      <c r="I202" s="10">
        <v>3.6</v>
      </c>
      <c r="J202" s="10">
        <v>3.5</v>
      </c>
      <c r="K202" s="10">
        <v>8.6</v>
      </c>
      <c r="L202" s="10">
        <v>8</v>
      </c>
      <c r="M202" s="10">
        <v>3</v>
      </c>
      <c r="N202" s="10">
        <v>0.5</v>
      </c>
      <c r="O202" s="13">
        <v>45536</v>
      </c>
      <c r="P202" s="10" t="s">
        <v>82</v>
      </c>
      <c r="S202" s="10">
        <v>4.25</v>
      </c>
      <c r="T202" s="10">
        <v>0</v>
      </c>
      <c r="U202" s="10">
        <v>0.5</v>
      </c>
      <c r="V202" s="10">
        <v>2.25</v>
      </c>
      <c r="W202" s="10">
        <v>4.1500000000000004</v>
      </c>
      <c r="X202" s="10">
        <v>0</v>
      </c>
      <c r="Y202" s="10">
        <v>0</v>
      </c>
      <c r="AB202" s="14">
        <f t="shared" si="3"/>
        <v>3.5</v>
      </c>
    </row>
    <row r="203" spans="1:28">
      <c r="A203" s="10">
        <v>795007</v>
      </c>
      <c r="B203" s="10" t="s">
        <v>555</v>
      </c>
      <c r="C203" s="10" t="s">
        <v>537</v>
      </c>
      <c r="D203" s="10" t="s">
        <v>168</v>
      </c>
      <c r="E203" s="10" t="s">
        <v>538</v>
      </c>
      <c r="F203" s="10">
        <v>1</v>
      </c>
      <c r="G203" s="10" t="s">
        <v>73</v>
      </c>
      <c r="H203" s="10">
        <v>5.45E-2</v>
      </c>
      <c r="I203" s="10">
        <v>3.6</v>
      </c>
      <c r="J203" s="10">
        <v>3.5</v>
      </c>
      <c r="K203" s="10">
        <v>8.6</v>
      </c>
      <c r="L203" s="10">
        <v>8</v>
      </c>
      <c r="M203" s="10">
        <v>3.05</v>
      </c>
      <c r="N203" s="10">
        <v>0.5</v>
      </c>
      <c r="O203" s="13">
        <v>45901</v>
      </c>
      <c r="P203" s="10" t="s">
        <v>68</v>
      </c>
      <c r="Q203" s="10" t="s">
        <v>556</v>
      </c>
      <c r="R203" s="16">
        <v>70000</v>
      </c>
      <c r="S203" s="10">
        <v>4.25</v>
      </c>
      <c r="T203" s="10">
        <v>0</v>
      </c>
      <c r="U203" s="10">
        <v>0.5</v>
      </c>
      <c r="V203" s="10">
        <v>2.25</v>
      </c>
      <c r="W203" s="10">
        <v>4.1500000000000004</v>
      </c>
      <c r="X203" s="10">
        <v>0</v>
      </c>
      <c r="Y203" s="10">
        <v>0</v>
      </c>
      <c r="AB203" s="14">
        <f t="shared" si="3"/>
        <v>3.5</v>
      </c>
    </row>
    <row r="204" spans="1:28">
      <c r="A204" s="10">
        <v>795026</v>
      </c>
      <c r="B204" s="10" t="s">
        <v>557</v>
      </c>
      <c r="C204" s="10" t="s">
        <v>537</v>
      </c>
      <c r="D204" s="10" t="s">
        <v>168</v>
      </c>
      <c r="E204" s="10" t="s">
        <v>538</v>
      </c>
      <c r="F204" s="10">
        <v>1</v>
      </c>
      <c r="G204" s="10" t="s">
        <v>73</v>
      </c>
      <c r="H204" s="10">
        <v>4.02E-2</v>
      </c>
      <c r="I204" s="10">
        <v>2.5</v>
      </c>
      <c r="J204" s="10">
        <v>4</v>
      </c>
      <c r="K204" s="10">
        <v>13</v>
      </c>
      <c r="L204" s="10">
        <v>0</v>
      </c>
      <c r="M204" s="10">
        <v>0</v>
      </c>
      <c r="N204" s="10">
        <v>0.6</v>
      </c>
      <c r="O204" s="13">
        <v>45870</v>
      </c>
      <c r="P204" s="10" t="s">
        <v>68</v>
      </c>
      <c r="Q204" s="10" t="s">
        <v>558</v>
      </c>
      <c r="R204" s="16">
        <v>85000</v>
      </c>
      <c r="S204" s="10">
        <v>5</v>
      </c>
      <c r="T204" s="10">
        <v>0</v>
      </c>
      <c r="U204" s="10">
        <v>0.6</v>
      </c>
      <c r="V204" s="10">
        <v>2.5</v>
      </c>
      <c r="W204" s="10">
        <v>4</v>
      </c>
      <c r="X204" s="10">
        <v>0</v>
      </c>
      <c r="Y204" s="10">
        <v>0</v>
      </c>
      <c r="AB204" s="14">
        <f t="shared" si="3"/>
        <v>4</v>
      </c>
    </row>
    <row r="205" spans="1:28">
      <c r="A205" s="10">
        <v>297507</v>
      </c>
      <c r="B205" s="10" t="s">
        <v>559</v>
      </c>
      <c r="C205" s="10" t="s">
        <v>560</v>
      </c>
      <c r="D205" s="10" t="s">
        <v>76</v>
      </c>
      <c r="E205" s="10" t="s">
        <v>561</v>
      </c>
      <c r="F205" s="10">
        <v>4</v>
      </c>
      <c r="G205" s="10" t="s">
        <v>73</v>
      </c>
      <c r="H205" s="10">
        <v>2.4E-2</v>
      </c>
      <c r="I205" s="10">
        <v>3</v>
      </c>
      <c r="J205" s="10">
        <v>3</v>
      </c>
      <c r="K205" s="10">
        <v>5</v>
      </c>
      <c r="L205" s="10">
        <v>0</v>
      </c>
      <c r="M205" s="10">
        <v>0</v>
      </c>
      <c r="N205" s="10">
        <v>1</v>
      </c>
      <c r="O205" s="13">
        <v>45859</v>
      </c>
      <c r="P205" s="10" t="s">
        <v>68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AB205" s="14">
        <f t="shared" si="3"/>
        <v>3</v>
      </c>
    </row>
    <row r="206" spans="1:28">
      <c r="A206" s="10">
        <v>297509</v>
      </c>
      <c r="B206" s="10" t="s">
        <v>562</v>
      </c>
      <c r="C206" s="10" t="s">
        <v>560</v>
      </c>
      <c r="D206" s="10" t="s">
        <v>76</v>
      </c>
      <c r="E206" s="10" t="s">
        <v>561</v>
      </c>
      <c r="F206" s="10">
        <v>4</v>
      </c>
      <c r="G206" s="10" t="s">
        <v>73</v>
      </c>
      <c r="H206" s="10">
        <v>2.3300000000000001E-2</v>
      </c>
      <c r="I206" s="10">
        <v>3.5</v>
      </c>
      <c r="J206" s="10">
        <v>2.65</v>
      </c>
      <c r="K206" s="10">
        <v>4.5</v>
      </c>
      <c r="L206" s="10">
        <v>0</v>
      </c>
      <c r="M206" s="10">
        <v>0</v>
      </c>
      <c r="N206" s="10">
        <v>1</v>
      </c>
      <c r="O206" s="13">
        <v>45895</v>
      </c>
      <c r="P206" s="10" t="s">
        <v>68</v>
      </c>
      <c r="S206" s="10">
        <v>4.5</v>
      </c>
      <c r="T206" s="10">
        <v>0</v>
      </c>
      <c r="U206" s="10">
        <v>1</v>
      </c>
      <c r="V206" s="10">
        <v>3.5</v>
      </c>
      <c r="W206" s="10">
        <v>2.1</v>
      </c>
      <c r="X206" s="10">
        <v>0</v>
      </c>
      <c r="Y206" s="10">
        <v>0</v>
      </c>
      <c r="AB206" s="14">
        <f t="shared" si="3"/>
        <v>2.65</v>
      </c>
    </row>
    <row r="207" spans="1:28">
      <c r="A207" s="10">
        <v>298007</v>
      </c>
      <c r="B207" s="10" t="s">
        <v>563</v>
      </c>
      <c r="C207" s="10" t="s">
        <v>564</v>
      </c>
      <c r="D207" s="10" t="s">
        <v>76</v>
      </c>
      <c r="E207" s="10" t="s">
        <v>565</v>
      </c>
      <c r="F207" s="10">
        <v>4</v>
      </c>
      <c r="G207" s="10" t="s">
        <v>73</v>
      </c>
      <c r="H207" s="10">
        <v>1.7999999999999999E-2</v>
      </c>
      <c r="I207" s="10">
        <v>2.5</v>
      </c>
      <c r="J207" s="10">
        <v>2</v>
      </c>
      <c r="K207" s="10">
        <v>4.5</v>
      </c>
      <c r="L207" s="10">
        <v>0</v>
      </c>
      <c r="M207" s="10">
        <v>0</v>
      </c>
      <c r="N207" s="10">
        <v>0</v>
      </c>
      <c r="O207" s="13">
        <v>45837</v>
      </c>
      <c r="P207" s="10" t="s">
        <v>68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AB207" s="14">
        <f t="shared" si="3"/>
        <v>2</v>
      </c>
    </row>
    <row r="208" spans="1:28">
      <c r="A208" s="10">
        <v>298008</v>
      </c>
      <c r="B208" s="10" t="s">
        <v>566</v>
      </c>
      <c r="C208" s="10" t="s">
        <v>564</v>
      </c>
      <c r="D208" s="10" t="s">
        <v>76</v>
      </c>
      <c r="E208" s="10" t="s">
        <v>565</v>
      </c>
      <c r="F208" s="10">
        <v>4</v>
      </c>
      <c r="G208" s="10" t="s">
        <v>73</v>
      </c>
      <c r="H208" s="10">
        <v>2.4E-2</v>
      </c>
      <c r="I208" s="10">
        <v>3</v>
      </c>
      <c r="J208" s="10">
        <v>3</v>
      </c>
      <c r="K208" s="10">
        <v>6</v>
      </c>
      <c r="L208" s="10">
        <v>0</v>
      </c>
      <c r="M208" s="10">
        <v>0</v>
      </c>
      <c r="N208" s="10">
        <v>0</v>
      </c>
      <c r="O208" s="13">
        <v>45848</v>
      </c>
      <c r="P208" s="10" t="s">
        <v>68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AB208" s="14">
        <f t="shared" si="3"/>
        <v>3</v>
      </c>
    </row>
    <row r="209" spans="1:28">
      <c r="A209" s="10">
        <v>795005</v>
      </c>
      <c r="B209" s="10" t="s">
        <v>567</v>
      </c>
      <c r="C209" s="10" t="s">
        <v>568</v>
      </c>
      <c r="D209" s="10" t="s">
        <v>168</v>
      </c>
      <c r="E209" s="10" t="s">
        <v>446</v>
      </c>
      <c r="F209" s="10">
        <v>1</v>
      </c>
      <c r="G209" s="10" t="s">
        <v>73</v>
      </c>
      <c r="H209" s="10">
        <v>4.2999999999999997E-2</v>
      </c>
      <c r="I209" s="10">
        <v>0</v>
      </c>
      <c r="J209" s="10">
        <v>4</v>
      </c>
      <c r="K209" s="10">
        <v>14.45</v>
      </c>
      <c r="L209" s="10">
        <v>0</v>
      </c>
      <c r="M209" s="10">
        <v>3.05</v>
      </c>
      <c r="N209" s="10">
        <v>0</v>
      </c>
      <c r="O209" s="13">
        <v>45901</v>
      </c>
      <c r="P209" s="10" t="s">
        <v>82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AB209" s="14">
        <f t="shared" si="3"/>
        <v>4</v>
      </c>
    </row>
    <row r="210" spans="1:28">
      <c r="A210" s="10">
        <v>304552</v>
      </c>
      <c r="B210" s="10" t="s">
        <v>569</v>
      </c>
      <c r="C210" s="10" t="s">
        <v>570</v>
      </c>
      <c r="D210" s="10" t="s">
        <v>76</v>
      </c>
      <c r="E210" s="10" t="s">
        <v>571</v>
      </c>
      <c r="F210" s="10">
        <v>4</v>
      </c>
      <c r="G210" s="10" t="s">
        <v>73</v>
      </c>
      <c r="H210" s="10">
        <v>2.69E-2</v>
      </c>
      <c r="I210" s="10">
        <v>3.5</v>
      </c>
      <c r="J210" s="10">
        <v>3.85</v>
      </c>
      <c r="K210" s="10">
        <v>5</v>
      </c>
      <c r="L210" s="10">
        <v>0</v>
      </c>
      <c r="M210" s="10">
        <v>0</v>
      </c>
      <c r="N210" s="10">
        <v>1.1000000000000001</v>
      </c>
      <c r="O210" s="13">
        <v>45813</v>
      </c>
      <c r="P210" s="10" t="s">
        <v>68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AB210" s="14">
        <f t="shared" si="3"/>
        <v>3.85</v>
      </c>
    </row>
    <row r="211" spans="1:28">
      <c r="A211" s="10">
        <v>156002</v>
      </c>
      <c r="B211" s="10" t="s">
        <v>572</v>
      </c>
      <c r="C211" s="10" t="s">
        <v>573</v>
      </c>
      <c r="D211" s="10" t="s">
        <v>149</v>
      </c>
      <c r="E211" s="10" t="s">
        <v>574</v>
      </c>
      <c r="F211" s="10">
        <v>1</v>
      </c>
      <c r="G211" s="10" t="s">
        <v>73</v>
      </c>
      <c r="H211" s="10">
        <v>4.5499999999999999E-2</v>
      </c>
      <c r="I211" s="10">
        <v>1.5</v>
      </c>
      <c r="J211" s="10">
        <v>3</v>
      </c>
      <c r="K211" s="10">
        <v>10.25</v>
      </c>
      <c r="L211" s="10">
        <v>8</v>
      </c>
      <c r="M211" s="10">
        <v>0</v>
      </c>
      <c r="N211" s="10">
        <v>0</v>
      </c>
      <c r="O211" s="13">
        <v>45901</v>
      </c>
      <c r="P211" s="10" t="s">
        <v>68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AB211" s="14">
        <f t="shared" si="3"/>
        <v>3</v>
      </c>
    </row>
    <row r="212" spans="1:28">
      <c r="A212" s="10">
        <v>291000</v>
      </c>
      <c r="B212" s="10" t="s">
        <v>575</v>
      </c>
      <c r="C212" s="10" t="s">
        <v>576</v>
      </c>
      <c r="D212" s="10" t="s">
        <v>76</v>
      </c>
      <c r="E212" s="10" t="s">
        <v>275</v>
      </c>
      <c r="F212" s="10">
        <v>4</v>
      </c>
      <c r="G212" s="10" t="s">
        <v>67</v>
      </c>
      <c r="H212" s="10">
        <v>2.75E-2</v>
      </c>
      <c r="I212" s="10">
        <v>6</v>
      </c>
      <c r="J212" s="10">
        <v>2.75</v>
      </c>
      <c r="K212" s="10">
        <v>4</v>
      </c>
      <c r="L212" s="10">
        <v>0</v>
      </c>
      <c r="M212" s="10">
        <v>0</v>
      </c>
      <c r="N212" s="10">
        <v>1</v>
      </c>
      <c r="O212" s="13">
        <v>45571</v>
      </c>
      <c r="P212" s="10" t="s">
        <v>68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2.75</v>
      </c>
      <c r="AB212" s="14">
        <f t="shared" si="3"/>
        <v>2.75</v>
      </c>
    </row>
    <row r="213" spans="1:28">
      <c r="A213" s="10">
        <v>304495</v>
      </c>
      <c r="B213" s="10" t="s">
        <v>577</v>
      </c>
      <c r="C213" s="10" t="s">
        <v>576</v>
      </c>
      <c r="D213" s="10" t="s">
        <v>76</v>
      </c>
      <c r="E213" s="10" t="s">
        <v>275</v>
      </c>
      <c r="F213" s="10">
        <v>4</v>
      </c>
      <c r="G213" s="10" t="s">
        <v>73</v>
      </c>
      <c r="H213" s="10">
        <v>6.4999999999999997E-3</v>
      </c>
      <c r="I213" s="10">
        <v>0</v>
      </c>
      <c r="J213" s="10">
        <v>2.5</v>
      </c>
      <c r="K213" s="10">
        <v>0</v>
      </c>
      <c r="L213" s="10">
        <v>0</v>
      </c>
      <c r="M213" s="10">
        <v>0</v>
      </c>
      <c r="N213" s="10">
        <v>0.75</v>
      </c>
      <c r="O213" s="13">
        <v>45820</v>
      </c>
      <c r="P213" s="10" t="s">
        <v>68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AB213" s="14">
        <f t="shared" si="3"/>
        <v>2.5</v>
      </c>
    </row>
    <row r="214" spans="1:28">
      <c r="A214" s="10">
        <v>304501</v>
      </c>
      <c r="B214" s="10" t="s">
        <v>578</v>
      </c>
      <c r="C214" s="10" t="s">
        <v>576</v>
      </c>
      <c r="D214" s="10" t="s">
        <v>76</v>
      </c>
      <c r="E214" s="10" t="s">
        <v>275</v>
      </c>
      <c r="F214" s="10">
        <v>4</v>
      </c>
      <c r="G214" s="10" t="s">
        <v>67</v>
      </c>
      <c r="H214" s="10">
        <v>2.5999999999999999E-2</v>
      </c>
      <c r="I214" s="10">
        <v>3</v>
      </c>
      <c r="J214" s="10">
        <v>0.1</v>
      </c>
      <c r="K214" s="10">
        <v>5</v>
      </c>
      <c r="L214" s="10">
        <v>0</v>
      </c>
      <c r="M214" s="10">
        <v>0</v>
      </c>
      <c r="N214" s="10">
        <v>2</v>
      </c>
      <c r="O214" s="13">
        <v>45538</v>
      </c>
      <c r="P214" s="10" t="s">
        <v>68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AB214" s="14">
        <f t="shared" si="3"/>
        <v>3</v>
      </c>
    </row>
    <row r="215" spans="1:28">
      <c r="A215" s="10">
        <v>587875</v>
      </c>
      <c r="B215" s="10" t="s">
        <v>579</v>
      </c>
      <c r="C215" s="10" t="s">
        <v>580</v>
      </c>
      <c r="D215" s="10" t="s">
        <v>136</v>
      </c>
      <c r="E215" s="10" t="s">
        <v>581</v>
      </c>
      <c r="F215" s="10">
        <v>1</v>
      </c>
      <c r="G215" s="10" t="s">
        <v>73</v>
      </c>
      <c r="H215" s="10">
        <v>2.1399999999999999E-2</v>
      </c>
      <c r="I215" s="10">
        <v>4</v>
      </c>
      <c r="J215" s="10">
        <v>1.7</v>
      </c>
      <c r="K215" s="10">
        <v>4.5</v>
      </c>
      <c r="L215" s="10">
        <v>0</v>
      </c>
      <c r="M215" s="10">
        <v>0</v>
      </c>
      <c r="N215" s="10">
        <v>0.5</v>
      </c>
      <c r="O215" s="13">
        <v>45901</v>
      </c>
      <c r="P215" s="10" t="s">
        <v>68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AB215" s="14">
        <f t="shared" ref="AB215:AB278" si="4">IF(J215&lt;1,J215*30,J215)</f>
        <v>1.7</v>
      </c>
    </row>
    <row r="216" spans="1:28">
      <c r="A216" s="10">
        <v>555225</v>
      </c>
      <c r="B216" s="10" t="s">
        <v>582</v>
      </c>
      <c r="C216" s="10" t="s">
        <v>583</v>
      </c>
      <c r="D216" s="10" t="s">
        <v>136</v>
      </c>
      <c r="E216" s="10" t="s">
        <v>584</v>
      </c>
      <c r="F216" s="10">
        <v>1</v>
      </c>
      <c r="G216" s="10" t="s">
        <v>73</v>
      </c>
      <c r="H216" s="10">
        <v>1.9699999999999999E-2</v>
      </c>
      <c r="I216" s="10">
        <v>3.35</v>
      </c>
      <c r="J216" s="10">
        <v>2.5</v>
      </c>
      <c r="K216" s="10">
        <v>4</v>
      </c>
      <c r="L216" s="10">
        <v>0</v>
      </c>
      <c r="M216" s="10">
        <v>0</v>
      </c>
      <c r="N216" s="10">
        <v>0</v>
      </c>
      <c r="O216" s="13">
        <v>45931</v>
      </c>
      <c r="P216" s="10" t="s">
        <v>68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AB216" s="14">
        <f t="shared" si="4"/>
        <v>2.5</v>
      </c>
    </row>
    <row r="217" spans="1:28">
      <c r="A217" s="10">
        <v>518085</v>
      </c>
      <c r="B217" s="10" t="s">
        <v>585</v>
      </c>
      <c r="C217" s="10" t="s">
        <v>586</v>
      </c>
      <c r="D217" s="10" t="s">
        <v>190</v>
      </c>
      <c r="E217" s="10" t="s">
        <v>587</v>
      </c>
      <c r="F217" s="10">
        <v>1</v>
      </c>
      <c r="G217" s="10" t="s">
        <v>73</v>
      </c>
      <c r="H217" s="10">
        <v>4.82E-2</v>
      </c>
      <c r="I217" s="10">
        <v>1.6</v>
      </c>
      <c r="J217" s="10">
        <v>3.25</v>
      </c>
      <c r="K217" s="10">
        <v>11.25</v>
      </c>
      <c r="L217" s="10">
        <v>8</v>
      </c>
      <c r="M217" s="10">
        <v>0</v>
      </c>
      <c r="N217" s="10">
        <v>0</v>
      </c>
      <c r="O217" s="13">
        <v>45870</v>
      </c>
      <c r="P217" s="10" t="s">
        <v>68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AB217" s="14">
        <f t="shared" si="4"/>
        <v>3.25</v>
      </c>
    </row>
    <row r="218" spans="1:28">
      <c r="A218" s="10">
        <v>73073</v>
      </c>
      <c r="B218" s="10" t="s">
        <v>588</v>
      </c>
      <c r="C218" s="10" t="s">
        <v>589</v>
      </c>
      <c r="D218" s="10" t="s">
        <v>65</v>
      </c>
      <c r="E218" s="10" t="s">
        <v>457</v>
      </c>
      <c r="F218" s="10">
        <v>1</v>
      </c>
      <c r="G218" s="10" t="s">
        <v>73</v>
      </c>
      <c r="H218" s="10">
        <v>4.2999999999999997E-2</v>
      </c>
      <c r="I218" s="10">
        <v>4</v>
      </c>
      <c r="J218" s="10">
        <v>3</v>
      </c>
      <c r="K218" s="10">
        <v>6</v>
      </c>
      <c r="L218" s="10">
        <v>7.5</v>
      </c>
      <c r="M218" s="10">
        <v>0</v>
      </c>
      <c r="N218" s="10">
        <v>1</v>
      </c>
      <c r="O218" s="13">
        <v>45870</v>
      </c>
      <c r="P218" s="10" t="s">
        <v>68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AB218" s="14">
        <f t="shared" si="4"/>
        <v>3</v>
      </c>
    </row>
    <row r="219" spans="1:28">
      <c r="A219" s="10">
        <v>413550</v>
      </c>
      <c r="B219" s="10" t="s">
        <v>590</v>
      </c>
      <c r="C219" s="10" t="s">
        <v>591</v>
      </c>
      <c r="D219" s="10" t="s">
        <v>80</v>
      </c>
      <c r="E219" s="10" t="s">
        <v>592</v>
      </c>
      <c r="F219" s="10">
        <v>1</v>
      </c>
      <c r="G219" s="10" t="s">
        <v>67</v>
      </c>
      <c r="H219" s="10">
        <v>9.7999999999999997E-3</v>
      </c>
      <c r="I219" s="10">
        <v>0</v>
      </c>
      <c r="J219" s="10">
        <v>0.08</v>
      </c>
      <c r="K219" s="10">
        <v>2.5</v>
      </c>
      <c r="L219" s="10">
        <v>0</v>
      </c>
      <c r="M219" s="10">
        <v>0</v>
      </c>
      <c r="N219" s="10">
        <v>0</v>
      </c>
      <c r="O219" s="13">
        <v>45505</v>
      </c>
      <c r="P219" s="10" t="s">
        <v>68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AB219" s="14">
        <f t="shared" si="4"/>
        <v>2.4</v>
      </c>
    </row>
    <row r="220" spans="1:28">
      <c r="A220" s="10">
        <v>413551</v>
      </c>
      <c r="B220" s="10" t="s">
        <v>593</v>
      </c>
      <c r="C220" s="10" t="s">
        <v>591</v>
      </c>
      <c r="D220" s="10" t="s">
        <v>80</v>
      </c>
      <c r="E220" s="10" t="s">
        <v>592</v>
      </c>
      <c r="F220" s="10">
        <v>1</v>
      </c>
      <c r="G220" s="10" t="s">
        <v>67</v>
      </c>
      <c r="H220" s="10">
        <v>9.7999999999999997E-3</v>
      </c>
      <c r="I220" s="10">
        <v>0</v>
      </c>
      <c r="J220" s="10">
        <v>0.08</v>
      </c>
      <c r="K220" s="10">
        <v>2.5</v>
      </c>
      <c r="L220" s="10">
        <v>0</v>
      </c>
      <c r="M220" s="10">
        <v>0</v>
      </c>
      <c r="N220" s="10">
        <v>0</v>
      </c>
      <c r="O220" s="13">
        <v>45536</v>
      </c>
      <c r="P220" s="10" t="s">
        <v>68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AB220" s="14">
        <f t="shared" si="4"/>
        <v>2.4</v>
      </c>
    </row>
    <row r="221" spans="1:28">
      <c r="A221" s="10">
        <v>589209</v>
      </c>
      <c r="B221" s="10" t="s">
        <v>594</v>
      </c>
      <c r="C221" s="10" t="s">
        <v>595</v>
      </c>
      <c r="D221" s="10" t="s">
        <v>136</v>
      </c>
      <c r="E221" s="10" t="s">
        <v>596</v>
      </c>
      <c r="F221" s="10">
        <v>1</v>
      </c>
      <c r="G221" s="10" t="s">
        <v>73</v>
      </c>
      <c r="H221" s="10">
        <v>2.5000000000000001E-2</v>
      </c>
      <c r="I221" s="10">
        <v>4</v>
      </c>
      <c r="J221" s="10">
        <v>2.5</v>
      </c>
      <c r="K221" s="10">
        <v>5</v>
      </c>
      <c r="L221" s="10">
        <v>0</v>
      </c>
      <c r="M221" s="10">
        <v>0</v>
      </c>
      <c r="N221" s="10">
        <v>1</v>
      </c>
      <c r="O221" s="13">
        <v>45901</v>
      </c>
      <c r="P221" s="10" t="s">
        <v>68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AB221" s="14">
        <f t="shared" si="4"/>
        <v>2.5</v>
      </c>
    </row>
    <row r="222" spans="1:28">
      <c r="A222" s="10">
        <v>308005</v>
      </c>
      <c r="B222" s="10" t="s">
        <v>597</v>
      </c>
      <c r="C222" s="10" t="s">
        <v>598</v>
      </c>
      <c r="D222" s="10" t="s">
        <v>76</v>
      </c>
      <c r="E222" s="10" t="s">
        <v>275</v>
      </c>
      <c r="F222" s="10">
        <v>4</v>
      </c>
      <c r="G222" s="10" t="s">
        <v>73</v>
      </c>
      <c r="H222" s="10">
        <v>2.5499999999999998E-2</v>
      </c>
      <c r="I222" s="10">
        <v>4</v>
      </c>
      <c r="J222" s="10">
        <v>2.75</v>
      </c>
      <c r="K222" s="10">
        <v>6</v>
      </c>
      <c r="L222" s="10">
        <v>0</v>
      </c>
      <c r="M222" s="10">
        <v>0</v>
      </c>
      <c r="N222" s="10">
        <v>0</v>
      </c>
      <c r="O222" s="13">
        <v>45868</v>
      </c>
      <c r="P222" s="10" t="s">
        <v>68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AB222" s="14">
        <f t="shared" si="4"/>
        <v>2.75</v>
      </c>
    </row>
    <row r="223" spans="1:28">
      <c r="A223" s="10">
        <v>735030</v>
      </c>
      <c r="B223" s="10" t="s">
        <v>599</v>
      </c>
      <c r="C223" s="10" t="s">
        <v>600</v>
      </c>
      <c r="D223" s="10" t="s">
        <v>132</v>
      </c>
      <c r="E223" s="10" t="s">
        <v>309</v>
      </c>
      <c r="F223" s="10">
        <v>1</v>
      </c>
      <c r="G223" s="10" t="s">
        <v>73</v>
      </c>
      <c r="H223" s="10">
        <v>1.84E-2</v>
      </c>
      <c r="I223" s="10">
        <v>2</v>
      </c>
      <c r="J223" s="10">
        <v>2.7</v>
      </c>
      <c r="K223" s="10">
        <v>4</v>
      </c>
      <c r="L223" s="10">
        <v>0</v>
      </c>
      <c r="M223" s="10">
        <v>0</v>
      </c>
      <c r="N223" s="10">
        <v>0.5</v>
      </c>
      <c r="O223" s="13">
        <v>45901</v>
      </c>
      <c r="P223" s="10" t="s">
        <v>68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AB223" s="14">
        <f t="shared" si="4"/>
        <v>2.7</v>
      </c>
    </row>
    <row r="224" spans="1:28">
      <c r="A224" s="10">
        <v>309100</v>
      </c>
      <c r="B224" s="10" t="s">
        <v>601</v>
      </c>
      <c r="C224" s="10" t="s">
        <v>602</v>
      </c>
      <c r="D224" s="10" t="s">
        <v>76</v>
      </c>
      <c r="E224" s="10" t="s">
        <v>603</v>
      </c>
      <c r="F224" s="10">
        <v>4</v>
      </c>
      <c r="G224" s="10" t="s">
        <v>73</v>
      </c>
      <c r="H224" s="10">
        <v>2.3E-2</v>
      </c>
      <c r="I224" s="10">
        <v>3</v>
      </c>
      <c r="J224" s="10">
        <v>3</v>
      </c>
      <c r="K224" s="10">
        <v>5</v>
      </c>
      <c r="L224" s="10">
        <v>0</v>
      </c>
      <c r="M224" s="10">
        <v>0</v>
      </c>
      <c r="N224" s="10">
        <v>0.5</v>
      </c>
      <c r="O224" s="13">
        <v>45720</v>
      </c>
      <c r="P224" s="10" t="s">
        <v>68</v>
      </c>
      <c r="S224" s="10">
        <v>5</v>
      </c>
      <c r="T224" s="10">
        <v>0</v>
      </c>
      <c r="U224" s="10">
        <v>0.5</v>
      </c>
      <c r="V224" s="10">
        <v>3</v>
      </c>
      <c r="W224" s="10">
        <v>2.2599999999999998</v>
      </c>
      <c r="X224" s="10">
        <v>0</v>
      </c>
      <c r="Y224" s="10">
        <v>0</v>
      </c>
      <c r="AB224" s="14">
        <f t="shared" si="4"/>
        <v>3</v>
      </c>
    </row>
    <row r="225" spans="1:28">
      <c r="A225" s="10">
        <v>310516</v>
      </c>
      <c r="B225" s="10" t="s">
        <v>604</v>
      </c>
      <c r="C225" s="10" t="s">
        <v>605</v>
      </c>
      <c r="D225" s="10" t="s">
        <v>76</v>
      </c>
      <c r="E225" s="10" t="s">
        <v>603</v>
      </c>
      <c r="F225" s="10">
        <v>4</v>
      </c>
      <c r="G225" s="10" t="s">
        <v>73</v>
      </c>
      <c r="H225" s="10">
        <v>2.3E-2</v>
      </c>
      <c r="I225" s="10">
        <v>3</v>
      </c>
      <c r="J225" s="10">
        <v>3</v>
      </c>
      <c r="K225" s="10">
        <v>5</v>
      </c>
      <c r="L225" s="10">
        <v>0</v>
      </c>
      <c r="M225" s="10">
        <v>0</v>
      </c>
      <c r="N225" s="10">
        <v>0.5</v>
      </c>
      <c r="O225" s="13">
        <v>45721</v>
      </c>
      <c r="P225" s="10" t="s">
        <v>68</v>
      </c>
      <c r="S225" s="10">
        <v>5</v>
      </c>
      <c r="T225" s="10">
        <v>0</v>
      </c>
      <c r="U225" s="10">
        <v>0.5</v>
      </c>
      <c r="V225" s="10">
        <v>3</v>
      </c>
      <c r="W225" s="10">
        <v>2.2599999999999998</v>
      </c>
      <c r="X225" s="10">
        <v>0</v>
      </c>
      <c r="Y225" s="10">
        <v>0</v>
      </c>
      <c r="AB225" s="14">
        <f t="shared" si="4"/>
        <v>3</v>
      </c>
    </row>
    <row r="226" spans="1:28">
      <c r="A226" s="10">
        <v>904033</v>
      </c>
      <c r="B226" s="10" t="s">
        <v>606</v>
      </c>
      <c r="C226" s="10" t="s">
        <v>607</v>
      </c>
      <c r="D226" s="10" t="s">
        <v>71</v>
      </c>
      <c r="E226" s="10" t="s">
        <v>608</v>
      </c>
      <c r="F226" s="10">
        <v>2</v>
      </c>
      <c r="G226" s="10" t="s">
        <v>73</v>
      </c>
      <c r="H226" s="10">
        <v>4.6699999999999998E-2</v>
      </c>
      <c r="I226" s="10">
        <v>4.75</v>
      </c>
      <c r="J226" s="10">
        <v>0.08</v>
      </c>
      <c r="K226" s="10">
        <v>5.45</v>
      </c>
      <c r="L226" s="10">
        <v>9.75</v>
      </c>
      <c r="M226" s="10">
        <v>0</v>
      </c>
      <c r="N226" s="10">
        <v>1</v>
      </c>
      <c r="O226" s="13">
        <v>45901</v>
      </c>
      <c r="P226" s="10" t="s">
        <v>68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2.5</v>
      </c>
      <c r="AB226" s="14">
        <f t="shared" si="4"/>
        <v>2.4</v>
      </c>
    </row>
    <row r="227" spans="1:28">
      <c r="A227" s="10">
        <v>490150</v>
      </c>
      <c r="B227" s="10" t="s">
        <v>609</v>
      </c>
      <c r="C227" s="10" t="s">
        <v>610</v>
      </c>
      <c r="D227" s="10" t="s">
        <v>128</v>
      </c>
      <c r="E227" s="10" t="s">
        <v>611</v>
      </c>
      <c r="F227" s="10">
        <v>1</v>
      </c>
      <c r="G227" s="10" t="s">
        <v>67</v>
      </c>
      <c r="H227" s="10">
        <v>5.2400000000000002E-2</v>
      </c>
      <c r="I227" s="10">
        <v>5</v>
      </c>
      <c r="J227" s="10">
        <v>4</v>
      </c>
      <c r="K227" s="10">
        <v>8</v>
      </c>
      <c r="L227" s="10">
        <v>8</v>
      </c>
      <c r="M227" s="10">
        <v>0</v>
      </c>
      <c r="N227" s="10">
        <v>0</v>
      </c>
      <c r="O227" s="13">
        <v>45505</v>
      </c>
      <c r="P227" s="10" t="s">
        <v>68</v>
      </c>
      <c r="S227" s="10">
        <v>9</v>
      </c>
      <c r="T227" s="10">
        <v>0</v>
      </c>
      <c r="U227" s="10">
        <v>0</v>
      </c>
      <c r="V227" s="10">
        <v>2.25</v>
      </c>
      <c r="W227" s="10">
        <v>5</v>
      </c>
      <c r="X227" s="10">
        <v>0</v>
      </c>
      <c r="Y227" s="10">
        <v>4</v>
      </c>
      <c r="AB227" s="14">
        <f t="shared" si="4"/>
        <v>4</v>
      </c>
    </row>
    <row r="228" spans="1:28">
      <c r="A228" s="10">
        <v>309509</v>
      </c>
      <c r="B228" s="10" t="s">
        <v>612</v>
      </c>
      <c r="C228" s="10" t="s">
        <v>613</v>
      </c>
      <c r="D228" s="10" t="s">
        <v>76</v>
      </c>
      <c r="E228" s="10" t="s">
        <v>614</v>
      </c>
      <c r="F228" s="10">
        <v>4</v>
      </c>
      <c r="G228" s="10" t="s">
        <v>73</v>
      </c>
      <c r="H228" s="10">
        <v>2.7E-2</v>
      </c>
      <c r="I228" s="10">
        <v>3.5</v>
      </c>
      <c r="J228" s="10">
        <v>3.5</v>
      </c>
      <c r="K228" s="10">
        <v>5.5</v>
      </c>
      <c r="L228" s="10">
        <v>0</v>
      </c>
      <c r="M228" s="10">
        <v>0</v>
      </c>
      <c r="N228" s="10">
        <v>1</v>
      </c>
      <c r="O228" s="13">
        <v>45846</v>
      </c>
      <c r="P228" s="10" t="s">
        <v>68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AB228" s="14">
        <f t="shared" si="4"/>
        <v>3.5</v>
      </c>
    </row>
    <row r="229" spans="1:28">
      <c r="A229" s="10">
        <v>906015</v>
      </c>
      <c r="B229" s="10" t="s">
        <v>615</v>
      </c>
      <c r="C229" s="10" t="s">
        <v>616</v>
      </c>
      <c r="D229" s="10" t="s">
        <v>71</v>
      </c>
      <c r="E229" s="10" t="s">
        <v>617</v>
      </c>
      <c r="F229" s="10">
        <v>2</v>
      </c>
      <c r="G229" s="10" t="s">
        <v>73</v>
      </c>
      <c r="H229" s="10">
        <v>4.7800000000000002E-2</v>
      </c>
      <c r="I229" s="10">
        <v>5</v>
      </c>
      <c r="J229" s="10">
        <v>0.08</v>
      </c>
      <c r="K229" s="10">
        <v>6.25</v>
      </c>
      <c r="L229" s="10">
        <v>10.25</v>
      </c>
      <c r="M229" s="10">
        <v>0</v>
      </c>
      <c r="N229" s="10">
        <v>0</v>
      </c>
      <c r="O229" s="13">
        <v>45901</v>
      </c>
      <c r="P229" s="10" t="s">
        <v>82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2.4</v>
      </c>
      <c r="AB229" s="14">
        <f t="shared" si="4"/>
        <v>2.4</v>
      </c>
    </row>
    <row r="230" spans="1:28">
      <c r="A230" s="10">
        <v>590610</v>
      </c>
      <c r="B230" s="10" t="s">
        <v>618</v>
      </c>
      <c r="C230" s="10" t="s">
        <v>619</v>
      </c>
      <c r="D230" s="10" t="s">
        <v>136</v>
      </c>
      <c r="E230" s="10" t="s">
        <v>197</v>
      </c>
      <c r="F230" s="10">
        <v>1</v>
      </c>
      <c r="G230" s="10" t="s">
        <v>67</v>
      </c>
      <c r="H230" s="10">
        <v>2.1000000000000001E-2</v>
      </c>
      <c r="I230" s="10">
        <v>4.25</v>
      </c>
      <c r="J230" s="10">
        <v>2</v>
      </c>
      <c r="K230" s="10">
        <v>4.25</v>
      </c>
      <c r="L230" s="10">
        <v>0</v>
      </c>
      <c r="M230" s="10">
        <v>0</v>
      </c>
      <c r="N230" s="10">
        <v>0</v>
      </c>
      <c r="O230" s="13">
        <v>45536</v>
      </c>
      <c r="P230" s="10" t="s">
        <v>68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AB230" s="14">
        <f t="shared" si="4"/>
        <v>2</v>
      </c>
    </row>
    <row r="231" spans="1:28">
      <c r="A231" s="10">
        <v>913054</v>
      </c>
      <c r="B231" s="10" t="s">
        <v>620</v>
      </c>
      <c r="C231" s="10" t="s">
        <v>621</v>
      </c>
      <c r="D231" s="10" t="s">
        <v>71</v>
      </c>
      <c r="E231" s="10" t="s">
        <v>440</v>
      </c>
      <c r="F231" s="10">
        <v>3</v>
      </c>
      <c r="G231" s="10" t="s">
        <v>73</v>
      </c>
      <c r="H231" s="10">
        <v>2.12E-2</v>
      </c>
      <c r="I231" s="10">
        <v>3</v>
      </c>
      <c r="J231" s="10">
        <v>0.12</v>
      </c>
      <c r="K231" s="10">
        <v>4</v>
      </c>
      <c r="L231" s="10">
        <v>0</v>
      </c>
      <c r="M231" s="10">
        <v>0</v>
      </c>
      <c r="N231" s="10">
        <v>0</v>
      </c>
      <c r="O231" s="13">
        <v>45901</v>
      </c>
      <c r="P231" s="10" t="s">
        <v>68</v>
      </c>
      <c r="S231" s="10">
        <v>7.5</v>
      </c>
      <c r="T231" s="10">
        <v>0</v>
      </c>
      <c r="U231" s="10">
        <v>0.5</v>
      </c>
      <c r="V231" s="10">
        <v>2.25</v>
      </c>
      <c r="W231" s="10">
        <v>5.5</v>
      </c>
      <c r="X231" s="10">
        <v>0</v>
      </c>
      <c r="Y231" s="10">
        <v>0</v>
      </c>
      <c r="AB231" s="14">
        <f t="shared" si="4"/>
        <v>3.5999999999999996</v>
      </c>
    </row>
    <row r="232" spans="1:28">
      <c r="A232" s="10">
        <v>313023</v>
      </c>
      <c r="B232" s="10" t="s">
        <v>622</v>
      </c>
      <c r="C232" s="10" t="s">
        <v>623</v>
      </c>
      <c r="D232" s="10" t="s">
        <v>76</v>
      </c>
      <c r="E232" s="10" t="s">
        <v>624</v>
      </c>
      <c r="F232" s="10">
        <v>4</v>
      </c>
      <c r="G232" s="10" t="s">
        <v>73</v>
      </c>
      <c r="H232" s="10">
        <v>2.5999999999999999E-2</v>
      </c>
      <c r="I232" s="10">
        <v>4</v>
      </c>
      <c r="J232" s="10">
        <v>2</v>
      </c>
      <c r="K232" s="10">
        <v>6</v>
      </c>
      <c r="L232" s="10">
        <v>0</v>
      </c>
      <c r="M232" s="10">
        <v>0</v>
      </c>
      <c r="N232" s="10">
        <v>1</v>
      </c>
      <c r="O232" s="13">
        <v>45901</v>
      </c>
      <c r="P232" s="10" t="s">
        <v>68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AB232" s="14">
        <f t="shared" si="4"/>
        <v>2</v>
      </c>
    </row>
    <row r="233" spans="1:28">
      <c r="A233" s="10">
        <v>314006</v>
      </c>
      <c r="B233" s="10" t="s">
        <v>625</v>
      </c>
      <c r="C233" s="10" t="s">
        <v>623</v>
      </c>
      <c r="D233" s="10" t="s">
        <v>76</v>
      </c>
      <c r="E233" s="10" t="s">
        <v>188</v>
      </c>
      <c r="F233" s="10">
        <v>4</v>
      </c>
      <c r="G233" s="10" t="s">
        <v>73</v>
      </c>
      <c r="H233" s="10">
        <v>2.5000000000000001E-2</v>
      </c>
      <c r="I233" s="10">
        <v>3.5</v>
      </c>
      <c r="J233" s="10">
        <v>2.5</v>
      </c>
      <c r="K233" s="10">
        <v>5.5</v>
      </c>
      <c r="L233" s="10">
        <v>0</v>
      </c>
      <c r="M233" s="10">
        <v>0</v>
      </c>
      <c r="N233" s="10">
        <v>1</v>
      </c>
      <c r="O233" s="13">
        <v>45859</v>
      </c>
      <c r="P233" s="10" t="s">
        <v>68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AB233" s="14">
        <f t="shared" si="4"/>
        <v>2.5</v>
      </c>
    </row>
    <row r="234" spans="1:28">
      <c r="A234" s="10">
        <v>122531</v>
      </c>
      <c r="B234" s="10" t="s">
        <v>626</v>
      </c>
      <c r="C234" s="10" t="s">
        <v>627</v>
      </c>
      <c r="D234" s="10" t="s">
        <v>319</v>
      </c>
      <c r="E234" s="10" t="s">
        <v>392</v>
      </c>
      <c r="F234" s="10">
        <v>6</v>
      </c>
      <c r="G234" s="10" t="s">
        <v>73</v>
      </c>
      <c r="H234" s="10">
        <v>0.05</v>
      </c>
      <c r="I234" s="10">
        <v>5.25</v>
      </c>
      <c r="J234" s="10">
        <v>0.15</v>
      </c>
      <c r="K234" s="10">
        <v>5.25</v>
      </c>
      <c r="L234" s="10">
        <v>10</v>
      </c>
      <c r="M234" s="10">
        <v>0</v>
      </c>
      <c r="N234" s="10">
        <v>0</v>
      </c>
      <c r="O234" s="13">
        <v>45901</v>
      </c>
      <c r="P234" s="10" t="s">
        <v>68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3</v>
      </c>
      <c r="AB234" s="14">
        <f t="shared" si="4"/>
        <v>4.5</v>
      </c>
    </row>
    <row r="235" spans="1:28">
      <c r="A235" s="10">
        <v>313510</v>
      </c>
      <c r="B235" s="10" t="s">
        <v>628</v>
      </c>
      <c r="C235" s="10" t="s">
        <v>629</v>
      </c>
      <c r="D235" s="10" t="s">
        <v>76</v>
      </c>
      <c r="E235" s="10" t="s">
        <v>180</v>
      </c>
      <c r="F235" s="10">
        <v>4</v>
      </c>
      <c r="G235" s="10" t="s">
        <v>73</v>
      </c>
      <c r="H235" s="10">
        <v>1.0500000000000001E-2</v>
      </c>
      <c r="I235" s="10">
        <v>0</v>
      </c>
      <c r="J235" s="10">
        <v>4.25</v>
      </c>
      <c r="K235" s="10">
        <v>0</v>
      </c>
      <c r="L235" s="10">
        <v>0</v>
      </c>
      <c r="M235" s="10">
        <v>0</v>
      </c>
      <c r="N235" s="10">
        <v>1</v>
      </c>
      <c r="O235" s="13">
        <v>45861</v>
      </c>
      <c r="P235" s="10" t="s">
        <v>68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AB235" s="14">
        <f t="shared" si="4"/>
        <v>4.25</v>
      </c>
    </row>
    <row r="236" spans="1:28">
      <c r="A236" s="10">
        <v>911510</v>
      </c>
      <c r="B236" s="10" t="s">
        <v>630</v>
      </c>
      <c r="C236" s="10" t="s">
        <v>631</v>
      </c>
      <c r="D236" s="10" t="s">
        <v>71</v>
      </c>
      <c r="E236" s="10" t="s">
        <v>72</v>
      </c>
      <c r="F236" s="10">
        <v>2</v>
      </c>
      <c r="G236" s="10" t="s">
        <v>73</v>
      </c>
      <c r="H236" s="10">
        <v>4.8000000000000001E-2</v>
      </c>
      <c r="I236" s="10">
        <v>5.0999999999999996</v>
      </c>
      <c r="J236" s="10">
        <v>0.08</v>
      </c>
      <c r="K236" s="10">
        <v>6.25</v>
      </c>
      <c r="L236" s="10">
        <v>10.25</v>
      </c>
      <c r="M236" s="10">
        <v>0</v>
      </c>
      <c r="N236" s="10">
        <v>0</v>
      </c>
      <c r="O236" s="13">
        <v>45901</v>
      </c>
      <c r="P236" s="10" t="s">
        <v>82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2.4</v>
      </c>
      <c r="AB236" s="14">
        <f t="shared" si="4"/>
        <v>2.4</v>
      </c>
    </row>
    <row r="237" spans="1:28">
      <c r="A237" s="10">
        <v>911520</v>
      </c>
      <c r="B237" s="10" t="s">
        <v>632</v>
      </c>
      <c r="C237" s="10" t="s">
        <v>631</v>
      </c>
      <c r="D237" s="10" t="s">
        <v>71</v>
      </c>
      <c r="E237" s="10" t="s">
        <v>72</v>
      </c>
      <c r="F237" s="10">
        <v>2</v>
      </c>
      <c r="G237" s="10" t="s">
        <v>73</v>
      </c>
      <c r="H237" s="10">
        <v>4.7199999999999999E-2</v>
      </c>
      <c r="I237" s="10">
        <v>4.3499999999999996</v>
      </c>
      <c r="J237" s="10">
        <v>7.4999999999999997E-2</v>
      </c>
      <c r="K237" s="10">
        <v>5.75</v>
      </c>
      <c r="L237" s="10">
        <v>11.25</v>
      </c>
      <c r="M237" s="10">
        <v>0</v>
      </c>
      <c r="N237" s="10">
        <v>0</v>
      </c>
      <c r="O237" s="13">
        <v>45901</v>
      </c>
      <c r="P237" s="10" t="s">
        <v>82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2.25</v>
      </c>
      <c r="AB237" s="14">
        <f t="shared" si="4"/>
        <v>2.25</v>
      </c>
    </row>
    <row r="238" spans="1:28">
      <c r="A238" s="10">
        <v>911525</v>
      </c>
      <c r="B238" s="10" t="s">
        <v>633</v>
      </c>
      <c r="C238" s="10" t="s">
        <v>631</v>
      </c>
      <c r="D238" s="10" t="s">
        <v>71</v>
      </c>
      <c r="E238" s="10" t="s">
        <v>72</v>
      </c>
      <c r="F238" s="10">
        <v>2</v>
      </c>
      <c r="G238" s="10" t="s">
        <v>73</v>
      </c>
      <c r="H238" s="10">
        <v>4.7199999999999999E-2</v>
      </c>
      <c r="I238" s="10">
        <v>4.3499999999999996</v>
      </c>
      <c r="J238" s="10">
        <v>7.4999999999999997E-2</v>
      </c>
      <c r="K238" s="10">
        <v>5.75</v>
      </c>
      <c r="L238" s="10">
        <v>11.25</v>
      </c>
      <c r="M238" s="10">
        <v>0</v>
      </c>
      <c r="N238" s="10">
        <v>0</v>
      </c>
      <c r="O238" s="13">
        <v>45901</v>
      </c>
      <c r="P238" s="10" t="s">
        <v>82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2.25</v>
      </c>
      <c r="AB238" s="14">
        <f t="shared" si="4"/>
        <v>2.25</v>
      </c>
    </row>
    <row r="239" spans="1:28">
      <c r="A239" s="10">
        <v>911533</v>
      </c>
      <c r="B239" s="10" t="s">
        <v>634</v>
      </c>
      <c r="C239" s="10" t="s">
        <v>631</v>
      </c>
      <c r="D239" s="10" t="s">
        <v>71</v>
      </c>
      <c r="E239" s="10" t="s">
        <v>72</v>
      </c>
      <c r="F239" s="10">
        <v>2</v>
      </c>
      <c r="G239" s="10" t="s">
        <v>73</v>
      </c>
      <c r="H239" s="10">
        <v>4.65E-2</v>
      </c>
      <c r="I239" s="10">
        <v>4.0999999999999996</v>
      </c>
      <c r="J239" s="10">
        <v>0.08</v>
      </c>
      <c r="K239" s="10">
        <v>5</v>
      </c>
      <c r="L239" s="10">
        <v>11.25</v>
      </c>
      <c r="M239" s="10">
        <v>0</v>
      </c>
      <c r="N239" s="10">
        <v>0.5</v>
      </c>
      <c r="O239" s="13">
        <v>45901</v>
      </c>
      <c r="P239" s="10" t="s">
        <v>82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2.4</v>
      </c>
      <c r="AB239" s="14">
        <f t="shared" si="4"/>
        <v>2.4</v>
      </c>
    </row>
    <row r="240" spans="1:28">
      <c r="A240" s="10">
        <v>266861</v>
      </c>
      <c r="B240" s="10" t="s">
        <v>635</v>
      </c>
      <c r="C240" s="10" t="s">
        <v>636</v>
      </c>
      <c r="D240" s="10" t="s">
        <v>76</v>
      </c>
      <c r="E240" s="10" t="s">
        <v>637</v>
      </c>
      <c r="F240" s="10">
        <v>4</v>
      </c>
      <c r="G240" s="10" t="s">
        <v>73</v>
      </c>
      <c r="H240" s="10">
        <v>2.12E-2</v>
      </c>
      <c r="I240" s="10">
        <v>3</v>
      </c>
      <c r="J240" s="10">
        <v>0.12</v>
      </c>
      <c r="K240" s="10">
        <v>4</v>
      </c>
      <c r="L240" s="10">
        <v>0</v>
      </c>
      <c r="M240" s="10">
        <v>0</v>
      </c>
      <c r="N240" s="10">
        <v>0</v>
      </c>
      <c r="O240" s="13">
        <v>45901</v>
      </c>
      <c r="P240" s="10" t="s">
        <v>68</v>
      </c>
      <c r="S240" s="10">
        <v>7.5</v>
      </c>
      <c r="T240" s="10">
        <v>0</v>
      </c>
      <c r="U240" s="10">
        <v>1.5</v>
      </c>
      <c r="V240" s="10">
        <v>2.5</v>
      </c>
      <c r="W240" s="10">
        <v>5.5</v>
      </c>
      <c r="X240" s="10">
        <v>0</v>
      </c>
      <c r="Y240" s="10">
        <v>0</v>
      </c>
      <c r="AB240" s="14">
        <f t="shared" si="4"/>
        <v>3.5999999999999996</v>
      </c>
    </row>
    <row r="241" spans="1:28">
      <c r="A241" s="10">
        <v>311000</v>
      </c>
      <c r="B241" s="10" t="s">
        <v>638</v>
      </c>
      <c r="C241" s="10" t="s">
        <v>639</v>
      </c>
      <c r="D241" s="10" t="s">
        <v>76</v>
      </c>
      <c r="E241" s="10" t="s">
        <v>637</v>
      </c>
      <c r="F241" s="10">
        <v>1</v>
      </c>
      <c r="G241" s="10" t="s">
        <v>73</v>
      </c>
      <c r="H241" s="10">
        <v>4.5100000000000001E-2</v>
      </c>
      <c r="I241" s="10">
        <v>3</v>
      </c>
      <c r="J241" s="10">
        <v>3</v>
      </c>
      <c r="K241" s="10">
        <v>6</v>
      </c>
      <c r="L241" s="10">
        <v>7</v>
      </c>
      <c r="M241" s="10">
        <v>3.05</v>
      </c>
      <c r="N241" s="10">
        <v>0.5</v>
      </c>
      <c r="O241" s="13">
        <v>45901</v>
      </c>
      <c r="P241" s="10" t="s">
        <v>68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AB241" s="14">
        <f t="shared" si="4"/>
        <v>3</v>
      </c>
    </row>
    <row r="242" spans="1:28">
      <c r="A242" s="10">
        <v>518505</v>
      </c>
      <c r="B242" s="10" t="s">
        <v>640</v>
      </c>
      <c r="C242" s="10" t="s">
        <v>641</v>
      </c>
      <c r="D242" s="10" t="s">
        <v>190</v>
      </c>
      <c r="E242" s="10" t="s">
        <v>587</v>
      </c>
      <c r="F242" s="10">
        <v>1</v>
      </c>
      <c r="G242" s="10" t="s">
        <v>73</v>
      </c>
      <c r="H242" s="10">
        <v>5.3199999999999997E-2</v>
      </c>
      <c r="I242" s="10">
        <v>2.1</v>
      </c>
      <c r="J242" s="10">
        <v>3.25</v>
      </c>
      <c r="K242" s="10">
        <v>20.75</v>
      </c>
      <c r="L242" s="10">
        <v>0</v>
      </c>
      <c r="M242" s="10">
        <v>0</v>
      </c>
      <c r="N242" s="10">
        <v>0.5</v>
      </c>
      <c r="O242" s="13">
        <v>45901</v>
      </c>
      <c r="P242" s="10" t="s">
        <v>82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AB242" s="14">
        <f t="shared" si="4"/>
        <v>3.25</v>
      </c>
    </row>
    <row r="243" spans="1:28">
      <c r="A243" s="10">
        <v>518510</v>
      </c>
      <c r="B243" s="10" t="s">
        <v>642</v>
      </c>
      <c r="C243" s="10" t="s">
        <v>641</v>
      </c>
      <c r="D243" s="10" t="s">
        <v>190</v>
      </c>
      <c r="E243" s="10" t="s">
        <v>587</v>
      </c>
      <c r="F243" s="10">
        <v>1</v>
      </c>
      <c r="G243" s="10" t="s">
        <v>73</v>
      </c>
      <c r="H243" s="10">
        <v>4.4999999999999998E-2</v>
      </c>
      <c r="I243" s="10">
        <v>1.5</v>
      </c>
      <c r="J243" s="10">
        <v>2.75</v>
      </c>
      <c r="K243" s="10">
        <v>10.25</v>
      </c>
      <c r="L243" s="10">
        <v>8</v>
      </c>
      <c r="M243" s="10">
        <v>0</v>
      </c>
      <c r="N243" s="10">
        <v>0</v>
      </c>
      <c r="O243" s="13">
        <v>45901</v>
      </c>
      <c r="P243" s="10" t="s">
        <v>68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AB243" s="14">
        <f t="shared" si="4"/>
        <v>2.75</v>
      </c>
    </row>
    <row r="244" spans="1:28">
      <c r="A244" s="10">
        <v>160006</v>
      </c>
      <c r="B244" s="10" t="s">
        <v>643</v>
      </c>
      <c r="C244" s="10" t="s">
        <v>644</v>
      </c>
      <c r="D244" s="10" t="s">
        <v>149</v>
      </c>
      <c r="E244" s="10" t="s">
        <v>645</v>
      </c>
      <c r="F244" s="10">
        <v>1</v>
      </c>
      <c r="G244" s="10" t="s">
        <v>73</v>
      </c>
      <c r="H244" s="10">
        <v>5.3600000000000002E-2</v>
      </c>
      <c r="I244" s="10">
        <v>4.8</v>
      </c>
      <c r="J244" s="10">
        <v>3.25</v>
      </c>
      <c r="K244" s="10">
        <v>9.75</v>
      </c>
      <c r="L244" s="10">
        <v>9</v>
      </c>
      <c r="M244" s="10">
        <v>0</v>
      </c>
      <c r="N244" s="10">
        <v>0</v>
      </c>
      <c r="O244" s="13">
        <v>45901</v>
      </c>
      <c r="P244" s="10" t="s">
        <v>68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AB244" s="14">
        <f t="shared" si="4"/>
        <v>3.25</v>
      </c>
    </row>
    <row r="245" spans="1:28">
      <c r="A245" s="10">
        <v>160008</v>
      </c>
      <c r="B245" s="10" t="s">
        <v>646</v>
      </c>
      <c r="C245" s="10" t="s">
        <v>644</v>
      </c>
      <c r="D245" s="10" t="s">
        <v>149</v>
      </c>
      <c r="E245" s="10" t="s">
        <v>645</v>
      </c>
      <c r="F245" s="10">
        <v>1</v>
      </c>
      <c r="G245" s="10" t="s">
        <v>73</v>
      </c>
      <c r="H245" s="10">
        <v>5.2699999999999997E-2</v>
      </c>
      <c r="I245" s="10">
        <v>5.0999999999999996</v>
      </c>
      <c r="J245" s="10">
        <v>3.25</v>
      </c>
      <c r="K245" s="10">
        <v>9</v>
      </c>
      <c r="L245" s="10">
        <v>9</v>
      </c>
      <c r="M245" s="10">
        <v>0</v>
      </c>
      <c r="N245" s="10">
        <v>0</v>
      </c>
      <c r="O245" s="13">
        <v>45901</v>
      </c>
      <c r="P245" s="10" t="s">
        <v>68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AB245" s="14">
        <f t="shared" si="4"/>
        <v>3.25</v>
      </c>
    </row>
    <row r="246" spans="1:28">
      <c r="A246" s="10">
        <v>160009</v>
      </c>
      <c r="B246" s="10" t="s">
        <v>647</v>
      </c>
      <c r="C246" s="10" t="s">
        <v>644</v>
      </c>
      <c r="D246" s="10" t="s">
        <v>149</v>
      </c>
      <c r="E246" s="10" t="s">
        <v>645</v>
      </c>
      <c r="F246" s="10">
        <v>1</v>
      </c>
      <c r="G246" s="10" t="s">
        <v>73</v>
      </c>
      <c r="H246" s="10">
        <v>5.33E-2</v>
      </c>
      <c r="I246" s="10">
        <v>4.4000000000000004</v>
      </c>
      <c r="J246" s="10">
        <v>3.5</v>
      </c>
      <c r="K246" s="10">
        <v>9.75</v>
      </c>
      <c r="L246" s="10">
        <v>9</v>
      </c>
      <c r="M246" s="10">
        <v>0</v>
      </c>
      <c r="N246" s="10">
        <v>0</v>
      </c>
      <c r="O246" s="13">
        <v>45901</v>
      </c>
      <c r="P246" s="10" t="s">
        <v>82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AB246" s="14">
        <f t="shared" si="4"/>
        <v>3.5</v>
      </c>
    </row>
    <row r="247" spans="1:28">
      <c r="A247" s="10">
        <v>840510</v>
      </c>
      <c r="B247" s="10" t="s">
        <v>648</v>
      </c>
      <c r="C247" s="10" t="s">
        <v>644</v>
      </c>
      <c r="D247" s="10" t="s">
        <v>71</v>
      </c>
      <c r="E247" s="10" t="s">
        <v>649</v>
      </c>
      <c r="F247" s="10">
        <v>3</v>
      </c>
      <c r="G247" s="10" t="s">
        <v>73</v>
      </c>
      <c r="H247" s="10">
        <v>5.3999999999999999E-2</v>
      </c>
      <c r="I247" s="10">
        <v>5.5</v>
      </c>
      <c r="J247" s="10">
        <v>4</v>
      </c>
      <c r="K247" s="10">
        <v>17.5</v>
      </c>
      <c r="L247" s="10">
        <v>0</v>
      </c>
      <c r="M247" s="10">
        <v>0</v>
      </c>
      <c r="N247" s="10">
        <v>0</v>
      </c>
      <c r="O247" s="13">
        <v>45839</v>
      </c>
      <c r="P247" s="10" t="s">
        <v>82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AB247" s="14">
        <f t="shared" si="4"/>
        <v>4</v>
      </c>
    </row>
    <row r="248" spans="1:28">
      <c r="A248" s="10">
        <v>913030</v>
      </c>
      <c r="B248" s="10" t="s">
        <v>630</v>
      </c>
      <c r="C248" s="10" t="s">
        <v>650</v>
      </c>
      <c r="D248" s="10" t="s">
        <v>71</v>
      </c>
      <c r="E248" s="10" t="s">
        <v>651</v>
      </c>
      <c r="F248" s="10">
        <v>2</v>
      </c>
      <c r="G248" s="10" t="s">
        <v>73</v>
      </c>
      <c r="H248" s="10">
        <v>4.8000000000000001E-2</v>
      </c>
      <c r="I248" s="10">
        <v>5.0999999999999996</v>
      </c>
      <c r="J248" s="10">
        <v>0.08</v>
      </c>
      <c r="K248" s="10">
        <v>6.25</v>
      </c>
      <c r="L248" s="10">
        <v>10.25</v>
      </c>
      <c r="M248" s="10">
        <v>0</v>
      </c>
      <c r="N248" s="10">
        <v>0</v>
      </c>
      <c r="O248" s="13">
        <v>45901</v>
      </c>
      <c r="P248" s="10" t="s">
        <v>68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2.4</v>
      </c>
      <c r="AB248" s="14">
        <f t="shared" si="4"/>
        <v>2.4</v>
      </c>
    </row>
    <row r="249" spans="1:28">
      <c r="A249" s="10">
        <v>914510</v>
      </c>
      <c r="B249" s="10" t="s">
        <v>652</v>
      </c>
      <c r="C249" s="10" t="s">
        <v>653</v>
      </c>
      <c r="D249" s="10" t="s">
        <v>71</v>
      </c>
      <c r="E249" s="10" t="s">
        <v>654</v>
      </c>
      <c r="F249" s="10">
        <v>2</v>
      </c>
      <c r="G249" s="10" t="s">
        <v>73</v>
      </c>
      <c r="H249" s="10">
        <v>4.7800000000000002E-2</v>
      </c>
      <c r="I249" s="10">
        <v>5</v>
      </c>
      <c r="J249" s="10">
        <v>0.08</v>
      </c>
      <c r="K249" s="10">
        <v>6.25</v>
      </c>
      <c r="L249" s="10">
        <v>10.25</v>
      </c>
      <c r="M249" s="10">
        <v>0</v>
      </c>
      <c r="N249" s="10">
        <v>0</v>
      </c>
      <c r="O249" s="13">
        <v>45901</v>
      </c>
      <c r="P249" s="10" t="s">
        <v>82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2.4</v>
      </c>
      <c r="AB249" s="14">
        <f t="shared" si="4"/>
        <v>2.4</v>
      </c>
    </row>
    <row r="250" spans="1:28">
      <c r="A250" s="10">
        <v>593005</v>
      </c>
      <c r="B250" s="10" t="s">
        <v>655</v>
      </c>
      <c r="C250" s="10" t="s">
        <v>656</v>
      </c>
      <c r="D250" s="10" t="s">
        <v>136</v>
      </c>
      <c r="E250" s="10" t="s">
        <v>657</v>
      </c>
      <c r="F250" s="10">
        <v>1</v>
      </c>
      <c r="G250" s="10" t="s">
        <v>73</v>
      </c>
      <c r="H250" s="10">
        <v>2.3699999999999999E-2</v>
      </c>
      <c r="I250" s="10">
        <v>4</v>
      </c>
      <c r="J250" s="10">
        <v>3</v>
      </c>
      <c r="K250" s="10">
        <v>4.8499999999999996</v>
      </c>
      <c r="L250" s="10">
        <v>0</v>
      </c>
      <c r="M250" s="10">
        <v>0</v>
      </c>
      <c r="N250" s="10">
        <v>0</v>
      </c>
      <c r="O250" s="13">
        <v>45862</v>
      </c>
      <c r="P250" s="10" t="s">
        <v>68</v>
      </c>
      <c r="S250" s="10">
        <v>3</v>
      </c>
      <c r="T250" s="10">
        <v>0</v>
      </c>
      <c r="U250" s="10">
        <v>0</v>
      </c>
      <c r="V250" s="10">
        <v>3</v>
      </c>
      <c r="W250" s="10">
        <v>1.46</v>
      </c>
      <c r="X250" s="10">
        <v>0</v>
      </c>
      <c r="Y250" s="10">
        <v>0</v>
      </c>
      <c r="AB250" s="14">
        <f t="shared" si="4"/>
        <v>3</v>
      </c>
    </row>
    <row r="251" spans="1:28">
      <c r="A251" s="10">
        <v>916501</v>
      </c>
      <c r="B251" s="10" t="s">
        <v>658</v>
      </c>
      <c r="C251" s="10" t="s">
        <v>659</v>
      </c>
      <c r="D251" s="10" t="s">
        <v>71</v>
      </c>
      <c r="E251" s="10" t="s">
        <v>660</v>
      </c>
      <c r="F251" s="10">
        <v>2</v>
      </c>
      <c r="G251" s="10" t="s">
        <v>73</v>
      </c>
      <c r="H251" s="10">
        <v>4.6699999999999998E-2</v>
      </c>
      <c r="I251" s="10">
        <v>4.75</v>
      </c>
      <c r="J251" s="10">
        <v>0.08</v>
      </c>
      <c r="K251" s="10">
        <v>5.45</v>
      </c>
      <c r="L251" s="10">
        <v>9.75</v>
      </c>
      <c r="M251" s="10">
        <v>0</v>
      </c>
      <c r="N251" s="10">
        <v>1</v>
      </c>
      <c r="O251" s="13">
        <v>45536</v>
      </c>
      <c r="P251" s="10" t="s">
        <v>68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2.5</v>
      </c>
      <c r="AB251" s="14">
        <f t="shared" si="4"/>
        <v>2.4</v>
      </c>
    </row>
    <row r="252" spans="1:28">
      <c r="A252" s="10">
        <v>916710</v>
      </c>
      <c r="B252" s="10" t="s">
        <v>661</v>
      </c>
      <c r="C252" s="10" t="s">
        <v>662</v>
      </c>
      <c r="D252" s="10" t="s">
        <v>71</v>
      </c>
      <c r="E252" s="10" t="s">
        <v>663</v>
      </c>
      <c r="F252" s="10">
        <v>3</v>
      </c>
      <c r="G252" s="10" t="s">
        <v>73</v>
      </c>
      <c r="H252" s="10">
        <v>0.05</v>
      </c>
      <c r="I252" s="10">
        <v>3.5</v>
      </c>
      <c r="J252" s="10">
        <v>4</v>
      </c>
      <c r="K252" s="10">
        <v>17.5</v>
      </c>
      <c r="L252" s="10">
        <v>0</v>
      </c>
      <c r="M252" s="10">
        <v>0</v>
      </c>
      <c r="N252" s="10">
        <v>0</v>
      </c>
      <c r="O252" s="13">
        <v>45839</v>
      </c>
      <c r="P252" s="10" t="s">
        <v>82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AB252" s="14">
        <f t="shared" si="4"/>
        <v>4</v>
      </c>
    </row>
    <row r="253" spans="1:28">
      <c r="A253" s="10">
        <v>916711</v>
      </c>
      <c r="B253" s="10" t="s">
        <v>664</v>
      </c>
      <c r="C253" s="10" t="s">
        <v>662</v>
      </c>
      <c r="D253" s="10" t="s">
        <v>71</v>
      </c>
      <c r="E253" s="10" t="s">
        <v>663</v>
      </c>
      <c r="F253" s="10">
        <v>3</v>
      </c>
      <c r="G253" s="10" t="s">
        <v>73</v>
      </c>
      <c r="H253" s="10">
        <v>0.05</v>
      </c>
      <c r="I253" s="10">
        <v>3.5</v>
      </c>
      <c r="J253" s="10">
        <v>4</v>
      </c>
      <c r="K253" s="10">
        <v>17.5</v>
      </c>
      <c r="L253" s="10">
        <v>0</v>
      </c>
      <c r="M253" s="10">
        <v>0</v>
      </c>
      <c r="N253" s="10">
        <v>0</v>
      </c>
      <c r="O253" s="13">
        <v>45839</v>
      </c>
      <c r="P253" s="10" t="s">
        <v>82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AB253" s="14">
        <f t="shared" si="4"/>
        <v>4</v>
      </c>
    </row>
    <row r="254" spans="1:28">
      <c r="A254" s="10">
        <v>916712</v>
      </c>
      <c r="B254" s="10" t="s">
        <v>665</v>
      </c>
      <c r="C254" s="10" t="s">
        <v>662</v>
      </c>
      <c r="D254" s="10" t="s">
        <v>71</v>
      </c>
      <c r="E254" s="10" t="s">
        <v>411</v>
      </c>
      <c r="F254" s="10">
        <v>3</v>
      </c>
      <c r="G254" s="10" t="s">
        <v>73</v>
      </c>
      <c r="H254" s="10">
        <v>5.3999999999999999E-2</v>
      </c>
      <c r="I254" s="10">
        <v>5.5</v>
      </c>
      <c r="J254" s="10">
        <v>4</v>
      </c>
      <c r="K254" s="10">
        <v>17.5</v>
      </c>
      <c r="L254" s="10">
        <v>0</v>
      </c>
      <c r="M254" s="10">
        <v>0</v>
      </c>
      <c r="N254" s="10">
        <v>0</v>
      </c>
      <c r="O254" s="13">
        <v>45839</v>
      </c>
      <c r="P254" s="10" t="s">
        <v>68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AB254" s="14">
        <f t="shared" si="4"/>
        <v>4</v>
      </c>
    </row>
    <row r="255" spans="1:28">
      <c r="A255" s="10">
        <v>416010</v>
      </c>
      <c r="B255" s="10" t="s">
        <v>666</v>
      </c>
      <c r="C255" s="10" t="s">
        <v>667</v>
      </c>
      <c r="D255" s="10" t="s">
        <v>80</v>
      </c>
      <c r="E255" s="10" t="s">
        <v>668</v>
      </c>
      <c r="F255" s="10">
        <v>1</v>
      </c>
      <c r="G255" s="10" t="s">
        <v>73</v>
      </c>
      <c r="H255" s="10">
        <v>3.8899999999999997E-2</v>
      </c>
      <c r="I255" s="10">
        <v>2.4</v>
      </c>
      <c r="J255" s="10">
        <v>3</v>
      </c>
      <c r="K255" s="10">
        <v>4</v>
      </c>
      <c r="L255" s="10">
        <v>7</v>
      </c>
      <c r="M255" s="10">
        <v>3.05</v>
      </c>
      <c r="N255" s="10">
        <v>0</v>
      </c>
      <c r="O255" s="13">
        <v>45901</v>
      </c>
      <c r="P255" s="10" t="s">
        <v>82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AB255" s="14">
        <f t="shared" si="4"/>
        <v>3</v>
      </c>
    </row>
    <row r="256" spans="1:28">
      <c r="A256" s="10">
        <v>316751</v>
      </c>
      <c r="B256" s="10" t="s">
        <v>669</v>
      </c>
      <c r="C256" s="10" t="s">
        <v>670</v>
      </c>
      <c r="D256" s="10" t="s">
        <v>76</v>
      </c>
      <c r="E256" s="10" t="s">
        <v>671</v>
      </c>
      <c r="F256" s="10">
        <v>4</v>
      </c>
      <c r="G256" s="10" t="s">
        <v>73</v>
      </c>
      <c r="H256" s="10">
        <v>2.12E-2</v>
      </c>
      <c r="I256" s="10">
        <v>3</v>
      </c>
      <c r="J256" s="10">
        <v>0.12</v>
      </c>
      <c r="K256" s="10">
        <v>4</v>
      </c>
      <c r="L256" s="10">
        <v>0</v>
      </c>
      <c r="M256" s="10">
        <v>0</v>
      </c>
      <c r="N256" s="10">
        <v>0</v>
      </c>
      <c r="O256" s="13">
        <v>45901</v>
      </c>
      <c r="P256" s="10" t="s">
        <v>68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AB256" s="14">
        <f t="shared" si="4"/>
        <v>3.5999999999999996</v>
      </c>
    </row>
    <row r="257" spans="1:28">
      <c r="A257" s="10">
        <v>596010</v>
      </c>
      <c r="B257" s="10" t="s">
        <v>672</v>
      </c>
      <c r="C257" s="10" t="s">
        <v>673</v>
      </c>
      <c r="D257" s="10" t="s">
        <v>136</v>
      </c>
      <c r="E257" s="10" t="s">
        <v>330</v>
      </c>
      <c r="F257" s="10">
        <v>1</v>
      </c>
      <c r="G257" s="10" t="s">
        <v>73</v>
      </c>
      <c r="H257" s="10">
        <v>2.4E-2</v>
      </c>
      <c r="I257" s="10">
        <v>3.5</v>
      </c>
      <c r="J257" s="10">
        <v>2.5</v>
      </c>
      <c r="K257" s="10">
        <v>5</v>
      </c>
      <c r="L257" s="10">
        <v>0</v>
      </c>
      <c r="M257" s="10">
        <v>0</v>
      </c>
      <c r="N257" s="10">
        <v>1</v>
      </c>
      <c r="O257" s="13">
        <v>45901</v>
      </c>
      <c r="P257" s="10" t="s">
        <v>68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AB257" s="14">
        <f t="shared" si="4"/>
        <v>2.5</v>
      </c>
    </row>
    <row r="258" spans="1:28">
      <c r="A258" s="10">
        <v>925012</v>
      </c>
      <c r="B258" s="10" t="s">
        <v>83</v>
      </c>
      <c r="C258" s="10" t="s">
        <v>674</v>
      </c>
      <c r="D258" s="10" t="s">
        <v>71</v>
      </c>
      <c r="E258" s="10" t="s">
        <v>675</v>
      </c>
      <c r="F258" s="10">
        <v>2</v>
      </c>
      <c r="G258" s="10" t="s">
        <v>73</v>
      </c>
      <c r="H258" s="10">
        <v>5.0700000000000002E-2</v>
      </c>
      <c r="I258" s="10">
        <v>5.15</v>
      </c>
      <c r="J258" s="10">
        <v>6.5000000000000002E-2</v>
      </c>
      <c r="K258" s="10">
        <v>6.25</v>
      </c>
      <c r="L258" s="10">
        <v>12</v>
      </c>
      <c r="M258" s="10">
        <v>0</v>
      </c>
      <c r="N258" s="10">
        <v>0</v>
      </c>
      <c r="O258" s="13">
        <v>45870</v>
      </c>
      <c r="P258" s="10" t="s">
        <v>68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1.95</v>
      </c>
      <c r="AB258" s="14">
        <f t="shared" si="4"/>
        <v>1.9500000000000002</v>
      </c>
    </row>
    <row r="259" spans="1:28">
      <c r="A259" s="10">
        <v>466466</v>
      </c>
      <c r="B259" s="10" t="s">
        <v>676</v>
      </c>
      <c r="C259" s="10" t="s">
        <v>677</v>
      </c>
      <c r="D259" s="10" t="s">
        <v>128</v>
      </c>
      <c r="E259" s="10" t="s">
        <v>143</v>
      </c>
      <c r="F259" s="10">
        <v>1</v>
      </c>
      <c r="G259" s="10" t="s">
        <v>73</v>
      </c>
      <c r="H259" s="10">
        <v>3.2899999999999999E-2</v>
      </c>
      <c r="I259" s="10">
        <v>5</v>
      </c>
      <c r="J259" s="10">
        <v>2.5</v>
      </c>
      <c r="K259" s="10">
        <v>5</v>
      </c>
      <c r="L259" s="10">
        <v>0</v>
      </c>
      <c r="M259" s="10">
        <v>3.05</v>
      </c>
      <c r="N259" s="10">
        <v>0</v>
      </c>
      <c r="O259" s="13">
        <v>45901</v>
      </c>
      <c r="P259" s="10" t="s">
        <v>68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AB259" s="14">
        <f t="shared" si="4"/>
        <v>2.5</v>
      </c>
    </row>
    <row r="260" spans="1:28">
      <c r="A260" s="10">
        <v>926005</v>
      </c>
      <c r="B260" s="10" t="s">
        <v>678</v>
      </c>
      <c r="C260" s="10" t="s">
        <v>679</v>
      </c>
      <c r="D260" s="10" t="s">
        <v>71</v>
      </c>
      <c r="E260" s="10" t="s">
        <v>680</v>
      </c>
      <c r="F260" s="10">
        <v>2</v>
      </c>
      <c r="G260" s="10" t="s">
        <v>73</v>
      </c>
      <c r="H260" s="10">
        <v>5.2400000000000002E-2</v>
      </c>
      <c r="I260" s="10">
        <v>5.0999999999999996</v>
      </c>
      <c r="J260" s="10">
        <v>9.5000000000000001E-2</v>
      </c>
      <c r="K260" s="10">
        <v>6.25</v>
      </c>
      <c r="L260" s="10">
        <v>12</v>
      </c>
      <c r="M260" s="10">
        <v>0</v>
      </c>
      <c r="N260" s="10">
        <v>0</v>
      </c>
      <c r="O260" s="13">
        <v>45901</v>
      </c>
      <c r="P260" s="10" t="s">
        <v>68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2.85</v>
      </c>
      <c r="AB260" s="14">
        <f t="shared" si="4"/>
        <v>2.85</v>
      </c>
    </row>
    <row r="261" spans="1:28">
      <c r="A261" s="10">
        <v>340017</v>
      </c>
      <c r="B261" s="10" t="s">
        <v>681</v>
      </c>
      <c r="C261" s="10" t="s">
        <v>682</v>
      </c>
      <c r="D261" s="10" t="s">
        <v>76</v>
      </c>
      <c r="E261" s="10" t="s">
        <v>637</v>
      </c>
      <c r="F261" s="10">
        <v>4</v>
      </c>
      <c r="G261" s="10" t="s">
        <v>73</v>
      </c>
      <c r="H261" s="10">
        <v>3.78E-2</v>
      </c>
      <c r="I261" s="10">
        <v>1.85</v>
      </c>
      <c r="J261" s="10">
        <v>3</v>
      </c>
      <c r="K261" s="10">
        <v>4</v>
      </c>
      <c r="L261" s="10">
        <v>7</v>
      </c>
      <c r="M261" s="10">
        <v>3.05</v>
      </c>
      <c r="N261" s="10">
        <v>0</v>
      </c>
      <c r="O261" s="13">
        <v>45901</v>
      </c>
      <c r="P261" s="10" t="s">
        <v>68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AB261" s="14">
        <f t="shared" si="4"/>
        <v>3</v>
      </c>
    </row>
    <row r="262" spans="1:28">
      <c r="A262" s="10">
        <v>600505</v>
      </c>
      <c r="B262" s="10" t="s">
        <v>683</v>
      </c>
      <c r="C262" s="10" t="s">
        <v>684</v>
      </c>
      <c r="D262" s="10" t="s">
        <v>136</v>
      </c>
      <c r="E262" s="10" t="s">
        <v>330</v>
      </c>
      <c r="F262" s="10">
        <v>1</v>
      </c>
      <c r="G262" s="10" t="s">
        <v>73</v>
      </c>
      <c r="H262" s="10">
        <v>2.3E-2</v>
      </c>
      <c r="I262" s="10">
        <v>4.25</v>
      </c>
      <c r="J262" s="10">
        <v>2.5</v>
      </c>
      <c r="K262" s="10">
        <v>4.25</v>
      </c>
      <c r="L262" s="10">
        <v>0</v>
      </c>
      <c r="M262" s="10">
        <v>0</v>
      </c>
      <c r="N262" s="10">
        <v>0.5</v>
      </c>
      <c r="O262" s="13">
        <v>45901</v>
      </c>
      <c r="P262" s="10" t="s">
        <v>68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AB262" s="14">
        <f t="shared" si="4"/>
        <v>2.5</v>
      </c>
    </row>
    <row r="263" spans="1:28">
      <c r="A263" s="10">
        <v>601004</v>
      </c>
      <c r="B263" s="10" t="s">
        <v>685</v>
      </c>
      <c r="C263" s="10" t="s">
        <v>686</v>
      </c>
      <c r="D263" s="10" t="s">
        <v>136</v>
      </c>
      <c r="E263" s="10" t="s">
        <v>455</v>
      </c>
      <c r="F263" s="10">
        <v>1</v>
      </c>
      <c r="G263" s="10" t="s">
        <v>67</v>
      </c>
      <c r="H263" s="10">
        <v>2.1499999999999998E-2</v>
      </c>
      <c r="I263" s="10">
        <v>3.75</v>
      </c>
      <c r="J263" s="10">
        <v>2.5</v>
      </c>
      <c r="K263" s="10">
        <v>4.25</v>
      </c>
      <c r="L263" s="10">
        <v>0</v>
      </c>
      <c r="M263" s="10">
        <v>0</v>
      </c>
      <c r="N263" s="10">
        <v>0.25</v>
      </c>
      <c r="O263" s="13">
        <v>45536</v>
      </c>
      <c r="P263" s="10" t="s">
        <v>68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AB263" s="14">
        <f t="shared" si="4"/>
        <v>2.5</v>
      </c>
    </row>
    <row r="264" spans="1:28">
      <c r="A264" s="10">
        <v>928532</v>
      </c>
      <c r="B264" s="10" t="s">
        <v>687</v>
      </c>
      <c r="C264" s="10" t="s">
        <v>688</v>
      </c>
      <c r="D264" s="10" t="s">
        <v>71</v>
      </c>
      <c r="E264" s="10" t="s">
        <v>689</v>
      </c>
      <c r="F264" s="10">
        <v>2</v>
      </c>
      <c r="G264" s="10" t="s">
        <v>73</v>
      </c>
      <c r="H264" s="10">
        <v>4.6699999999999998E-2</v>
      </c>
      <c r="I264" s="10">
        <v>4.75</v>
      </c>
      <c r="J264" s="10">
        <v>0.08</v>
      </c>
      <c r="K264" s="10">
        <v>5.45</v>
      </c>
      <c r="L264" s="10">
        <v>9.75</v>
      </c>
      <c r="M264" s="10">
        <v>0</v>
      </c>
      <c r="N264" s="10">
        <v>1</v>
      </c>
      <c r="O264" s="13">
        <v>45901</v>
      </c>
      <c r="P264" s="10" t="s">
        <v>82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2.5</v>
      </c>
      <c r="AB264" s="14">
        <f t="shared" si="4"/>
        <v>2.4</v>
      </c>
    </row>
    <row r="265" spans="1:28">
      <c r="A265" s="10">
        <v>928715</v>
      </c>
      <c r="B265" s="10" t="s">
        <v>690</v>
      </c>
      <c r="C265" s="10" t="s">
        <v>691</v>
      </c>
      <c r="D265" s="10" t="s">
        <v>71</v>
      </c>
      <c r="E265" s="10" t="s">
        <v>663</v>
      </c>
      <c r="F265" s="10">
        <v>3</v>
      </c>
      <c r="G265" s="10" t="s">
        <v>73</v>
      </c>
      <c r="H265" s="10">
        <v>0.05</v>
      </c>
      <c r="I265" s="10">
        <v>3.5</v>
      </c>
      <c r="J265" s="10">
        <v>4</v>
      </c>
      <c r="K265" s="10">
        <v>8</v>
      </c>
      <c r="L265" s="10">
        <v>9.5</v>
      </c>
      <c r="M265" s="10">
        <v>0</v>
      </c>
      <c r="N265" s="10">
        <v>0</v>
      </c>
      <c r="O265" s="13">
        <v>45847</v>
      </c>
      <c r="P265" s="10" t="s">
        <v>68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AB265" s="14">
        <f t="shared" si="4"/>
        <v>4</v>
      </c>
    </row>
    <row r="266" spans="1:28">
      <c r="A266" s="10">
        <v>111</v>
      </c>
      <c r="B266" s="10" t="s">
        <v>692</v>
      </c>
      <c r="C266" s="10" t="s">
        <v>693</v>
      </c>
      <c r="D266" s="10" t="s">
        <v>65</v>
      </c>
      <c r="E266" s="10" t="s">
        <v>694</v>
      </c>
      <c r="F266" s="10">
        <v>1</v>
      </c>
      <c r="G266" s="10" t="s">
        <v>73</v>
      </c>
      <c r="H266" s="10">
        <v>2.8500000000000001E-2</v>
      </c>
      <c r="I266" s="10">
        <v>4</v>
      </c>
      <c r="J266" s="10">
        <v>3</v>
      </c>
      <c r="K266" s="10">
        <v>6.25</v>
      </c>
      <c r="L266" s="10">
        <v>0</v>
      </c>
      <c r="M266" s="10">
        <v>0</v>
      </c>
      <c r="N266" s="10">
        <v>1</v>
      </c>
      <c r="O266" s="13">
        <v>45901</v>
      </c>
      <c r="P266" s="10" t="s">
        <v>68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AB266" s="14">
        <f t="shared" si="4"/>
        <v>3</v>
      </c>
    </row>
    <row r="267" spans="1:28">
      <c r="A267" s="10">
        <v>937535</v>
      </c>
      <c r="B267" s="10" t="s">
        <v>695</v>
      </c>
      <c r="C267" s="10" t="s">
        <v>696</v>
      </c>
      <c r="D267" s="10" t="s">
        <v>71</v>
      </c>
      <c r="E267" s="10" t="s">
        <v>689</v>
      </c>
      <c r="F267" s="10">
        <v>2</v>
      </c>
      <c r="G267" s="10" t="s">
        <v>67</v>
      </c>
      <c r="H267" s="10">
        <v>4.5600000000000002E-2</v>
      </c>
      <c r="I267" s="10">
        <v>4.75</v>
      </c>
      <c r="J267" s="10">
        <v>8.5000000000000006E-2</v>
      </c>
      <c r="K267" s="10">
        <v>5.75</v>
      </c>
      <c r="L267" s="10">
        <v>9.75</v>
      </c>
      <c r="M267" s="10">
        <v>0</v>
      </c>
      <c r="N267" s="10">
        <v>0</v>
      </c>
      <c r="O267" s="13">
        <v>45536</v>
      </c>
      <c r="P267" s="10" t="s">
        <v>68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2.5499999999999998</v>
      </c>
      <c r="AB267" s="14">
        <f t="shared" si="4"/>
        <v>2.5500000000000003</v>
      </c>
    </row>
    <row r="268" spans="1:28">
      <c r="A268" s="10">
        <v>602005</v>
      </c>
      <c r="B268" s="10" t="s">
        <v>697</v>
      </c>
      <c r="C268" s="10" t="s">
        <v>698</v>
      </c>
      <c r="D268" s="10" t="s">
        <v>136</v>
      </c>
      <c r="E268" s="10" t="s">
        <v>699</v>
      </c>
      <c r="F268" s="10">
        <v>1</v>
      </c>
      <c r="G268" s="10" t="s">
        <v>67</v>
      </c>
      <c r="H268" s="10">
        <v>1.5699999999999999E-2</v>
      </c>
      <c r="I268" s="10">
        <v>2.35</v>
      </c>
      <c r="J268" s="10">
        <v>2</v>
      </c>
      <c r="K268" s="10">
        <v>3</v>
      </c>
      <c r="L268" s="10">
        <v>0</v>
      </c>
      <c r="M268" s="10">
        <v>0</v>
      </c>
      <c r="N268" s="10">
        <v>0.5</v>
      </c>
      <c r="O268" s="13">
        <v>45536</v>
      </c>
      <c r="P268" s="10" t="s">
        <v>82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AB268" s="14">
        <f t="shared" si="4"/>
        <v>2</v>
      </c>
    </row>
    <row r="269" spans="1:28">
      <c r="A269" s="10">
        <v>331015</v>
      </c>
      <c r="B269" s="10" t="s">
        <v>700</v>
      </c>
      <c r="C269" s="10" t="s">
        <v>701</v>
      </c>
      <c r="D269" s="10" t="s">
        <v>76</v>
      </c>
      <c r="E269" s="10" t="s">
        <v>238</v>
      </c>
      <c r="F269" s="10">
        <v>4</v>
      </c>
      <c r="G269" s="10" t="s">
        <v>73</v>
      </c>
      <c r="H269" s="10">
        <v>2.5000000000000001E-2</v>
      </c>
      <c r="I269" s="10">
        <v>5</v>
      </c>
      <c r="J269" s="10">
        <v>2.5</v>
      </c>
      <c r="K269" s="10">
        <v>5</v>
      </c>
      <c r="L269" s="10">
        <v>0</v>
      </c>
      <c r="M269" s="10">
        <v>0</v>
      </c>
      <c r="N269" s="10">
        <v>0</v>
      </c>
      <c r="O269" s="13">
        <v>45838</v>
      </c>
      <c r="P269" s="10" t="s">
        <v>68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AB269" s="14">
        <f t="shared" si="4"/>
        <v>2.5</v>
      </c>
    </row>
    <row r="270" spans="1:28">
      <c r="A270" s="10">
        <v>937534</v>
      </c>
      <c r="B270" s="10" t="s">
        <v>702</v>
      </c>
      <c r="C270" s="10" t="s">
        <v>703</v>
      </c>
      <c r="D270" s="10" t="s">
        <v>71</v>
      </c>
      <c r="E270" s="10" t="s">
        <v>704</v>
      </c>
      <c r="F270" s="10">
        <v>2</v>
      </c>
      <c r="G270" s="10" t="s">
        <v>73</v>
      </c>
      <c r="H270" s="10">
        <v>5.2400000000000002E-2</v>
      </c>
      <c r="I270" s="10">
        <v>5.0999999999999996</v>
      </c>
      <c r="J270" s="10">
        <v>9.5000000000000001E-2</v>
      </c>
      <c r="K270" s="10">
        <v>6.25</v>
      </c>
      <c r="L270" s="10">
        <v>12</v>
      </c>
      <c r="M270" s="10">
        <v>0</v>
      </c>
      <c r="N270" s="10">
        <v>0</v>
      </c>
      <c r="O270" s="13">
        <v>45901</v>
      </c>
      <c r="P270" s="10" t="s">
        <v>68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2.85</v>
      </c>
      <c r="AB270" s="14">
        <f t="shared" si="4"/>
        <v>2.85</v>
      </c>
    </row>
    <row r="271" spans="1:28">
      <c r="A271" s="10">
        <v>797660</v>
      </c>
      <c r="B271" s="10" t="s">
        <v>705</v>
      </c>
      <c r="C271" s="10" t="s">
        <v>706</v>
      </c>
      <c r="D271" s="10" t="s">
        <v>168</v>
      </c>
      <c r="E271" s="10" t="s">
        <v>526</v>
      </c>
      <c r="F271" s="10">
        <v>1</v>
      </c>
      <c r="G271" s="10" t="s">
        <v>73</v>
      </c>
      <c r="H271" s="10">
        <v>4.1300000000000003E-2</v>
      </c>
      <c r="I271" s="10">
        <v>1.4</v>
      </c>
      <c r="J271" s="10">
        <v>3.6</v>
      </c>
      <c r="K271" s="10">
        <v>12.1</v>
      </c>
      <c r="L271" s="10">
        <v>0</v>
      </c>
      <c r="M271" s="10">
        <v>3.05</v>
      </c>
      <c r="N271" s="10">
        <v>0.5</v>
      </c>
      <c r="O271" s="13">
        <v>45901</v>
      </c>
      <c r="P271" s="10" t="s">
        <v>68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AB271" s="14">
        <f t="shared" si="4"/>
        <v>3.6</v>
      </c>
    </row>
    <row r="272" spans="1:28">
      <c r="A272" s="10">
        <v>417205</v>
      </c>
      <c r="B272" s="10" t="s">
        <v>707</v>
      </c>
      <c r="C272" s="10" t="s">
        <v>708</v>
      </c>
      <c r="D272" s="10" t="s">
        <v>80</v>
      </c>
      <c r="E272" s="10" t="s">
        <v>709</v>
      </c>
      <c r="F272" s="10">
        <v>1</v>
      </c>
      <c r="G272" s="10" t="s">
        <v>73</v>
      </c>
      <c r="H272" s="10">
        <v>2.9000000000000001E-2</v>
      </c>
      <c r="I272" s="10">
        <v>3.5</v>
      </c>
      <c r="J272" s="10">
        <v>3</v>
      </c>
      <c r="K272" s="10">
        <v>8</v>
      </c>
      <c r="L272" s="10">
        <v>0</v>
      </c>
      <c r="M272" s="10">
        <v>0</v>
      </c>
      <c r="N272" s="10">
        <v>0</v>
      </c>
      <c r="O272" s="13">
        <v>45870</v>
      </c>
      <c r="P272" s="10" t="s">
        <v>68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AB272" s="14">
        <f t="shared" si="4"/>
        <v>3</v>
      </c>
    </row>
    <row r="273" spans="1:28">
      <c r="A273" s="10">
        <v>754585</v>
      </c>
      <c r="B273" s="10" t="s">
        <v>710</v>
      </c>
      <c r="C273" s="10" t="s">
        <v>711</v>
      </c>
      <c r="D273" s="10" t="s">
        <v>132</v>
      </c>
      <c r="E273" s="10" t="s">
        <v>99</v>
      </c>
      <c r="F273" s="10">
        <v>1</v>
      </c>
      <c r="G273" s="10" t="s">
        <v>73</v>
      </c>
      <c r="H273" s="10">
        <v>2.1899999999999999E-2</v>
      </c>
      <c r="I273" s="10">
        <v>3.5</v>
      </c>
      <c r="J273" s="10">
        <v>8.2000000000000003E-2</v>
      </c>
      <c r="K273" s="10">
        <v>4.5</v>
      </c>
      <c r="L273" s="10">
        <v>0</v>
      </c>
      <c r="M273" s="10">
        <v>0</v>
      </c>
      <c r="N273" s="10">
        <v>0.5</v>
      </c>
      <c r="O273" s="13">
        <v>45915</v>
      </c>
      <c r="P273" s="10" t="s">
        <v>68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AB273" s="14">
        <f t="shared" si="4"/>
        <v>2.46</v>
      </c>
    </row>
    <row r="274" spans="1:28">
      <c r="A274" s="10">
        <v>867017</v>
      </c>
      <c r="B274" s="10" t="s">
        <v>712</v>
      </c>
      <c r="C274" s="10" t="s">
        <v>713</v>
      </c>
      <c r="D274" s="10" t="s">
        <v>71</v>
      </c>
      <c r="E274" s="10" t="s">
        <v>675</v>
      </c>
      <c r="F274" s="10">
        <v>2</v>
      </c>
      <c r="G274" s="10" t="s">
        <v>67</v>
      </c>
      <c r="H274" s="10">
        <v>4.8000000000000001E-2</v>
      </c>
      <c r="I274" s="10">
        <v>5</v>
      </c>
      <c r="J274" s="10">
        <v>2.5</v>
      </c>
      <c r="K274" s="10">
        <v>6.25</v>
      </c>
      <c r="L274" s="10">
        <v>10.25</v>
      </c>
      <c r="M274" s="10">
        <v>0</v>
      </c>
      <c r="N274" s="10">
        <v>0</v>
      </c>
      <c r="O274" s="13">
        <v>45536</v>
      </c>
      <c r="P274" s="10" t="s">
        <v>68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AB274" s="14">
        <f t="shared" si="4"/>
        <v>2.5</v>
      </c>
    </row>
    <row r="275" spans="1:28">
      <c r="A275" s="10">
        <v>935002</v>
      </c>
      <c r="B275" s="10" t="s">
        <v>714</v>
      </c>
      <c r="C275" s="10" t="s">
        <v>715</v>
      </c>
      <c r="D275" s="10" t="s">
        <v>71</v>
      </c>
      <c r="E275" s="10" t="s">
        <v>340</v>
      </c>
      <c r="F275" s="10">
        <v>2</v>
      </c>
      <c r="G275" s="10" t="s">
        <v>73</v>
      </c>
      <c r="H275" s="10">
        <v>4.7199999999999999E-2</v>
      </c>
      <c r="I275" s="10">
        <v>4.3499999999999996</v>
      </c>
      <c r="J275" s="10">
        <v>7.4999999999999997E-2</v>
      </c>
      <c r="K275" s="10">
        <v>5.75</v>
      </c>
      <c r="L275" s="10">
        <v>11.25</v>
      </c>
      <c r="M275" s="10">
        <v>0</v>
      </c>
      <c r="N275" s="10">
        <v>0</v>
      </c>
      <c r="O275" s="13">
        <v>45901</v>
      </c>
      <c r="P275" s="10" t="s">
        <v>82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2.25</v>
      </c>
      <c r="AB275" s="14">
        <f t="shared" si="4"/>
        <v>2.25</v>
      </c>
    </row>
    <row r="276" spans="1:28">
      <c r="A276" s="10">
        <v>326202</v>
      </c>
      <c r="B276" s="10" t="s">
        <v>716</v>
      </c>
      <c r="C276" s="10" t="s">
        <v>717</v>
      </c>
      <c r="D276" s="10" t="s">
        <v>76</v>
      </c>
      <c r="E276" s="10" t="s">
        <v>162</v>
      </c>
      <c r="F276" s="10">
        <v>4</v>
      </c>
      <c r="G276" s="10" t="s">
        <v>67</v>
      </c>
      <c r="H276" s="10">
        <v>3.9E-2</v>
      </c>
      <c r="I276" s="10">
        <v>3</v>
      </c>
      <c r="J276" s="10">
        <v>3</v>
      </c>
      <c r="K276" s="10">
        <v>5</v>
      </c>
      <c r="L276" s="10">
        <v>7.5</v>
      </c>
      <c r="M276" s="10">
        <v>0</v>
      </c>
      <c r="N276" s="10">
        <v>1</v>
      </c>
      <c r="O276" s="13">
        <v>45536</v>
      </c>
      <c r="P276" s="10" t="s">
        <v>68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AB276" s="14">
        <f t="shared" si="4"/>
        <v>3</v>
      </c>
    </row>
    <row r="277" spans="1:28">
      <c r="A277" s="10">
        <v>333503</v>
      </c>
      <c r="B277" s="10" t="s">
        <v>718</v>
      </c>
      <c r="C277" s="10" t="s">
        <v>717</v>
      </c>
      <c r="D277" s="10" t="s">
        <v>76</v>
      </c>
      <c r="E277" s="10" t="s">
        <v>162</v>
      </c>
      <c r="F277" s="10">
        <v>4</v>
      </c>
      <c r="G277" s="10" t="s">
        <v>67</v>
      </c>
      <c r="H277" s="10">
        <v>2.1999999999999999E-2</v>
      </c>
      <c r="I277" s="10">
        <v>3.5</v>
      </c>
      <c r="J277" s="10">
        <v>2.5</v>
      </c>
      <c r="K277" s="10">
        <v>4.5</v>
      </c>
      <c r="L277" s="10">
        <v>0</v>
      </c>
      <c r="M277" s="10">
        <v>0</v>
      </c>
      <c r="N277" s="10">
        <v>0.5</v>
      </c>
      <c r="O277" s="13">
        <v>45536</v>
      </c>
      <c r="P277" s="10" t="s">
        <v>68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AB277" s="14">
        <f t="shared" si="4"/>
        <v>2.5</v>
      </c>
    </row>
    <row r="278" spans="1:28">
      <c r="A278" s="10">
        <v>936006</v>
      </c>
      <c r="B278" s="10" t="s">
        <v>719</v>
      </c>
      <c r="C278" s="10" t="s">
        <v>720</v>
      </c>
      <c r="D278" s="10" t="s">
        <v>71</v>
      </c>
      <c r="E278" s="10" t="s">
        <v>721</v>
      </c>
      <c r="F278" s="10">
        <v>2</v>
      </c>
      <c r="G278" s="10" t="s">
        <v>73</v>
      </c>
      <c r="H278" s="10">
        <v>4.7199999999999999E-2</v>
      </c>
      <c r="I278" s="10">
        <v>4.3499999999999996</v>
      </c>
      <c r="J278" s="10">
        <v>7.4999999999999997E-2</v>
      </c>
      <c r="K278" s="10">
        <v>5.75</v>
      </c>
      <c r="L278" s="10">
        <v>11.25</v>
      </c>
      <c r="M278" s="10">
        <v>0</v>
      </c>
      <c r="N278" s="10">
        <v>0</v>
      </c>
      <c r="O278" s="13">
        <v>45901</v>
      </c>
      <c r="P278" s="10" t="s">
        <v>82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2.25</v>
      </c>
      <c r="AB278" s="14">
        <f t="shared" si="4"/>
        <v>2.25</v>
      </c>
    </row>
    <row r="279" spans="1:28">
      <c r="A279" s="10">
        <v>985505</v>
      </c>
      <c r="B279" s="10" t="s">
        <v>722</v>
      </c>
      <c r="C279" s="10" t="s">
        <v>723</v>
      </c>
      <c r="D279" s="10" t="s">
        <v>324</v>
      </c>
      <c r="E279" s="10" t="s">
        <v>723</v>
      </c>
      <c r="F279" s="10">
        <v>1</v>
      </c>
      <c r="G279" s="10" t="s">
        <v>67</v>
      </c>
      <c r="H279" s="10">
        <v>2.2499999999999999E-2</v>
      </c>
      <c r="I279" s="10">
        <v>4</v>
      </c>
      <c r="J279" s="10">
        <v>2.25</v>
      </c>
      <c r="K279" s="10">
        <v>4</v>
      </c>
      <c r="L279" s="10">
        <v>0</v>
      </c>
      <c r="M279" s="10">
        <v>0</v>
      </c>
      <c r="N279" s="10">
        <v>1</v>
      </c>
      <c r="O279" s="13">
        <v>45536</v>
      </c>
      <c r="P279" s="10" t="s">
        <v>68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AB279" s="14">
        <f t="shared" ref="AB279:AB322" si="5">IF(J279&lt;1,J279*30,J279)</f>
        <v>2.25</v>
      </c>
    </row>
    <row r="280" spans="1:28">
      <c r="A280" s="10">
        <v>337525</v>
      </c>
      <c r="B280" s="10" t="s">
        <v>724</v>
      </c>
      <c r="C280" s="10" t="s">
        <v>725</v>
      </c>
      <c r="D280" s="10" t="s">
        <v>76</v>
      </c>
      <c r="E280" s="10" t="s">
        <v>120</v>
      </c>
      <c r="F280" s="10">
        <v>4</v>
      </c>
      <c r="G280" s="10" t="s">
        <v>73</v>
      </c>
      <c r="H280" s="10">
        <v>3.9E-2</v>
      </c>
      <c r="I280" s="10">
        <v>3</v>
      </c>
      <c r="J280" s="10">
        <v>3</v>
      </c>
      <c r="K280" s="10">
        <v>5</v>
      </c>
      <c r="L280" s="10">
        <v>7.5</v>
      </c>
      <c r="M280" s="10">
        <v>0</v>
      </c>
      <c r="N280" s="10">
        <v>1</v>
      </c>
      <c r="O280" s="13">
        <v>45831</v>
      </c>
      <c r="P280" s="10" t="s">
        <v>68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AB280" s="14">
        <f t="shared" si="5"/>
        <v>3</v>
      </c>
    </row>
    <row r="281" spans="1:28">
      <c r="A281" s="10">
        <v>96505</v>
      </c>
      <c r="B281" s="10" t="s">
        <v>726</v>
      </c>
      <c r="C281" s="10" t="s">
        <v>727</v>
      </c>
      <c r="D281" s="10" t="s">
        <v>65</v>
      </c>
      <c r="E281" s="10" t="s">
        <v>728</v>
      </c>
      <c r="F281" s="10">
        <v>1</v>
      </c>
      <c r="G281" s="10" t="s">
        <v>67</v>
      </c>
      <c r="H281" s="10">
        <v>4.1500000000000002E-2</v>
      </c>
      <c r="I281" s="10">
        <v>4</v>
      </c>
      <c r="J281" s="10">
        <v>2.75</v>
      </c>
      <c r="K281" s="10">
        <v>6</v>
      </c>
      <c r="L281" s="10">
        <v>7</v>
      </c>
      <c r="M281" s="10">
        <v>0</v>
      </c>
      <c r="N281" s="10">
        <v>1</v>
      </c>
      <c r="O281" s="13">
        <v>45566</v>
      </c>
      <c r="P281" s="10" t="s">
        <v>68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AB281" s="14">
        <f t="shared" si="5"/>
        <v>2.75</v>
      </c>
    </row>
    <row r="282" spans="1:28">
      <c r="A282" s="10">
        <v>840509</v>
      </c>
      <c r="B282" s="10" t="s">
        <v>729</v>
      </c>
      <c r="C282" s="10" t="s">
        <v>730</v>
      </c>
      <c r="D282" s="10" t="s">
        <v>71</v>
      </c>
      <c r="E282" s="10" t="s">
        <v>731</v>
      </c>
      <c r="F282" s="10">
        <v>3</v>
      </c>
      <c r="G282" s="10" t="s">
        <v>73</v>
      </c>
      <c r="H282" s="10">
        <v>5.3999999999999999E-2</v>
      </c>
      <c r="I282" s="10">
        <v>5.5</v>
      </c>
      <c r="J282" s="10">
        <v>4</v>
      </c>
      <c r="K282" s="10">
        <v>17.5</v>
      </c>
      <c r="L282" s="10">
        <v>0</v>
      </c>
      <c r="M282" s="10">
        <v>0</v>
      </c>
      <c r="N282" s="10">
        <v>0</v>
      </c>
      <c r="O282" s="13">
        <v>45839</v>
      </c>
      <c r="P282" s="10" t="s">
        <v>68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AB282" s="14">
        <f t="shared" si="5"/>
        <v>4</v>
      </c>
    </row>
    <row r="283" spans="1:28">
      <c r="A283" s="10">
        <v>937530</v>
      </c>
      <c r="B283" s="10" t="s">
        <v>83</v>
      </c>
      <c r="C283" s="10" t="s">
        <v>732</v>
      </c>
      <c r="D283" s="10" t="s">
        <v>71</v>
      </c>
      <c r="E283" s="10" t="s">
        <v>731</v>
      </c>
      <c r="F283" s="10">
        <v>2</v>
      </c>
      <c r="G283" s="10" t="s">
        <v>73</v>
      </c>
      <c r="H283" s="10">
        <v>5.0700000000000002E-2</v>
      </c>
      <c r="I283" s="10">
        <v>5.15</v>
      </c>
      <c r="J283" s="10">
        <v>6.5000000000000002E-2</v>
      </c>
      <c r="K283" s="10">
        <v>6.25</v>
      </c>
      <c r="L283" s="10">
        <v>12</v>
      </c>
      <c r="M283" s="10">
        <v>0</v>
      </c>
      <c r="N283" s="10">
        <v>0</v>
      </c>
      <c r="O283" s="13">
        <v>45870</v>
      </c>
      <c r="P283" s="10" t="s">
        <v>68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1.95</v>
      </c>
      <c r="AB283" s="14">
        <f t="shared" si="5"/>
        <v>1.9500000000000002</v>
      </c>
    </row>
    <row r="284" spans="1:28">
      <c r="A284" s="10">
        <v>339007</v>
      </c>
      <c r="B284" s="10" t="s">
        <v>733</v>
      </c>
      <c r="C284" s="10" t="s">
        <v>734</v>
      </c>
      <c r="D284" s="10" t="s">
        <v>76</v>
      </c>
      <c r="E284" s="10" t="s">
        <v>735</v>
      </c>
      <c r="F284" s="10">
        <v>4</v>
      </c>
      <c r="G284" s="10" t="s">
        <v>73</v>
      </c>
      <c r="H284" s="10">
        <v>2.9000000000000001E-2</v>
      </c>
      <c r="I284" s="10">
        <v>3.75</v>
      </c>
      <c r="J284" s="10">
        <v>3.75</v>
      </c>
      <c r="K284" s="10">
        <v>6</v>
      </c>
      <c r="L284" s="10">
        <v>0</v>
      </c>
      <c r="M284" s="10">
        <v>0</v>
      </c>
      <c r="N284" s="10">
        <v>1</v>
      </c>
      <c r="O284" s="13">
        <v>45826</v>
      </c>
      <c r="P284" s="10" t="s">
        <v>68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AB284" s="14">
        <f t="shared" si="5"/>
        <v>3.75</v>
      </c>
    </row>
    <row r="285" spans="1:28">
      <c r="A285" s="10">
        <v>339733</v>
      </c>
      <c r="B285" s="10" t="s">
        <v>736</v>
      </c>
      <c r="C285" s="10" t="s">
        <v>737</v>
      </c>
      <c r="D285" s="10" t="s">
        <v>76</v>
      </c>
      <c r="E285" s="10" t="s">
        <v>738</v>
      </c>
      <c r="F285" s="10">
        <v>4</v>
      </c>
      <c r="G285" s="10" t="s">
        <v>73</v>
      </c>
      <c r="H285" s="10">
        <v>2.1000000000000001E-2</v>
      </c>
      <c r="I285" s="10">
        <v>2.5</v>
      </c>
      <c r="J285" s="10">
        <v>2.5</v>
      </c>
      <c r="K285" s="10">
        <v>4.5</v>
      </c>
      <c r="L285" s="10">
        <v>0</v>
      </c>
      <c r="M285" s="10">
        <v>0</v>
      </c>
      <c r="N285" s="10">
        <v>1</v>
      </c>
      <c r="O285" s="13">
        <v>45845</v>
      </c>
      <c r="P285" s="10" t="s">
        <v>68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AB285" s="14">
        <f t="shared" si="5"/>
        <v>2.5</v>
      </c>
    </row>
    <row r="286" spans="1:28">
      <c r="A286" s="10">
        <v>340015</v>
      </c>
      <c r="B286" s="10" t="s">
        <v>739</v>
      </c>
      <c r="C286" s="10" t="s">
        <v>740</v>
      </c>
      <c r="D286" s="10" t="s">
        <v>76</v>
      </c>
      <c r="E286" s="10" t="s">
        <v>741</v>
      </c>
      <c r="F286" s="10">
        <v>4</v>
      </c>
      <c r="G286" s="10" t="s">
        <v>73</v>
      </c>
      <c r="H286" s="10">
        <v>2.9000000000000001E-2</v>
      </c>
      <c r="I286" s="10">
        <v>4</v>
      </c>
      <c r="J286" s="10">
        <v>3</v>
      </c>
      <c r="K286" s="10">
        <v>6</v>
      </c>
      <c r="L286" s="10">
        <v>0</v>
      </c>
      <c r="M286" s="10">
        <v>0</v>
      </c>
      <c r="N286" s="10">
        <v>1.5</v>
      </c>
      <c r="O286" s="13">
        <v>45859</v>
      </c>
      <c r="P286" s="10" t="s">
        <v>68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AB286" s="14">
        <f t="shared" si="5"/>
        <v>3</v>
      </c>
    </row>
    <row r="287" spans="1:28">
      <c r="A287" s="10">
        <v>939033</v>
      </c>
      <c r="B287" s="10" t="s">
        <v>742</v>
      </c>
      <c r="C287" s="10" t="s">
        <v>743</v>
      </c>
      <c r="D287" s="10" t="s">
        <v>71</v>
      </c>
      <c r="E287" s="10" t="s">
        <v>608</v>
      </c>
      <c r="F287" s="10">
        <v>2</v>
      </c>
      <c r="G287" s="10" t="s">
        <v>73</v>
      </c>
      <c r="H287" s="10">
        <v>4.6699999999999998E-2</v>
      </c>
      <c r="I287" s="10">
        <v>4.75</v>
      </c>
      <c r="J287" s="10">
        <v>0.08</v>
      </c>
      <c r="K287" s="10">
        <v>5.45</v>
      </c>
      <c r="L287" s="10">
        <v>9.75</v>
      </c>
      <c r="M287" s="10">
        <v>0</v>
      </c>
      <c r="N287" s="10">
        <v>1</v>
      </c>
      <c r="O287" s="13">
        <v>45901</v>
      </c>
      <c r="P287" s="10" t="s">
        <v>68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2.5</v>
      </c>
      <c r="AB287" s="14">
        <f t="shared" si="5"/>
        <v>2.4</v>
      </c>
    </row>
    <row r="288" spans="1:28">
      <c r="A288" s="10">
        <v>99010</v>
      </c>
      <c r="B288" s="10" t="s">
        <v>744</v>
      </c>
      <c r="C288" s="10" t="s">
        <v>745</v>
      </c>
      <c r="D288" s="10" t="s">
        <v>65</v>
      </c>
      <c r="E288" s="10" t="s">
        <v>245</v>
      </c>
      <c r="F288" s="10">
        <v>1</v>
      </c>
      <c r="G288" s="10" t="s">
        <v>67</v>
      </c>
      <c r="H288" s="10">
        <v>2.69E-2</v>
      </c>
      <c r="I288" s="10">
        <v>3.2</v>
      </c>
      <c r="J288" s="10">
        <v>1.75</v>
      </c>
      <c r="K288" s="10">
        <v>8</v>
      </c>
      <c r="L288" s="10">
        <v>0</v>
      </c>
      <c r="M288" s="10">
        <v>0</v>
      </c>
      <c r="N288" s="10">
        <v>0.5</v>
      </c>
      <c r="O288" s="13">
        <v>45536</v>
      </c>
      <c r="P288" s="10" t="s">
        <v>68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AB288" s="14">
        <f t="shared" si="5"/>
        <v>1.75</v>
      </c>
    </row>
    <row r="289" spans="1:28">
      <c r="A289" s="10">
        <v>418515</v>
      </c>
      <c r="B289" s="10" t="s">
        <v>746</v>
      </c>
      <c r="C289" s="10" t="s">
        <v>747</v>
      </c>
      <c r="D289" s="10" t="s">
        <v>80</v>
      </c>
      <c r="E289" s="10" t="s">
        <v>457</v>
      </c>
      <c r="F289" s="10">
        <v>1</v>
      </c>
      <c r="G289" s="10" t="s">
        <v>73</v>
      </c>
      <c r="H289" s="10">
        <v>3.8899999999999997E-2</v>
      </c>
      <c r="I289" s="10">
        <v>2.4</v>
      </c>
      <c r="J289" s="10">
        <v>3</v>
      </c>
      <c r="K289" s="10">
        <v>4</v>
      </c>
      <c r="L289" s="10">
        <v>7</v>
      </c>
      <c r="M289" s="10">
        <v>3.05</v>
      </c>
      <c r="N289" s="10">
        <v>0</v>
      </c>
      <c r="O289" s="13">
        <v>45901</v>
      </c>
      <c r="P289" s="10" t="s">
        <v>82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AB289" s="14">
        <f t="shared" si="5"/>
        <v>3</v>
      </c>
    </row>
    <row r="290" spans="1:28">
      <c r="A290" s="10">
        <v>605515</v>
      </c>
      <c r="B290" s="10" t="s">
        <v>748</v>
      </c>
      <c r="C290" s="10" t="s">
        <v>749</v>
      </c>
      <c r="D290" s="10" t="s">
        <v>136</v>
      </c>
      <c r="E290" s="10" t="s">
        <v>750</v>
      </c>
      <c r="F290" s="10">
        <v>1</v>
      </c>
      <c r="G290" s="10" t="s">
        <v>73</v>
      </c>
      <c r="H290" s="10">
        <v>2.2700000000000001E-2</v>
      </c>
      <c r="I290" s="10">
        <v>4.05</v>
      </c>
      <c r="J290" s="10">
        <v>2.25</v>
      </c>
      <c r="K290" s="10">
        <v>4.05</v>
      </c>
      <c r="L290" s="10">
        <v>0</v>
      </c>
      <c r="M290" s="10">
        <v>0</v>
      </c>
      <c r="N290" s="10">
        <v>1</v>
      </c>
      <c r="O290" s="13">
        <v>45901</v>
      </c>
      <c r="P290" s="10" t="s">
        <v>68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AB290" s="14">
        <f t="shared" si="5"/>
        <v>2.25</v>
      </c>
    </row>
    <row r="291" spans="1:28">
      <c r="A291" s="10">
        <v>840516</v>
      </c>
      <c r="B291" s="10" t="s">
        <v>751</v>
      </c>
      <c r="C291" s="10" t="s">
        <v>752</v>
      </c>
      <c r="D291" s="10" t="s">
        <v>71</v>
      </c>
      <c r="E291" s="10" t="s">
        <v>753</v>
      </c>
      <c r="F291" s="10">
        <v>3</v>
      </c>
      <c r="G291" s="10" t="s">
        <v>73</v>
      </c>
      <c r="H291" s="10">
        <v>5.3999999999999999E-2</v>
      </c>
      <c r="I291" s="10">
        <v>5.5</v>
      </c>
      <c r="J291" s="10">
        <v>4</v>
      </c>
      <c r="K291" s="10">
        <v>17.5</v>
      </c>
      <c r="L291" s="10">
        <v>0</v>
      </c>
      <c r="M291" s="10">
        <v>0</v>
      </c>
      <c r="N291" s="10">
        <v>0</v>
      </c>
      <c r="O291" s="13">
        <v>45839</v>
      </c>
      <c r="P291" s="10" t="s">
        <v>68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AB291" s="14">
        <f t="shared" si="5"/>
        <v>4</v>
      </c>
    </row>
    <row r="292" spans="1:28">
      <c r="A292" s="10">
        <v>940015</v>
      </c>
      <c r="B292" s="10" t="s">
        <v>754</v>
      </c>
      <c r="C292" s="10" t="s">
        <v>752</v>
      </c>
      <c r="D292" s="10" t="s">
        <v>71</v>
      </c>
      <c r="E292" s="10" t="s">
        <v>753</v>
      </c>
      <c r="F292" s="10">
        <v>3</v>
      </c>
      <c r="G292" s="10" t="s">
        <v>73</v>
      </c>
      <c r="H292" s="10">
        <v>5.3499999999999999E-2</v>
      </c>
      <c r="I292" s="10">
        <v>4.5</v>
      </c>
      <c r="J292" s="10">
        <v>3.5</v>
      </c>
      <c r="K292" s="10">
        <v>6.75</v>
      </c>
      <c r="L292" s="10">
        <v>12</v>
      </c>
      <c r="M292" s="10">
        <v>0</v>
      </c>
      <c r="N292" s="10">
        <v>0</v>
      </c>
      <c r="O292" s="13">
        <v>45839</v>
      </c>
      <c r="P292" s="10" t="s">
        <v>68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AB292" s="14">
        <f t="shared" si="5"/>
        <v>3.5</v>
      </c>
    </row>
    <row r="293" spans="1:28">
      <c r="A293" s="10">
        <v>940025</v>
      </c>
      <c r="B293" s="10" t="s">
        <v>755</v>
      </c>
      <c r="C293" s="10" t="s">
        <v>752</v>
      </c>
      <c r="D293" s="10" t="s">
        <v>71</v>
      </c>
      <c r="E293" s="10" t="s">
        <v>753</v>
      </c>
      <c r="F293" s="10">
        <v>3</v>
      </c>
      <c r="G293" s="10" t="s">
        <v>73</v>
      </c>
      <c r="H293" s="10">
        <v>5.3499999999999999E-2</v>
      </c>
      <c r="I293" s="10">
        <v>4.5</v>
      </c>
      <c r="J293" s="10">
        <v>3.5</v>
      </c>
      <c r="K293" s="10">
        <v>6.75</v>
      </c>
      <c r="L293" s="10">
        <v>12</v>
      </c>
      <c r="M293" s="10">
        <v>0</v>
      </c>
      <c r="N293" s="10">
        <v>0</v>
      </c>
      <c r="O293" s="13">
        <v>45839</v>
      </c>
      <c r="P293" s="10" t="s">
        <v>68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AB293" s="14">
        <f t="shared" si="5"/>
        <v>3.5</v>
      </c>
    </row>
    <row r="294" spans="1:28">
      <c r="A294" s="10">
        <v>335533</v>
      </c>
      <c r="B294" s="10" t="s">
        <v>756</v>
      </c>
      <c r="C294" s="10" t="s">
        <v>757</v>
      </c>
      <c r="D294" s="10" t="s">
        <v>76</v>
      </c>
      <c r="E294" s="10" t="s">
        <v>758</v>
      </c>
      <c r="F294" s="10">
        <v>4</v>
      </c>
      <c r="G294" s="10" t="s">
        <v>73</v>
      </c>
      <c r="H294" s="10">
        <v>2.3900000000000001E-2</v>
      </c>
      <c r="I294" s="10">
        <v>3.25</v>
      </c>
      <c r="J294" s="10">
        <v>2.7</v>
      </c>
      <c r="K294" s="10">
        <v>5</v>
      </c>
      <c r="L294" s="10">
        <v>0</v>
      </c>
      <c r="M294" s="10">
        <v>0</v>
      </c>
      <c r="N294" s="10">
        <v>1</v>
      </c>
      <c r="O294" s="13">
        <v>9208</v>
      </c>
      <c r="P294" s="10" t="s">
        <v>68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AB294" s="14">
        <f t="shared" si="5"/>
        <v>2.7</v>
      </c>
    </row>
    <row r="295" spans="1:28">
      <c r="A295" s="10">
        <v>340100</v>
      </c>
      <c r="B295" s="10" t="s">
        <v>759</v>
      </c>
      <c r="C295" s="10" t="s">
        <v>760</v>
      </c>
      <c r="D295" s="10" t="s">
        <v>76</v>
      </c>
      <c r="E295" s="10" t="s">
        <v>614</v>
      </c>
      <c r="F295" s="10">
        <v>4</v>
      </c>
      <c r="G295" s="10" t="s">
        <v>73</v>
      </c>
      <c r="H295" s="10">
        <v>2.7E-2</v>
      </c>
      <c r="I295" s="10">
        <v>3.5</v>
      </c>
      <c r="J295" s="10">
        <v>3.5</v>
      </c>
      <c r="K295" s="10">
        <v>5.5</v>
      </c>
      <c r="L295" s="10">
        <v>0</v>
      </c>
      <c r="M295" s="10">
        <v>0</v>
      </c>
      <c r="N295" s="10">
        <v>1</v>
      </c>
      <c r="O295" s="13">
        <v>45846</v>
      </c>
      <c r="P295" s="10" t="s">
        <v>68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AB295" s="14">
        <f t="shared" si="5"/>
        <v>3.5</v>
      </c>
    </row>
    <row r="296" spans="1:28">
      <c r="A296" s="10">
        <v>944344</v>
      </c>
      <c r="B296" s="10" t="s">
        <v>761</v>
      </c>
      <c r="C296" s="10" t="s">
        <v>762</v>
      </c>
      <c r="D296" s="10" t="s">
        <v>71</v>
      </c>
      <c r="E296" s="10" t="s">
        <v>345</v>
      </c>
      <c r="F296" s="10">
        <v>3</v>
      </c>
      <c r="G296" s="10" t="s">
        <v>67</v>
      </c>
      <c r="H296" s="10">
        <v>4.07E-2</v>
      </c>
      <c r="I296" s="10">
        <v>3.25</v>
      </c>
      <c r="J296" s="10">
        <v>0.12</v>
      </c>
      <c r="K296" s="10">
        <v>6.25</v>
      </c>
      <c r="L296" s="10">
        <v>7.25</v>
      </c>
      <c r="M296" s="10">
        <v>0</v>
      </c>
      <c r="N296" s="10">
        <v>0</v>
      </c>
      <c r="O296" s="13">
        <v>45566</v>
      </c>
      <c r="P296" s="10" t="s">
        <v>68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AB296" s="14">
        <f t="shared" si="5"/>
        <v>3.5999999999999996</v>
      </c>
    </row>
    <row r="297" spans="1:28">
      <c r="A297" s="10">
        <v>577277</v>
      </c>
      <c r="B297" s="10" t="s">
        <v>763</v>
      </c>
      <c r="C297" s="10" t="s">
        <v>764</v>
      </c>
      <c r="D297" s="10" t="s">
        <v>136</v>
      </c>
      <c r="E297" s="10" t="s">
        <v>466</v>
      </c>
      <c r="F297" s="10">
        <v>1</v>
      </c>
      <c r="G297" s="10" t="s">
        <v>67</v>
      </c>
      <c r="H297" s="10">
        <v>0.02</v>
      </c>
      <c r="I297" s="10">
        <v>4</v>
      </c>
      <c r="J297" s="10">
        <v>2</v>
      </c>
      <c r="K297" s="10">
        <v>4</v>
      </c>
      <c r="L297" s="10">
        <v>0</v>
      </c>
      <c r="M297" s="10">
        <v>0</v>
      </c>
      <c r="N297" s="10">
        <v>0</v>
      </c>
      <c r="O297" s="13">
        <v>45566</v>
      </c>
      <c r="P297" s="10" t="s">
        <v>68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AB297" s="14">
        <f t="shared" si="5"/>
        <v>2</v>
      </c>
    </row>
    <row r="298" spans="1:28">
      <c r="A298" s="10">
        <v>913055</v>
      </c>
      <c r="B298" s="10" t="s">
        <v>765</v>
      </c>
      <c r="C298" s="10" t="s">
        <v>766</v>
      </c>
      <c r="D298" s="10" t="s">
        <v>71</v>
      </c>
      <c r="E298" s="10" t="s">
        <v>541</v>
      </c>
      <c r="F298" s="10">
        <v>2</v>
      </c>
      <c r="G298" s="10" t="s">
        <v>67</v>
      </c>
      <c r="H298" s="10">
        <v>4.7800000000000002E-2</v>
      </c>
      <c r="I298" s="10">
        <v>5</v>
      </c>
      <c r="J298" s="10">
        <v>0.08</v>
      </c>
      <c r="K298" s="10">
        <v>6.25</v>
      </c>
      <c r="L298" s="10">
        <v>10.25</v>
      </c>
      <c r="M298" s="10">
        <v>0</v>
      </c>
      <c r="N298" s="10">
        <v>0</v>
      </c>
      <c r="O298" s="13">
        <v>45536</v>
      </c>
      <c r="P298" s="10" t="s">
        <v>68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2.4</v>
      </c>
      <c r="AB298" s="14">
        <f t="shared" si="5"/>
        <v>2.4</v>
      </c>
    </row>
    <row r="299" spans="1:28">
      <c r="A299" s="10">
        <v>944708</v>
      </c>
      <c r="B299" s="10" t="s">
        <v>767</v>
      </c>
      <c r="C299" s="10" t="s">
        <v>766</v>
      </c>
      <c r="D299" s="10" t="s">
        <v>71</v>
      </c>
      <c r="E299" s="10" t="s">
        <v>768</v>
      </c>
      <c r="F299" s="10">
        <v>2</v>
      </c>
      <c r="G299" s="10" t="s">
        <v>67</v>
      </c>
      <c r="H299" s="10">
        <v>4.7800000000000002E-2</v>
      </c>
      <c r="I299" s="10">
        <v>5</v>
      </c>
      <c r="J299" s="10">
        <v>0.08</v>
      </c>
      <c r="K299" s="10">
        <v>6.25</v>
      </c>
      <c r="L299" s="10">
        <v>10.25</v>
      </c>
      <c r="M299" s="10">
        <v>0</v>
      </c>
      <c r="N299" s="10">
        <v>0</v>
      </c>
      <c r="O299" s="13">
        <v>45536</v>
      </c>
      <c r="P299" s="10" t="s">
        <v>68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2.4</v>
      </c>
      <c r="AB299" s="14">
        <f t="shared" si="5"/>
        <v>2.4</v>
      </c>
    </row>
    <row r="300" spans="1:28">
      <c r="A300" s="10">
        <v>499502</v>
      </c>
      <c r="B300" s="10" t="s">
        <v>769</v>
      </c>
      <c r="C300" s="10" t="s">
        <v>770</v>
      </c>
      <c r="D300" s="10" t="s">
        <v>128</v>
      </c>
      <c r="E300" s="10" t="s">
        <v>771</v>
      </c>
      <c r="F300" s="10">
        <v>1</v>
      </c>
      <c r="G300" s="10" t="s">
        <v>73</v>
      </c>
      <c r="H300" s="10">
        <v>3.9E-2</v>
      </c>
      <c r="I300" s="10">
        <v>1.85</v>
      </c>
      <c r="J300" s="10">
        <v>3</v>
      </c>
      <c r="K300" s="10">
        <v>4</v>
      </c>
      <c r="L300" s="10">
        <v>7</v>
      </c>
      <c r="M300" s="10">
        <v>3.05</v>
      </c>
      <c r="N300" s="10">
        <v>0</v>
      </c>
      <c r="O300" s="13">
        <v>45901</v>
      </c>
      <c r="P300" s="10" t="s">
        <v>68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AB300" s="14">
        <f t="shared" si="5"/>
        <v>3</v>
      </c>
    </row>
    <row r="301" spans="1:28">
      <c r="A301" s="10">
        <v>566505</v>
      </c>
      <c r="B301" s="10" t="s">
        <v>772</v>
      </c>
      <c r="C301" s="10" t="s">
        <v>773</v>
      </c>
      <c r="D301" s="10" t="s">
        <v>136</v>
      </c>
      <c r="E301" s="10" t="s">
        <v>302</v>
      </c>
      <c r="F301" s="10">
        <v>1</v>
      </c>
      <c r="G301" s="10" t="s">
        <v>73</v>
      </c>
      <c r="H301" s="10">
        <v>1.54E-2</v>
      </c>
      <c r="I301" s="10">
        <v>2</v>
      </c>
      <c r="J301" s="10">
        <v>1.7</v>
      </c>
      <c r="K301" s="10">
        <v>4</v>
      </c>
      <c r="L301" s="10">
        <v>0</v>
      </c>
      <c r="M301" s="10">
        <v>0</v>
      </c>
      <c r="N301" s="10">
        <v>0</v>
      </c>
      <c r="O301" s="13">
        <v>45839</v>
      </c>
      <c r="P301" s="10" t="s">
        <v>68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AB301" s="14">
        <f t="shared" si="5"/>
        <v>1.7</v>
      </c>
    </row>
    <row r="302" spans="1:28">
      <c r="A302" s="10">
        <v>301535</v>
      </c>
      <c r="B302" s="10" t="s">
        <v>774</v>
      </c>
      <c r="C302" s="10" t="s">
        <v>775</v>
      </c>
      <c r="D302" s="10" t="s">
        <v>76</v>
      </c>
      <c r="E302" s="10" t="s">
        <v>776</v>
      </c>
      <c r="F302" s="10">
        <v>4</v>
      </c>
      <c r="G302" s="10" t="s">
        <v>73</v>
      </c>
      <c r="H302" s="10">
        <v>2.5999999999999999E-2</v>
      </c>
      <c r="I302" s="10">
        <v>4</v>
      </c>
      <c r="J302" s="10">
        <v>3</v>
      </c>
      <c r="K302" s="10">
        <v>6</v>
      </c>
      <c r="L302" s="10">
        <v>0</v>
      </c>
      <c r="M302" s="10">
        <v>0</v>
      </c>
      <c r="N302" s="10">
        <v>0</v>
      </c>
      <c r="O302" s="13">
        <v>45778</v>
      </c>
      <c r="P302" s="10" t="s">
        <v>68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AB302" s="14">
        <f t="shared" si="5"/>
        <v>3</v>
      </c>
    </row>
    <row r="303" spans="1:28">
      <c r="A303" s="10">
        <v>104510</v>
      </c>
      <c r="B303" s="10" t="s">
        <v>777</v>
      </c>
      <c r="C303" s="10" t="s">
        <v>778</v>
      </c>
      <c r="D303" s="10" t="s">
        <v>65</v>
      </c>
      <c r="E303" s="10" t="s">
        <v>779</v>
      </c>
      <c r="F303" s="10">
        <v>1</v>
      </c>
      <c r="G303" s="10" t="s">
        <v>73</v>
      </c>
      <c r="H303" s="10">
        <v>3.7999999999999999E-2</v>
      </c>
      <c r="I303" s="10">
        <v>3.25</v>
      </c>
      <c r="J303" s="15">
        <v>2.75</v>
      </c>
      <c r="K303" s="10">
        <v>5.5</v>
      </c>
      <c r="L303" s="10">
        <v>3.5</v>
      </c>
      <c r="M303" s="10">
        <v>3</v>
      </c>
      <c r="N303" s="10">
        <v>1</v>
      </c>
      <c r="O303" s="13">
        <v>45505</v>
      </c>
      <c r="P303" s="10" t="s">
        <v>68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AB303" s="14">
        <f t="shared" si="5"/>
        <v>2.75</v>
      </c>
    </row>
    <row r="304" spans="1:28">
      <c r="A304" s="10">
        <v>548900</v>
      </c>
      <c r="B304" s="10" t="s">
        <v>780</v>
      </c>
      <c r="C304" s="10" t="s">
        <v>781</v>
      </c>
      <c r="D304" s="10" t="s">
        <v>253</v>
      </c>
      <c r="E304" s="10" t="s">
        <v>782</v>
      </c>
      <c r="F304" s="10">
        <v>2</v>
      </c>
      <c r="G304" s="10" t="s">
        <v>67</v>
      </c>
      <c r="H304" s="10">
        <v>4.2299999999999997E-2</v>
      </c>
      <c r="I304" s="10">
        <v>3</v>
      </c>
      <c r="J304" s="10">
        <v>0.13</v>
      </c>
      <c r="K304" s="10">
        <v>6</v>
      </c>
      <c r="L304" s="10">
        <v>8.25</v>
      </c>
      <c r="M304" s="10">
        <v>0</v>
      </c>
      <c r="N304" s="10">
        <v>0</v>
      </c>
      <c r="O304" s="13">
        <v>45536</v>
      </c>
      <c r="P304" s="10" t="s">
        <v>68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AB304" s="14">
        <f t="shared" si="5"/>
        <v>3.9000000000000004</v>
      </c>
    </row>
    <row r="305" spans="1:28">
      <c r="A305" s="10">
        <v>947505</v>
      </c>
      <c r="B305" s="10" t="s">
        <v>783</v>
      </c>
      <c r="C305" s="10" t="s">
        <v>784</v>
      </c>
      <c r="D305" s="10" t="s">
        <v>71</v>
      </c>
      <c r="E305" s="10" t="s">
        <v>785</v>
      </c>
      <c r="F305" s="10">
        <v>2</v>
      </c>
      <c r="G305" s="10" t="s">
        <v>73</v>
      </c>
      <c r="H305" s="10">
        <v>4.4699999999999997E-2</v>
      </c>
      <c r="I305" s="10">
        <v>4.5</v>
      </c>
      <c r="J305" s="15">
        <v>2.1</v>
      </c>
      <c r="K305" s="10">
        <v>6</v>
      </c>
      <c r="L305" s="10">
        <v>9.75</v>
      </c>
      <c r="M305" s="10">
        <v>0</v>
      </c>
      <c r="N305" s="10">
        <v>0</v>
      </c>
      <c r="O305" s="13">
        <v>45505</v>
      </c>
      <c r="P305" s="10" t="s">
        <v>68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AB305" s="14">
        <f t="shared" si="5"/>
        <v>2.1</v>
      </c>
    </row>
    <row r="306" spans="1:28">
      <c r="A306" s="10">
        <v>347750</v>
      </c>
      <c r="B306" s="10" t="s">
        <v>786</v>
      </c>
      <c r="C306" s="10" t="s">
        <v>787</v>
      </c>
      <c r="D306" s="10" t="s">
        <v>76</v>
      </c>
      <c r="E306" s="10" t="s">
        <v>180</v>
      </c>
      <c r="F306" s="10">
        <v>4</v>
      </c>
      <c r="G306" s="10" t="s">
        <v>73</v>
      </c>
      <c r="H306" s="10">
        <v>1.0500000000000001E-2</v>
      </c>
      <c r="I306" s="10">
        <v>0</v>
      </c>
      <c r="J306" s="10">
        <v>4.25</v>
      </c>
      <c r="K306" s="10">
        <v>0</v>
      </c>
      <c r="L306" s="10">
        <v>0</v>
      </c>
      <c r="M306" s="10">
        <v>0</v>
      </c>
      <c r="N306" s="10">
        <v>1</v>
      </c>
      <c r="O306" s="13">
        <v>45861</v>
      </c>
      <c r="P306" s="10" t="s">
        <v>68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AB306" s="14">
        <f t="shared" si="5"/>
        <v>4.25</v>
      </c>
    </row>
    <row r="307" spans="1:28">
      <c r="A307" s="10">
        <v>349526</v>
      </c>
      <c r="B307" s="10" t="s">
        <v>788</v>
      </c>
      <c r="C307" s="10" t="s">
        <v>787</v>
      </c>
      <c r="D307" s="10" t="s">
        <v>76</v>
      </c>
      <c r="E307" s="10" t="s">
        <v>180</v>
      </c>
      <c r="F307" s="10">
        <v>4</v>
      </c>
      <c r="G307" s="10" t="s">
        <v>73</v>
      </c>
      <c r="H307" s="10">
        <v>2.5000000000000001E-2</v>
      </c>
      <c r="I307" s="10">
        <v>3.5</v>
      </c>
      <c r="J307" s="10">
        <v>3</v>
      </c>
      <c r="K307" s="10">
        <v>5</v>
      </c>
      <c r="L307" s="10">
        <v>0</v>
      </c>
      <c r="M307" s="10">
        <v>0</v>
      </c>
      <c r="N307" s="10">
        <v>1</v>
      </c>
      <c r="O307" s="13">
        <v>45901</v>
      </c>
      <c r="P307" s="10" t="s">
        <v>82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AB307" s="14">
        <f t="shared" si="5"/>
        <v>3</v>
      </c>
    </row>
    <row r="308" spans="1:28">
      <c r="A308" s="10">
        <v>349527</v>
      </c>
      <c r="B308" s="10" t="s">
        <v>789</v>
      </c>
      <c r="C308" s="10" t="s">
        <v>787</v>
      </c>
      <c r="D308" s="10" t="s">
        <v>76</v>
      </c>
      <c r="E308" s="10" t="s">
        <v>180</v>
      </c>
      <c r="F308" s="10">
        <v>4</v>
      </c>
      <c r="G308" s="10" t="s">
        <v>67</v>
      </c>
      <c r="H308" s="10">
        <v>2.1999999999999999E-2</v>
      </c>
      <c r="I308" s="10">
        <v>3.5</v>
      </c>
      <c r="J308" s="10">
        <v>2</v>
      </c>
      <c r="K308" s="10">
        <v>5</v>
      </c>
      <c r="L308" s="10">
        <v>0</v>
      </c>
      <c r="M308" s="10">
        <v>0</v>
      </c>
      <c r="N308" s="10">
        <v>0.5</v>
      </c>
      <c r="O308" s="13">
        <v>45536</v>
      </c>
      <c r="P308" s="10" t="s">
        <v>68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AB308" s="14">
        <f t="shared" si="5"/>
        <v>2</v>
      </c>
    </row>
    <row r="309" spans="1:28">
      <c r="A309" s="10">
        <v>350503</v>
      </c>
      <c r="B309" s="10" t="s">
        <v>790</v>
      </c>
      <c r="C309" s="10" t="s">
        <v>791</v>
      </c>
      <c r="D309" s="10" t="s">
        <v>76</v>
      </c>
      <c r="E309" s="10" t="s">
        <v>117</v>
      </c>
      <c r="F309" s="10">
        <v>4</v>
      </c>
      <c r="G309" s="10" t="s">
        <v>73</v>
      </c>
      <c r="H309" s="10">
        <v>1.9199999999999998E-2</v>
      </c>
      <c r="I309" s="10">
        <v>2.5</v>
      </c>
      <c r="J309" s="10">
        <v>1.6</v>
      </c>
      <c r="K309" s="10">
        <v>4.5</v>
      </c>
      <c r="L309" s="10">
        <v>0</v>
      </c>
      <c r="M309" s="10">
        <v>0</v>
      </c>
      <c r="N309" s="10">
        <v>1</v>
      </c>
      <c r="O309" s="13">
        <v>45723</v>
      </c>
      <c r="P309" s="10" t="s">
        <v>68</v>
      </c>
      <c r="S309" s="10">
        <v>0</v>
      </c>
      <c r="T309" s="10">
        <v>8.5</v>
      </c>
      <c r="U309" s="10">
        <v>0</v>
      </c>
      <c r="V309" s="10">
        <v>2.5</v>
      </c>
      <c r="W309" s="10">
        <v>1.6</v>
      </c>
      <c r="X309" s="10">
        <v>0</v>
      </c>
      <c r="Y309" s="10">
        <v>0</v>
      </c>
      <c r="AB309" s="14">
        <f t="shared" si="5"/>
        <v>1.6</v>
      </c>
    </row>
    <row r="310" spans="1:28">
      <c r="A310" s="10">
        <v>208710</v>
      </c>
      <c r="B310" s="10" t="s">
        <v>792</v>
      </c>
      <c r="C310" s="10" t="s">
        <v>793</v>
      </c>
      <c r="D310" s="10" t="s">
        <v>461</v>
      </c>
      <c r="E310" s="10" t="s">
        <v>529</v>
      </c>
      <c r="F310" s="10">
        <v>1</v>
      </c>
      <c r="G310" s="10" t="s">
        <v>73</v>
      </c>
      <c r="H310" s="10">
        <v>3.5999999999999997E-2</v>
      </c>
      <c r="I310" s="10">
        <v>2.75</v>
      </c>
      <c r="J310" s="10">
        <v>2.5</v>
      </c>
      <c r="K310" s="10">
        <v>4.75</v>
      </c>
      <c r="L310" s="10">
        <v>7</v>
      </c>
      <c r="M310" s="10">
        <v>0</v>
      </c>
      <c r="N310" s="10">
        <v>1</v>
      </c>
      <c r="O310" s="13">
        <v>45901</v>
      </c>
      <c r="P310" s="10" t="s">
        <v>68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AB310" s="14">
        <f t="shared" si="5"/>
        <v>2.5</v>
      </c>
    </row>
    <row r="311" spans="1:28">
      <c r="A311" s="10">
        <v>345008</v>
      </c>
      <c r="B311" s="10" t="s">
        <v>794</v>
      </c>
      <c r="C311" s="10" t="s">
        <v>795</v>
      </c>
      <c r="D311" s="10" t="s">
        <v>76</v>
      </c>
      <c r="E311" s="10" t="s">
        <v>565</v>
      </c>
      <c r="F311" s="10">
        <v>4</v>
      </c>
      <c r="G311" s="10" t="s">
        <v>73</v>
      </c>
      <c r="H311" s="10">
        <v>0.02</v>
      </c>
      <c r="I311" s="10">
        <v>3</v>
      </c>
      <c r="J311" s="10">
        <v>2</v>
      </c>
      <c r="K311" s="10">
        <v>5</v>
      </c>
      <c r="L311" s="10">
        <v>0</v>
      </c>
      <c r="M311" s="10">
        <v>0</v>
      </c>
      <c r="N311" s="10">
        <v>0</v>
      </c>
      <c r="O311" s="13">
        <v>45817</v>
      </c>
      <c r="P311" s="10" t="s">
        <v>68</v>
      </c>
      <c r="S311" s="10">
        <v>0</v>
      </c>
      <c r="T311" s="10">
        <v>0</v>
      </c>
      <c r="U311" s="10">
        <v>0</v>
      </c>
      <c r="V311" s="10">
        <v>3</v>
      </c>
      <c r="W311" s="10">
        <v>1.85</v>
      </c>
      <c r="X311" s="10">
        <v>0</v>
      </c>
      <c r="Y311" s="10">
        <v>0</v>
      </c>
      <c r="AB311" s="14">
        <f t="shared" si="5"/>
        <v>2</v>
      </c>
    </row>
    <row r="312" spans="1:28">
      <c r="A312" s="10">
        <v>601006</v>
      </c>
      <c r="B312" s="10" t="s">
        <v>796</v>
      </c>
      <c r="C312" s="10" t="s">
        <v>797</v>
      </c>
      <c r="D312" s="10" t="s">
        <v>136</v>
      </c>
      <c r="E312" s="10" t="s">
        <v>455</v>
      </c>
      <c r="F312" s="10">
        <v>1</v>
      </c>
      <c r="G312" s="10" t="s">
        <v>67</v>
      </c>
      <c r="H312" s="10">
        <v>2.1499999999999998E-2</v>
      </c>
      <c r="I312" s="10">
        <v>2.75</v>
      </c>
      <c r="J312" s="10">
        <v>2.65</v>
      </c>
      <c r="K312" s="10">
        <v>5</v>
      </c>
      <c r="L312" s="10">
        <v>0</v>
      </c>
      <c r="M312" s="10">
        <v>0</v>
      </c>
      <c r="N312" s="10">
        <v>0.35</v>
      </c>
      <c r="O312" s="13">
        <v>45536</v>
      </c>
      <c r="P312" s="10" t="s">
        <v>68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AB312" s="14">
        <f t="shared" si="5"/>
        <v>2.65</v>
      </c>
    </row>
    <row r="313" spans="1:28">
      <c r="A313" s="10">
        <v>898030</v>
      </c>
      <c r="B313" s="10" t="s">
        <v>798</v>
      </c>
      <c r="C313" s="10" t="s">
        <v>6</v>
      </c>
      <c r="D313" s="10" t="s">
        <v>71</v>
      </c>
      <c r="E313" s="10" t="s">
        <v>799</v>
      </c>
      <c r="F313" s="10">
        <v>3</v>
      </c>
      <c r="G313" s="10" t="s">
        <v>73</v>
      </c>
      <c r="H313" s="10">
        <v>5.8799999999999998E-2</v>
      </c>
      <c r="I313" s="10">
        <v>6</v>
      </c>
      <c r="J313" s="10">
        <v>3.4</v>
      </c>
      <c r="K313" s="10">
        <v>8.25</v>
      </c>
      <c r="L313" s="10">
        <v>11.75</v>
      </c>
      <c r="M313" s="10">
        <v>0</v>
      </c>
      <c r="N313" s="10">
        <v>0</v>
      </c>
      <c r="O313" s="13">
        <v>45839</v>
      </c>
      <c r="P313" s="10" t="s">
        <v>68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AB313" s="14">
        <f t="shared" si="5"/>
        <v>3.4</v>
      </c>
    </row>
    <row r="314" spans="1:28">
      <c r="A314" s="10">
        <v>166150</v>
      </c>
      <c r="B314" s="10" t="s">
        <v>800</v>
      </c>
      <c r="C314" s="10" t="s">
        <v>801</v>
      </c>
      <c r="D314" s="10" t="s">
        <v>149</v>
      </c>
      <c r="E314" s="10" t="s">
        <v>234</v>
      </c>
      <c r="F314" s="10">
        <v>1</v>
      </c>
      <c r="G314" s="10" t="s">
        <v>73</v>
      </c>
      <c r="H314" s="10">
        <v>5.21E-2</v>
      </c>
      <c r="I314" s="10">
        <v>2.75</v>
      </c>
      <c r="J314" s="10">
        <v>3.75</v>
      </c>
      <c r="K314" s="10">
        <v>16</v>
      </c>
      <c r="L314" s="10">
        <v>0</v>
      </c>
      <c r="M314" s="10">
        <v>3.05</v>
      </c>
      <c r="N314" s="10">
        <v>0.5</v>
      </c>
      <c r="O314" s="13">
        <v>45901</v>
      </c>
      <c r="P314" s="10" t="s">
        <v>68</v>
      </c>
      <c r="S314" s="10">
        <v>4.5</v>
      </c>
      <c r="T314" s="10">
        <v>0</v>
      </c>
      <c r="U314" s="10">
        <v>0.5</v>
      </c>
      <c r="V314" s="10">
        <v>2.5</v>
      </c>
      <c r="W314" s="10">
        <v>4.75</v>
      </c>
      <c r="X314" s="10">
        <v>0</v>
      </c>
      <c r="Y314" s="10">
        <v>0</v>
      </c>
      <c r="AB314" s="14">
        <f t="shared" si="5"/>
        <v>3.75</v>
      </c>
    </row>
    <row r="315" spans="1:28">
      <c r="A315" s="10">
        <v>167003</v>
      </c>
      <c r="B315" s="10" t="s">
        <v>802</v>
      </c>
      <c r="C315" s="10" t="s">
        <v>801</v>
      </c>
      <c r="D315" s="10" t="s">
        <v>149</v>
      </c>
      <c r="E315" s="10" t="s">
        <v>234</v>
      </c>
      <c r="F315" s="10">
        <v>1</v>
      </c>
      <c r="G315" s="10" t="s">
        <v>73</v>
      </c>
      <c r="H315" s="10">
        <v>4.5999999999999999E-2</v>
      </c>
      <c r="I315" s="10">
        <v>2.25</v>
      </c>
      <c r="J315" s="10">
        <v>3.75</v>
      </c>
      <c r="K315" s="10">
        <v>16.5</v>
      </c>
      <c r="L315" s="10">
        <v>0</v>
      </c>
      <c r="M315" s="10">
        <v>0</v>
      </c>
      <c r="N315" s="10">
        <v>0.5</v>
      </c>
      <c r="O315" s="13">
        <v>45901</v>
      </c>
      <c r="P315" s="10" t="s">
        <v>82</v>
      </c>
      <c r="Q315" s="10" t="s">
        <v>803</v>
      </c>
      <c r="R315" s="16">
        <v>115080</v>
      </c>
      <c r="S315" s="10">
        <v>9.5</v>
      </c>
      <c r="T315" s="10">
        <v>0</v>
      </c>
      <c r="U315" s="10">
        <v>0.5</v>
      </c>
      <c r="V315" s="10">
        <v>2.5</v>
      </c>
      <c r="W315" s="10">
        <v>4.75</v>
      </c>
      <c r="X315" s="10">
        <v>0</v>
      </c>
      <c r="Y315" s="10">
        <v>0</v>
      </c>
      <c r="AB315" s="14">
        <f t="shared" si="5"/>
        <v>3.75</v>
      </c>
    </row>
    <row r="316" spans="1:28">
      <c r="A316" s="10">
        <v>167025</v>
      </c>
      <c r="B316" s="10" t="s">
        <v>804</v>
      </c>
      <c r="C316" s="10" t="s">
        <v>801</v>
      </c>
      <c r="D316" s="10" t="s">
        <v>149</v>
      </c>
      <c r="E316" s="10" t="s">
        <v>234</v>
      </c>
      <c r="F316" s="10">
        <v>1</v>
      </c>
      <c r="G316" s="10" t="s">
        <v>73</v>
      </c>
      <c r="H316" s="10">
        <v>3.78E-2</v>
      </c>
      <c r="I316" s="10">
        <v>1.85</v>
      </c>
      <c r="J316" s="10">
        <v>3</v>
      </c>
      <c r="K316" s="10">
        <v>4</v>
      </c>
      <c r="L316" s="10">
        <v>7</v>
      </c>
      <c r="M316" s="10">
        <v>3.05</v>
      </c>
      <c r="N316" s="10">
        <v>0</v>
      </c>
      <c r="O316" s="13">
        <v>45901</v>
      </c>
      <c r="P316" s="10" t="s">
        <v>82</v>
      </c>
      <c r="Q316" s="10" t="s">
        <v>805</v>
      </c>
      <c r="R316" s="16">
        <v>125000</v>
      </c>
      <c r="S316" s="10">
        <v>4</v>
      </c>
      <c r="T316" s="10">
        <v>0</v>
      </c>
      <c r="U316" s="10">
        <v>0</v>
      </c>
      <c r="V316" s="10">
        <v>1.85</v>
      </c>
      <c r="W316" s="10">
        <v>3.75</v>
      </c>
      <c r="X316" s="10">
        <v>0</v>
      </c>
      <c r="Y316" s="10">
        <v>0</v>
      </c>
      <c r="AB316" s="14">
        <f t="shared" si="5"/>
        <v>3</v>
      </c>
    </row>
    <row r="317" spans="1:28">
      <c r="A317" s="10">
        <v>167035</v>
      </c>
      <c r="B317" s="10" t="s">
        <v>806</v>
      </c>
      <c r="C317" s="10" t="s">
        <v>801</v>
      </c>
      <c r="D317" s="10" t="s">
        <v>149</v>
      </c>
      <c r="E317" s="10" t="s">
        <v>234</v>
      </c>
      <c r="F317" s="10">
        <v>1</v>
      </c>
      <c r="G317" s="10" t="s">
        <v>73</v>
      </c>
      <c r="H317" s="10">
        <v>5.21E-2</v>
      </c>
      <c r="I317" s="10">
        <v>2.75</v>
      </c>
      <c r="J317" s="10">
        <v>3.75</v>
      </c>
      <c r="K317" s="10">
        <v>16</v>
      </c>
      <c r="L317" s="10">
        <v>0</v>
      </c>
      <c r="M317" s="10">
        <v>3.05</v>
      </c>
      <c r="N317" s="10">
        <v>0.5</v>
      </c>
      <c r="O317" s="13">
        <v>45901</v>
      </c>
      <c r="P317" s="10" t="s">
        <v>82</v>
      </c>
      <c r="Q317" s="10" t="s">
        <v>807</v>
      </c>
      <c r="R317" s="16">
        <v>130000</v>
      </c>
      <c r="S317" s="10">
        <v>4.5</v>
      </c>
      <c r="T317" s="10">
        <v>0</v>
      </c>
      <c r="U317" s="10">
        <v>0.5</v>
      </c>
      <c r="V317" s="10">
        <v>2.5</v>
      </c>
      <c r="W317" s="10">
        <v>4.75</v>
      </c>
      <c r="X317" s="10">
        <v>0</v>
      </c>
      <c r="Y317" s="10">
        <v>0</v>
      </c>
      <c r="AB317" s="14">
        <f t="shared" si="5"/>
        <v>3.75</v>
      </c>
    </row>
    <row r="318" spans="1:28">
      <c r="A318" s="10">
        <v>925013</v>
      </c>
      <c r="B318" s="10" t="s">
        <v>808</v>
      </c>
      <c r="C318" s="10" t="s">
        <v>809</v>
      </c>
      <c r="D318" s="10" t="s">
        <v>71</v>
      </c>
      <c r="E318" s="10" t="s">
        <v>663</v>
      </c>
      <c r="F318" s="10">
        <v>3</v>
      </c>
      <c r="G318" s="10" t="s">
        <v>73</v>
      </c>
      <c r="H318" s="10">
        <v>5.8799999999999998E-2</v>
      </c>
      <c r="I318" s="10">
        <v>6</v>
      </c>
      <c r="J318" s="10">
        <v>3.4</v>
      </c>
      <c r="K318" s="10">
        <v>8.25</v>
      </c>
      <c r="L318" s="10">
        <v>11.75</v>
      </c>
      <c r="M318" s="10">
        <v>0</v>
      </c>
      <c r="N318" s="10">
        <v>0</v>
      </c>
      <c r="O318" s="13">
        <v>45839</v>
      </c>
      <c r="P318" s="10" t="s">
        <v>68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AB318" s="14">
        <f t="shared" si="5"/>
        <v>3.4</v>
      </c>
    </row>
    <row r="319" spans="1:28">
      <c r="A319" s="10">
        <v>607541</v>
      </c>
      <c r="B319" s="10" t="s">
        <v>810</v>
      </c>
      <c r="C319" s="10" t="s">
        <v>811</v>
      </c>
      <c r="D319" s="10" t="s">
        <v>136</v>
      </c>
      <c r="E319" s="10" t="s">
        <v>312</v>
      </c>
      <c r="F319" s="10">
        <v>1</v>
      </c>
      <c r="G319" s="10" t="s">
        <v>73</v>
      </c>
      <c r="H319" s="10">
        <v>2.4E-2</v>
      </c>
      <c r="I319" s="10">
        <v>4</v>
      </c>
      <c r="J319" s="10">
        <v>2</v>
      </c>
      <c r="K319" s="10">
        <v>5</v>
      </c>
      <c r="L319" s="10">
        <v>0</v>
      </c>
      <c r="M319" s="10">
        <v>0</v>
      </c>
      <c r="N319" s="10">
        <v>1</v>
      </c>
      <c r="O319" s="13">
        <v>45901</v>
      </c>
      <c r="P319" s="10" t="s">
        <v>68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AB319" s="14">
        <f t="shared" si="5"/>
        <v>2</v>
      </c>
    </row>
    <row r="320" spans="1:28">
      <c r="A320" s="10">
        <v>611030</v>
      </c>
      <c r="B320" s="10" t="s">
        <v>812</v>
      </c>
      <c r="C320" s="10" t="s">
        <v>811</v>
      </c>
      <c r="D320" s="10" t="s">
        <v>136</v>
      </c>
      <c r="E320" s="10" t="s">
        <v>312</v>
      </c>
      <c r="F320" s="10">
        <v>1</v>
      </c>
      <c r="G320" s="10" t="s">
        <v>73</v>
      </c>
      <c r="H320" s="10">
        <v>2.4E-2</v>
      </c>
      <c r="I320" s="10">
        <v>4</v>
      </c>
      <c r="J320" s="10">
        <v>2</v>
      </c>
      <c r="K320" s="10">
        <v>5</v>
      </c>
      <c r="L320" s="10">
        <v>0</v>
      </c>
      <c r="M320" s="10">
        <v>0</v>
      </c>
      <c r="N320" s="10">
        <v>1</v>
      </c>
      <c r="O320" s="13">
        <v>45901</v>
      </c>
      <c r="P320" s="10" t="s">
        <v>82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AB320" s="14">
        <f t="shared" si="5"/>
        <v>2</v>
      </c>
    </row>
    <row r="321" spans="1:28">
      <c r="A321" s="10">
        <v>998008</v>
      </c>
      <c r="B321" s="10" t="s">
        <v>813</v>
      </c>
      <c r="C321" s="10" t="s">
        <v>814</v>
      </c>
      <c r="D321" s="10" t="s">
        <v>324</v>
      </c>
      <c r="E321" s="10" t="s">
        <v>815</v>
      </c>
      <c r="F321" s="10">
        <v>1</v>
      </c>
      <c r="G321" s="10" t="s">
        <v>73</v>
      </c>
      <c r="H321" s="10">
        <v>2.2599999999999999E-2</v>
      </c>
      <c r="I321" s="10">
        <v>3.75</v>
      </c>
      <c r="J321" s="10">
        <v>1.78</v>
      </c>
      <c r="K321" s="10">
        <v>5</v>
      </c>
      <c r="L321" s="10">
        <v>0</v>
      </c>
      <c r="M321" s="10">
        <v>0</v>
      </c>
      <c r="N321" s="10">
        <v>0.75</v>
      </c>
      <c r="O321" s="13">
        <v>45901</v>
      </c>
      <c r="P321" s="10" t="s">
        <v>68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AB321" s="14">
        <f t="shared" si="5"/>
        <v>1.78</v>
      </c>
    </row>
    <row r="322" spans="1:28">
      <c r="A322" s="10">
        <v>420002</v>
      </c>
      <c r="B322" s="10" t="s">
        <v>816</v>
      </c>
      <c r="C322" s="10" t="s">
        <v>817</v>
      </c>
      <c r="D322" s="10" t="s">
        <v>80</v>
      </c>
      <c r="E322" s="10" t="s">
        <v>818</v>
      </c>
      <c r="F322" s="10">
        <v>1</v>
      </c>
      <c r="G322" s="10" t="s">
        <v>73</v>
      </c>
      <c r="H322" s="10">
        <v>5.16E-2</v>
      </c>
      <c r="I322" s="10">
        <v>5.3</v>
      </c>
      <c r="J322" s="10">
        <v>3.5</v>
      </c>
      <c r="K322" s="10">
        <v>9</v>
      </c>
      <c r="L322" s="10">
        <v>8</v>
      </c>
      <c r="M322" s="10">
        <v>0</v>
      </c>
      <c r="N322" s="10">
        <v>0</v>
      </c>
      <c r="O322" s="13">
        <v>45901</v>
      </c>
      <c r="P322" s="10" t="s">
        <v>68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AB322" s="14">
        <f t="shared" si="5"/>
        <v>3.5</v>
      </c>
    </row>
  </sheetData>
  <autoFilter ref="A1:Z322" xr:uid="{06BFF2B5-4529-41F6-A606-C56B4C7AE8FC}"/>
  <conditionalFormatting sqref="A1:A6 A323:A1048576">
    <cfRule type="duplicateValues" dxfId="20" priority="2"/>
  </conditionalFormatting>
  <conditionalFormatting sqref="A7:A322">
    <cfRule type="duplicateValues" dxfId="19" priority="1"/>
  </conditionalFormatting>
  <conditionalFormatting sqref="A323:A327">
    <cfRule type="duplicateValues" dxfId="18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B31A-6B52-4212-BAF2-11B437F19987}">
  <sheetPr>
    <tabColor theme="7" tint="-0.249977111117893"/>
  </sheetPr>
  <dimension ref="A1:AI41"/>
  <sheetViews>
    <sheetView topLeftCell="B1" zoomScale="60" zoomScaleNormal="60" workbookViewId="0">
      <pane xSplit="2" ySplit="8" topLeftCell="D9" activePane="bottomRight" state="frozen"/>
      <selection activeCell="B1" sqref="B1"/>
      <selection pane="topRight" activeCell="D1" sqref="D1"/>
      <selection pane="bottomLeft" activeCell="B9" sqref="B9"/>
      <selection pane="bottomRight" activeCell="AO28" sqref="AO28"/>
    </sheetView>
  </sheetViews>
  <sheetFormatPr defaultRowHeight="14.5"/>
  <cols>
    <col min="3" max="3" width="48.453125" bestFit="1" customWidth="1"/>
    <col min="9" max="9" width="7" bestFit="1" customWidth="1"/>
    <col min="14" max="14" width="6.7265625" bestFit="1" customWidth="1"/>
    <col min="19" max="19" width="12.54296875" bestFit="1" customWidth="1"/>
    <col min="24" max="24" width="12" bestFit="1" customWidth="1"/>
    <col min="25" max="28" width="0" hidden="1" customWidth="1"/>
    <col min="29" max="29" width="16.453125" hidden="1" customWidth="1"/>
    <col min="32" max="32" width="11.26953125" bestFit="1" customWidth="1"/>
    <col min="33" max="33" width="14.81640625" bestFit="1" customWidth="1"/>
    <col min="35" max="35" width="13.54296875" customWidth="1"/>
  </cols>
  <sheetData>
    <row r="1" spans="1:35" s="10" customFormat="1" ht="13">
      <c r="C1" s="32" t="s">
        <v>822</v>
      </c>
      <c r="D1" s="33">
        <v>1</v>
      </c>
      <c r="G1" s="725" t="s">
        <v>537</v>
      </c>
      <c r="H1" s="725"/>
      <c r="I1" s="725"/>
      <c r="J1" s="725"/>
      <c r="L1" s="726" t="s">
        <v>439</v>
      </c>
      <c r="M1" s="726"/>
      <c r="N1" s="726"/>
      <c r="O1" s="726"/>
      <c r="Q1" s="727" t="s">
        <v>241</v>
      </c>
      <c r="R1" s="727"/>
      <c r="S1" s="727"/>
      <c r="T1" s="727"/>
      <c r="V1" s="728" t="s">
        <v>682</v>
      </c>
      <c r="W1" s="728"/>
      <c r="X1" s="728"/>
      <c r="Y1" s="728"/>
      <c r="AC1" s="12" t="s">
        <v>62</v>
      </c>
    </row>
    <row r="2" spans="1:35" s="10" customFormat="1" ht="13">
      <c r="C2" s="32" t="s">
        <v>823</v>
      </c>
      <c r="D2" s="33">
        <v>1</v>
      </c>
      <c r="G2" s="10" t="s">
        <v>824</v>
      </c>
      <c r="H2" s="10" t="s">
        <v>20</v>
      </c>
      <c r="I2" s="10" t="s">
        <v>28</v>
      </c>
      <c r="J2" s="10" t="s">
        <v>825</v>
      </c>
      <c r="L2" s="10" t="s">
        <v>824</v>
      </c>
      <c r="M2" s="10" t="s">
        <v>20</v>
      </c>
      <c r="N2" s="10" t="s">
        <v>28</v>
      </c>
      <c r="O2" s="10" t="s">
        <v>825</v>
      </c>
      <c r="Q2" s="10" t="s">
        <v>824</v>
      </c>
      <c r="R2" s="10" t="s">
        <v>20</v>
      </c>
      <c r="S2" s="10" t="s">
        <v>28</v>
      </c>
      <c r="T2" s="10" t="s">
        <v>825</v>
      </c>
      <c r="V2" s="10" t="s">
        <v>824</v>
      </c>
      <c r="W2" s="10" t="s">
        <v>20</v>
      </c>
      <c r="X2" s="10" t="s">
        <v>28</v>
      </c>
      <c r="Y2" s="10" t="s">
        <v>825</v>
      </c>
      <c r="AC2" s="14"/>
    </row>
    <row r="3" spans="1:35" s="10" customFormat="1" ht="13">
      <c r="C3" s="32" t="s">
        <v>826</v>
      </c>
      <c r="D3" s="14"/>
      <c r="F3" s="32" t="s">
        <v>20</v>
      </c>
      <c r="G3" s="15" cm="1">
        <f t="array" ref="G3">AVERAGE(_xlfn._xlws.FILTER(X:X, (D:D="MEMPHIS") * ISNUMBER(X:X)))</f>
        <v>4.515625</v>
      </c>
      <c r="H3" s="15">
        <f>G3*20</f>
        <v>90.3125</v>
      </c>
      <c r="I3" s="15">
        <f>COSTS!W20</f>
        <v>40.625</v>
      </c>
      <c r="J3" s="15">
        <f>(H3*$D$2)+I3</f>
        <v>130.9375</v>
      </c>
      <c r="K3" s="15"/>
      <c r="L3" s="15" cm="1">
        <f t="array" ref="L3">AVERAGE(_xlfn._xlws.FILTER(X:X, (D:D="HOUSTON") * ISNUMBER(X:X)))</f>
        <v>4.8499999999999996</v>
      </c>
      <c r="M3" s="15">
        <f>L3*20</f>
        <v>97</v>
      </c>
      <c r="N3" s="15">
        <f>COSTS!W20</f>
        <v>40.625</v>
      </c>
      <c r="O3" s="15">
        <f>(M3*$D$2)+N3</f>
        <v>137.625</v>
      </c>
      <c r="P3" s="15"/>
      <c r="Q3" s="15" cm="1">
        <f t="array" ref="Q3">AVERAGE(_xlfn._xlws.FILTER(X:X, (D:D="Dallas") * ISNUMBER(X:X)))</f>
        <v>5.0299999999999994</v>
      </c>
      <c r="R3" s="15">
        <f>Q3*20</f>
        <v>100.6</v>
      </c>
      <c r="S3" s="15">
        <f>COSTS!W20</f>
        <v>40.625</v>
      </c>
      <c r="T3" s="15">
        <f>(R3*D2)+S3</f>
        <v>141.22499999999999</v>
      </c>
      <c r="U3" s="15"/>
      <c r="V3" s="15" cm="1">
        <f t="array" ref="V3">AVERAGE(_xlfn._xlws.FILTER(X:X, (A:A="Savannah") * ISNUMBER(X:X)))</f>
        <v>5.5</v>
      </c>
      <c r="W3" s="15">
        <f>V3*20</f>
        <v>110</v>
      </c>
      <c r="X3" s="15">
        <f>COSTS!W20</f>
        <v>40.625</v>
      </c>
      <c r="Y3" s="15">
        <f>(W3*$D$2)+X3</f>
        <v>150.625</v>
      </c>
      <c r="AC3" s="14"/>
    </row>
    <row r="4" spans="1:35" s="10" customFormat="1" ht="13">
      <c r="C4" s="32" t="s">
        <v>827</v>
      </c>
      <c r="D4" s="14"/>
      <c r="F4" s="32" t="s">
        <v>15</v>
      </c>
      <c r="G4" s="15" cm="1">
        <f t="array" ref="G4">AVERAGE(_xlfn._xlws.FILTER(W:W, (D:D="MEMPHIS") * ISNUMBER(W:W)))</f>
        <v>2.3937499999999998</v>
      </c>
      <c r="H4" s="15"/>
      <c r="I4" s="15"/>
      <c r="J4" s="15"/>
      <c r="K4" s="15"/>
      <c r="L4" s="15" cm="1">
        <f t="array" ref="L4">AVERAGE(_xlfn._xlws.FILTER(W:W, (D:D="HOUSTON") * ISNUMBER(W:W)))</f>
        <v>3.7333333333333334</v>
      </c>
      <c r="M4" s="15"/>
      <c r="N4" s="15"/>
      <c r="O4" s="15"/>
      <c r="P4" s="15"/>
      <c r="Q4" s="15" cm="1">
        <f t="array" ref="Q4">AVERAGE(_xlfn._xlws.FILTER(W:W, (D:D="Dallas") * ISNUMBER(W:W)))</f>
        <v>2.77</v>
      </c>
      <c r="R4" s="15"/>
      <c r="S4" s="15"/>
      <c r="T4" s="15"/>
      <c r="U4" s="15"/>
      <c r="V4" s="15" cm="1">
        <f t="array" ref="V4">AVERAGE(_xlfn._xlws.FILTER(W:W, (A:A="Savannah") * ISNUMBER(W:W)))</f>
        <v>2.25</v>
      </c>
      <c r="W4" s="15"/>
      <c r="X4" s="15"/>
      <c r="Y4" s="15"/>
      <c r="AC4" s="14"/>
    </row>
    <row r="5" spans="1:35" s="10" customFormat="1" ht="13">
      <c r="F5" s="32" t="s">
        <v>16</v>
      </c>
      <c r="G5" s="15" cm="1">
        <f t="array" ref="G5">AVERAGE(_xlfn._xlws.FILTER(T:T, (D:D="MEMPHIS") * ISNUMBER(T:T)))</f>
        <v>5.875</v>
      </c>
      <c r="H5" s="15"/>
      <c r="I5" s="15"/>
      <c r="J5" s="15"/>
      <c r="K5" s="15"/>
      <c r="L5" s="15" cm="1">
        <f t="array" ref="L5">AVERAGE(_xlfn._xlws.FILTER(T:T, (D:D="HOUSTON") * ISNUMBER(T:T)))</f>
        <v>7.4722222222222223</v>
      </c>
      <c r="M5" s="15"/>
      <c r="N5" s="15"/>
      <c r="O5" s="15"/>
      <c r="P5" s="15"/>
      <c r="Q5" s="15" cm="1">
        <f t="array" ref="Q5">AVERAGE(_xlfn._xlws.FILTER(T:T, (D:D="Dallas") * ISNUMBER(T:T)))</f>
        <v>7.8599999999999994</v>
      </c>
      <c r="R5" s="15"/>
      <c r="S5" s="15"/>
      <c r="T5" s="15"/>
      <c r="U5" s="15"/>
      <c r="V5" s="15" cm="1">
        <f t="array" ref="V5">AVERAGE(_xlfn._xlws.FILTER(T:T, (A:A="Savannah") * ISNUMBER(T:T)))</f>
        <v>7.5</v>
      </c>
      <c r="W5" s="15"/>
      <c r="X5" s="15"/>
      <c r="Y5" s="15"/>
      <c r="AC5" s="14"/>
    </row>
    <row r="6" spans="1:35" s="10" customFormat="1" ht="13">
      <c r="F6" s="32" t="s">
        <v>19</v>
      </c>
      <c r="G6" s="15" cm="1">
        <f t="array" ref="G6">AVERAGE(_xlfn._xlws.FILTER(V:V, (D:D="MEMPHIS") * ISNUMBER(V:V)))</f>
        <v>0.44374999999999998</v>
      </c>
      <c r="H6" s="15"/>
      <c r="I6" s="15"/>
      <c r="J6" s="15"/>
      <c r="K6" s="15"/>
      <c r="L6" s="15" cm="1">
        <f t="array" ref="L6">AVERAGE(_xlfn._xlws.FILTER(V:V, (D:D="HOUSTON") * ISNUMBER(V:V)))</f>
        <v>1.1111111111111112</v>
      </c>
      <c r="M6" s="15"/>
      <c r="N6" s="15"/>
      <c r="O6" s="15"/>
      <c r="P6" s="15"/>
      <c r="Q6" s="15" cm="1">
        <f t="array" ref="Q6">AVERAGE(_xlfn._xlws.FILTER(V8:V200, (A8:A200="Dallas") * ISNUMBER(V8:V200)))</f>
        <v>0.38750000000000001</v>
      </c>
      <c r="R6" s="15"/>
      <c r="S6" s="15"/>
      <c r="T6" s="15"/>
      <c r="U6" s="15"/>
      <c r="V6" s="15" cm="1">
        <f t="array" ref="V6">AVERAGE(_xlfn._xlws.FILTER(V8:V200, (A8:A200="Savannah") * ISNUMBER(V8:V200)))</f>
        <v>0.5</v>
      </c>
      <c r="W6" s="15"/>
      <c r="X6" s="15"/>
      <c r="Y6" s="15"/>
      <c r="AC6" s="14"/>
    </row>
    <row r="7" spans="1:35" ht="15" thickBot="1"/>
    <row r="8" spans="1:35" s="10" customFormat="1" ht="13.5" thickBot="1">
      <c r="A8" s="8" t="s">
        <v>819</v>
      </c>
      <c r="B8" s="7" t="s">
        <v>7</v>
      </c>
      <c r="C8" s="8" t="s">
        <v>8</v>
      </c>
      <c r="D8" s="8" t="s">
        <v>9</v>
      </c>
      <c r="E8" s="8" t="s">
        <v>10</v>
      </c>
      <c r="F8" s="8" t="s">
        <v>41</v>
      </c>
      <c r="G8" s="8" t="s">
        <v>14</v>
      </c>
      <c r="H8" s="8" t="s">
        <v>42</v>
      </c>
      <c r="I8" s="8" t="s">
        <v>43</v>
      </c>
      <c r="J8" s="8" t="s">
        <v>44</v>
      </c>
      <c r="K8" s="8" t="s">
        <v>45</v>
      </c>
      <c r="L8" s="8" t="s">
        <v>46</v>
      </c>
      <c r="M8" s="8" t="s">
        <v>47</v>
      </c>
      <c r="N8" s="8" t="s">
        <v>18</v>
      </c>
      <c r="O8" s="8" t="s">
        <v>48</v>
      </c>
      <c r="P8" s="8" t="s">
        <v>49</v>
      </c>
      <c r="Q8" s="8" t="s">
        <v>50</v>
      </c>
      <c r="R8" s="8" t="s">
        <v>51</v>
      </c>
      <c r="S8" s="8" t="s">
        <v>52</v>
      </c>
      <c r="T8" s="22" t="s">
        <v>53</v>
      </c>
      <c r="U8" s="22" t="s">
        <v>54</v>
      </c>
      <c r="V8" s="22" t="s">
        <v>55</v>
      </c>
      <c r="W8" s="22" t="s">
        <v>56</v>
      </c>
      <c r="X8" s="22" t="s">
        <v>57</v>
      </c>
      <c r="Y8" s="22" t="s">
        <v>58</v>
      </c>
      <c r="Z8" s="8" t="s">
        <v>59</v>
      </c>
      <c r="AA8" s="9" t="s">
        <v>60</v>
      </c>
      <c r="AC8" s="11" t="s">
        <v>61</v>
      </c>
      <c r="AE8" s="10" t="s">
        <v>20</v>
      </c>
      <c r="AF8" s="10" t="s">
        <v>2193</v>
      </c>
      <c r="AG8" s="10" t="s">
        <v>2194</v>
      </c>
      <c r="AH8" s="10" t="s">
        <v>2195</v>
      </c>
      <c r="AI8" s="10" t="s">
        <v>2196</v>
      </c>
    </row>
    <row r="9" spans="1:35" s="10" customFormat="1" ht="13">
      <c r="A9" s="23" t="str">
        <f t="shared" ref="A9:A40" si="0">D9</f>
        <v>Memphis</v>
      </c>
      <c r="B9" s="23">
        <v>793961</v>
      </c>
      <c r="C9" s="23" t="s">
        <v>539</v>
      </c>
      <c r="D9" s="23" t="s">
        <v>537</v>
      </c>
      <c r="E9" s="23" t="s">
        <v>168</v>
      </c>
      <c r="F9" s="23" t="s">
        <v>538</v>
      </c>
      <c r="G9" s="23">
        <v>1</v>
      </c>
      <c r="H9" s="23" t="s">
        <v>67</v>
      </c>
      <c r="I9" s="23">
        <v>6.3399999999999998E-2</v>
      </c>
      <c r="J9" s="23">
        <v>2.4500000000000002</v>
      </c>
      <c r="K9" s="23">
        <v>4</v>
      </c>
      <c r="L9" s="23">
        <v>13.75</v>
      </c>
      <c r="M9" s="23">
        <v>8</v>
      </c>
      <c r="N9" s="23">
        <v>3</v>
      </c>
      <c r="O9" s="23">
        <v>0.5</v>
      </c>
      <c r="P9" s="24">
        <v>45536</v>
      </c>
      <c r="Q9" s="23" t="s">
        <v>68</v>
      </c>
      <c r="R9" s="23"/>
      <c r="S9" s="25"/>
      <c r="T9" s="23">
        <v>13.75</v>
      </c>
      <c r="U9" s="23">
        <v>0</v>
      </c>
      <c r="V9" s="23">
        <v>0.5</v>
      </c>
      <c r="W9" s="23">
        <v>2.4500000000000002</v>
      </c>
      <c r="X9" s="23">
        <v>4.5</v>
      </c>
      <c r="Y9" s="23">
        <v>0</v>
      </c>
      <c r="Z9" s="23">
        <v>0</v>
      </c>
      <c r="AA9" s="23"/>
      <c r="AB9" s="23"/>
      <c r="AC9" s="26">
        <f t="shared" ref="AC9:AC41" si="1">IF(K9&lt;1,K9*30,K9)</f>
        <v>4</v>
      </c>
      <c r="AE9" s="10">
        <f>X9/4.92</f>
        <v>0.91463414634146345</v>
      </c>
      <c r="AF9" s="15">
        <f>((3.67%+2%)*(67+5)/12)</f>
        <v>0.3402</v>
      </c>
      <c r="AG9" s="10">
        <f>SUM(AE9:AF9)</f>
        <v>1.2548341463414634</v>
      </c>
      <c r="AH9" s="10">
        <f>AG9*2</f>
        <v>2.5096682926829268</v>
      </c>
    </row>
    <row r="10" spans="1:35" s="10" customFormat="1" ht="13">
      <c r="A10" s="23" t="str">
        <f t="shared" si="0"/>
        <v>Memphis</v>
      </c>
      <c r="B10" s="23">
        <v>794505</v>
      </c>
      <c r="C10" s="23" t="s">
        <v>542</v>
      </c>
      <c r="D10" s="23" t="s">
        <v>537</v>
      </c>
      <c r="E10" s="23" t="s">
        <v>168</v>
      </c>
      <c r="F10" s="23" t="s">
        <v>538</v>
      </c>
      <c r="G10" s="23">
        <v>1</v>
      </c>
      <c r="H10" s="23" t="s">
        <v>67</v>
      </c>
      <c r="I10" s="23">
        <v>4.7399999999999998E-2</v>
      </c>
      <c r="J10" s="23">
        <v>2.25</v>
      </c>
      <c r="K10" s="23">
        <v>4.2</v>
      </c>
      <c r="L10" s="23">
        <v>14.25</v>
      </c>
      <c r="M10" s="23">
        <v>0</v>
      </c>
      <c r="N10" s="23">
        <v>3</v>
      </c>
      <c r="O10" s="23">
        <v>0</v>
      </c>
      <c r="P10" s="24">
        <v>45505</v>
      </c>
      <c r="Q10" s="23" t="s">
        <v>82</v>
      </c>
      <c r="R10" s="23" t="s">
        <v>543</v>
      </c>
      <c r="S10" s="25">
        <v>129000</v>
      </c>
      <c r="T10" s="23">
        <v>6.25</v>
      </c>
      <c r="U10" s="23">
        <v>0</v>
      </c>
      <c r="V10" s="23">
        <v>0.5</v>
      </c>
      <c r="W10" s="23">
        <v>2.25</v>
      </c>
      <c r="X10" s="23">
        <v>4.2</v>
      </c>
      <c r="Y10" s="23">
        <v>0</v>
      </c>
      <c r="Z10" s="23">
        <v>0</v>
      </c>
      <c r="AA10" s="23"/>
      <c r="AB10" s="23"/>
      <c r="AC10" s="26">
        <f t="shared" si="1"/>
        <v>4.2</v>
      </c>
      <c r="AE10" s="10">
        <f t="shared" ref="AE10:AE36" si="2">X10/4.92</f>
        <v>0.85365853658536595</v>
      </c>
      <c r="AF10" s="15">
        <f t="shared" ref="AF10:AF38" si="3">((3.67%+2%)*(67+5)/12)</f>
        <v>0.3402</v>
      </c>
      <c r="AG10" s="10">
        <f t="shared" ref="AG10:AG38" si="4">SUM(AE10:AF10)</f>
        <v>1.193858536585366</v>
      </c>
      <c r="AH10" s="10">
        <f t="shared" ref="AH10:AH38" si="5">AG10*2</f>
        <v>2.387717073170732</v>
      </c>
    </row>
    <row r="11" spans="1:35" s="10" customFormat="1" ht="13">
      <c r="A11" s="23" t="str">
        <f t="shared" si="0"/>
        <v>Memphis</v>
      </c>
      <c r="B11" s="23">
        <v>794540</v>
      </c>
      <c r="C11" s="23" t="s">
        <v>544</v>
      </c>
      <c r="D11" s="23" t="s">
        <v>537</v>
      </c>
      <c r="E11" s="23" t="s">
        <v>168</v>
      </c>
      <c r="F11" s="23" t="s">
        <v>538</v>
      </c>
      <c r="G11" s="23">
        <v>1</v>
      </c>
      <c r="H11" s="23" t="s">
        <v>73</v>
      </c>
      <c r="I11" s="23">
        <v>5.21E-2</v>
      </c>
      <c r="J11" s="23">
        <v>2.75</v>
      </c>
      <c r="K11" s="23">
        <v>3.75</v>
      </c>
      <c r="L11" s="23">
        <v>16</v>
      </c>
      <c r="M11" s="23">
        <v>0</v>
      </c>
      <c r="N11" s="23">
        <v>3.05</v>
      </c>
      <c r="O11" s="23">
        <v>0.5</v>
      </c>
      <c r="P11" s="24">
        <v>45901</v>
      </c>
      <c r="Q11" s="23" t="s">
        <v>82</v>
      </c>
      <c r="R11" s="23" t="s">
        <v>545</v>
      </c>
      <c r="S11" s="25">
        <v>130000</v>
      </c>
      <c r="T11" s="23">
        <v>4.5</v>
      </c>
      <c r="U11" s="23">
        <v>0</v>
      </c>
      <c r="V11" s="23">
        <v>0.5</v>
      </c>
      <c r="W11" s="23">
        <v>2.5</v>
      </c>
      <c r="X11" s="23">
        <v>4.75</v>
      </c>
      <c r="Y11" s="23">
        <v>0</v>
      </c>
      <c r="Z11" s="23">
        <v>0</v>
      </c>
      <c r="AA11" s="23"/>
      <c r="AB11" s="23"/>
      <c r="AC11" s="26">
        <f t="shared" si="1"/>
        <v>3.75</v>
      </c>
      <c r="AE11" s="10">
        <f t="shared" si="2"/>
        <v>0.96544715447154472</v>
      </c>
      <c r="AF11" s="15">
        <f t="shared" si="3"/>
        <v>0.3402</v>
      </c>
      <c r="AG11" s="10">
        <f t="shared" si="4"/>
        <v>1.3056471544715447</v>
      </c>
      <c r="AH11" s="10">
        <f t="shared" si="5"/>
        <v>2.6112943089430893</v>
      </c>
    </row>
    <row r="12" spans="1:35" s="10" customFormat="1" ht="13">
      <c r="A12" s="23" t="str">
        <f t="shared" si="0"/>
        <v>Memphis</v>
      </c>
      <c r="B12" s="23">
        <v>794550</v>
      </c>
      <c r="C12" s="23" t="s">
        <v>546</v>
      </c>
      <c r="D12" s="23" t="s">
        <v>537</v>
      </c>
      <c r="E12" s="23" t="s">
        <v>168</v>
      </c>
      <c r="F12" s="23" t="s">
        <v>538</v>
      </c>
      <c r="G12" s="23">
        <v>1</v>
      </c>
      <c r="H12" s="23" t="s">
        <v>73</v>
      </c>
      <c r="I12" s="23">
        <v>5.21E-2</v>
      </c>
      <c r="J12" s="23">
        <v>2.75</v>
      </c>
      <c r="K12" s="23">
        <v>3.75</v>
      </c>
      <c r="L12" s="23">
        <v>16</v>
      </c>
      <c r="M12" s="23">
        <v>0</v>
      </c>
      <c r="N12" s="23">
        <v>3.05</v>
      </c>
      <c r="O12" s="23">
        <v>0.5</v>
      </c>
      <c r="P12" s="24">
        <v>45895</v>
      </c>
      <c r="Q12" s="23" t="s">
        <v>68</v>
      </c>
      <c r="R12" s="23" t="s">
        <v>547</v>
      </c>
      <c r="S12" s="25">
        <v>62600</v>
      </c>
      <c r="T12" s="23">
        <v>4.5</v>
      </c>
      <c r="U12" s="23">
        <v>0</v>
      </c>
      <c r="V12" s="23">
        <v>0.5</v>
      </c>
      <c r="W12" s="23">
        <v>2.5</v>
      </c>
      <c r="X12" s="23">
        <v>4.75</v>
      </c>
      <c r="Y12" s="23">
        <v>0</v>
      </c>
      <c r="Z12" s="23">
        <v>0</v>
      </c>
      <c r="AA12" s="23"/>
      <c r="AB12" s="23"/>
      <c r="AC12" s="26">
        <f t="shared" si="1"/>
        <v>3.75</v>
      </c>
      <c r="AE12" s="10">
        <f t="shared" si="2"/>
        <v>0.96544715447154472</v>
      </c>
      <c r="AF12" s="15">
        <f t="shared" si="3"/>
        <v>0.3402</v>
      </c>
      <c r="AG12" s="10">
        <f t="shared" si="4"/>
        <v>1.3056471544715447</v>
      </c>
      <c r="AH12" s="10">
        <f t="shared" si="5"/>
        <v>2.6112943089430893</v>
      </c>
    </row>
    <row r="13" spans="1:35" s="10" customFormat="1" ht="13">
      <c r="A13" s="23" t="str">
        <f t="shared" si="0"/>
        <v>Memphis</v>
      </c>
      <c r="B13" s="23">
        <v>794553</v>
      </c>
      <c r="C13" s="23" t="s">
        <v>548</v>
      </c>
      <c r="D13" s="23" t="s">
        <v>537</v>
      </c>
      <c r="E13" s="23" t="s">
        <v>168</v>
      </c>
      <c r="F13" s="23" t="s">
        <v>538</v>
      </c>
      <c r="G13" s="23">
        <v>1</v>
      </c>
      <c r="H13" s="23" t="s">
        <v>73</v>
      </c>
      <c r="I13" s="23">
        <v>5.21E-2</v>
      </c>
      <c r="J13" s="23">
        <v>2.75</v>
      </c>
      <c r="K13" s="23">
        <v>3.75</v>
      </c>
      <c r="L13" s="23">
        <v>16</v>
      </c>
      <c r="M13" s="23">
        <v>0</v>
      </c>
      <c r="N13" s="23">
        <v>3.05</v>
      </c>
      <c r="O13" s="23">
        <v>0.5</v>
      </c>
      <c r="P13" s="24">
        <v>45901</v>
      </c>
      <c r="Q13" s="23" t="s">
        <v>82</v>
      </c>
      <c r="R13" s="23" t="s">
        <v>549</v>
      </c>
      <c r="S13" s="25">
        <v>47000</v>
      </c>
      <c r="T13" s="23">
        <v>4.5</v>
      </c>
      <c r="U13" s="23">
        <v>0</v>
      </c>
      <c r="V13" s="23">
        <v>0.5</v>
      </c>
      <c r="W13" s="23">
        <v>2.5</v>
      </c>
      <c r="X13" s="23">
        <v>4.75</v>
      </c>
      <c r="Y13" s="23">
        <v>0</v>
      </c>
      <c r="Z13" s="23">
        <v>0</v>
      </c>
      <c r="AA13" s="23"/>
      <c r="AB13" s="23"/>
      <c r="AC13" s="26">
        <f t="shared" si="1"/>
        <v>3.75</v>
      </c>
      <c r="AE13" s="10">
        <f t="shared" si="2"/>
        <v>0.96544715447154472</v>
      </c>
      <c r="AF13" s="15">
        <f t="shared" si="3"/>
        <v>0.3402</v>
      </c>
      <c r="AG13" s="10">
        <f t="shared" si="4"/>
        <v>1.3056471544715447</v>
      </c>
      <c r="AH13" s="10">
        <f t="shared" si="5"/>
        <v>2.6112943089430893</v>
      </c>
    </row>
    <row r="14" spans="1:35" s="10" customFormat="1" ht="13">
      <c r="A14" s="23" t="str">
        <f t="shared" si="0"/>
        <v>Memphis</v>
      </c>
      <c r="B14" s="23">
        <v>794555</v>
      </c>
      <c r="C14" s="23" t="s">
        <v>550</v>
      </c>
      <c r="D14" s="23" t="s">
        <v>537</v>
      </c>
      <c r="E14" s="23" t="s">
        <v>168</v>
      </c>
      <c r="F14" s="23" t="s">
        <v>538</v>
      </c>
      <c r="G14" s="23">
        <v>1</v>
      </c>
      <c r="H14" s="23" t="s">
        <v>73</v>
      </c>
      <c r="I14" s="23">
        <v>5.21E-2</v>
      </c>
      <c r="J14" s="23">
        <v>2.75</v>
      </c>
      <c r="K14" s="23">
        <v>3.75</v>
      </c>
      <c r="L14" s="23">
        <v>16</v>
      </c>
      <c r="M14" s="23">
        <v>0</v>
      </c>
      <c r="N14" s="23">
        <v>3.05</v>
      </c>
      <c r="O14" s="23">
        <v>0.5</v>
      </c>
      <c r="P14" s="24">
        <v>45901</v>
      </c>
      <c r="Q14" s="23" t="s">
        <v>82</v>
      </c>
      <c r="R14" s="23" t="s">
        <v>551</v>
      </c>
      <c r="S14" s="25">
        <v>62500</v>
      </c>
      <c r="T14" s="23">
        <v>4.5</v>
      </c>
      <c r="U14" s="23">
        <v>0</v>
      </c>
      <c r="V14" s="23">
        <v>0.5</v>
      </c>
      <c r="W14" s="23">
        <v>2.5</v>
      </c>
      <c r="X14" s="23">
        <v>4.75</v>
      </c>
      <c r="Y14" s="23">
        <v>0</v>
      </c>
      <c r="Z14" s="23">
        <v>0</v>
      </c>
      <c r="AA14" s="23"/>
      <c r="AB14" s="23"/>
      <c r="AC14" s="26">
        <f t="shared" si="1"/>
        <v>3.75</v>
      </c>
      <c r="AE14" s="10">
        <f t="shared" si="2"/>
        <v>0.96544715447154472</v>
      </c>
      <c r="AF14" s="15">
        <f t="shared" si="3"/>
        <v>0.3402</v>
      </c>
      <c r="AG14" s="10">
        <f t="shared" si="4"/>
        <v>1.3056471544715447</v>
      </c>
      <c r="AH14" s="10">
        <f t="shared" si="5"/>
        <v>2.6112943089430893</v>
      </c>
    </row>
    <row r="15" spans="1:35" s="10" customFormat="1" ht="13">
      <c r="A15" s="23" t="str">
        <f t="shared" si="0"/>
        <v>Memphis</v>
      </c>
      <c r="B15" s="23">
        <v>794560</v>
      </c>
      <c r="C15" s="23" t="s">
        <v>552</v>
      </c>
      <c r="D15" s="23" t="s">
        <v>537</v>
      </c>
      <c r="E15" s="23" t="s">
        <v>168</v>
      </c>
      <c r="F15" s="23" t="s">
        <v>538</v>
      </c>
      <c r="G15" s="23">
        <v>1</v>
      </c>
      <c r="H15" s="23" t="s">
        <v>73</v>
      </c>
      <c r="I15" s="23">
        <v>5.21E-2</v>
      </c>
      <c r="J15" s="23">
        <v>2.75</v>
      </c>
      <c r="K15" s="23">
        <v>3.75</v>
      </c>
      <c r="L15" s="23">
        <v>16</v>
      </c>
      <c r="M15" s="23">
        <v>0</v>
      </c>
      <c r="N15" s="23">
        <v>3.05</v>
      </c>
      <c r="O15" s="23">
        <v>0.5</v>
      </c>
      <c r="P15" s="24">
        <v>45901</v>
      </c>
      <c r="Q15" s="23" t="s">
        <v>68</v>
      </c>
      <c r="R15" s="23" t="s">
        <v>553</v>
      </c>
      <c r="S15" s="25">
        <v>70000</v>
      </c>
      <c r="T15" s="23">
        <v>4.5</v>
      </c>
      <c r="U15" s="23">
        <v>0</v>
      </c>
      <c r="V15" s="23">
        <v>0.5</v>
      </c>
      <c r="W15" s="23">
        <v>2.5</v>
      </c>
      <c r="X15" s="23">
        <v>4.75</v>
      </c>
      <c r="Y15" s="23">
        <v>0</v>
      </c>
      <c r="Z15" s="23">
        <v>0</v>
      </c>
      <c r="AA15" s="23"/>
      <c r="AB15" s="23"/>
      <c r="AC15" s="26">
        <f t="shared" si="1"/>
        <v>3.75</v>
      </c>
      <c r="AE15" s="10">
        <f t="shared" si="2"/>
        <v>0.96544715447154472</v>
      </c>
      <c r="AF15" s="15">
        <f t="shared" si="3"/>
        <v>0.3402</v>
      </c>
      <c r="AG15" s="10">
        <f t="shared" si="4"/>
        <v>1.3056471544715447</v>
      </c>
      <c r="AH15" s="10">
        <f t="shared" si="5"/>
        <v>2.6112943089430893</v>
      </c>
    </row>
    <row r="16" spans="1:35" s="10" customFormat="1" ht="13">
      <c r="A16" s="23" t="str">
        <f t="shared" si="0"/>
        <v>Memphis</v>
      </c>
      <c r="B16" s="23">
        <v>794598</v>
      </c>
      <c r="C16" s="23" t="s">
        <v>554</v>
      </c>
      <c r="D16" s="23" t="s">
        <v>537</v>
      </c>
      <c r="E16" s="23" t="s">
        <v>168</v>
      </c>
      <c r="F16" s="23" t="s">
        <v>538</v>
      </c>
      <c r="G16" s="23">
        <v>1</v>
      </c>
      <c r="H16" s="23" t="s">
        <v>67</v>
      </c>
      <c r="I16" s="23">
        <v>5.4399999999999997E-2</v>
      </c>
      <c r="J16" s="23">
        <v>3.6</v>
      </c>
      <c r="K16" s="23">
        <v>3.5</v>
      </c>
      <c r="L16" s="23">
        <v>8.6</v>
      </c>
      <c r="M16" s="23">
        <v>8</v>
      </c>
      <c r="N16" s="23">
        <v>3</v>
      </c>
      <c r="O16" s="23">
        <v>0.5</v>
      </c>
      <c r="P16" s="24">
        <v>45536</v>
      </c>
      <c r="Q16" s="23" t="s">
        <v>82</v>
      </c>
      <c r="R16" s="23"/>
      <c r="S16" s="23"/>
      <c r="T16" s="23">
        <v>4.25</v>
      </c>
      <c r="U16" s="23">
        <v>0</v>
      </c>
      <c r="V16" s="23">
        <v>0.5</v>
      </c>
      <c r="W16" s="23">
        <v>2.25</v>
      </c>
      <c r="X16" s="23">
        <v>4.1500000000000004</v>
      </c>
      <c r="Y16" s="23">
        <v>0</v>
      </c>
      <c r="Z16" s="23">
        <v>0</v>
      </c>
      <c r="AA16" s="23"/>
      <c r="AB16" s="23"/>
      <c r="AC16" s="26">
        <f t="shared" si="1"/>
        <v>3.5</v>
      </c>
      <c r="AE16" s="10">
        <f t="shared" si="2"/>
        <v>0.84349593495934971</v>
      </c>
      <c r="AF16" s="15">
        <f t="shared" si="3"/>
        <v>0.3402</v>
      </c>
      <c r="AG16" s="10">
        <f t="shared" si="4"/>
        <v>1.1836959349593497</v>
      </c>
      <c r="AH16" s="10">
        <f t="shared" si="5"/>
        <v>2.3673918699186993</v>
      </c>
    </row>
    <row r="17" spans="1:35" s="10" customFormat="1" ht="13">
      <c r="A17" s="23" t="str">
        <f t="shared" si="0"/>
        <v>Memphis</v>
      </c>
      <c r="B17" s="23">
        <v>795007</v>
      </c>
      <c r="C17" s="23" t="s">
        <v>555</v>
      </c>
      <c r="D17" s="23" t="s">
        <v>537</v>
      </c>
      <c r="E17" s="23" t="s">
        <v>168</v>
      </c>
      <c r="F17" s="23" t="s">
        <v>538</v>
      </c>
      <c r="G17" s="23">
        <v>1</v>
      </c>
      <c r="H17" s="23" t="s">
        <v>73</v>
      </c>
      <c r="I17" s="23">
        <v>5.45E-2</v>
      </c>
      <c r="J17" s="23">
        <v>3.6</v>
      </c>
      <c r="K17" s="23">
        <v>3.5</v>
      </c>
      <c r="L17" s="23">
        <v>8.6</v>
      </c>
      <c r="M17" s="23">
        <v>8</v>
      </c>
      <c r="N17" s="23">
        <v>3.05</v>
      </c>
      <c r="O17" s="23">
        <v>0.5</v>
      </c>
      <c r="P17" s="24">
        <v>45901</v>
      </c>
      <c r="Q17" s="23" t="s">
        <v>68</v>
      </c>
      <c r="R17" s="23" t="s">
        <v>556</v>
      </c>
      <c r="S17" s="25">
        <v>70000</v>
      </c>
      <c r="T17" s="23">
        <v>4.25</v>
      </c>
      <c r="U17" s="23">
        <v>0</v>
      </c>
      <c r="V17" s="23">
        <v>0.5</v>
      </c>
      <c r="W17" s="23">
        <v>2.25</v>
      </c>
      <c r="X17" s="23">
        <v>4.1500000000000004</v>
      </c>
      <c r="Y17" s="23">
        <v>0</v>
      </c>
      <c r="Z17" s="23">
        <v>0</v>
      </c>
      <c r="AA17" s="23"/>
      <c r="AB17" s="23"/>
      <c r="AC17" s="26">
        <f t="shared" si="1"/>
        <v>3.5</v>
      </c>
      <c r="AE17" s="10">
        <f t="shared" si="2"/>
        <v>0.84349593495934971</v>
      </c>
      <c r="AF17" s="15">
        <f t="shared" si="3"/>
        <v>0.3402</v>
      </c>
      <c r="AG17" s="10">
        <f t="shared" si="4"/>
        <v>1.1836959349593497</v>
      </c>
      <c r="AH17" s="10">
        <f t="shared" si="5"/>
        <v>2.3673918699186993</v>
      </c>
    </row>
    <row r="18" spans="1:35" s="10" customFormat="1" ht="13">
      <c r="A18" s="23" t="str">
        <f t="shared" si="0"/>
        <v>Memphis</v>
      </c>
      <c r="B18" s="23">
        <v>795026</v>
      </c>
      <c r="C18" s="23" t="s">
        <v>557</v>
      </c>
      <c r="D18" s="23" t="s">
        <v>537</v>
      </c>
      <c r="E18" s="23" t="s">
        <v>168</v>
      </c>
      <c r="F18" s="23" t="s">
        <v>538</v>
      </c>
      <c r="G18" s="23">
        <v>1</v>
      </c>
      <c r="H18" s="23" t="s">
        <v>73</v>
      </c>
      <c r="I18" s="23">
        <v>4.02E-2</v>
      </c>
      <c r="J18" s="23">
        <v>2.5</v>
      </c>
      <c r="K18" s="23">
        <v>4</v>
      </c>
      <c r="L18" s="23">
        <v>13</v>
      </c>
      <c r="M18" s="23">
        <v>0</v>
      </c>
      <c r="N18" s="23">
        <v>0</v>
      </c>
      <c r="O18" s="23">
        <v>0.6</v>
      </c>
      <c r="P18" s="24">
        <v>45870</v>
      </c>
      <c r="Q18" s="23" t="s">
        <v>68</v>
      </c>
      <c r="R18" s="23" t="s">
        <v>558</v>
      </c>
      <c r="S18" s="25">
        <v>85000</v>
      </c>
      <c r="T18" s="23">
        <v>5</v>
      </c>
      <c r="U18" s="23">
        <v>0</v>
      </c>
      <c r="V18" s="23">
        <v>0.6</v>
      </c>
      <c r="W18" s="23">
        <v>2.5</v>
      </c>
      <c r="X18" s="23">
        <v>4</v>
      </c>
      <c r="Y18" s="23">
        <v>0</v>
      </c>
      <c r="Z18" s="23">
        <v>0</v>
      </c>
      <c r="AA18" s="23"/>
      <c r="AB18" s="23"/>
      <c r="AC18" s="26">
        <f t="shared" si="1"/>
        <v>4</v>
      </c>
      <c r="AE18" s="10">
        <f t="shared" si="2"/>
        <v>0.81300813008130079</v>
      </c>
      <c r="AF18" s="15">
        <f t="shared" si="3"/>
        <v>0.3402</v>
      </c>
      <c r="AG18" s="10">
        <f t="shared" si="4"/>
        <v>1.1532081300813009</v>
      </c>
      <c r="AH18" s="10">
        <f t="shared" si="5"/>
        <v>2.3064162601626017</v>
      </c>
    </row>
    <row r="19" spans="1:35" s="10" customFormat="1" ht="13">
      <c r="A19" s="23" t="str">
        <f t="shared" si="0"/>
        <v>Memphis</v>
      </c>
      <c r="B19" s="23">
        <v>490150</v>
      </c>
      <c r="C19" s="23" t="s">
        <v>609</v>
      </c>
      <c r="D19" s="23" t="s">
        <v>537</v>
      </c>
      <c r="E19" s="23" t="s">
        <v>128</v>
      </c>
      <c r="F19" s="23" t="s">
        <v>611</v>
      </c>
      <c r="G19" s="23">
        <v>1</v>
      </c>
      <c r="H19" s="23" t="s">
        <v>67</v>
      </c>
      <c r="I19" s="23">
        <v>5.2400000000000002E-2</v>
      </c>
      <c r="J19" s="23">
        <v>5</v>
      </c>
      <c r="K19" s="23">
        <v>4</v>
      </c>
      <c r="L19" s="23">
        <v>8</v>
      </c>
      <c r="M19" s="23">
        <v>8</v>
      </c>
      <c r="N19" s="23">
        <v>0</v>
      </c>
      <c r="O19" s="23">
        <v>0</v>
      </c>
      <c r="P19" s="24">
        <v>45505</v>
      </c>
      <c r="Q19" s="23" t="s">
        <v>68</v>
      </c>
      <c r="R19" s="23"/>
      <c r="S19" s="23"/>
      <c r="T19" s="23">
        <v>9</v>
      </c>
      <c r="U19" s="23">
        <v>0</v>
      </c>
      <c r="V19" s="23">
        <v>0</v>
      </c>
      <c r="W19" s="23">
        <v>2.25</v>
      </c>
      <c r="X19" s="23">
        <v>5</v>
      </c>
      <c r="Y19" s="23">
        <v>0</v>
      </c>
      <c r="Z19" s="23">
        <v>4</v>
      </c>
      <c r="AA19" s="23"/>
      <c r="AB19" s="23"/>
      <c r="AC19" s="26">
        <f t="shared" si="1"/>
        <v>4</v>
      </c>
      <c r="AE19" s="10">
        <f t="shared" si="2"/>
        <v>1.0162601626016261</v>
      </c>
      <c r="AF19" s="15">
        <f t="shared" si="3"/>
        <v>0.3402</v>
      </c>
      <c r="AG19" s="10">
        <f t="shared" si="4"/>
        <v>1.3564601626016262</v>
      </c>
      <c r="AH19" s="10">
        <f t="shared" si="5"/>
        <v>2.7129203252032523</v>
      </c>
    </row>
    <row r="20" spans="1:35" s="10" customFormat="1" ht="13">
      <c r="A20" s="23" t="str">
        <f t="shared" si="0"/>
        <v>Memphis</v>
      </c>
      <c r="B20" s="23">
        <v>166150</v>
      </c>
      <c r="C20" s="23" t="s">
        <v>800</v>
      </c>
      <c r="D20" s="23" t="s">
        <v>537</v>
      </c>
      <c r="E20" s="23" t="s">
        <v>149</v>
      </c>
      <c r="F20" s="23" t="s">
        <v>234</v>
      </c>
      <c r="G20" s="23">
        <v>1</v>
      </c>
      <c r="H20" s="23" t="s">
        <v>73</v>
      </c>
      <c r="I20" s="23">
        <v>5.21E-2</v>
      </c>
      <c r="J20" s="23">
        <v>2.75</v>
      </c>
      <c r="K20" s="23">
        <v>3.75</v>
      </c>
      <c r="L20" s="23">
        <v>16</v>
      </c>
      <c r="M20" s="23">
        <v>0</v>
      </c>
      <c r="N20" s="23">
        <v>3.05</v>
      </c>
      <c r="O20" s="23">
        <v>0.5</v>
      </c>
      <c r="P20" s="24">
        <v>45901</v>
      </c>
      <c r="Q20" s="23" t="s">
        <v>68</v>
      </c>
      <c r="R20" s="23"/>
      <c r="S20" s="25"/>
      <c r="T20" s="23">
        <v>4.5</v>
      </c>
      <c r="U20" s="23">
        <v>0</v>
      </c>
      <c r="V20" s="23">
        <v>0.5</v>
      </c>
      <c r="W20" s="23">
        <v>2.5</v>
      </c>
      <c r="X20" s="23">
        <v>4.75</v>
      </c>
      <c r="Y20" s="23">
        <v>0</v>
      </c>
      <c r="Z20" s="23">
        <v>0</v>
      </c>
      <c r="AA20" s="23"/>
      <c r="AB20" s="23"/>
      <c r="AC20" s="26">
        <f t="shared" si="1"/>
        <v>3.75</v>
      </c>
      <c r="AE20" s="10">
        <f t="shared" si="2"/>
        <v>0.96544715447154472</v>
      </c>
      <c r="AF20" s="15">
        <f t="shared" si="3"/>
        <v>0.3402</v>
      </c>
      <c r="AG20" s="10">
        <f t="shared" si="4"/>
        <v>1.3056471544715447</v>
      </c>
      <c r="AH20" s="10">
        <f t="shared" si="5"/>
        <v>2.6112943089430893</v>
      </c>
    </row>
    <row r="21" spans="1:35" s="10" customFormat="1" ht="13">
      <c r="A21" s="23" t="str">
        <f t="shared" si="0"/>
        <v>Memphis</v>
      </c>
      <c r="B21" s="23">
        <v>167003</v>
      </c>
      <c r="C21" s="23" t="s">
        <v>802</v>
      </c>
      <c r="D21" s="23" t="s">
        <v>537</v>
      </c>
      <c r="E21" s="23" t="s">
        <v>149</v>
      </c>
      <c r="F21" s="23" t="s">
        <v>234</v>
      </c>
      <c r="G21" s="23">
        <v>1</v>
      </c>
      <c r="H21" s="23" t="s">
        <v>73</v>
      </c>
      <c r="I21" s="23">
        <v>4.5999999999999999E-2</v>
      </c>
      <c r="J21" s="23">
        <v>2.25</v>
      </c>
      <c r="K21" s="23">
        <v>3.75</v>
      </c>
      <c r="L21" s="23">
        <v>16.5</v>
      </c>
      <c r="M21" s="23">
        <v>0</v>
      </c>
      <c r="N21" s="23">
        <v>0</v>
      </c>
      <c r="O21" s="23">
        <v>0.5</v>
      </c>
      <c r="P21" s="24">
        <v>45901</v>
      </c>
      <c r="Q21" s="23" t="s">
        <v>82</v>
      </c>
      <c r="R21" s="23" t="s">
        <v>803</v>
      </c>
      <c r="S21" s="25">
        <v>115080</v>
      </c>
      <c r="T21" s="23">
        <v>9.5</v>
      </c>
      <c r="U21" s="23">
        <v>0</v>
      </c>
      <c r="V21" s="23">
        <v>0.5</v>
      </c>
      <c r="W21" s="23">
        <v>2.5</v>
      </c>
      <c r="X21" s="23">
        <v>4.75</v>
      </c>
      <c r="Y21" s="23">
        <v>0</v>
      </c>
      <c r="Z21" s="23">
        <v>0</v>
      </c>
      <c r="AA21" s="23"/>
      <c r="AB21" s="23"/>
      <c r="AC21" s="26">
        <f t="shared" si="1"/>
        <v>3.75</v>
      </c>
      <c r="AE21" s="10">
        <f t="shared" si="2"/>
        <v>0.96544715447154472</v>
      </c>
      <c r="AF21" s="15">
        <f t="shared" si="3"/>
        <v>0.3402</v>
      </c>
      <c r="AG21" s="10">
        <f t="shared" si="4"/>
        <v>1.3056471544715447</v>
      </c>
      <c r="AH21" s="10">
        <f t="shared" si="5"/>
        <v>2.6112943089430893</v>
      </c>
    </row>
    <row r="22" spans="1:35" s="10" customFormat="1" ht="13">
      <c r="A22" s="23" t="str">
        <f t="shared" si="0"/>
        <v>Memphis</v>
      </c>
      <c r="B22" s="23">
        <v>167025</v>
      </c>
      <c r="C22" s="23" t="s">
        <v>804</v>
      </c>
      <c r="D22" s="23" t="s">
        <v>537</v>
      </c>
      <c r="E22" s="23" t="s">
        <v>149</v>
      </c>
      <c r="F22" s="23" t="s">
        <v>234</v>
      </c>
      <c r="G22" s="23">
        <v>1</v>
      </c>
      <c r="H22" s="23" t="s">
        <v>73</v>
      </c>
      <c r="I22" s="23">
        <v>3.78E-2</v>
      </c>
      <c r="J22" s="23">
        <v>1.85</v>
      </c>
      <c r="K22" s="23">
        <v>3</v>
      </c>
      <c r="L22" s="23">
        <v>4</v>
      </c>
      <c r="M22" s="23">
        <v>7</v>
      </c>
      <c r="N22" s="23">
        <v>3.05</v>
      </c>
      <c r="O22" s="23">
        <v>0</v>
      </c>
      <c r="P22" s="24">
        <v>45901</v>
      </c>
      <c r="Q22" s="23" t="s">
        <v>82</v>
      </c>
      <c r="R22" s="23" t="s">
        <v>805</v>
      </c>
      <c r="S22" s="25">
        <v>125000</v>
      </c>
      <c r="T22" s="23">
        <v>4</v>
      </c>
      <c r="U22" s="23">
        <v>0</v>
      </c>
      <c r="V22" s="23">
        <v>0</v>
      </c>
      <c r="W22" s="23">
        <v>1.85</v>
      </c>
      <c r="X22" s="23">
        <v>3.75</v>
      </c>
      <c r="Y22" s="23">
        <v>0</v>
      </c>
      <c r="Z22" s="23">
        <v>0</v>
      </c>
      <c r="AA22" s="23"/>
      <c r="AB22" s="23"/>
      <c r="AC22" s="26">
        <f t="shared" si="1"/>
        <v>3</v>
      </c>
      <c r="AE22" s="10">
        <f t="shared" si="2"/>
        <v>0.76219512195121952</v>
      </c>
      <c r="AF22" s="15">
        <f t="shared" si="3"/>
        <v>0.3402</v>
      </c>
      <c r="AG22" s="10">
        <f t="shared" si="4"/>
        <v>1.1023951219512196</v>
      </c>
      <c r="AH22" s="10">
        <f t="shared" si="5"/>
        <v>2.2047902439024392</v>
      </c>
    </row>
    <row r="23" spans="1:35" s="10" customFormat="1" ht="13">
      <c r="A23" s="23" t="str">
        <f t="shared" si="0"/>
        <v>Memphis</v>
      </c>
      <c r="B23" s="23">
        <v>167035</v>
      </c>
      <c r="C23" s="23" t="s">
        <v>806</v>
      </c>
      <c r="D23" s="23" t="s">
        <v>537</v>
      </c>
      <c r="E23" s="23" t="s">
        <v>149</v>
      </c>
      <c r="F23" s="23" t="s">
        <v>234</v>
      </c>
      <c r="G23" s="23">
        <v>1</v>
      </c>
      <c r="H23" s="23" t="s">
        <v>73</v>
      </c>
      <c r="I23" s="23">
        <v>5.21E-2</v>
      </c>
      <c r="J23" s="23">
        <v>2.75</v>
      </c>
      <c r="K23" s="23">
        <v>3.75</v>
      </c>
      <c r="L23" s="23">
        <v>16</v>
      </c>
      <c r="M23" s="23">
        <v>0</v>
      </c>
      <c r="N23" s="23">
        <v>3.05</v>
      </c>
      <c r="O23" s="23">
        <v>0.5</v>
      </c>
      <c r="P23" s="24">
        <v>45901</v>
      </c>
      <c r="Q23" s="23" t="s">
        <v>82</v>
      </c>
      <c r="R23" s="23" t="s">
        <v>807</v>
      </c>
      <c r="S23" s="25">
        <v>130000</v>
      </c>
      <c r="T23" s="23">
        <v>4.5</v>
      </c>
      <c r="U23" s="23">
        <v>0</v>
      </c>
      <c r="V23" s="23">
        <v>0.5</v>
      </c>
      <c r="W23" s="23">
        <v>2.5</v>
      </c>
      <c r="X23" s="23">
        <v>4.75</v>
      </c>
      <c r="Y23" s="23">
        <v>0</v>
      </c>
      <c r="Z23" s="23">
        <v>0</v>
      </c>
      <c r="AA23" s="23"/>
      <c r="AB23" s="23"/>
      <c r="AC23" s="26">
        <f t="shared" si="1"/>
        <v>3.75</v>
      </c>
      <c r="AE23" s="10">
        <f t="shared" si="2"/>
        <v>0.96544715447154472</v>
      </c>
      <c r="AF23" s="15">
        <f t="shared" si="3"/>
        <v>0.3402</v>
      </c>
      <c r="AG23" s="10">
        <f t="shared" si="4"/>
        <v>1.3056471544715447</v>
      </c>
      <c r="AH23" s="10">
        <f t="shared" si="5"/>
        <v>2.6112943089430893</v>
      </c>
    </row>
    <row r="24" spans="1:35" s="10" customFormat="1" ht="13">
      <c r="A24" s="23" t="str">
        <f t="shared" si="0"/>
        <v>Memphis</v>
      </c>
      <c r="B24" s="23">
        <v>153505</v>
      </c>
      <c r="C24" s="23" t="s">
        <v>232</v>
      </c>
      <c r="D24" s="23" t="s">
        <v>537</v>
      </c>
      <c r="E24" s="23" t="s">
        <v>149</v>
      </c>
      <c r="F24" s="23" t="s">
        <v>234</v>
      </c>
      <c r="G24" s="23">
        <v>1</v>
      </c>
      <c r="H24" s="23" t="s">
        <v>73</v>
      </c>
      <c r="I24" s="23">
        <v>5.4100000000000002E-2</v>
      </c>
      <c r="J24" s="23">
        <v>5.05</v>
      </c>
      <c r="K24" s="23">
        <v>4</v>
      </c>
      <c r="L24" s="23">
        <v>10</v>
      </c>
      <c r="M24" s="23">
        <v>8</v>
      </c>
      <c r="N24" s="23">
        <v>0</v>
      </c>
      <c r="O24" s="23">
        <v>0</v>
      </c>
      <c r="P24" s="24">
        <v>45870</v>
      </c>
      <c r="Q24" s="23" t="s">
        <v>68</v>
      </c>
      <c r="R24" s="23" t="s">
        <v>235</v>
      </c>
      <c r="S24" s="25">
        <v>95500</v>
      </c>
      <c r="T24" s="23">
        <v>6.5</v>
      </c>
      <c r="U24" s="23">
        <v>0</v>
      </c>
      <c r="V24" s="23">
        <v>0.5</v>
      </c>
      <c r="W24" s="23">
        <v>2.5</v>
      </c>
      <c r="X24" s="23">
        <v>4.5</v>
      </c>
      <c r="Y24" s="23">
        <v>0</v>
      </c>
      <c r="Z24" s="23">
        <v>0</v>
      </c>
      <c r="AA24" s="23"/>
      <c r="AB24" s="23"/>
      <c r="AC24" s="26">
        <f t="shared" si="1"/>
        <v>4</v>
      </c>
      <c r="AE24" s="10">
        <f t="shared" si="2"/>
        <v>0.91463414634146345</v>
      </c>
      <c r="AF24" s="15">
        <f t="shared" si="3"/>
        <v>0.3402</v>
      </c>
      <c r="AG24" s="10">
        <f t="shared" si="4"/>
        <v>1.2548341463414634</v>
      </c>
      <c r="AH24" s="10">
        <f t="shared" si="5"/>
        <v>2.5096682926829268</v>
      </c>
    </row>
    <row r="25" spans="1:35" s="10" customFormat="1" ht="13">
      <c r="A25" s="18" t="str">
        <f t="shared" si="0"/>
        <v>Houston</v>
      </c>
      <c r="B25" s="18">
        <v>858053</v>
      </c>
      <c r="C25" s="18" t="s">
        <v>364</v>
      </c>
      <c r="D25" s="18" t="s">
        <v>439</v>
      </c>
      <c r="E25" s="18" t="s">
        <v>71</v>
      </c>
      <c r="F25" s="18" t="s">
        <v>366</v>
      </c>
      <c r="G25" s="18">
        <v>3</v>
      </c>
      <c r="H25" s="18" t="s">
        <v>73</v>
      </c>
      <c r="I25" s="18">
        <v>5.7200000000000001E-2</v>
      </c>
      <c r="J25" s="18">
        <v>4.75</v>
      </c>
      <c r="K25" s="18">
        <v>4.25</v>
      </c>
      <c r="L25" s="18">
        <v>7.5</v>
      </c>
      <c r="M25" s="18">
        <v>10.5</v>
      </c>
      <c r="N25" s="18">
        <v>0</v>
      </c>
      <c r="O25" s="18">
        <v>1.6</v>
      </c>
      <c r="P25" s="19">
        <v>45839</v>
      </c>
      <c r="Q25" s="18" t="s">
        <v>82</v>
      </c>
      <c r="R25" s="18" t="s">
        <v>367</v>
      </c>
      <c r="S25" s="20">
        <v>60442</v>
      </c>
      <c r="T25" s="18">
        <v>7.5</v>
      </c>
      <c r="U25" s="18">
        <v>0</v>
      </c>
      <c r="V25" s="18">
        <v>1.6</v>
      </c>
      <c r="W25" s="18">
        <v>4.75</v>
      </c>
      <c r="X25" s="18">
        <v>5</v>
      </c>
      <c r="Y25" s="18">
        <v>0</v>
      </c>
      <c r="Z25" s="18">
        <v>0</v>
      </c>
      <c r="AA25" s="18"/>
      <c r="AB25" s="18"/>
      <c r="AC25" s="21">
        <f t="shared" si="1"/>
        <v>4.25</v>
      </c>
      <c r="AE25" s="10">
        <f t="shared" si="2"/>
        <v>1.0162601626016261</v>
      </c>
      <c r="AF25" s="15">
        <f t="shared" si="3"/>
        <v>0.3402</v>
      </c>
      <c r="AG25" s="10">
        <f t="shared" si="4"/>
        <v>1.3564601626016262</v>
      </c>
      <c r="AH25" s="10">
        <f t="shared" si="5"/>
        <v>2.7129203252032523</v>
      </c>
      <c r="AI25" s="10">
        <v>2460</v>
      </c>
    </row>
    <row r="26" spans="1:35" s="10" customFormat="1" ht="13">
      <c r="A26" s="18" t="str">
        <f t="shared" si="0"/>
        <v>Houston</v>
      </c>
      <c r="B26" s="18">
        <v>858054</v>
      </c>
      <c r="C26" s="18" t="s">
        <v>368</v>
      </c>
      <c r="D26" s="18" t="s">
        <v>439</v>
      </c>
      <c r="E26" s="18" t="s">
        <v>71</v>
      </c>
      <c r="F26" s="18" t="s">
        <v>366</v>
      </c>
      <c r="G26" s="18">
        <v>3</v>
      </c>
      <c r="H26" s="18" t="s">
        <v>73</v>
      </c>
      <c r="I26" s="18">
        <v>5.7200000000000001E-2</v>
      </c>
      <c r="J26" s="18">
        <v>4.75</v>
      </c>
      <c r="K26" s="18">
        <v>4.25</v>
      </c>
      <c r="L26" s="18">
        <v>7.5</v>
      </c>
      <c r="M26" s="18">
        <v>10.5</v>
      </c>
      <c r="N26" s="18">
        <v>0</v>
      </c>
      <c r="O26" s="18">
        <v>1.6</v>
      </c>
      <c r="P26" s="19">
        <v>45839</v>
      </c>
      <c r="Q26" s="18" t="s">
        <v>82</v>
      </c>
      <c r="R26" s="18" t="s">
        <v>369</v>
      </c>
      <c r="S26" s="20">
        <v>18250</v>
      </c>
      <c r="T26" s="18">
        <v>7.5</v>
      </c>
      <c r="U26" s="18">
        <v>0</v>
      </c>
      <c r="V26" s="18">
        <v>1.6</v>
      </c>
      <c r="W26" s="18">
        <v>4.75</v>
      </c>
      <c r="X26" s="18">
        <v>5</v>
      </c>
      <c r="Y26" s="18">
        <v>0</v>
      </c>
      <c r="Z26" s="18">
        <v>0</v>
      </c>
      <c r="AA26" s="18"/>
      <c r="AB26" s="18"/>
      <c r="AC26" s="21">
        <f t="shared" si="1"/>
        <v>4.25</v>
      </c>
      <c r="AE26" s="10">
        <f t="shared" si="2"/>
        <v>1.0162601626016261</v>
      </c>
      <c r="AF26" s="15">
        <f t="shared" si="3"/>
        <v>0.3402</v>
      </c>
      <c r="AG26" s="10">
        <f t="shared" si="4"/>
        <v>1.3564601626016262</v>
      </c>
      <c r="AH26" s="10">
        <f t="shared" si="5"/>
        <v>2.7129203252032523</v>
      </c>
      <c r="AI26" s="10">
        <v>1041</v>
      </c>
    </row>
    <row r="27" spans="1:35" s="10" customFormat="1" ht="13">
      <c r="A27" s="18" t="str">
        <f t="shared" si="0"/>
        <v>Houston</v>
      </c>
      <c r="B27" s="18">
        <v>858055</v>
      </c>
      <c r="C27" s="18" t="s">
        <v>370</v>
      </c>
      <c r="D27" s="18" t="s">
        <v>439</v>
      </c>
      <c r="E27" s="18" t="s">
        <v>71</v>
      </c>
      <c r="F27" s="18" t="s">
        <v>366</v>
      </c>
      <c r="G27" s="18">
        <v>3</v>
      </c>
      <c r="H27" s="18" t="s">
        <v>73</v>
      </c>
      <c r="I27" s="18">
        <v>5.7200000000000001E-2</v>
      </c>
      <c r="J27" s="18">
        <v>4.75</v>
      </c>
      <c r="K27" s="18">
        <v>4.25</v>
      </c>
      <c r="L27" s="18">
        <v>7.5</v>
      </c>
      <c r="M27" s="18">
        <v>10.5</v>
      </c>
      <c r="N27" s="18">
        <v>0</v>
      </c>
      <c r="O27" s="18">
        <v>1.6</v>
      </c>
      <c r="P27" s="19">
        <v>45839</v>
      </c>
      <c r="Q27" s="18" t="s">
        <v>82</v>
      </c>
      <c r="R27" s="18" t="s">
        <v>371</v>
      </c>
      <c r="S27" s="20">
        <v>20000</v>
      </c>
      <c r="T27" s="18">
        <v>7.5</v>
      </c>
      <c r="U27" s="18">
        <v>0</v>
      </c>
      <c r="V27" s="18">
        <v>1.6</v>
      </c>
      <c r="W27" s="18">
        <v>4.75</v>
      </c>
      <c r="X27" s="18">
        <v>5</v>
      </c>
      <c r="Y27" s="18">
        <v>0</v>
      </c>
      <c r="Z27" s="18">
        <v>0</v>
      </c>
      <c r="AA27" s="18"/>
      <c r="AB27" s="18"/>
      <c r="AC27" s="21">
        <f t="shared" si="1"/>
        <v>4.25</v>
      </c>
      <c r="AE27" s="10">
        <f t="shared" si="2"/>
        <v>1.0162601626016261</v>
      </c>
      <c r="AF27" s="15">
        <f t="shared" si="3"/>
        <v>0.3402</v>
      </c>
      <c r="AG27" s="10">
        <f t="shared" si="4"/>
        <v>1.3564601626016262</v>
      </c>
      <c r="AH27" s="10">
        <f t="shared" si="5"/>
        <v>2.7129203252032523</v>
      </c>
      <c r="AI27" s="10">
        <v>826</v>
      </c>
    </row>
    <row r="28" spans="1:35" s="10" customFormat="1" ht="13">
      <c r="A28" s="18" t="str">
        <f t="shared" si="0"/>
        <v>Houston</v>
      </c>
      <c r="B28" s="18">
        <v>858056</v>
      </c>
      <c r="C28" s="18" t="s">
        <v>372</v>
      </c>
      <c r="D28" s="18" t="s">
        <v>439</v>
      </c>
      <c r="E28" s="18" t="s">
        <v>71</v>
      </c>
      <c r="F28" s="18" t="s">
        <v>366</v>
      </c>
      <c r="G28" s="18">
        <v>3</v>
      </c>
      <c r="H28" s="18" t="s">
        <v>73</v>
      </c>
      <c r="I28" s="18">
        <v>5.7200000000000001E-2</v>
      </c>
      <c r="J28" s="18">
        <v>4.75</v>
      </c>
      <c r="K28" s="18">
        <v>4.25</v>
      </c>
      <c r="L28" s="18">
        <v>7.5</v>
      </c>
      <c r="M28" s="18">
        <v>10.5</v>
      </c>
      <c r="N28" s="18">
        <v>0</v>
      </c>
      <c r="O28" s="18">
        <v>1.6</v>
      </c>
      <c r="P28" s="19">
        <v>45839</v>
      </c>
      <c r="Q28" s="18" t="s">
        <v>82</v>
      </c>
      <c r="R28" s="18" t="s">
        <v>373</v>
      </c>
      <c r="S28" s="20">
        <v>19120</v>
      </c>
      <c r="T28" s="18">
        <v>7.5</v>
      </c>
      <c r="U28" s="18">
        <v>0</v>
      </c>
      <c r="V28" s="18">
        <v>1.6</v>
      </c>
      <c r="W28" s="18">
        <v>4.75</v>
      </c>
      <c r="X28" s="18">
        <v>5</v>
      </c>
      <c r="Y28" s="18">
        <v>0</v>
      </c>
      <c r="Z28" s="18">
        <v>0</v>
      </c>
      <c r="AA28" s="18"/>
      <c r="AB28" s="18"/>
      <c r="AC28" s="21">
        <f t="shared" si="1"/>
        <v>4.25</v>
      </c>
      <c r="AE28" s="10">
        <f t="shared" si="2"/>
        <v>1.0162601626016261</v>
      </c>
      <c r="AF28" s="15">
        <f t="shared" si="3"/>
        <v>0.3402</v>
      </c>
      <c r="AG28" s="10">
        <f t="shared" si="4"/>
        <v>1.3564601626016262</v>
      </c>
      <c r="AH28" s="10">
        <f t="shared" si="5"/>
        <v>2.7129203252032523</v>
      </c>
      <c r="AI28" s="10">
        <v>525</v>
      </c>
    </row>
    <row r="29" spans="1:35" s="10" customFormat="1" ht="13">
      <c r="A29" s="18" t="str">
        <f t="shared" si="0"/>
        <v>Houston</v>
      </c>
      <c r="B29" s="18">
        <v>858065</v>
      </c>
      <c r="C29" s="18" t="s">
        <v>374</v>
      </c>
      <c r="D29" s="18" t="s">
        <v>439</v>
      </c>
      <c r="E29" s="18" t="s">
        <v>71</v>
      </c>
      <c r="F29" s="18" t="s">
        <v>366</v>
      </c>
      <c r="G29" s="18">
        <v>3</v>
      </c>
      <c r="H29" s="18" t="s">
        <v>73</v>
      </c>
      <c r="I29" s="18">
        <v>5.5E-2</v>
      </c>
      <c r="J29" s="18">
        <v>5.5</v>
      </c>
      <c r="K29" s="18">
        <v>4</v>
      </c>
      <c r="L29" s="18">
        <v>7.5</v>
      </c>
      <c r="M29" s="18">
        <v>10</v>
      </c>
      <c r="N29" s="18">
        <v>0</v>
      </c>
      <c r="O29" s="18">
        <v>0.5</v>
      </c>
      <c r="P29" s="19">
        <v>45839</v>
      </c>
      <c r="Q29" s="18" t="s">
        <v>82</v>
      </c>
      <c r="R29" s="18" t="s">
        <v>375</v>
      </c>
      <c r="S29" s="20">
        <v>55580</v>
      </c>
      <c r="T29" s="18">
        <v>7.25</v>
      </c>
      <c r="U29" s="18">
        <v>0</v>
      </c>
      <c r="V29" s="18">
        <v>0.5</v>
      </c>
      <c r="W29" s="18">
        <v>2.75</v>
      </c>
      <c r="X29" s="18">
        <v>4.75</v>
      </c>
      <c r="Y29" s="18">
        <v>0</v>
      </c>
      <c r="Z29" s="18">
        <v>0</v>
      </c>
      <c r="AA29" s="18"/>
      <c r="AB29" s="18"/>
      <c r="AC29" s="21">
        <f t="shared" si="1"/>
        <v>4</v>
      </c>
      <c r="AE29" s="10">
        <f t="shared" si="2"/>
        <v>0.96544715447154472</v>
      </c>
      <c r="AF29" s="15">
        <f t="shared" si="3"/>
        <v>0.3402</v>
      </c>
      <c r="AG29" s="10">
        <f t="shared" si="4"/>
        <v>1.3056471544715447</v>
      </c>
      <c r="AH29" s="10">
        <f t="shared" si="5"/>
        <v>2.6112943089430893</v>
      </c>
      <c r="AI29" s="10">
        <v>5806</v>
      </c>
    </row>
    <row r="30" spans="1:35" s="10" customFormat="1" ht="13">
      <c r="A30" s="18" t="str">
        <f t="shared" si="0"/>
        <v>Houston</v>
      </c>
      <c r="B30" s="18">
        <v>858063</v>
      </c>
      <c r="C30" s="18" t="s">
        <v>438</v>
      </c>
      <c r="D30" s="18" t="s">
        <v>439</v>
      </c>
      <c r="E30" s="18" t="s">
        <v>71</v>
      </c>
      <c r="F30" s="18" t="s">
        <v>440</v>
      </c>
      <c r="G30" s="18">
        <v>3</v>
      </c>
      <c r="H30" s="18" t="s">
        <v>73</v>
      </c>
      <c r="I30" s="18">
        <v>5.7200000000000001E-2</v>
      </c>
      <c r="J30" s="18">
        <v>4.75</v>
      </c>
      <c r="K30" s="18">
        <v>4.25</v>
      </c>
      <c r="L30" s="18">
        <v>7.5</v>
      </c>
      <c r="M30" s="18">
        <v>10.5</v>
      </c>
      <c r="N30" s="18">
        <v>0</v>
      </c>
      <c r="O30" s="18">
        <v>1.6</v>
      </c>
      <c r="P30" s="19">
        <v>45839</v>
      </c>
      <c r="Q30" s="18" t="s">
        <v>68</v>
      </c>
      <c r="R30" s="18"/>
      <c r="S30" s="18"/>
      <c r="T30" s="18">
        <v>7.5</v>
      </c>
      <c r="U30" s="18">
        <v>0</v>
      </c>
      <c r="V30" s="18">
        <v>1.6</v>
      </c>
      <c r="W30" s="18">
        <v>4.75</v>
      </c>
      <c r="X30" s="18">
        <v>5</v>
      </c>
      <c r="Y30" s="18">
        <v>0</v>
      </c>
      <c r="Z30" s="18">
        <v>0</v>
      </c>
      <c r="AA30" s="18"/>
      <c r="AB30" s="18"/>
      <c r="AC30" s="21">
        <f t="shared" si="1"/>
        <v>4.25</v>
      </c>
      <c r="AE30" s="10">
        <f t="shared" si="2"/>
        <v>1.0162601626016261</v>
      </c>
      <c r="AF30" s="15">
        <f t="shared" si="3"/>
        <v>0.3402</v>
      </c>
      <c r="AG30" s="10">
        <f t="shared" si="4"/>
        <v>1.3564601626016262</v>
      </c>
      <c r="AH30" s="10">
        <f t="shared" si="5"/>
        <v>2.7129203252032523</v>
      </c>
      <c r="AI30" s="10">
        <v>17311</v>
      </c>
    </row>
    <row r="31" spans="1:35" s="10" customFormat="1" ht="13">
      <c r="A31" s="18" t="str">
        <f t="shared" si="0"/>
        <v>Houston</v>
      </c>
      <c r="B31" s="18">
        <v>871048</v>
      </c>
      <c r="C31" s="18" t="s">
        <v>441</v>
      </c>
      <c r="D31" s="18" t="s">
        <v>439</v>
      </c>
      <c r="E31" s="18" t="s">
        <v>71</v>
      </c>
      <c r="F31" s="18" t="s">
        <v>440</v>
      </c>
      <c r="G31" s="18">
        <v>3</v>
      </c>
      <c r="H31" s="18" t="s">
        <v>73</v>
      </c>
      <c r="I31" s="18">
        <v>5.1999999999999998E-2</v>
      </c>
      <c r="J31" s="18">
        <v>5</v>
      </c>
      <c r="K31" s="18">
        <v>4</v>
      </c>
      <c r="L31" s="18">
        <v>7</v>
      </c>
      <c r="M31" s="18">
        <v>9.5</v>
      </c>
      <c r="N31" s="18">
        <v>0</v>
      </c>
      <c r="O31" s="18">
        <v>0.5</v>
      </c>
      <c r="P31" s="19">
        <v>45839</v>
      </c>
      <c r="Q31" s="18" t="s">
        <v>68</v>
      </c>
      <c r="R31" s="18" t="s">
        <v>442</v>
      </c>
      <c r="S31" s="20">
        <v>85000</v>
      </c>
      <c r="T31" s="18">
        <v>7.5</v>
      </c>
      <c r="U31" s="18">
        <v>0</v>
      </c>
      <c r="V31" s="18">
        <v>0.5</v>
      </c>
      <c r="W31" s="18">
        <v>2.35</v>
      </c>
      <c r="X31" s="18">
        <v>4.1500000000000004</v>
      </c>
      <c r="Y31" s="18">
        <v>0</v>
      </c>
      <c r="Z31" s="18">
        <v>0</v>
      </c>
      <c r="AA31" s="18"/>
      <c r="AB31" s="18"/>
      <c r="AC31" s="21">
        <f t="shared" si="1"/>
        <v>4</v>
      </c>
      <c r="AE31" s="10">
        <f t="shared" si="2"/>
        <v>0.84349593495934971</v>
      </c>
      <c r="AF31" s="15">
        <f t="shared" si="3"/>
        <v>0.3402</v>
      </c>
      <c r="AG31" s="10">
        <f t="shared" si="4"/>
        <v>1.1836959349593497</v>
      </c>
      <c r="AH31" s="10">
        <f t="shared" si="5"/>
        <v>2.3673918699186993</v>
      </c>
    </row>
    <row r="32" spans="1:35" s="10" customFormat="1" ht="13">
      <c r="A32" s="18" t="str">
        <f t="shared" si="0"/>
        <v>Houston</v>
      </c>
      <c r="B32" s="18">
        <v>871049</v>
      </c>
      <c r="C32" s="18" t="s">
        <v>443</v>
      </c>
      <c r="D32" s="18" t="s">
        <v>439</v>
      </c>
      <c r="E32" s="18" t="s">
        <v>71</v>
      </c>
      <c r="F32" s="18" t="s">
        <v>440</v>
      </c>
      <c r="G32" s="18">
        <v>3</v>
      </c>
      <c r="H32" s="18" t="s">
        <v>73</v>
      </c>
      <c r="I32" s="18">
        <v>5.0999999999999997E-2</v>
      </c>
      <c r="J32" s="18">
        <v>5</v>
      </c>
      <c r="K32" s="18">
        <v>4</v>
      </c>
      <c r="L32" s="18">
        <v>7</v>
      </c>
      <c r="M32" s="18">
        <v>9.5</v>
      </c>
      <c r="N32" s="18">
        <v>0</v>
      </c>
      <c r="O32" s="18">
        <v>0</v>
      </c>
      <c r="P32" s="19">
        <v>45901</v>
      </c>
      <c r="Q32" s="18" t="s">
        <v>68</v>
      </c>
      <c r="R32" s="18"/>
      <c r="S32" s="18"/>
      <c r="T32" s="18">
        <v>7.5</v>
      </c>
      <c r="U32" s="18">
        <v>0</v>
      </c>
      <c r="V32" s="18">
        <v>0.5</v>
      </c>
      <c r="W32" s="18">
        <v>2.5</v>
      </c>
      <c r="X32" s="18">
        <v>4.25</v>
      </c>
      <c r="Y32" s="18">
        <v>0</v>
      </c>
      <c r="Z32" s="18">
        <v>0</v>
      </c>
      <c r="AA32" s="18"/>
      <c r="AB32" s="18"/>
      <c r="AC32" s="21">
        <f t="shared" si="1"/>
        <v>4</v>
      </c>
      <c r="AE32" s="10">
        <f t="shared" si="2"/>
        <v>0.86382113821138218</v>
      </c>
      <c r="AF32" s="15">
        <f t="shared" si="3"/>
        <v>0.3402</v>
      </c>
      <c r="AG32" s="10">
        <f t="shared" si="4"/>
        <v>1.2040211382113821</v>
      </c>
      <c r="AH32" s="10">
        <f t="shared" si="5"/>
        <v>2.4080422764227642</v>
      </c>
    </row>
    <row r="33" spans="1:35" s="10" customFormat="1" ht="13">
      <c r="A33" s="18" t="str">
        <f t="shared" si="0"/>
        <v>Houston</v>
      </c>
      <c r="B33" s="18">
        <v>913054</v>
      </c>
      <c r="C33" s="18" t="s">
        <v>620</v>
      </c>
      <c r="D33" s="18" t="s">
        <v>439</v>
      </c>
      <c r="E33" s="18" t="s">
        <v>71</v>
      </c>
      <c r="F33" s="18" t="s">
        <v>440</v>
      </c>
      <c r="G33" s="18">
        <v>3</v>
      </c>
      <c r="H33" s="18" t="s">
        <v>73</v>
      </c>
      <c r="I33" s="18">
        <v>2.12E-2</v>
      </c>
      <c r="J33" s="18">
        <v>3</v>
      </c>
      <c r="K33" s="18">
        <v>0.12</v>
      </c>
      <c r="L33" s="18">
        <v>4</v>
      </c>
      <c r="M33" s="18">
        <v>0</v>
      </c>
      <c r="N33" s="18">
        <v>0</v>
      </c>
      <c r="O33" s="18">
        <v>0</v>
      </c>
      <c r="P33" s="19">
        <v>45901</v>
      </c>
      <c r="Q33" s="18" t="s">
        <v>68</v>
      </c>
      <c r="R33" s="18"/>
      <c r="S33" s="18"/>
      <c r="T33" s="18">
        <v>7.5</v>
      </c>
      <c r="U33" s="18">
        <v>0</v>
      </c>
      <c r="V33" s="18">
        <v>0.5</v>
      </c>
      <c r="W33" s="18">
        <v>2.25</v>
      </c>
      <c r="X33" s="18">
        <v>5.5</v>
      </c>
      <c r="Y33" s="18">
        <v>0</v>
      </c>
      <c r="Z33" s="18">
        <v>0</v>
      </c>
      <c r="AA33" s="18"/>
      <c r="AB33" s="18"/>
      <c r="AC33" s="21">
        <f t="shared" si="1"/>
        <v>3.5999999999999996</v>
      </c>
      <c r="AE33" s="10">
        <f t="shared" si="2"/>
        <v>1.1178861788617886</v>
      </c>
      <c r="AF33" s="15">
        <f t="shared" si="3"/>
        <v>0.3402</v>
      </c>
      <c r="AG33" s="10">
        <f t="shared" si="4"/>
        <v>1.4580861788617887</v>
      </c>
      <c r="AH33" s="10">
        <f t="shared" si="5"/>
        <v>2.9161723577235774</v>
      </c>
    </row>
    <row r="34" spans="1:35" s="10" customFormat="1" ht="13">
      <c r="A34" s="18" t="str">
        <f t="shared" si="0"/>
        <v>Baytown</v>
      </c>
      <c r="B34" s="18">
        <v>819202</v>
      </c>
      <c r="C34" s="18" t="s">
        <v>121</v>
      </c>
      <c r="D34" s="18" t="s">
        <v>122</v>
      </c>
      <c r="E34" s="18" t="s">
        <v>71</v>
      </c>
      <c r="F34" s="18" t="s">
        <v>123</v>
      </c>
      <c r="G34" s="18">
        <v>3</v>
      </c>
      <c r="H34" s="18" t="s">
        <v>67</v>
      </c>
      <c r="I34" s="18">
        <v>5.8799999999999998E-2</v>
      </c>
      <c r="J34" s="18">
        <v>4.5</v>
      </c>
      <c r="K34" s="18">
        <v>4.25</v>
      </c>
      <c r="L34" s="18">
        <v>7.5</v>
      </c>
      <c r="M34" s="18">
        <v>10.15</v>
      </c>
      <c r="N34" s="18">
        <v>3</v>
      </c>
      <c r="O34" s="18">
        <v>0</v>
      </c>
      <c r="P34" s="19">
        <v>45505</v>
      </c>
      <c r="Q34" s="18" t="s">
        <v>68</v>
      </c>
      <c r="R34" s="18"/>
      <c r="S34" s="18"/>
      <c r="T34" s="18">
        <v>7.5</v>
      </c>
      <c r="U34" s="18">
        <v>0</v>
      </c>
      <c r="V34" s="18">
        <v>0.5</v>
      </c>
      <c r="W34" s="18">
        <v>2.5</v>
      </c>
      <c r="X34" s="18">
        <v>4.25</v>
      </c>
      <c r="Y34" s="18">
        <v>0</v>
      </c>
      <c r="Z34" s="18">
        <v>0</v>
      </c>
      <c r="AA34" s="18"/>
      <c r="AB34" s="18"/>
      <c r="AC34" s="21">
        <f t="shared" si="1"/>
        <v>4.25</v>
      </c>
      <c r="AE34" s="10">
        <f t="shared" si="2"/>
        <v>0.86382113821138218</v>
      </c>
      <c r="AF34" s="15">
        <f t="shared" si="3"/>
        <v>0.3402</v>
      </c>
      <c r="AG34" s="10">
        <f t="shared" si="4"/>
        <v>1.2040211382113821</v>
      </c>
      <c r="AH34" s="10">
        <f t="shared" si="5"/>
        <v>2.4080422764227642</v>
      </c>
    </row>
    <row r="35" spans="1:35" s="10" customFormat="1" ht="13">
      <c r="A35" s="27" t="str">
        <f t="shared" si="0"/>
        <v>Dallas</v>
      </c>
      <c r="B35" s="27">
        <v>853007</v>
      </c>
      <c r="C35" s="27" t="s">
        <v>359</v>
      </c>
      <c r="D35" s="27" t="s">
        <v>241</v>
      </c>
      <c r="E35" s="27" t="s">
        <v>71</v>
      </c>
      <c r="F35" s="27" t="s">
        <v>361</v>
      </c>
      <c r="G35" s="27">
        <v>2</v>
      </c>
      <c r="H35" s="27" t="s">
        <v>73</v>
      </c>
      <c r="I35" s="27">
        <v>6.8000000000000005E-2</v>
      </c>
      <c r="J35" s="27">
        <v>5.5</v>
      </c>
      <c r="K35" s="27">
        <v>3.5</v>
      </c>
      <c r="L35" s="27">
        <v>6</v>
      </c>
      <c r="M35" s="27">
        <v>18.5</v>
      </c>
      <c r="N35" s="27">
        <v>0</v>
      </c>
      <c r="O35" s="27">
        <v>0.5</v>
      </c>
      <c r="P35" s="28">
        <v>45839</v>
      </c>
      <c r="Q35" s="27" t="s">
        <v>68</v>
      </c>
      <c r="R35" s="27"/>
      <c r="S35" s="27"/>
      <c r="T35" s="27">
        <v>7.5</v>
      </c>
      <c r="U35" s="27">
        <v>0</v>
      </c>
      <c r="V35" s="27">
        <v>0.5</v>
      </c>
      <c r="W35" s="27">
        <v>2.35</v>
      </c>
      <c r="X35" s="27">
        <v>4.1500000000000004</v>
      </c>
      <c r="Y35" s="27">
        <v>0</v>
      </c>
      <c r="Z35" s="27">
        <v>0</v>
      </c>
      <c r="AA35" s="27"/>
      <c r="AB35" s="27"/>
      <c r="AC35" s="583">
        <f t="shared" si="1"/>
        <v>3.5</v>
      </c>
      <c r="AD35" s="584"/>
      <c r="AE35" s="10">
        <f t="shared" si="2"/>
        <v>0.84349593495934971</v>
      </c>
      <c r="AF35" s="15">
        <f t="shared" si="3"/>
        <v>0.3402</v>
      </c>
      <c r="AG35" s="10">
        <f t="shared" si="4"/>
        <v>1.1836959349593497</v>
      </c>
      <c r="AH35" s="10">
        <f t="shared" si="5"/>
        <v>2.3673918699186993</v>
      </c>
    </row>
    <row r="36" spans="1:35" s="10" customFormat="1" ht="13">
      <c r="A36" s="27" t="str">
        <f t="shared" si="0"/>
        <v>Dallas</v>
      </c>
      <c r="B36" s="27">
        <v>875260</v>
      </c>
      <c r="C36" s="27" t="s">
        <v>264</v>
      </c>
      <c r="D36" s="27" t="s">
        <v>241</v>
      </c>
      <c r="E36" s="27" t="s">
        <v>71</v>
      </c>
      <c r="F36" s="27" t="s">
        <v>242</v>
      </c>
      <c r="G36" s="27">
        <v>2</v>
      </c>
      <c r="H36" s="27" t="s">
        <v>73</v>
      </c>
      <c r="I36" s="27">
        <v>2.12E-2</v>
      </c>
      <c r="J36" s="27">
        <v>3</v>
      </c>
      <c r="K36" s="27">
        <v>0.12</v>
      </c>
      <c r="L36" s="27">
        <v>4</v>
      </c>
      <c r="M36" s="27">
        <v>0</v>
      </c>
      <c r="N36" s="27">
        <v>0</v>
      </c>
      <c r="O36" s="27">
        <v>0</v>
      </c>
      <c r="P36" s="28">
        <v>45901</v>
      </c>
      <c r="Q36" s="27" t="s">
        <v>68</v>
      </c>
      <c r="R36" s="27"/>
      <c r="S36" s="27"/>
      <c r="T36" s="27">
        <v>7.5</v>
      </c>
      <c r="U36" s="27">
        <v>0</v>
      </c>
      <c r="V36" s="27">
        <v>0.5</v>
      </c>
      <c r="W36" s="27">
        <v>2.25</v>
      </c>
      <c r="X36" s="27">
        <v>5.5</v>
      </c>
      <c r="Y36" s="27">
        <v>0</v>
      </c>
      <c r="Z36" s="27">
        <v>0</v>
      </c>
      <c r="AA36" s="27"/>
      <c r="AB36" s="27"/>
      <c r="AC36" s="583">
        <f t="shared" si="1"/>
        <v>3.5999999999999996</v>
      </c>
      <c r="AD36" s="584"/>
      <c r="AE36" s="10">
        <f t="shared" si="2"/>
        <v>1.1178861788617886</v>
      </c>
      <c r="AF36" s="15">
        <f t="shared" si="3"/>
        <v>0.3402</v>
      </c>
      <c r="AG36" s="10">
        <f t="shared" si="4"/>
        <v>1.4580861788617887</v>
      </c>
      <c r="AH36" s="10">
        <f t="shared" si="5"/>
        <v>2.9161723577235774</v>
      </c>
    </row>
    <row r="37" spans="1:35" s="10" customFormat="1" ht="13">
      <c r="A37" s="27" t="str">
        <f t="shared" si="0"/>
        <v>Dallas</v>
      </c>
      <c r="B37" s="27">
        <v>925011</v>
      </c>
      <c r="C37" s="27" t="s">
        <v>393</v>
      </c>
      <c r="D37" s="27" t="s">
        <v>241</v>
      </c>
      <c r="E37" s="27" t="s">
        <v>71</v>
      </c>
      <c r="F37" s="27" t="s">
        <v>361</v>
      </c>
      <c r="G37" s="27">
        <v>2</v>
      </c>
      <c r="H37" s="27" t="s">
        <v>73</v>
      </c>
      <c r="I37" s="27">
        <v>5.7200000000000001E-2</v>
      </c>
      <c r="J37" s="27">
        <v>4.75</v>
      </c>
      <c r="K37" s="27">
        <v>4.25</v>
      </c>
      <c r="L37" s="27">
        <v>7.5</v>
      </c>
      <c r="M37" s="27">
        <v>10.5</v>
      </c>
      <c r="N37" s="27">
        <v>0</v>
      </c>
      <c r="O37" s="27">
        <v>1.6</v>
      </c>
      <c r="P37" s="28">
        <v>45839</v>
      </c>
      <c r="Q37" s="27" t="s">
        <v>68</v>
      </c>
      <c r="R37" s="27"/>
      <c r="S37" s="27"/>
      <c r="T37" s="27">
        <v>7.8</v>
      </c>
      <c r="U37" s="27">
        <v>0</v>
      </c>
      <c r="V37" s="27">
        <v>0.55000000000000004</v>
      </c>
      <c r="W37" s="27">
        <v>4.75</v>
      </c>
      <c r="X37" s="27">
        <v>5</v>
      </c>
      <c r="Y37" s="27">
        <v>0</v>
      </c>
      <c r="Z37" s="27">
        <v>0</v>
      </c>
      <c r="AA37" s="27"/>
      <c r="AB37" s="27"/>
      <c r="AC37" s="583">
        <f t="shared" si="1"/>
        <v>4.25</v>
      </c>
      <c r="AD37" s="584"/>
      <c r="AE37" s="10">
        <f t="shared" ref="AE37:AE38" si="6">X37/4.92</f>
        <v>1.0162601626016261</v>
      </c>
      <c r="AF37" s="15">
        <f t="shared" si="3"/>
        <v>0.3402</v>
      </c>
      <c r="AG37" s="10">
        <f t="shared" si="4"/>
        <v>1.3564601626016262</v>
      </c>
      <c r="AH37" s="10">
        <f t="shared" si="5"/>
        <v>2.7129203252032523</v>
      </c>
      <c r="AI37" s="10">
        <f>9619+26699</f>
        <v>36318</v>
      </c>
    </row>
    <row r="38" spans="1:35" s="10" customFormat="1" ht="13">
      <c r="A38" s="27" t="str">
        <f t="shared" si="0"/>
        <v>Dallas</v>
      </c>
      <c r="B38" s="27">
        <v>846847</v>
      </c>
      <c r="C38" s="27" t="s">
        <v>240</v>
      </c>
      <c r="D38" s="27" t="s">
        <v>241</v>
      </c>
      <c r="E38" s="27" t="s">
        <v>71</v>
      </c>
      <c r="F38" s="27" t="s">
        <v>242</v>
      </c>
      <c r="G38" s="27">
        <v>3</v>
      </c>
      <c r="H38" s="27" t="s">
        <v>73</v>
      </c>
      <c r="I38" s="27">
        <v>5.3999999999999999E-2</v>
      </c>
      <c r="J38" s="27">
        <v>7</v>
      </c>
      <c r="K38" s="27">
        <v>4</v>
      </c>
      <c r="L38" s="27">
        <v>8</v>
      </c>
      <c r="M38" s="27">
        <v>8</v>
      </c>
      <c r="N38" s="27">
        <v>0</v>
      </c>
      <c r="O38" s="27">
        <v>0</v>
      </c>
      <c r="P38" s="28">
        <v>45870</v>
      </c>
      <c r="Q38" s="27" t="s">
        <v>68</v>
      </c>
      <c r="R38" s="27"/>
      <c r="S38" s="27"/>
      <c r="T38" s="27">
        <v>9</v>
      </c>
      <c r="U38" s="27">
        <v>0</v>
      </c>
      <c r="V38" s="27">
        <v>0</v>
      </c>
      <c r="W38" s="27">
        <v>2.25</v>
      </c>
      <c r="X38" s="27">
        <v>5</v>
      </c>
      <c r="Y38" s="27">
        <v>0</v>
      </c>
      <c r="Z38" s="27">
        <v>4</v>
      </c>
      <c r="AA38" s="27"/>
      <c r="AB38" s="27"/>
      <c r="AC38" s="583">
        <f t="shared" si="1"/>
        <v>4</v>
      </c>
      <c r="AD38" s="584"/>
      <c r="AE38" s="10">
        <f t="shared" si="6"/>
        <v>1.0162601626016261</v>
      </c>
      <c r="AF38" s="15">
        <f t="shared" si="3"/>
        <v>0.3402</v>
      </c>
      <c r="AG38" s="10">
        <f t="shared" si="4"/>
        <v>1.3564601626016262</v>
      </c>
      <c r="AH38" s="10">
        <f t="shared" si="5"/>
        <v>2.7129203252032523</v>
      </c>
      <c r="AI38" s="10">
        <v>51441</v>
      </c>
    </row>
    <row r="39" spans="1:35" s="10" customFormat="1" ht="13">
      <c r="A39" s="10" t="str">
        <f t="shared" si="0"/>
        <v>Greenville</v>
      </c>
      <c r="B39" s="10">
        <v>710530</v>
      </c>
      <c r="C39" s="10" t="s">
        <v>401</v>
      </c>
      <c r="D39" s="10" t="s">
        <v>820</v>
      </c>
      <c r="E39" s="10" t="s">
        <v>132</v>
      </c>
      <c r="F39" s="10" t="s">
        <v>403</v>
      </c>
      <c r="G39" s="10">
        <v>1</v>
      </c>
      <c r="H39" s="10" t="s">
        <v>73</v>
      </c>
      <c r="I39" s="10">
        <v>2.3699999999999999E-2</v>
      </c>
      <c r="J39" s="10">
        <v>4</v>
      </c>
      <c r="K39" s="10">
        <v>3</v>
      </c>
      <c r="L39" s="10">
        <v>4.8499999999999996</v>
      </c>
      <c r="M39" s="10">
        <v>0</v>
      </c>
      <c r="N39" s="10">
        <v>0</v>
      </c>
      <c r="O39" s="10">
        <v>0</v>
      </c>
      <c r="P39" s="13">
        <v>45901</v>
      </c>
      <c r="Q39" s="10" t="s">
        <v>68</v>
      </c>
      <c r="T39" s="10">
        <v>4</v>
      </c>
      <c r="U39" s="10">
        <v>0</v>
      </c>
      <c r="V39" s="10">
        <v>0</v>
      </c>
      <c r="W39" s="10">
        <v>1.85</v>
      </c>
      <c r="X39" s="10">
        <v>3.75</v>
      </c>
      <c r="Y39" s="10">
        <v>0</v>
      </c>
      <c r="Z39" s="10">
        <v>0</v>
      </c>
      <c r="AC39" s="585">
        <f t="shared" si="1"/>
        <v>3</v>
      </c>
      <c r="AD39" s="584"/>
    </row>
    <row r="40" spans="1:35" s="10" customFormat="1" ht="13">
      <c r="A40" s="10" t="str">
        <f t="shared" si="0"/>
        <v>Mexico</v>
      </c>
      <c r="B40" s="10">
        <v>886623</v>
      </c>
      <c r="C40" s="10" t="s">
        <v>478</v>
      </c>
      <c r="D40" s="10" t="s">
        <v>821</v>
      </c>
      <c r="E40" s="10" t="s">
        <v>71</v>
      </c>
      <c r="F40" s="10" t="s">
        <v>480</v>
      </c>
      <c r="G40" s="10">
        <v>3</v>
      </c>
      <c r="H40" s="10" t="s">
        <v>73</v>
      </c>
      <c r="I40" s="10">
        <v>3.3000000000000002E-2</v>
      </c>
      <c r="J40" s="10">
        <v>4.75</v>
      </c>
      <c r="K40" s="10">
        <v>4.25</v>
      </c>
      <c r="L40" s="10">
        <v>7.5</v>
      </c>
      <c r="M40" s="10">
        <v>0</v>
      </c>
      <c r="N40" s="10">
        <v>0</v>
      </c>
      <c r="O40" s="10">
        <v>0</v>
      </c>
      <c r="P40" s="13">
        <v>45901</v>
      </c>
      <c r="Q40" s="10" t="s">
        <v>68</v>
      </c>
      <c r="T40" s="10">
        <v>6.5</v>
      </c>
      <c r="U40" s="10">
        <v>0</v>
      </c>
      <c r="V40" s="10">
        <v>0.5</v>
      </c>
      <c r="W40" s="10">
        <v>2.75</v>
      </c>
      <c r="X40" s="10">
        <v>5.25</v>
      </c>
      <c r="Y40" s="10">
        <v>0</v>
      </c>
      <c r="Z40" s="10">
        <v>0</v>
      </c>
      <c r="AC40" s="14">
        <f t="shared" si="1"/>
        <v>4.25</v>
      </c>
    </row>
    <row r="41" spans="1:35" s="10" customFormat="1" ht="13">
      <c r="A41" s="29" t="s">
        <v>682</v>
      </c>
      <c r="B41" s="29">
        <v>266861</v>
      </c>
      <c r="C41" s="29" t="s">
        <v>264</v>
      </c>
      <c r="D41" s="29" t="s">
        <v>241</v>
      </c>
      <c r="E41" s="29" t="s">
        <v>71</v>
      </c>
      <c r="F41" s="29" t="s">
        <v>242</v>
      </c>
      <c r="G41" s="29">
        <v>2</v>
      </c>
      <c r="H41" s="29" t="s">
        <v>73</v>
      </c>
      <c r="I41" s="29">
        <v>2.12E-2</v>
      </c>
      <c r="J41" s="29">
        <v>3</v>
      </c>
      <c r="K41" s="29">
        <v>0.12</v>
      </c>
      <c r="L41" s="29">
        <v>4</v>
      </c>
      <c r="M41" s="29">
        <v>0</v>
      </c>
      <c r="N41" s="29">
        <v>0</v>
      </c>
      <c r="O41" s="29">
        <v>0</v>
      </c>
      <c r="P41" s="30">
        <v>45901</v>
      </c>
      <c r="Q41" s="29" t="s">
        <v>68</v>
      </c>
      <c r="R41" s="29"/>
      <c r="S41" s="29"/>
      <c r="T41" s="29">
        <v>7.5</v>
      </c>
      <c r="U41" s="29">
        <v>0</v>
      </c>
      <c r="V41" s="29">
        <v>0.5</v>
      </c>
      <c r="W41" s="29">
        <v>2.25</v>
      </c>
      <c r="X41" s="29">
        <v>5.5</v>
      </c>
      <c r="Y41" s="29">
        <v>0</v>
      </c>
      <c r="Z41" s="29">
        <v>0</v>
      </c>
      <c r="AA41" s="29"/>
      <c r="AB41" s="29"/>
      <c r="AC41" s="31">
        <f t="shared" si="1"/>
        <v>3.5999999999999996</v>
      </c>
    </row>
  </sheetData>
  <autoFilter ref="A8:AC8" xr:uid="{DEB6B31A-6B52-4212-BAF2-11B437F19987}"/>
  <mergeCells count="4">
    <mergeCell ref="G1:J1"/>
    <mergeCell ref="L1:O1"/>
    <mergeCell ref="Q1:T1"/>
    <mergeCell ref="V1:Y1"/>
  </mergeCells>
  <conditionalFormatting sqref="B8">
    <cfRule type="duplicateValues" dxfId="17" priority="2"/>
  </conditionalFormatting>
  <conditionalFormatting sqref="B9:B24 B35:B41">
    <cfRule type="duplicateValues" dxfId="16" priority="3"/>
  </conditionalFormatting>
  <conditionalFormatting sqref="AI25:AI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13AB-11E4-49C4-BDE7-C95B542A7CDB}">
  <sheetPr filterMode="1">
    <tabColor theme="7" tint="-0.249977111117893"/>
  </sheetPr>
  <dimension ref="A1:M880"/>
  <sheetViews>
    <sheetView workbookViewId="0">
      <selection activeCell="A405" sqref="A405:XFD405"/>
    </sheetView>
  </sheetViews>
  <sheetFormatPr defaultColWidth="9.1796875" defaultRowHeight="12"/>
  <cols>
    <col min="1" max="1" width="14.7265625" style="1" bestFit="1" customWidth="1"/>
    <col min="2" max="2" width="9.26953125" style="1" bestFit="1" customWidth="1"/>
    <col min="3" max="3" width="14" style="1" bestFit="1" customWidth="1"/>
    <col min="4" max="4" width="8.453125" style="1" bestFit="1" customWidth="1"/>
    <col min="5" max="5" width="21.7265625" style="1" bestFit="1" customWidth="1"/>
    <col min="6" max="6" width="28.7265625" style="1" bestFit="1" customWidth="1"/>
    <col min="7" max="7" width="10.453125" style="1" bestFit="1" customWidth="1"/>
    <col min="8" max="8" width="4.453125" style="1" bestFit="1" customWidth="1"/>
    <col min="9" max="9" width="5.453125" style="1" bestFit="1" customWidth="1"/>
    <col min="10" max="10" width="4.453125" style="1" bestFit="1" customWidth="1"/>
    <col min="11" max="11" width="3.54296875" style="1" bestFit="1" customWidth="1"/>
    <col min="12" max="16384" width="9.1796875" style="1"/>
  </cols>
  <sheetData>
    <row r="1" spans="1:13">
      <c r="A1" s="37" t="s">
        <v>1287</v>
      </c>
      <c r="B1" s="37" t="s">
        <v>836</v>
      </c>
      <c r="C1" s="37" t="s">
        <v>837</v>
      </c>
      <c r="D1" s="37" t="s">
        <v>838</v>
      </c>
      <c r="E1" s="37" t="s">
        <v>839</v>
      </c>
      <c r="F1" s="37" t="s">
        <v>840</v>
      </c>
      <c r="G1" s="37" t="s">
        <v>841</v>
      </c>
      <c r="H1" s="37" t="s">
        <v>842</v>
      </c>
      <c r="I1" s="37" t="s">
        <v>843</v>
      </c>
      <c r="J1" s="37" t="s">
        <v>844</v>
      </c>
      <c r="K1" s="41" t="s">
        <v>845</v>
      </c>
      <c r="L1" s="37" t="s">
        <v>2185</v>
      </c>
      <c r="M1" s="1" t="s">
        <v>1627</v>
      </c>
    </row>
    <row r="2" spans="1:13" hidden="1">
      <c r="A2" s="1" t="s">
        <v>1288</v>
      </c>
      <c r="B2" s="1" t="s">
        <v>65</v>
      </c>
      <c r="C2" s="1" t="s">
        <v>847</v>
      </c>
      <c r="D2" s="1" t="s">
        <v>76</v>
      </c>
      <c r="E2" s="1" t="str">
        <f>A2&amp;(IF(C2="Garden City","Savannah",C2))</f>
        <v>ABBEVILLESavannah</v>
      </c>
      <c r="F2" s="1" t="s">
        <v>848</v>
      </c>
      <c r="G2" s="1">
        <v>764.22</v>
      </c>
      <c r="H2" s="38">
        <f>G2*COSTS!$AA$27</f>
        <v>1146.33</v>
      </c>
      <c r="I2" s="1">
        <f>COSTS!$AA$28</f>
        <v>50</v>
      </c>
      <c r="J2" s="38">
        <f t="shared" ref="J2:J65" si="0">H2+I2</f>
        <v>1196.33</v>
      </c>
      <c r="K2" s="38">
        <f t="shared" ref="K2:K65" si="1">(J2/88)*20</f>
        <v>271.8931818181818</v>
      </c>
      <c r="L2" s="151">
        <v>46023</v>
      </c>
      <c r="M2" s="1" t="e">
        <f>VLOOKUP(F:F,[1]Sheet1!$E:$F,2,FALSE)</f>
        <v>#N/A</v>
      </c>
    </row>
    <row r="3" spans="1:13" hidden="1">
      <c r="A3" s="39" t="s">
        <v>1288</v>
      </c>
      <c r="B3" s="39" t="s">
        <v>65</v>
      </c>
      <c r="C3" s="39" t="s">
        <v>1033</v>
      </c>
      <c r="D3" s="39" t="s">
        <v>168</v>
      </c>
      <c r="E3" s="39" t="str">
        <f>A3&amp;C3</f>
        <v>ABBEVILLEMEMPHIS</v>
      </c>
      <c r="F3" s="39" t="s">
        <v>1034</v>
      </c>
      <c r="G3" s="39">
        <v>835</v>
      </c>
      <c r="H3" s="38">
        <f>G3*COSTS!$AA$27</f>
        <v>1252.5</v>
      </c>
      <c r="I3" s="1">
        <f>COSTS!$AA$28</f>
        <v>50</v>
      </c>
      <c r="J3" s="38">
        <f t="shared" si="0"/>
        <v>1302.5</v>
      </c>
      <c r="K3" s="38">
        <f t="shared" si="1"/>
        <v>296.02272727272725</v>
      </c>
      <c r="L3" s="151">
        <v>46023</v>
      </c>
      <c r="M3" s="1" t="e">
        <f>VLOOKUP(F:F,[1]Sheet1!$E:$F,2,FALSE)</f>
        <v>#N/A</v>
      </c>
    </row>
    <row r="4" spans="1:13" hidden="1">
      <c r="A4" s="1" t="s">
        <v>1288</v>
      </c>
      <c r="B4" s="1" t="s">
        <v>65</v>
      </c>
      <c r="C4" s="1" t="s">
        <v>1275</v>
      </c>
      <c r="D4" s="1" t="s">
        <v>136</v>
      </c>
      <c r="E4" s="1" t="str">
        <f>A4&amp;C4</f>
        <v>ABBEVILLESHELBY</v>
      </c>
      <c r="F4" s="1" t="str">
        <f>A4&amp;B4&amp;C4&amp;D4</f>
        <v>ABBEVILLEALSHELBYNC</v>
      </c>
      <c r="G4" s="1">
        <v>880</v>
      </c>
      <c r="H4" s="38">
        <f>G4*COSTS!$AA$27</f>
        <v>1320</v>
      </c>
      <c r="I4" s="1">
        <f>COSTS!$AA$28</f>
        <v>50</v>
      </c>
      <c r="J4" s="38">
        <f t="shared" si="0"/>
        <v>1370</v>
      </c>
      <c r="K4" s="38">
        <f t="shared" si="1"/>
        <v>311.36363636363637</v>
      </c>
      <c r="L4" s="151">
        <v>46023</v>
      </c>
      <c r="M4" s="1" t="e">
        <f>VLOOKUP(F:F,[1]Sheet1!$E:$F,2,FALSE)</f>
        <v>#N/A</v>
      </c>
    </row>
    <row r="5" spans="1:13" hidden="1">
      <c r="A5" s="1" t="s">
        <v>1292</v>
      </c>
      <c r="B5" s="1" t="s">
        <v>65</v>
      </c>
      <c r="C5" s="1" t="s">
        <v>847</v>
      </c>
      <c r="D5" s="1" t="s">
        <v>76</v>
      </c>
      <c r="E5" s="1" t="str">
        <f>A5&amp;(IF(C5="Garden City","Savannah",C5))</f>
        <v>ANDALUSIASavannah</v>
      </c>
      <c r="F5" s="1" t="s">
        <v>852</v>
      </c>
      <c r="G5" s="1">
        <v>895.625</v>
      </c>
      <c r="H5" s="38">
        <f>G5*COSTS!$AA$27</f>
        <v>1343.4375</v>
      </c>
      <c r="I5" s="1">
        <f>COSTS!$AA$28</f>
        <v>50</v>
      </c>
      <c r="J5" s="38">
        <f t="shared" si="0"/>
        <v>1393.4375</v>
      </c>
      <c r="K5" s="38">
        <f t="shared" si="1"/>
        <v>316.69034090909088</v>
      </c>
      <c r="L5" s="151">
        <v>46023</v>
      </c>
      <c r="M5" s="1">
        <f>VLOOKUP(F:F,[1]Sheet1!$E:$F,2,FALSE)</f>
        <v>1100</v>
      </c>
    </row>
    <row r="6" spans="1:13" hidden="1">
      <c r="A6" s="1" t="s">
        <v>1292</v>
      </c>
      <c r="B6" s="1" t="s">
        <v>65</v>
      </c>
      <c r="C6" s="1" t="s">
        <v>1033</v>
      </c>
      <c r="D6" s="1" t="s">
        <v>168</v>
      </c>
      <c r="E6" s="1" t="str">
        <f>A6&amp;C6</f>
        <v>ANDALUSIAMEMPHIS</v>
      </c>
      <c r="F6" s="1" t="s">
        <v>1043</v>
      </c>
      <c r="G6" s="1">
        <v>810</v>
      </c>
      <c r="H6" s="38">
        <f>G6*COSTS!$AA$27</f>
        <v>1215</v>
      </c>
      <c r="I6" s="1">
        <f>COSTS!$AA$28</f>
        <v>50</v>
      </c>
      <c r="J6" s="38">
        <f t="shared" si="0"/>
        <v>1265</v>
      </c>
      <c r="K6" s="38">
        <f t="shared" si="1"/>
        <v>287.5</v>
      </c>
      <c r="L6" s="151">
        <v>46023</v>
      </c>
      <c r="M6" s="1">
        <f>VLOOKUP(F:F,[1]Sheet1!$E:$F,2,FALSE)</f>
        <v>1080</v>
      </c>
    </row>
    <row r="7" spans="1:13" hidden="1">
      <c r="A7" s="1" t="s">
        <v>1292</v>
      </c>
      <c r="B7" s="1" t="s">
        <v>65</v>
      </c>
      <c r="C7" s="1" t="s">
        <v>1275</v>
      </c>
      <c r="D7" s="1" t="s">
        <v>136</v>
      </c>
      <c r="E7" s="1" t="str">
        <f>A7&amp;C7</f>
        <v>ANDALUSIASHELBY</v>
      </c>
      <c r="F7" s="1" t="str">
        <f>A7&amp;B7&amp;C7&amp;D7</f>
        <v>ANDALUSIAALSHELBYNC</v>
      </c>
      <c r="G7" s="1">
        <v>930</v>
      </c>
      <c r="H7" s="38">
        <f>G7*COSTS!$AA$27</f>
        <v>1395</v>
      </c>
      <c r="I7" s="1">
        <f>COSTS!$AA$28</f>
        <v>50</v>
      </c>
      <c r="J7" s="38">
        <f t="shared" si="0"/>
        <v>1445</v>
      </c>
      <c r="K7" s="38">
        <f t="shared" si="1"/>
        <v>328.40909090909093</v>
      </c>
      <c r="L7" s="151">
        <v>46023</v>
      </c>
      <c r="M7" s="1">
        <f>VLOOKUP(F:F,[1]Sheet1!$E:$F,2,FALSE)</f>
        <v>1190</v>
      </c>
    </row>
    <row r="8" spans="1:13" hidden="1">
      <c r="A8" s="1" t="s">
        <v>1294</v>
      </c>
      <c r="B8" s="1" t="s">
        <v>65</v>
      </c>
      <c r="C8" s="1" t="s">
        <v>847</v>
      </c>
      <c r="D8" s="1" t="s">
        <v>76</v>
      </c>
      <c r="E8" s="1" t="str">
        <f>A8&amp;(IF(C8="Garden City","Savannah",C8))</f>
        <v>ATHENSSavannah</v>
      </c>
      <c r="F8" s="1" t="s">
        <v>854</v>
      </c>
      <c r="G8" s="1">
        <v>940.31500000000005</v>
      </c>
      <c r="H8" s="38">
        <f>G8*COSTS!$AA$27</f>
        <v>1410.4725000000001</v>
      </c>
      <c r="I8" s="1">
        <f>COSTS!$AA$28</f>
        <v>50</v>
      </c>
      <c r="J8" s="38">
        <f t="shared" si="0"/>
        <v>1460.4725000000001</v>
      </c>
      <c r="K8" s="38">
        <f t="shared" si="1"/>
        <v>331.92556818181822</v>
      </c>
      <c r="L8" s="151">
        <v>46023</v>
      </c>
      <c r="M8" s="1">
        <f>VLOOKUP(F:F,[1]Sheet1!$E:$F,2,FALSE)</f>
        <v>1340</v>
      </c>
    </row>
    <row r="9" spans="1:13" hidden="1">
      <c r="A9" s="1" t="s">
        <v>1294</v>
      </c>
      <c r="B9" s="1" t="s">
        <v>65</v>
      </c>
      <c r="C9" s="1" t="s">
        <v>1033</v>
      </c>
      <c r="D9" s="1" t="s">
        <v>168</v>
      </c>
      <c r="E9" s="1" t="str">
        <f>A9&amp;C9</f>
        <v>ATHENSMEMPHIS</v>
      </c>
      <c r="F9" s="1" t="s">
        <v>1046</v>
      </c>
      <c r="G9" s="1">
        <v>650</v>
      </c>
      <c r="H9" s="38">
        <f>G9*COSTS!$AA$27</f>
        <v>975</v>
      </c>
      <c r="I9" s="1">
        <f>COSTS!$AA$28</f>
        <v>50</v>
      </c>
      <c r="J9" s="38">
        <f t="shared" si="0"/>
        <v>1025</v>
      </c>
      <c r="K9" s="38">
        <f t="shared" si="1"/>
        <v>232.95454545454547</v>
      </c>
      <c r="L9" s="151">
        <v>46023</v>
      </c>
      <c r="M9" s="1">
        <f>VLOOKUP(F:F,[1]Sheet1!$E:$F,2,FALSE)</f>
        <v>630</v>
      </c>
    </row>
    <row r="10" spans="1:13" hidden="1">
      <c r="A10" s="1" t="s">
        <v>1294</v>
      </c>
      <c r="B10" s="1" t="s">
        <v>65</v>
      </c>
      <c r="C10" s="1" t="s">
        <v>1275</v>
      </c>
      <c r="D10" s="1" t="s">
        <v>136</v>
      </c>
      <c r="E10" s="1" t="str">
        <f>A10&amp;C10</f>
        <v>ATHENSSHELBY</v>
      </c>
      <c r="F10" s="1" t="str">
        <f>A10&amp;B10&amp;C10&amp;D10</f>
        <v>ATHENSALSHELBYNC</v>
      </c>
      <c r="G10" s="1">
        <v>990</v>
      </c>
      <c r="H10" s="38">
        <f>G10*COSTS!$AA$27</f>
        <v>1485</v>
      </c>
      <c r="I10" s="1">
        <f>COSTS!$AA$28</f>
        <v>50</v>
      </c>
      <c r="J10" s="38">
        <f t="shared" si="0"/>
        <v>1535</v>
      </c>
      <c r="K10" s="38">
        <f t="shared" si="1"/>
        <v>348.86363636363632</v>
      </c>
      <c r="L10" s="151">
        <v>46023</v>
      </c>
      <c r="M10" s="1">
        <f>VLOOKUP(F:F,[1]Sheet1!$E:$F,2,FALSE)</f>
        <v>1100</v>
      </c>
    </row>
    <row r="11" spans="1:13" hidden="1">
      <c r="A11" s="1" t="s">
        <v>1298</v>
      </c>
      <c r="B11" s="1" t="s">
        <v>65</v>
      </c>
      <c r="C11" s="1" t="s">
        <v>847</v>
      </c>
      <c r="D11" s="1" t="s">
        <v>76</v>
      </c>
      <c r="E11" s="1" t="str">
        <f>A11&amp;(IF(C11="Garden City","Savannah",C11))</f>
        <v>BELLE MINASavannah</v>
      </c>
      <c r="F11" s="1" t="s">
        <v>858</v>
      </c>
      <c r="G11" s="1">
        <v>940.31500000000005</v>
      </c>
      <c r="H11" s="38">
        <f>G11*COSTS!$AA$27</f>
        <v>1410.4725000000001</v>
      </c>
      <c r="I11" s="1">
        <f>COSTS!$AA$28</f>
        <v>50</v>
      </c>
      <c r="J11" s="38">
        <f t="shared" si="0"/>
        <v>1460.4725000000001</v>
      </c>
      <c r="K11" s="38">
        <f t="shared" si="1"/>
        <v>331.92556818181822</v>
      </c>
      <c r="L11" s="151">
        <v>46023</v>
      </c>
      <c r="M11" s="1" t="e">
        <f>VLOOKUP(F:F,[1]Sheet1!$E:$F,2,FALSE)</f>
        <v>#N/A</v>
      </c>
    </row>
    <row r="12" spans="1:13" hidden="1">
      <c r="A12" s="1" t="s">
        <v>1298</v>
      </c>
      <c r="B12" s="1" t="s">
        <v>65</v>
      </c>
      <c r="C12" s="1" t="s">
        <v>1033</v>
      </c>
      <c r="D12" s="1" t="s">
        <v>168</v>
      </c>
      <c r="E12" s="1" t="str">
        <f>A12&amp;C12</f>
        <v>BELLE MINAMEMPHIS</v>
      </c>
      <c r="F12" s="1" t="s">
        <v>1053</v>
      </c>
      <c r="G12" s="1">
        <v>636.29</v>
      </c>
      <c r="H12" s="38">
        <f>G12*COSTS!$AA$27</f>
        <v>954.43499999999995</v>
      </c>
      <c r="I12" s="1">
        <f>COSTS!$AA$28</f>
        <v>50</v>
      </c>
      <c r="J12" s="38">
        <f t="shared" si="0"/>
        <v>1004.4349999999999</v>
      </c>
      <c r="K12" s="38">
        <f t="shared" si="1"/>
        <v>228.28068181818182</v>
      </c>
      <c r="L12" s="151">
        <v>46023</v>
      </c>
      <c r="M12" s="1" t="e">
        <f>VLOOKUP(F:F,[1]Sheet1!$E:$F,2,FALSE)</f>
        <v>#N/A</v>
      </c>
    </row>
    <row r="13" spans="1:13" hidden="1">
      <c r="A13" s="1" t="s">
        <v>1298</v>
      </c>
      <c r="B13" s="1" t="s">
        <v>65</v>
      </c>
      <c r="C13" s="1" t="s">
        <v>1275</v>
      </c>
      <c r="D13" s="1" t="s">
        <v>136</v>
      </c>
      <c r="E13" s="1" t="str">
        <f>A13&amp;C13</f>
        <v>BELLE MINASHELBY</v>
      </c>
      <c r="F13" s="1" t="str">
        <f>A13&amp;B13&amp;C13&amp;D13</f>
        <v>BELLE MINAALSHELBYNC</v>
      </c>
      <c r="G13" s="1">
        <v>995</v>
      </c>
      <c r="H13" s="38">
        <f>G13*COSTS!$AA$27</f>
        <v>1492.5</v>
      </c>
      <c r="I13" s="1">
        <f>COSTS!$AA$28</f>
        <v>50</v>
      </c>
      <c r="J13" s="38">
        <f t="shared" si="0"/>
        <v>1542.5</v>
      </c>
      <c r="K13" s="38">
        <f t="shared" si="1"/>
        <v>350.56818181818181</v>
      </c>
      <c r="L13" s="151">
        <v>46023</v>
      </c>
      <c r="M13" s="1" t="e">
        <f>VLOOKUP(F:F,[1]Sheet1!$E:$F,2,FALSE)</f>
        <v>#N/A</v>
      </c>
    </row>
    <row r="14" spans="1:13" hidden="1">
      <c r="A14" s="1" t="s">
        <v>1314</v>
      </c>
      <c r="B14" s="1" t="s">
        <v>65</v>
      </c>
      <c r="C14" s="1" t="s">
        <v>847</v>
      </c>
      <c r="D14" s="1" t="s">
        <v>76</v>
      </c>
      <c r="E14" s="1" t="str">
        <f>A14&amp;(IF(C14="Garden City","Savannah",C14))</f>
        <v>CENTRESavannah</v>
      </c>
      <c r="F14" s="1" t="s">
        <v>874</v>
      </c>
      <c r="G14" s="1">
        <v>821.40499999999997</v>
      </c>
      <c r="H14" s="38">
        <f>G14*COSTS!$AA$27</f>
        <v>1232.1075000000001</v>
      </c>
      <c r="I14" s="1">
        <f>COSTS!$AA$28</f>
        <v>50</v>
      </c>
      <c r="J14" s="38">
        <f t="shared" si="0"/>
        <v>1282.1075000000001</v>
      </c>
      <c r="K14" s="38">
        <f t="shared" si="1"/>
        <v>291.3880681818182</v>
      </c>
      <c r="L14" s="151">
        <v>46023</v>
      </c>
      <c r="M14" s="1">
        <f>VLOOKUP(F:F,[1]Sheet1!$E:$F,2,FALSE)</f>
        <v>1000</v>
      </c>
    </row>
    <row r="15" spans="1:13" hidden="1">
      <c r="A15" s="1" t="s">
        <v>1314</v>
      </c>
      <c r="B15" s="1" t="s">
        <v>65</v>
      </c>
      <c r="C15" s="1" t="s">
        <v>1033</v>
      </c>
      <c r="D15" s="1" t="s">
        <v>168</v>
      </c>
      <c r="E15" s="1" t="str">
        <f>A15&amp;C15</f>
        <v>CENTREMEMPHIS</v>
      </c>
      <c r="F15" s="1" t="s">
        <v>1075</v>
      </c>
      <c r="G15" s="1">
        <v>908.52</v>
      </c>
      <c r="H15" s="38">
        <f>G15*COSTS!$AA$27</f>
        <v>1362.78</v>
      </c>
      <c r="I15" s="1">
        <f>COSTS!$AA$28</f>
        <v>50</v>
      </c>
      <c r="J15" s="38">
        <f t="shared" si="0"/>
        <v>1412.78</v>
      </c>
      <c r="K15" s="38">
        <f t="shared" si="1"/>
        <v>321.08636363636367</v>
      </c>
      <c r="L15" s="151">
        <v>46023</v>
      </c>
      <c r="M15" s="1">
        <f>VLOOKUP(F:F,[1]Sheet1!$E:$F,2,FALSE)</f>
        <v>870</v>
      </c>
    </row>
    <row r="16" spans="1:13" hidden="1">
      <c r="A16" s="1" t="s">
        <v>1314</v>
      </c>
      <c r="B16" s="1" t="s">
        <v>65</v>
      </c>
      <c r="C16" s="1" t="s">
        <v>1275</v>
      </c>
      <c r="D16" s="1" t="s">
        <v>136</v>
      </c>
      <c r="E16" s="1" t="str">
        <f>A16&amp;C16</f>
        <v>CENTRESHELBY</v>
      </c>
      <c r="F16" s="1" t="str">
        <f>A16&amp;B16&amp;C16&amp;D16</f>
        <v>CENTREALSHELBYNC</v>
      </c>
      <c r="G16" s="1">
        <v>780</v>
      </c>
      <c r="H16" s="38">
        <f>G16*COSTS!$AA$27</f>
        <v>1170</v>
      </c>
      <c r="I16" s="1">
        <f>COSTS!$AA$28</f>
        <v>50</v>
      </c>
      <c r="J16" s="38">
        <f t="shared" si="0"/>
        <v>1220</v>
      </c>
      <c r="K16" s="38">
        <f t="shared" si="1"/>
        <v>277.27272727272725</v>
      </c>
      <c r="L16" s="151">
        <v>46023</v>
      </c>
      <c r="M16" s="1">
        <f>VLOOKUP(F:F,[1]Sheet1!$E:$F,2,FALSE)</f>
        <v>820</v>
      </c>
    </row>
    <row r="17" spans="1:13" hidden="1">
      <c r="A17" s="1" t="s">
        <v>1324</v>
      </c>
      <c r="B17" s="1" t="s">
        <v>65</v>
      </c>
      <c r="C17" s="1" t="s">
        <v>847</v>
      </c>
      <c r="D17" s="1" t="s">
        <v>76</v>
      </c>
      <c r="E17" s="1" t="str">
        <f>A17&amp;(IF(C17="Garden City","Savannah",C17))</f>
        <v>COURTLANDSavannah</v>
      </c>
      <c r="F17" s="1" t="s">
        <v>884</v>
      </c>
      <c r="G17" s="1">
        <v>940.31500000000005</v>
      </c>
      <c r="H17" s="38">
        <f>G17*COSTS!$AA$27</f>
        <v>1410.4725000000001</v>
      </c>
      <c r="I17" s="1">
        <f>COSTS!$AA$28</f>
        <v>50</v>
      </c>
      <c r="J17" s="38">
        <f t="shared" si="0"/>
        <v>1460.4725000000001</v>
      </c>
      <c r="K17" s="38">
        <f t="shared" si="1"/>
        <v>331.92556818181822</v>
      </c>
      <c r="L17" s="151">
        <v>46023</v>
      </c>
      <c r="M17" s="1">
        <f>VLOOKUP(F:F,[1]Sheet1!$E:$F,2,FALSE)</f>
        <v>1360</v>
      </c>
    </row>
    <row r="18" spans="1:13" hidden="1">
      <c r="A18" s="1" t="s">
        <v>1324</v>
      </c>
      <c r="B18" s="1" t="s">
        <v>65</v>
      </c>
      <c r="C18" s="1" t="s">
        <v>1033</v>
      </c>
      <c r="D18" s="1" t="s">
        <v>168</v>
      </c>
      <c r="E18" s="1" t="str">
        <f>A18&amp;C18</f>
        <v>COURTLANDMEMPHIS</v>
      </c>
      <c r="F18" s="1" t="s">
        <v>1085</v>
      </c>
      <c r="G18" s="1">
        <v>625.74</v>
      </c>
      <c r="H18" s="38">
        <f>G18*COSTS!$AA$27</f>
        <v>938.61</v>
      </c>
      <c r="I18" s="1">
        <f>COSTS!$AA$28</f>
        <v>50</v>
      </c>
      <c r="J18" s="38">
        <f t="shared" si="0"/>
        <v>988.61</v>
      </c>
      <c r="K18" s="38">
        <f t="shared" si="1"/>
        <v>224.68409090909091</v>
      </c>
      <c r="L18" s="151">
        <v>46023</v>
      </c>
      <c r="M18" s="1">
        <f>VLOOKUP(F:F,[1]Sheet1!$E:$F,2,FALSE)</f>
        <v>580</v>
      </c>
    </row>
    <row r="19" spans="1:13" hidden="1">
      <c r="A19" s="1" t="s">
        <v>1324</v>
      </c>
      <c r="B19" s="1" t="s">
        <v>65</v>
      </c>
      <c r="C19" s="1" t="s">
        <v>1275</v>
      </c>
      <c r="D19" s="1" t="s">
        <v>136</v>
      </c>
      <c r="E19" s="1" t="str">
        <f>A19&amp;C19</f>
        <v>COURTLANDSHELBY</v>
      </c>
      <c r="F19" s="1" t="str">
        <f>A19&amp;B19&amp;C19&amp;D19</f>
        <v>COURTLANDALSHELBYNC</v>
      </c>
      <c r="G19" s="1">
        <v>1025</v>
      </c>
      <c r="H19" s="38">
        <f>G19*COSTS!$AA$27</f>
        <v>1537.5</v>
      </c>
      <c r="I19" s="1">
        <f>COSTS!$AA$28</f>
        <v>50</v>
      </c>
      <c r="J19" s="38">
        <f t="shared" si="0"/>
        <v>1587.5</v>
      </c>
      <c r="K19" s="38">
        <f t="shared" si="1"/>
        <v>360.7954545454545</v>
      </c>
      <c r="L19" s="151">
        <v>46023</v>
      </c>
      <c r="M19" s="1">
        <f>VLOOKUP(F:F,[1]Sheet1!$E:$F,2,FALSE)</f>
        <v>1140</v>
      </c>
    </row>
    <row r="20" spans="1:13" hidden="1">
      <c r="A20" s="1" t="s">
        <v>1327</v>
      </c>
      <c r="B20" s="1" t="s">
        <v>65</v>
      </c>
      <c r="C20" s="1" t="s">
        <v>847</v>
      </c>
      <c r="D20" s="1" t="s">
        <v>76</v>
      </c>
      <c r="E20" s="1" t="str">
        <f>A20&amp;(IF(C20="Garden City","Savannah",C20))</f>
        <v>DEATSVILLESavannah</v>
      </c>
      <c r="F20" s="1" t="s">
        <v>887</v>
      </c>
      <c r="G20" s="1">
        <v>895.625</v>
      </c>
      <c r="H20" s="38">
        <f>G20*COSTS!$AA$27</f>
        <v>1343.4375</v>
      </c>
      <c r="I20" s="1">
        <f>COSTS!$AA$28</f>
        <v>50</v>
      </c>
      <c r="J20" s="38">
        <f t="shared" si="0"/>
        <v>1393.4375</v>
      </c>
      <c r="K20" s="38">
        <f t="shared" si="1"/>
        <v>316.69034090909088</v>
      </c>
      <c r="L20" s="151">
        <v>46023</v>
      </c>
      <c r="M20" s="1">
        <f>VLOOKUP(F:F,[1]Sheet1!$E:$F,2,FALSE)</f>
        <v>1050</v>
      </c>
    </row>
    <row r="21" spans="1:13" hidden="1">
      <c r="A21" s="1" t="s">
        <v>1327</v>
      </c>
      <c r="B21" s="1" t="s">
        <v>65</v>
      </c>
      <c r="C21" s="1" t="s">
        <v>1033</v>
      </c>
      <c r="D21" s="1" t="s">
        <v>168</v>
      </c>
      <c r="E21" s="1" t="str">
        <f>A21&amp;C21</f>
        <v>DEATSVILLEMEMPHIS</v>
      </c>
      <c r="F21" s="1" t="s">
        <v>1089</v>
      </c>
      <c r="G21" s="1">
        <v>810</v>
      </c>
      <c r="H21" s="38">
        <f>G21*COSTS!$AA$27</f>
        <v>1215</v>
      </c>
      <c r="I21" s="1">
        <f>COSTS!$AA$28</f>
        <v>50</v>
      </c>
      <c r="J21" s="38">
        <f t="shared" si="0"/>
        <v>1265</v>
      </c>
      <c r="K21" s="38">
        <f t="shared" si="1"/>
        <v>287.5</v>
      </c>
      <c r="L21" s="151">
        <v>46023</v>
      </c>
      <c r="M21" s="1">
        <f>VLOOKUP(F:F,[1]Sheet1!$E:$F,2,FALSE)</f>
        <v>840</v>
      </c>
    </row>
    <row r="22" spans="1:13" hidden="1">
      <c r="A22" s="1" t="s">
        <v>1327</v>
      </c>
      <c r="B22" s="1" t="s">
        <v>65</v>
      </c>
      <c r="C22" s="1" t="s">
        <v>1275</v>
      </c>
      <c r="D22" s="1" t="s">
        <v>136</v>
      </c>
      <c r="E22" s="1" t="str">
        <f>A22&amp;C22</f>
        <v>DEATSVILLESHELBY</v>
      </c>
      <c r="F22" s="1" t="str">
        <f>A22&amp;B22&amp;C22&amp;D22</f>
        <v>DEATSVILLEALSHELBYNC</v>
      </c>
      <c r="G22" s="1">
        <v>895</v>
      </c>
      <c r="H22" s="38">
        <f>G22*COSTS!$AA$27</f>
        <v>1342.5</v>
      </c>
      <c r="I22" s="1">
        <f>COSTS!$AA$28</f>
        <v>50</v>
      </c>
      <c r="J22" s="38">
        <f t="shared" si="0"/>
        <v>1392.5</v>
      </c>
      <c r="K22" s="38">
        <f t="shared" si="1"/>
        <v>316.47727272727275</v>
      </c>
      <c r="L22" s="151">
        <v>46023</v>
      </c>
      <c r="M22" s="1">
        <f>VLOOKUP(F:F,[1]Sheet1!$E:$F,2,FALSE)</f>
        <v>1050</v>
      </c>
    </row>
    <row r="23" spans="1:13" hidden="1">
      <c r="A23" s="1" t="s">
        <v>1328</v>
      </c>
      <c r="B23" s="1" t="s">
        <v>65</v>
      </c>
      <c r="C23" s="1" t="s">
        <v>847</v>
      </c>
      <c r="D23" s="1" t="s">
        <v>76</v>
      </c>
      <c r="E23" s="1" t="str">
        <f>A23&amp;(IF(C23="Garden City","Savannah",C23))</f>
        <v>DECATURSavannah</v>
      </c>
      <c r="F23" s="1" t="s">
        <v>888</v>
      </c>
      <c r="G23" s="1">
        <v>940.31500000000005</v>
      </c>
      <c r="H23" s="38">
        <f>G23*COSTS!$AA$27</f>
        <v>1410.4725000000001</v>
      </c>
      <c r="I23" s="1">
        <f>COSTS!$AA$28</f>
        <v>50</v>
      </c>
      <c r="J23" s="38">
        <f t="shared" si="0"/>
        <v>1460.4725000000001</v>
      </c>
      <c r="K23" s="38">
        <f t="shared" si="1"/>
        <v>331.92556818181822</v>
      </c>
      <c r="L23" s="151">
        <v>46023</v>
      </c>
      <c r="M23" s="1" t="e">
        <f>VLOOKUP(F:F,[1]Sheet1!$E:$F,2,FALSE)</f>
        <v>#N/A</v>
      </c>
    </row>
    <row r="24" spans="1:13" hidden="1">
      <c r="A24" s="1" t="s">
        <v>1328</v>
      </c>
      <c r="B24" s="1" t="s">
        <v>65</v>
      </c>
      <c r="C24" s="1" t="s">
        <v>1033</v>
      </c>
      <c r="D24" s="1" t="s">
        <v>168</v>
      </c>
      <c r="E24" s="1" t="str">
        <f>A24&amp;C24</f>
        <v>DECATURMEMPHIS</v>
      </c>
      <c r="F24" s="1" t="s">
        <v>1090</v>
      </c>
      <c r="G24" s="1">
        <v>632.91999999999996</v>
      </c>
      <c r="H24" s="38">
        <f>G24*COSTS!$AA$27</f>
        <v>949.37999999999988</v>
      </c>
      <c r="I24" s="1">
        <f>COSTS!$AA$28</f>
        <v>50</v>
      </c>
      <c r="J24" s="38">
        <f t="shared" si="0"/>
        <v>999.37999999999988</v>
      </c>
      <c r="K24" s="38">
        <f t="shared" si="1"/>
        <v>227.13181818181818</v>
      </c>
      <c r="L24" s="151">
        <v>46023</v>
      </c>
      <c r="M24" s="1" t="e">
        <f>VLOOKUP(F:F,[1]Sheet1!$E:$F,2,FALSE)</f>
        <v>#N/A</v>
      </c>
    </row>
    <row r="25" spans="1:13" hidden="1">
      <c r="A25" s="1" t="s">
        <v>1328</v>
      </c>
      <c r="B25" s="1" t="s">
        <v>65</v>
      </c>
      <c r="C25" s="1" t="s">
        <v>1275</v>
      </c>
      <c r="D25" s="1" t="s">
        <v>136</v>
      </c>
      <c r="E25" s="1" t="str">
        <f>A25&amp;C25</f>
        <v>DECATURSHELBY</v>
      </c>
      <c r="F25" s="1" t="str">
        <f>A25&amp;B25&amp;C25&amp;D25</f>
        <v>DECATURALSHELBYNC</v>
      </c>
      <c r="G25" s="1">
        <v>1020</v>
      </c>
      <c r="H25" s="38">
        <f>G25*COSTS!$AA$27</f>
        <v>1530</v>
      </c>
      <c r="I25" s="1">
        <f>COSTS!$AA$28</f>
        <v>50</v>
      </c>
      <c r="J25" s="38">
        <f t="shared" si="0"/>
        <v>1580</v>
      </c>
      <c r="K25" s="38">
        <f t="shared" si="1"/>
        <v>359.09090909090907</v>
      </c>
      <c r="L25" s="151">
        <v>46023</v>
      </c>
      <c r="M25" s="1" t="e">
        <f>VLOOKUP(F:F,[1]Sheet1!$E:$F,2,FALSE)</f>
        <v>#N/A</v>
      </c>
    </row>
    <row r="26" spans="1:13" hidden="1">
      <c r="A26" s="1" t="s">
        <v>1334</v>
      </c>
      <c r="B26" s="1" t="s">
        <v>65</v>
      </c>
      <c r="C26" s="1" t="s">
        <v>847</v>
      </c>
      <c r="D26" s="1" t="s">
        <v>76</v>
      </c>
      <c r="E26" s="1" t="str">
        <f>A26&amp;(IF(C26="Garden City","Savannah",C26))</f>
        <v>DOTHANSavannah</v>
      </c>
      <c r="F26" s="1" t="s">
        <v>894</v>
      </c>
      <c r="G26" s="1">
        <v>818.75</v>
      </c>
      <c r="H26" s="38">
        <f>G26*COSTS!$AA$27</f>
        <v>1228.125</v>
      </c>
      <c r="I26" s="1">
        <f>COSTS!$AA$28</f>
        <v>50</v>
      </c>
      <c r="J26" s="38">
        <f t="shared" si="0"/>
        <v>1278.125</v>
      </c>
      <c r="K26" s="38">
        <f t="shared" si="1"/>
        <v>290.4829545454545</v>
      </c>
      <c r="L26" s="151">
        <v>46023</v>
      </c>
      <c r="M26" s="1">
        <f>VLOOKUP(F:F,[1]Sheet1!$E:$F,2,FALSE)</f>
        <v>940</v>
      </c>
    </row>
    <row r="27" spans="1:13" hidden="1">
      <c r="A27" s="1" t="s">
        <v>1334</v>
      </c>
      <c r="B27" s="1" t="s">
        <v>65</v>
      </c>
      <c r="C27" s="1" t="s">
        <v>1033</v>
      </c>
      <c r="D27" s="1" t="s">
        <v>168</v>
      </c>
      <c r="E27" s="1" t="str">
        <f>A27&amp;C27</f>
        <v>DOTHANMEMPHIS</v>
      </c>
      <c r="F27" s="1" t="s">
        <v>1097</v>
      </c>
      <c r="G27" s="1">
        <v>850</v>
      </c>
      <c r="H27" s="38">
        <f>G27*COSTS!$AA$27</f>
        <v>1275</v>
      </c>
      <c r="I27" s="1">
        <f>COSTS!$AA$28</f>
        <v>50</v>
      </c>
      <c r="J27" s="38">
        <f t="shared" si="0"/>
        <v>1325</v>
      </c>
      <c r="K27" s="38">
        <f t="shared" si="1"/>
        <v>301.13636363636363</v>
      </c>
      <c r="L27" s="151">
        <v>46023</v>
      </c>
      <c r="M27" s="1">
        <f>VLOOKUP(F:F,[1]Sheet1!$E:$F,2,FALSE)</f>
        <v>1130</v>
      </c>
    </row>
    <row r="28" spans="1:13" hidden="1">
      <c r="A28" s="1" t="s">
        <v>1334</v>
      </c>
      <c r="B28" s="1" t="s">
        <v>65</v>
      </c>
      <c r="C28" s="1" t="s">
        <v>1275</v>
      </c>
      <c r="D28" s="1" t="s">
        <v>136</v>
      </c>
      <c r="E28" s="1" t="str">
        <f>A28&amp;C28</f>
        <v>DOTHANSHELBY</v>
      </c>
      <c r="F28" s="1" t="str">
        <f>A28&amp;B28&amp;C28&amp;D28</f>
        <v>DOTHANALSHELBYNC</v>
      </c>
      <c r="G28" s="1">
        <v>975</v>
      </c>
      <c r="H28" s="38">
        <f>G28*COSTS!$AA$27</f>
        <v>1462.5</v>
      </c>
      <c r="I28" s="1">
        <f>COSTS!$AA$28</f>
        <v>50</v>
      </c>
      <c r="J28" s="38">
        <f t="shared" si="0"/>
        <v>1512.5</v>
      </c>
      <c r="K28" s="38">
        <f t="shared" si="1"/>
        <v>343.75</v>
      </c>
      <c r="L28" s="151">
        <v>46023</v>
      </c>
      <c r="M28" s="1">
        <f>VLOOKUP(F:F,[1]Sheet1!$E:$F,2,FALSE)</f>
        <v>1110</v>
      </c>
    </row>
    <row r="29" spans="1:13" hidden="1">
      <c r="A29" s="1" t="s">
        <v>1339</v>
      </c>
      <c r="B29" s="1" t="s">
        <v>65</v>
      </c>
      <c r="C29" s="1" t="s">
        <v>847</v>
      </c>
      <c r="D29" s="1" t="s">
        <v>76</v>
      </c>
      <c r="E29" s="1" t="str">
        <f>A29&amp;(IF(C29="Garden City","Savannah",C29))</f>
        <v>ECLECTICSavannah</v>
      </c>
      <c r="F29" s="1" t="s">
        <v>899</v>
      </c>
      <c r="G29" s="1">
        <v>843.75</v>
      </c>
      <c r="H29" s="38">
        <f>G29*COSTS!$AA$27</f>
        <v>1265.625</v>
      </c>
      <c r="I29" s="1">
        <f>COSTS!$AA$28</f>
        <v>50</v>
      </c>
      <c r="J29" s="38">
        <f t="shared" si="0"/>
        <v>1315.625</v>
      </c>
      <c r="K29" s="38">
        <f t="shared" si="1"/>
        <v>299.00568181818181</v>
      </c>
      <c r="L29" s="151">
        <v>46023</v>
      </c>
      <c r="M29" s="1">
        <f>VLOOKUP(F:F,[1]Sheet1!$E:$F,2,FALSE)</f>
        <v>990</v>
      </c>
    </row>
    <row r="30" spans="1:13" hidden="1">
      <c r="A30" s="1" t="s">
        <v>1339</v>
      </c>
      <c r="B30" s="1" t="s">
        <v>65</v>
      </c>
      <c r="C30" s="1" t="s">
        <v>1033</v>
      </c>
      <c r="D30" s="1" t="s">
        <v>168</v>
      </c>
      <c r="E30" s="1" t="str">
        <f>A30&amp;C30</f>
        <v>ECLECTICMEMPHIS</v>
      </c>
      <c r="F30" s="1" t="s">
        <v>1106</v>
      </c>
      <c r="G30" s="1">
        <v>785</v>
      </c>
      <c r="H30" s="38">
        <f>G30*COSTS!$AA$27</f>
        <v>1177.5</v>
      </c>
      <c r="I30" s="1">
        <f>COSTS!$AA$28</f>
        <v>50</v>
      </c>
      <c r="J30" s="38">
        <f t="shared" si="0"/>
        <v>1227.5</v>
      </c>
      <c r="K30" s="38">
        <f t="shared" si="1"/>
        <v>278.97727272727275</v>
      </c>
      <c r="L30" s="151">
        <v>46023</v>
      </c>
      <c r="M30" s="1">
        <f>VLOOKUP(F:F,[1]Sheet1!$E:$F,2,FALSE)</f>
        <v>890</v>
      </c>
    </row>
    <row r="31" spans="1:13" hidden="1">
      <c r="A31" s="1" t="s">
        <v>1339</v>
      </c>
      <c r="B31" s="1" t="s">
        <v>65</v>
      </c>
      <c r="C31" s="1" t="s">
        <v>1275</v>
      </c>
      <c r="D31" s="1" t="s">
        <v>136</v>
      </c>
      <c r="E31" s="1" t="str">
        <f>A31&amp;C31</f>
        <v>ECLECTICSHELBY</v>
      </c>
      <c r="F31" s="1" t="str">
        <f>A31&amp;B31&amp;C31&amp;D31</f>
        <v>ECLECTICALSHELBYNC</v>
      </c>
      <c r="G31" s="1">
        <v>875</v>
      </c>
      <c r="H31" s="38">
        <f>G31*COSTS!$AA$27</f>
        <v>1312.5</v>
      </c>
      <c r="I31" s="1">
        <f>COSTS!$AA$28</f>
        <v>50</v>
      </c>
      <c r="J31" s="38">
        <f t="shared" si="0"/>
        <v>1362.5</v>
      </c>
      <c r="K31" s="38">
        <f t="shared" si="1"/>
        <v>309.65909090909088</v>
      </c>
      <c r="L31" s="151">
        <v>46023</v>
      </c>
      <c r="M31" s="1">
        <f>VLOOKUP(F:F,[1]Sheet1!$E:$F,2,FALSE)</f>
        <v>990</v>
      </c>
    </row>
    <row r="32" spans="1:13" hidden="1">
      <c r="A32" s="1" t="s">
        <v>1347</v>
      </c>
      <c r="B32" s="1" t="s">
        <v>65</v>
      </c>
      <c r="C32" s="1" t="s">
        <v>847</v>
      </c>
      <c r="D32" s="1" t="s">
        <v>76</v>
      </c>
      <c r="E32" s="1" t="str">
        <f>A32&amp;(IF(C32="Garden City","Savannah",C32))</f>
        <v>ENTERPRISESavannah</v>
      </c>
      <c r="F32" s="1" t="s">
        <v>907</v>
      </c>
      <c r="G32" s="1">
        <v>818.75</v>
      </c>
      <c r="H32" s="38">
        <f>G32*COSTS!$AA$27</f>
        <v>1228.125</v>
      </c>
      <c r="I32" s="1">
        <f>COSTS!$AA$28</f>
        <v>50</v>
      </c>
      <c r="J32" s="38">
        <f t="shared" si="0"/>
        <v>1278.125</v>
      </c>
      <c r="K32" s="38">
        <f t="shared" si="1"/>
        <v>290.4829545454545</v>
      </c>
      <c r="L32" s="151">
        <v>46023</v>
      </c>
      <c r="M32" s="1">
        <f>VLOOKUP(F:F,[1]Sheet1!$E:$F,2,FALSE)</f>
        <v>1010</v>
      </c>
    </row>
    <row r="33" spans="1:13" hidden="1">
      <c r="A33" s="1" t="s">
        <v>1347</v>
      </c>
      <c r="B33" s="1" t="s">
        <v>65</v>
      </c>
      <c r="C33" s="1" t="s">
        <v>1033</v>
      </c>
      <c r="D33" s="1" t="s">
        <v>168</v>
      </c>
      <c r="E33" s="1" t="str">
        <f>A33&amp;C33</f>
        <v>ENTERPRISEMEMPHIS</v>
      </c>
      <c r="F33" s="1" t="s">
        <v>1115</v>
      </c>
      <c r="G33" s="1">
        <v>860</v>
      </c>
      <c r="H33" s="38">
        <f>G33*COSTS!$AA$27</f>
        <v>1290</v>
      </c>
      <c r="I33" s="1">
        <f>COSTS!$AA$28</f>
        <v>50</v>
      </c>
      <c r="J33" s="38">
        <f t="shared" si="0"/>
        <v>1340</v>
      </c>
      <c r="K33" s="38">
        <f t="shared" si="1"/>
        <v>304.5454545454545</v>
      </c>
      <c r="L33" s="151">
        <v>46023</v>
      </c>
      <c r="M33" s="1">
        <f>VLOOKUP(F:F,[1]Sheet1!$E:$F,2,FALSE)</f>
        <v>1070</v>
      </c>
    </row>
    <row r="34" spans="1:13" hidden="1">
      <c r="A34" s="1" t="s">
        <v>1347</v>
      </c>
      <c r="B34" s="1" t="s">
        <v>65</v>
      </c>
      <c r="C34" s="1" t="s">
        <v>1275</v>
      </c>
      <c r="D34" s="1" t="s">
        <v>136</v>
      </c>
      <c r="E34" s="1" t="str">
        <f>A34&amp;C34</f>
        <v>ENTERPRISESHELBY</v>
      </c>
      <c r="F34" s="1" t="str">
        <f>A34&amp;B34&amp;C34&amp;D34</f>
        <v>ENTERPRISEALSHELBYNC</v>
      </c>
      <c r="G34" s="1">
        <v>1020</v>
      </c>
      <c r="H34" s="38">
        <f>G34*COSTS!$AA$27</f>
        <v>1530</v>
      </c>
      <c r="I34" s="1">
        <f>COSTS!$AA$28</f>
        <v>50</v>
      </c>
      <c r="J34" s="38">
        <f t="shared" si="0"/>
        <v>1580</v>
      </c>
      <c r="K34" s="38">
        <f t="shared" si="1"/>
        <v>359.09090909090907</v>
      </c>
      <c r="L34" s="151">
        <v>46023</v>
      </c>
      <c r="M34" s="1">
        <f>VLOOKUP(F:F,[1]Sheet1!$E:$F,2,FALSE)</f>
        <v>1160</v>
      </c>
    </row>
    <row r="35" spans="1:13" hidden="1">
      <c r="A35" s="1" t="s">
        <v>1351</v>
      </c>
      <c r="B35" s="1" t="s">
        <v>65</v>
      </c>
      <c r="C35" s="1" t="s">
        <v>847</v>
      </c>
      <c r="D35" s="1" t="s">
        <v>76</v>
      </c>
      <c r="E35" s="1" t="str">
        <f>A35&amp;(IF(C35="Garden City","Savannah",C35))</f>
        <v>FLORENCESavannah</v>
      </c>
      <c r="F35" s="1" t="s">
        <v>911</v>
      </c>
      <c r="G35" s="1">
        <v>1002.03</v>
      </c>
      <c r="H35" s="38">
        <f>G35*COSTS!$AA$27</f>
        <v>1503.0450000000001</v>
      </c>
      <c r="I35" s="1">
        <f>COSTS!$AA$28</f>
        <v>50</v>
      </c>
      <c r="J35" s="38">
        <f t="shared" si="0"/>
        <v>1553.0450000000001</v>
      </c>
      <c r="K35" s="38">
        <f t="shared" si="1"/>
        <v>352.9647727272727</v>
      </c>
      <c r="L35" s="151">
        <v>46023</v>
      </c>
      <c r="M35" s="1">
        <f>VLOOKUP(F:F,[1]Sheet1!$E:$F,2,FALSE)</f>
        <v>1410</v>
      </c>
    </row>
    <row r="36" spans="1:13" hidden="1">
      <c r="A36" s="1" t="s">
        <v>1351</v>
      </c>
      <c r="B36" s="1" t="s">
        <v>65</v>
      </c>
      <c r="C36" s="1" t="s">
        <v>1033</v>
      </c>
      <c r="D36" s="1" t="s">
        <v>168</v>
      </c>
      <c r="E36" s="1" t="str">
        <f>A36&amp;C36</f>
        <v>FLORENCEMEMPHIS</v>
      </c>
      <c r="F36" s="1" t="s">
        <v>1122</v>
      </c>
      <c r="G36" s="1">
        <v>625</v>
      </c>
      <c r="H36" s="38">
        <f>G36*COSTS!$AA$27</f>
        <v>937.5</v>
      </c>
      <c r="I36" s="1">
        <f>COSTS!$AA$28</f>
        <v>50</v>
      </c>
      <c r="J36" s="38">
        <f t="shared" si="0"/>
        <v>987.5</v>
      </c>
      <c r="K36" s="38">
        <f t="shared" si="1"/>
        <v>224.43181818181816</v>
      </c>
      <c r="L36" s="151">
        <v>46023</v>
      </c>
      <c r="M36" s="1">
        <f>VLOOKUP(F:F,[1]Sheet1!$E:$F,2,FALSE)</f>
        <v>570</v>
      </c>
    </row>
    <row r="37" spans="1:13" hidden="1">
      <c r="A37" s="1" t="s">
        <v>1351</v>
      </c>
      <c r="B37" s="1" t="s">
        <v>65</v>
      </c>
      <c r="C37" s="1" t="s">
        <v>1275</v>
      </c>
      <c r="D37" s="1" t="s">
        <v>136</v>
      </c>
      <c r="E37" s="1" t="str">
        <f>A37&amp;C37</f>
        <v>FLORENCESHELBY</v>
      </c>
      <c r="F37" s="1" t="str">
        <f>A37&amp;B37&amp;C37&amp;D37</f>
        <v>FLORENCEALSHELBYNC</v>
      </c>
      <c r="G37" s="1">
        <v>1065</v>
      </c>
      <c r="H37" s="38">
        <f>G37*COSTS!$AA$27</f>
        <v>1597.5</v>
      </c>
      <c r="I37" s="1">
        <f>COSTS!$AA$28</f>
        <v>50</v>
      </c>
      <c r="J37" s="38">
        <f t="shared" si="0"/>
        <v>1647.5</v>
      </c>
      <c r="K37" s="38">
        <f t="shared" si="1"/>
        <v>374.43181818181819</v>
      </c>
      <c r="L37" s="151">
        <v>46023</v>
      </c>
      <c r="M37" s="1">
        <f>VLOOKUP(F:F,[1]Sheet1!$E:$F,2,FALSE)</f>
        <v>1210</v>
      </c>
    </row>
    <row r="38" spans="1:13" hidden="1">
      <c r="A38" s="1" t="s">
        <v>1361</v>
      </c>
      <c r="B38" s="1" t="s">
        <v>65</v>
      </c>
      <c r="C38" s="1" t="s">
        <v>847</v>
      </c>
      <c r="D38" s="1" t="s">
        <v>76</v>
      </c>
      <c r="E38" s="1" t="str">
        <f>A38&amp;(IF(C38="Garden City","Savannah",C38))</f>
        <v>HARTFORDSavannah</v>
      </c>
      <c r="F38" s="1" t="s">
        <v>921</v>
      </c>
      <c r="G38" s="1">
        <v>818.75</v>
      </c>
      <c r="H38" s="38">
        <f>G38*COSTS!$AA$27</f>
        <v>1228.125</v>
      </c>
      <c r="I38" s="1">
        <f>COSTS!$AA$28</f>
        <v>50</v>
      </c>
      <c r="J38" s="38">
        <f t="shared" si="0"/>
        <v>1278.125</v>
      </c>
      <c r="K38" s="38">
        <f t="shared" si="1"/>
        <v>290.4829545454545</v>
      </c>
      <c r="L38" s="151">
        <v>46023</v>
      </c>
      <c r="M38" s="1">
        <f>VLOOKUP(F:F,[1]Sheet1!$E:$F,2,FALSE)</f>
        <v>980</v>
      </c>
    </row>
    <row r="39" spans="1:13" hidden="1">
      <c r="A39" s="1" t="s">
        <v>1361</v>
      </c>
      <c r="B39" s="1" t="s">
        <v>65</v>
      </c>
      <c r="C39" s="1" t="s">
        <v>1033</v>
      </c>
      <c r="D39" s="1" t="s">
        <v>168</v>
      </c>
      <c r="E39" s="1" t="str">
        <f>A39&amp;C39</f>
        <v>HARTFORDMEMPHIS</v>
      </c>
      <c r="F39" s="1" t="s">
        <v>1136</v>
      </c>
      <c r="G39" s="1">
        <v>835</v>
      </c>
      <c r="H39" s="38">
        <f>G39*COSTS!$AA$27</f>
        <v>1252.5</v>
      </c>
      <c r="I39" s="1">
        <f>COSTS!$AA$28</f>
        <v>50</v>
      </c>
      <c r="J39" s="38">
        <f t="shared" si="0"/>
        <v>1302.5</v>
      </c>
      <c r="K39" s="38">
        <f t="shared" si="1"/>
        <v>296.02272727272725</v>
      </c>
      <c r="L39" s="151">
        <v>46023</v>
      </c>
      <c r="M39" s="1">
        <f>VLOOKUP(F:F,[1]Sheet1!$E:$F,2,FALSE)</f>
        <v>1110</v>
      </c>
    </row>
    <row r="40" spans="1:13" hidden="1">
      <c r="A40" s="1" t="s">
        <v>1361</v>
      </c>
      <c r="B40" s="1" t="s">
        <v>65</v>
      </c>
      <c r="C40" s="1" t="s">
        <v>1275</v>
      </c>
      <c r="D40" s="1" t="s">
        <v>136</v>
      </c>
      <c r="E40" s="1" t="str">
        <f>A40&amp;C40</f>
        <v>HARTFORDSHELBY</v>
      </c>
      <c r="F40" s="1" t="str">
        <f>A40&amp;B40&amp;C40&amp;D40</f>
        <v>HARTFORDALSHELBYNC</v>
      </c>
      <c r="G40" s="1">
        <v>1015</v>
      </c>
      <c r="H40" s="38">
        <f>G40*COSTS!$AA$27</f>
        <v>1522.5</v>
      </c>
      <c r="I40" s="1">
        <f>COSTS!$AA$28</f>
        <v>50</v>
      </c>
      <c r="J40" s="38">
        <f t="shared" si="0"/>
        <v>1572.5</v>
      </c>
      <c r="K40" s="38">
        <f t="shared" si="1"/>
        <v>357.38636363636368</v>
      </c>
      <c r="L40" s="151">
        <v>46023</v>
      </c>
      <c r="M40" s="1">
        <f>VLOOKUP(F:F,[1]Sheet1!$E:$F,2,FALSE)</f>
        <v>1140</v>
      </c>
    </row>
    <row r="41" spans="1:13" hidden="1">
      <c r="A41" s="1" t="s">
        <v>1366</v>
      </c>
      <c r="B41" s="1" t="s">
        <v>65</v>
      </c>
      <c r="C41" s="1" t="s">
        <v>847</v>
      </c>
      <c r="D41" s="1" t="s">
        <v>76</v>
      </c>
      <c r="E41" s="1" t="str">
        <f>A41&amp;(IF(C41="Garden City","Savannah",C41))</f>
        <v>HEADLANDSavannah</v>
      </c>
      <c r="F41" s="1" t="s">
        <v>926</v>
      </c>
      <c r="G41" s="1">
        <v>789.22</v>
      </c>
      <c r="H41" s="38">
        <f>G41*COSTS!$AA$27</f>
        <v>1183.83</v>
      </c>
      <c r="I41" s="1">
        <f>COSTS!$AA$28</f>
        <v>50</v>
      </c>
      <c r="J41" s="38">
        <f t="shared" si="0"/>
        <v>1233.83</v>
      </c>
      <c r="K41" s="38">
        <f t="shared" si="1"/>
        <v>280.41590909090905</v>
      </c>
      <c r="L41" s="151">
        <v>46023</v>
      </c>
      <c r="M41" s="1">
        <f>VLOOKUP(F:F,[1]Sheet1!$E:$F,2,FALSE)</f>
        <v>950</v>
      </c>
    </row>
    <row r="42" spans="1:13" hidden="1">
      <c r="A42" s="1" t="s">
        <v>1366</v>
      </c>
      <c r="B42" s="1" t="s">
        <v>65</v>
      </c>
      <c r="C42" s="1" t="s">
        <v>1033</v>
      </c>
      <c r="D42" s="1" t="s">
        <v>168</v>
      </c>
      <c r="E42" s="1" t="str">
        <f>A42&amp;C42</f>
        <v>HEADLANDMEMPHIS</v>
      </c>
      <c r="F42" s="1" t="s">
        <v>1141</v>
      </c>
      <c r="G42" s="1">
        <v>1085</v>
      </c>
      <c r="H42" s="38">
        <f>G42*COSTS!$AA$27</f>
        <v>1627.5</v>
      </c>
      <c r="I42" s="1">
        <f>COSTS!$AA$28</f>
        <v>50</v>
      </c>
      <c r="J42" s="38">
        <f t="shared" si="0"/>
        <v>1677.5</v>
      </c>
      <c r="K42" s="38">
        <f t="shared" si="1"/>
        <v>381.25</v>
      </c>
      <c r="L42" s="151">
        <v>46023</v>
      </c>
      <c r="M42" s="1">
        <f>VLOOKUP(F:F,[1]Sheet1!$E:$F,2,FALSE)</f>
        <v>1130</v>
      </c>
    </row>
    <row r="43" spans="1:13" hidden="1">
      <c r="A43" s="1" t="s">
        <v>1366</v>
      </c>
      <c r="B43" s="1" t="s">
        <v>65</v>
      </c>
      <c r="C43" s="1" t="s">
        <v>1275</v>
      </c>
      <c r="D43" s="1" t="s">
        <v>136</v>
      </c>
      <c r="E43" s="1" t="str">
        <f>A43&amp;C43</f>
        <v>HEADLANDSHELBY</v>
      </c>
      <c r="F43" s="1" t="str">
        <f>A43&amp;B43&amp;C43&amp;D43</f>
        <v>HEADLANDALSHELBYNC</v>
      </c>
      <c r="G43" s="1">
        <v>950</v>
      </c>
      <c r="H43" s="38">
        <f>G43*COSTS!$AA$27</f>
        <v>1425</v>
      </c>
      <c r="I43" s="1">
        <f>COSTS!$AA$28</f>
        <v>50</v>
      </c>
      <c r="J43" s="38">
        <f t="shared" si="0"/>
        <v>1475</v>
      </c>
      <c r="K43" s="38">
        <f t="shared" si="1"/>
        <v>335.22727272727275</v>
      </c>
      <c r="L43" s="151">
        <v>46023</v>
      </c>
      <c r="M43" s="1">
        <f>VLOOKUP(F:F,[1]Sheet1!$E:$F,2,FALSE)</f>
        <v>1070</v>
      </c>
    </row>
    <row r="44" spans="1:13" hidden="1">
      <c r="A44" s="1" t="s">
        <v>1368</v>
      </c>
      <c r="B44" s="1" t="s">
        <v>65</v>
      </c>
      <c r="C44" s="1" t="s">
        <v>847</v>
      </c>
      <c r="D44" s="1" t="s">
        <v>76</v>
      </c>
      <c r="E44" s="1" t="str">
        <f>A44&amp;(IF(C44="Garden City","Savannah",C44))</f>
        <v>HILLSBOROSavannah</v>
      </c>
      <c r="F44" s="1" t="s">
        <v>928</v>
      </c>
      <c r="G44" s="1">
        <v>940.31500000000005</v>
      </c>
      <c r="H44" s="38">
        <f>G44*COSTS!$AA$27</f>
        <v>1410.4725000000001</v>
      </c>
      <c r="I44" s="1">
        <f>COSTS!$AA$28</f>
        <v>50</v>
      </c>
      <c r="J44" s="38">
        <f t="shared" si="0"/>
        <v>1460.4725000000001</v>
      </c>
      <c r="K44" s="38">
        <f t="shared" si="1"/>
        <v>331.92556818181822</v>
      </c>
      <c r="L44" s="151">
        <v>46023</v>
      </c>
      <c r="M44" s="1">
        <f>VLOOKUP(F:F,[1]Sheet1!$E:$F,2,FALSE)</f>
        <v>1340</v>
      </c>
    </row>
    <row r="45" spans="1:13" hidden="1">
      <c r="A45" s="1" t="s">
        <v>1368</v>
      </c>
      <c r="B45" s="1" t="s">
        <v>65</v>
      </c>
      <c r="C45" s="1" t="s">
        <v>1033</v>
      </c>
      <c r="D45" s="1" t="s">
        <v>168</v>
      </c>
      <c r="E45" s="1" t="str">
        <f>A45&amp;C45</f>
        <v>HILLSBOROMEMPHIS</v>
      </c>
      <c r="F45" s="1" t="s">
        <v>1143</v>
      </c>
      <c r="G45" s="1">
        <v>639</v>
      </c>
      <c r="H45" s="38">
        <f>G45*COSTS!$AA$27</f>
        <v>958.5</v>
      </c>
      <c r="I45" s="1">
        <f>COSTS!$AA$28</f>
        <v>50</v>
      </c>
      <c r="J45" s="38">
        <f t="shared" si="0"/>
        <v>1008.5</v>
      </c>
      <c r="K45" s="38">
        <f t="shared" si="1"/>
        <v>229.20454545454547</v>
      </c>
      <c r="L45" s="151">
        <v>46023</v>
      </c>
      <c r="M45" s="1">
        <f>VLOOKUP(F:F,[1]Sheet1!$E:$F,2,FALSE)</f>
        <v>600</v>
      </c>
    </row>
    <row r="46" spans="1:13" hidden="1">
      <c r="A46" s="1" t="s">
        <v>1368</v>
      </c>
      <c r="B46" s="1" t="s">
        <v>65</v>
      </c>
      <c r="C46" s="1" t="s">
        <v>1275</v>
      </c>
      <c r="D46" s="1" t="s">
        <v>136</v>
      </c>
      <c r="E46" s="1" t="str">
        <f>A46&amp;C46</f>
        <v>HILLSBOROSHELBY</v>
      </c>
      <c r="F46" s="1" t="str">
        <f>A46&amp;B46&amp;C46&amp;D46</f>
        <v>HILLSBOROALSHELBYNC</v>
      </c>
      <c r="G46" s="1">
        <v>1005</v>
      </c>
      <c r="H46" s="38">
        <f>G46*COSTS!$AA$27</f>
        <v>1507.5</v>
      </c>
      <c r="I46" s="1">
        <f>COSTS!$AA$28</f>
        <v>50</v>
      </c>
      <c r="J46" s="38">
        <f t="shared" si="0"/>
        <v>1557.5</v>
      </c>
      <c r="K46" s="38">
        <f t="shared" si="1"/>
        <v>353.97727272727275</v>
      </c>
      <c r="L46" s="151">
        <v>46023</v>
      </c>
      <c r="M46" s="1">
        <f>VLOOKUP(F:F,[1]Sheet1!$E:$F,2,FALSE)</f>
        <v>1130</v>
      </c>
    </row>
    <row r="47" spans="1:13" hidden="1">
      <c r="A47" s="1" t="s">
        <v>1371</v>
      </c>
      <c r="B47" s="1" t="s">
        <v>65</v>
      </c>
      <c r="C47" s="1" t="s">
        <v>847</v>
      </c>
      <c r="D47" s="1" t="s">
        <v>76</v>
      </c>
      <c r="E47" s="1" t="str">
        <f>A47&amp;(IF(C47="Garden City","Savannah",C47))</f>
        <v>HUNTSVILLESavannah</v>
      </c>
      <c r="F47" s="1" t="s">
        <v>931</v>
      </c>
      <c r="G47" s="1">
        <v>940.31500000000005</v>
      </c>
      <c r="H47" s="38">
        <f>G47*COSTS!$AA$27</f>
        <v>1410.4725000000001</v>
      </c>
      <c r="I47" s="1">
        <f>COSTS!$AA$28</f>
        <v>50</v>
      </c>
      <c r="J47" s="38">
        <f t="shared" si="0"/>
        <v>1460.4725000000001</v>
      </c>
      <c r="K47" s="38">
        <f t="shared" si="1"/>
        <v>331.92556818181822</v>
      </c>
      <c r="L47" s="151">
        <v>46023</v>
      </c>
      <c r="M47" s="1" t="e">
        <f>VLOOKUP(F:F,[1]Sheet1!$E:$F,2,FALSE)</f>
        <v>#N/A</v>
      </c>
    </row>
    <row r="48" spans="1:13" hidden="1">
      <c r="A48" s="1" t="s">
        <v>1371</v>
      </c>
      <c r="B48" s="1" t="s">
        <v>65</v>
      </c>
      <c r="C48" s="1" t="s">
        <v>1033</v>
      </c>
      <c r="D48" s="1" t="s">
        <v>168</v>
      </c>
      <c r="E48" s="1" t="str">
        <f>A48&amp;C48</f>
        <v>HUNTSVILLEMEMPHIS</v>
      </c>
      <c r="F48" s="1" t="s">
        <v>1153</v>
      </c>
      <c r="G48" s="1">
        <v>663</v>
      </c>
      <c r="H48" s="38">
        <f>G48*COSTS!$AA$27</f>
        <v>994.5</v>
      </c>
      <c r="I48" s="1">
        <f>COSTS!$AA$28</f>
        <v>50</v>
      </c>
      <c r="J48" s="38">
        <f t="shared" si="0"/>
        <v>1044.5</v>
      </c>
      <c r="K48" s="38">
        <f t="shared" si="1"/>
        <v>237.38636363636363</v>
      </c>
      <c r="L48" s="151">
        <v>46023</v>
      </c>
      <c r="M48" s="1" t="e">
        <f>VLOOKUP(F:F,[1]Sheet1!$E:$F,2,FALSE)</f>
        <v>#N/A</v>
      </c>
    </row>
    <row r="49" spans="1:13" hidden="1">
      <c r="A49" s="1" t="s">
        <v>1383</v>
      </c>
      <c r="B49" s="1" t="s">
        <v>65</v>
      </c>
      <c r="C49" s="1" t="s">
        <v>847</v>
      </c>
      <c r="D49" s="1" t="s">
        <v>76</v>
      </c>
      <c r="E49" s="1" t="str">
        <f>A49&amp;(IF(C49="Garden City","Savannah",C49))</f>
        <v>LEIGHTONSavannah</v>
      </c>
      <c r="F49" s="1" t="s">
        <v>944</v>
      </c>
      <c r="G49" s="1">
        <v>1002.03</v>
      </c>
      <c r="H49" s="38">
        <f>G49*COSTS!$AA$27</f>
        <v>1503.0450000000001</v>
      </c>
      <c r="I49" s="1">
        <f>COSTS!$AA$28</f>
        <v>50</v>
      </c>
      <c r="J49" s="38">
        <f t="shared" si="0"/>
        <v>1553.0450000000001</v>
      </c>
      <c r="K49" s="38">
        <f t="shared" si="1"/>
        <v>352.9647727272727</v>
      </c>
      <c r="L49" s="151">
        <v>46023</v>
      </c>
      <c r="M49" s="1">
        <f>VLOOKUP(F:F,[1]Sheet1!$E:$F,2,FALSE)</f>
        <v>1380</v>
      </c>
    </row>
    <row r="50" spans="1:13" hidden="1">
      <c r="A50" s="1" t="s">
        <v>1383</v>
      </c>
      <c r="B50" s="1" t="s">
        <v>65</v>
      </c>
      <c r="C50" s="1" t="s">
        <v>1033</v>
      </c>
      <c r="D50" s="1" t="s">
        <v>168</v>
      </c>
      <c r="E50" s="1" t="str">
        <f>A50&amp;C50</f>
        <v>LEIGHTONMEMPHIS</v>
      </c>
      <c r="F50" s="1" t="s">
        <v>1166</v>
      </c>
      <c r="G50" s="1">
        <v>635</v>
      </c>
      <c r="H50" s="38">
        <f>G50*COSTS!$AA$27</f>
        <v>952.5</v>
      </c>
      <c r="I50" s="1">
        <f>COSTS!$AA$28</f>
        <v>50</v>
      </c>
      <c r="J50" s="38">
        <f t="shared" si="0"/>
        <v>1002.5</v>
      </c>
      <c r="K50" s="38">
        <f t="shared" si="1"/>
        <v>227.84090909090909</v>
      </c>
      <c r="L50" s="151">
        <v>46023</v>
      </c>
      <c r="M50" s="1">
        <f>VLOOKUP(F:F,[1]Sheet1!$E:$F,2,FALSE)</f>
        <v>560</v>
      </c>
    </row>
    <row r="51" spans="1:13" hidden="1">
      <c r="A51" s="1" t="s">
        <v>1383</v>
      </c>
      <c r="B51" s="1" t="s">
        <v>65</v>
      </c>
      <c r="C51" s="1" t="s">
        <v>1275</v>
      </c>
      <c r="D51" s="1" t="s">
        <v>136</v>
      </c>
      <c r="E51" s="1" t="str">
        <f>A51&amp;C51</f>
        <v>LEIGHTONSHELBY</v>
      </c>
      <c r="F51" s="1" t="str">
        <f>A51&amp;B51&amp;C51&amp;D51</f>
        <v>LEIGHTONALSHELBYNC</v>
      </c>
      <c r="G51" s="1">
        <v>1050</v>
      </c>
      <c r="H51" s="38">
        <f>G51*COSTS!$AA$27</f>
        <v>1575</v>
      </c>
      <c r="I51" s="1">
        <f>COSTS!$AA$28</f>
        <v>50</v>
      </c>
      <c r="J51" s="38">
        <f t="shared" si="0"/>
        <v>1625</v>
      </c>
      <c r="K51" s="38">
        <f t="shared" si="1"/>
        <v>369.31818181818181</v>
      </c>
      <c r="L51" s="151">
        <v>46023</v>
      </c>
      <c r="M51" s="1">
        <f>VLOOKUP(F:F,[1]Sheet1!$E:$F,2,FALSE)</f>
        <v>1180</v>
      </c>
    </row>
    <row r="52" spans="1:13" hidden="1">
      <c r="A52" s="1" t="s">
        <v>1386</v>
      </c>
      <c r="B52" s="1" t="s">
        <v>65</v>
      </c>
      <c r="C52" s="1" t="s">
        <v>847</v>
      </c>
      <c r="D52" s="1" t="s">
        <v>76</v>
      </c>
      <c r="E52" s="1" t="str">
        <f>A52&amp;(IF(C52="Garden City","Savannah",C52))</f>
        <v>LOXLEYSavannah</v>
      </c>
      <c r="F52" s="1" t="s">
        <v>947</v>
      </c>
      <c r="G52" s="1">
        <v>1004.69</v>
      </c>
      <c r="H52" s="38">
        <f>G52*COSTS!$AA$27</f>
        <v>1507.0350000000001</v>
      </c>
      <c r="I52" s="1">
        <f>COSTS!$AA$28</f>
        <v>50</v>
      </c>
      <c r="J52" s="38">
        <f t="shared" si="0"/>
        <v>1557.0350000000001</v>
      </c>
      <c r="K52" s="38">
        <f t="shared" si="1"/>
        <v>353.87159090909097</v>
      </c>
      <c r="L52" s="151">
        <v>46023</v>
      </c>
      <c r="M52" s="1" t="e">
        <f>VLOOKUP(F:F,[1]Sheet1!$E:$F,2,FALSE)</f>
        <v>#N/A</v>
      </c>
    </row>
    <row r="53" spans="1:13" hidden="1">
      <c r="A53" s="1" t="s">
        <v>1386</v>
      </c>
      <c r="B53" s="1" t="s">
        <v>65</v>
      </c>
      <c r="C53" s="1" t="s">
        <v>1033</v>
      </c>
      <c r="D53" s="1" t="s">
        <v>168</v>
      </c>
      <c r="E53" s="1" t="str">
        <f>A53&amp;C53</f>
        <v>LOXLEYMEMPHIS</v>
      </c>
      <c r="F53" s="1" t="s">
        <v>1171</v>
      </c>
      <c r="G53" s="1">
        <v>896</v>
      </c>
      <c r="H53" s="38">
        <f>G53*COSTS!$AA$27</f>
        <v>1344</v>
      </c>
      <c r="I53" s="1">
        <f>COSTS!$AA$28</f>
        <v>50</v>
      </c>
      <c r="J53" s="38">
        <f t="shared" si="0"/>
        <v>1394</v>
      </c>
      <c r="K53" s="38">
        <f t="shared" si="1"/>
        <v>316.81818181818181</v>
      </c>
      <c r="L53" s="151">
        <v>46023</v>
      </c>
      <c r="M53" s="1" t="e">
        <f>VLOOKUP(F:F,[1]Sheet1!$E:$F,2,FALSE)</f>
        <v>#N/A</v>
      </c>
    </row>
    <row r="54" spans="1:13" hidden="1">
      <c r="A54" s="1" t="s">
        <v>1386</v>
      </c>
      <c r="B54" s="1" t="s">
        <v>65</v>
      </c>
      <c r="C54" s="1" t="s">
        <v>1275</v>
      </c>
      <c r="D54" s="1" t="s">
        <v>136</v>
      </c>
      <c r="E54" s="1" t="str">
        <f>A54&amp;C54</f>
        <v>LOXLEYSHELBY</v>
      </c>
      <c r="F54" s="1" t="str">
        <f>A54&amp;B54&amp;C54&amp;D54</f>
        <v>LOXLEYALSHELBYNC</v>
      </c>
      <c r="G54" s="1">
        <v>1095</v>
      </c>
      <c r="H54" s="38">
        <f>G54*COSTS!$AA$27</f>
        <v>1642.5</v>
      </c>
      <c r="I54" s="1">
        <f>COSTS!$AA$28</f>
        <v>50</v>
      </c>
      <c r="J54" s="38">
        <f t="shared" si="0"/>
        <v>1692.5</v>
      </c>
      <c r="K54" s="38">
        <f t="shared" si="1"/>
        <v>384.65909090909093</v>
      </c>
      <c r="L54" s="151">
        <v>46023</v>
      </c>
      <c r="M54" s="1" t="e">
        <f>VLOOKUP(F:F,[1]Sheet1!$E:$F,2,FALSE)</f>
        <v>#N/A</v>
      </c>
    </row>
    <row r="55" spans="1:13" hidden="1">
      <c r="A55" s="1" t="s">
        <v>1393</v>
      </c>
      <c r="B55" s="1" t="s">
        <v>65</v>
      </c>
      <c r="C55" s="1" t="s">
        <v>847</v>
      </c>
      <c r="D55" s="1" t="s">
        <v>76</v>
      </c>
      <c r="E55" s="1" t="str">
        <f>A55&amp;(IF(C55="Garden City","Savannah",C55))</f>
        <v>MCCULLOUGHSavannah</v>
      </c>
      <c r="F55" s="1" t="s">
        <v>954</v>
      </c>
      <c r="G55" s="1">
        <v>950.15499999999997</v>
      </c>
      <c r="H55" s="38">
        <f>G55*COSTS!$AA$27</f>
        <v>1425.2325000000001</v>
      </c>
      <c r="I55" s="1">
        <f>COSTS!$AA$28</f>
        <v>50</v>
      </c>
      <c r="J55" s="38">
        <f t="shared" si="0"/>
        <v>1475.2325000000001</v>
      </c>
      <c r="K55" s="38">
        <f t="shared" si="1"/>
        <v>335.28011363636369</v>
      </c>
      <c r="L55" s="151">
        <v>46023</v>
      </c>
      <c r="M55" s="1">
        <f>VLOOKUP(F:F,[1]Sheet1!$E:$F,2,FALSE)</f>
        <v>1260</v>
      </c>
    </row>
    <row r="56" spans="1:13" hidden="1">
      <c r="A56" s="1" t="s">
        <v>1393</v>
      </c>
      <c r="B56" s="1" t="s">
        <v>65</v>
      </c>
      <c r="C56" s="1" t="s">
        <v>1033</v>
      </c>
      <c r="D56" s="1" t="s">
        <v>168</v>
      </c>
      <c r="E56" s="1" t="str">
        <f>A56&amp;C56</f>
        <v>MCCULLOUGHMEMPHIS</v>
      </c>
      <c r="F56" s="1" t="s">
        <v>1181</v>
      </c>
      <c r="G56" s="1">
        <v>935</v>
      </c>
      <c r="H56" s="38">
        <f>G56*COSTS!$AA$27</f>
        <v>1402.5</v>
      </c>
      <c r="I56" s="1">
        <f>COSTS!$AA$28</f>
        <v>50</v>
      </c>
      <c r="J56" s="38">
        <f t="shared" si="0"/>
        <v>1452.5</v>
      </c>
      <c r="K56" s="38">
        <f t="shared" si="1"/>
        <v>330.11363636363632</v>
      </c>
      <c r="L56" s="151">
        <v>46023</v>
      </c>
      <c r="M56" s="1">
        <f>VLOOKUP(F:F,[1]Sheet1!$E:$F,2,FALSE)</f>
        <v>1150</v>
      </c>
    </row>
    <row r="57" spans="1:13" hidden="1">
      <c r="A57" s="1" t="s">
        <v>1393</v>
      </c>
      <c r="B57" s="1" t="s">
        <v>65</v>
      </c>
      <c r="C57" s="1" t="s">
        <v>1275</v>
      </c>
      <c r="D57" s="1" t="s">
        <v>136</v>
      </c>
      <c r="E57" s="1" t="str">
        <f>A57&amp;C57</f>
        <v>MCCULLOUGHSHELBY</v>
      </c>
      <c r="F57" s="1" t="str">
        <f>A57&amp;B57&amp;C57&amp;D57</f>
        <v>MCCULLOUGHALSHELBYNC</v>
      </c>
      <c r="G57" s="1">
        <v>1065</v>
      </c>
      <c r="H57" s="38">
        <f>G57*COSTS!$AA$27</f>
        <v>1597.5</v>
      </c>
      <c r="I57" s="1">
        <f>COSTS!$AA$28</f>
        <v>50</v>
      </c>
      <c r="J57" s="38">
        <f t="shared" si="0"/>
        <v>1647.5</v>
      </c>
      <c r="K57" s="38">
        <f t="shared" si="1"/>
        <v>374.43181818181819</v>
      </c>
      <c r="L57" s="151">
        <v>46023</v>
      </c>
      <c r="M57" s="1">
        <f>VLOOKUP(F:F,[1]Sheet1!$E:$F,2,FALSE)</f>
        <v>1260</v>
      </c>
    </row>
    <row r="58" spans="1:13" hidden="1">
      <c r="A58" s="1" t="s">
        <v>1407</v>
      </c>
      <c r="B58" s="1" t="s">
        <v>65</v>
      </c>
      <c r="C58" s="1" t="s">
        <v>847</v>
      </c>
      <c r="D58" s="1" t="s">
        <v>76</v>
      </c>
      <c r="E58" s="1" t="str">
        <f>A58&amp;(IF(C58="Garden City","Savannah",C58))</f>
        <v>NEW MARKETSavannah</v>
      </c>
      <c r="F58" s="1" t="s">
        <v>969</v>
      </c>
      <c r="G58" s="1">
        <v>940.31500000000005</v>
      </c>
      <c r="H58" s="38">
        <f>G58*COSTS!$AA$27</f>
        <v>1410.4725000000001</v>
      </c>
      <c r="I58" s="1">
        <f>COSTS!$AA$28</f>
        <v>50</v>
      </c>
      <c r="J58" s="38">
        <f t="shared" si="0"/>
        <v>1460.4725000000001</v>
      </c>
      <c r="K58" s="38">
        <f t="shared" si="1"/>
        <v>331.92556818181822</v>
      </c>
      <c r="L58" s="151">
        <v>46023</v>
      </c>
      <c r="M58" s="1">
        <f>VLOOKUP(F:F,[1]Sheet1!$E:$F,2,FALSE)</f>
        <v>1270</v>
      </c>
    </row>
    <row r="59" spans="1:13" hidden="1">
      <c r="A59" s="1" t="s">
        <v>1407</v>
      </c>
      <c r="B59" s="1" t="s">
        <v>65</v>
      </c>
      <c r="C59" s="1" t="s">
        <v>1033</v>
      </c>
      <c r="D59" s="1" t="s">
        <v>168</v>
      </c>
      <c r="E59" s="1" t="str">
        <f>A59&amp;C59</f>
        <v>NEW MARKETMEMPHIS</v>
      </c>
      <c r="F59" s="1" t="s">
        <v>1199</v>
      </c>
      <c r="G59" s="1">
        <v>697</v>
      </c>
      <c r="H59" s="38">
        <f>G59*COSTS!$AA$27</f>
        <v>1045.5</v>
      </c>
      <c r="I59" s="1">
        <f>COSTS!$AA$28</f>
        <v>50</v>
      </c>
      <c r="J59" s="38">
        <f t="shared" si="0"/>
        <v>1095.5</v>
      </c>
      <c r="K59" s="38">
        <f t="shared" si="1"/>
        <v>248.97727272727275</v>
      </c>
      <c r="L59" s="151">
        <v>46023</v>
      </c>
      <c r="M59" s="1">
        <f>VLOOKUP(F:F,[1]Sheet1!$E:$F,2,FALSE)</f>
        <v>690</v>
      </c>
    </row>
    <row r="60" spans="1:13" hidden="1">
      <c r="A60" s="1" t="s">
        <v>1407</v>
      </c>
      <c r="B60" s="1" t="s">
        <v>65</v>
      </c>
      <c r="C60" s="1" t="s">
        <v>1275</v>
      </c>
      <c r="D60" s="1" t="s">
        <v>136</v>
      </c>
      <c r="E60" s="1" t="str">
        <f>A60&amp;C60</f>
        <v>NEW MARKETSHELBY</v>
      </c>
      <c r="F60" s="1" t="str">
        <f>A60&amp;B60&amp;C60&amp;D60</f>
        <v>NEW MARKETALSHELBYNC</v>
      </c>
      <c r="G60" s="1">
        <v>925</v>
      </c>
      <c r="H60" s="38">
        <f>G60*COSTS!$AA$27</f>
        <v>1387.5</v>
      </c>
      <c r="I60" s="1">
        <f>COSTS!$AA$28</f>
        <v>50</v>
      </c>
      <c r="J60" s="38">
        <f t="shared" si="0"/>
        <v>1437.5</v>
      </c>
      <c r="K60" s="38">
        <f t="shared" si="1"/>
        <v>326.7045454545455</v>
      </c>
      <c r="L60" s="151">
        <v>46023</v>
      </c>
      <c r="M60" s="1">
        <f>VLOOKUP(F:F,[1]Sheet1!$E:$F,2,FALSE)</f>
        <v>1020</v>
      </c>
    </row>
    <row r="61" spans="1:13" hidden="1">
      <c r="A61" s="1" t="s">
        <v>1416</v>
      </c>
      <c r="B61" s="1" t="s">
        <v>65</v>
      </c>
      <c r="C61" s="1" t="s">
        <v>847</v>
      </c>
      <c r="D61" s="1" t="s">
        <v>76</v>
      </c>
      <c r="E61" s="1" t="str">
        <f>A61&amp;(IF(C61="Garden City","Savannah",C61))</f>
        <v>PIEDMONTSavannah</v>
      </c>
      <c r="F61" s="1" t="s">
        <v>977</v>
      </c>
      <c r="G61" s="1">
        <v>821.40499999999997</v>
      </c>
      <c r="H61" s="38">
        <f>G61*COSTS!$AA$27</f>
        <v>1232.1075000000001</v>
      </c>
      <c r="I61" s="1">
        <f>COSTS!$AA$28</f>
        <v>50</v>
      </c>
      <c r="J61" s="38">
        <f t="shared" si="0"/>
        <v>1282.1075000000001</v>
      </c>
      <c r="K61" s="38">
        <f t="shared" si="1"/>
        <v>291.3880681818182</v>
      </c>
      <c r="L61" s="151">
        <v>46023</v>
      </c>
      <c r="M61" s="1" t="e">
        <f>VLOOKUP(F:F,[1]Sheet1!$E:$F,2,FALSE)</f>
        <v>#N/A</v>
      </c>
    </row>
    <row r="62" spans="1:13" hidden="1">
      <c r="A62" s="1" t="s">
        <v>693</v>
      </c>
      <c r="B62" s="1" t="s">
        <v>65</v>
      </c>
      <c r="C62" s="1" t="s">
        <v>847</v>
      </c>
      <c r="D62" s="1" t="s">
        <v>76</v>
      </c>
      <c r="E62" s="1" t="str">
        <f>A62&amp;(IF(C62="Garden City","Savannah",C62))</f>
        <v>SELMASavannah</v>
      </c>
      <c r="F62" s="1" t="s">
        <v>993</v>
      </c>
      <c r="G62" s="1">
        <v>908.125</v>
      </c>
      <c r="H62" s="38">
        <f>G62*COSTS!$AA$27</f>
        <v>1362.1875</v>
      </c>
      <c r="I62" s="1">
        <f>COSTS!$AA$28</f>
        <v>50</v>
      </c>
      <c r="J62" s="38">
        <f t="shared" si="0"/>
        <v>1412.1875</v>
      </c>
      <c r="K62" s="38">
        <f t="shared" si="1"/>
        <v>320.9517045454545</v>
      </c>
      <c r="L62" s="151">
        <v>46023</v>
      </c>
      <c r="M62" s="1">
        <f>VLOOKUP(F:F,[1]Sheet1!$E:$F,2,FALSE)</f>
        <v>1120</v>
      </c>
    </row>
    <row r="63" spans="1:13" hidden="1">
      <c r="A63" s="1" t="s">
        <v>693</v>
      </c>
      <c r="B63" s="1" t="s">
        <v>65</v>
      </c>
      <c r="C63" s="1" t="s">
        <v>1033</v>
      </c>
      <c r="D63" s="1" t="s">
        <v>168</v>
      </c>
      <c r="E63" s="1" t="str">
        <f>A63&amp;C63</f>
        <v>SELMAMEMPHIS</v>
      </c>
      <c r="F63" s="1" t="s">
        <v>1228</v>
      </c>
      <c r="G63" s="1">
        <v>785</v>
      </c>
      <c r="H63" s="38">
        <f>G63*COSTS!$AA$27</f>
        <v>1177.5</v>
      </c>
      <c r="I63" s="1">
        <f>COSTS!$AA$28</f>
        <v>50</v>
      </c>
      <c r="J63" s="38">
        <f t="shared" si="0"/>
        <v>1227.5</v>
      </c>
      <c r="K63" s="38">
        <f t="shared" si="1"/>
        <v>278.97727272727275</v>
      </c>
      <c r="L63" s="151">
        <v>46023</v>
      </c>
      <c r="M63" s="1">
        <f>VLOOKUP(F:F,[1]Sheet1!$E:$F,2,FALSE)</f>
        <v>830</v>
      </c>
    </row>
    <row r="64" spans="1:13" hidden="1">
      <c r="A64" s="1" t="s">
        <v>693</v>
      </c>
      <c r="B64" s="1" t="s">
        <v>65</v>
      </c>
      <c r="C64" s="1" t="s">
        <v>1275</v>
      </c>
      <c r="D64" s="1" t="s">
        <v>136</v>
      </c>
      <c r="E64" s="1" t="str">
        <f>A64&amp;C64</f>
        <v>SELMASHELBY</v>
      </c>
      <c r="F64" s="1" t="str">
        <f>A64&amp;B64&amp;C64&amp;D64</f>
        <v>SELMAALSHELBYNC</v>
      </c>
      <c r="G64" s="1">
        <v>945</v>
      </c>
      <c r="H64" s="38">
        <f>G64*COSTS!$AA$27</f>
        <v>1417.5</v>
      </c>
      <c r="I64" s="1">
        <f>COSTS!$AA$28</f>
        <v>50</v>
      </c>
      <c r="J64" s="38">
        <f t="shared" si="0"/>
        <v>1467.5</v>
      </c>
      <c r="K64" s="38">
        <f t="shared" si="1"/>
        <v>333.52272727272725</v>
      </c>
      <c r="L64" s="151">
        <v>46023</v>
      </c>
      <c r="M64" s="1">
        <f>VLOOKUP(F:F,[1]Sheet1!$E:$F,2,FALSE)</f>
        <v>1120</v>
      </c>
    </row>
    <row r="65" spans="1:13" hidden="1">
      <c r="A65" s="1" t="s">
        <v>1440</v>
      </c>
      <c r="B65" s="1" t="s">
        <v>65</v>
      </c>
      <c r="C65" s="1" t="s">
        <v>847</v>
      </c>
      <c r="D65" s="1" t="s">
        <v>76</v>
      </c>
      <c r="E65" s="1" t="str">
        <f>A65&amp;(IF(C65="Garden City","Savannah",C65))</f>
        <v>SWEET WATERSavannah</v>
      </c>
      <c r="F65" s="1" t="s">
        <v>1004</v>
      </c>
      <c r="G65" s="1">
        <v>908.125</v>
      </c>
      <c r="H65" s="38">
        <f>G65*COSTS!$AA$27</f>
        <v>1362.1875</v>
      </c>
      <c r="I65" s="1">
        <f>COSTS!$AA$28</f>
        <v>50</v>
      </c>
      <c r="J65" s="38">
        <f t="shared" si="0"/>
        <v>1412.1875</v>
      </c>
      <c r="K65" s="38">
        <f t="shared" si="1"/>
        <v>320.9517045454545</v>
      </c>
      <c r="L65" s="151">
        <v>46023</v>
      </c>
      <c r="M65" s="1">
        <f>VLOOKUP(F:F,[1]Sheet1!$E:$F,2,FALSE)</f>
        <v>1250</v>
      </c>
    </row>
    <row r="66" spans="1:13" hidden="1">
      <c r="A66" s="1" t="s">
        <v>1440</v>
      </c>
      <c r="B66" s="1" t="s">
        <v>65</v>
      </c>
      <c r="C66" s="1" t="s">
        <v>1033</v>
      </c>
      <c r="D66" s="1" t="s">
        <v>168</v>
      </c>
      <c r="E66" s="1" t="str">
        <f>A66&amp;C66</f>
        <v>SWEET WATERMEMPHIS</v>
      </c>
      <c r="F66" s="1" t="s">
        <v>1243</v>
      </c>
      <c r="G66" s="1">
        <v>760</v>
      </c>
      <c r="H66" s="38">
        <f>G66*COSTS!$AA$27</f>
        <v>1140</v>
      </c>
      <c r="I66" s="1">
        <f>COSTS!$AA$28</f>
        <v>50</v>
      </c>
      <c r="J66" s="38">
        <f t="shared" ref="J66:J129" si="2">H66+I66</f>
        <v>1190</v>
      </c>
      <c r="K66" s="38">
        <f t="shared" ref="K66:K129" si="3">(J66/88)*20</f>
        <v>270.4545454545455</v>
      </c>
      <c r="L66" s="151">
        <v>46023</v>
      </c>
      <c r="M66" s="1">
        <f>VLOOKUP(F:F,[1]Sheet1!$E:$F,2,FALSE)</f>
        <v>800</v>
      </c>
    </row>
    <row r="67" spans="1:13" hidden="1">
      <c r="A67" s="1" t="s">
        <v>1440</v>
      </c>
      <c r="B67" s="1" t="s">
        <v>65</v>
      </c>
      <c r="C67" s="1" t="s">
        <v>1275</v>
      </c>
      <c r="D67" s="1" t="s">
        <v>136</v>
      </c>
      <c r="E67" s="1" t="str">
        <f>A67&amp;C67</f>
        <v>SWEET WATERSHELBY</v>
      </c>
      <c r="F67" s="1" t="str">
        <f>A67&amp;B67&amp;C67&amp;D67</f>
        <v>SWEET WATERALSHELBYNC</v>
      </c>
      <c r="G67" s="1">
        <v>1100</v>
      </c>
      <c r="H67" s="38">
        <f>G67*COSTS!$AA$27</f>
        <v>1650</v>
      </c>
      <c r="I67" s="1">
        <f>COSTS!$AA$28</f>
        <v>50</v>
      </c>
      <c r="J67" s="38">
        <f t="shared" si="2"/>
        <v>1700</v>
      </c>
      <c r="K67" s="38">
        <f t="shared" si="3"/>
        <v>386.36363636363632</v>
      </c>
      <c r="L67" s="151">
        <v>46023</v>
      </c>
      <c r="M67" s="1">
        <f>VLOOKUP(F:F,[1]Sheet1!$E:$F,2,FALSE)</f>
        <v>1300</v>
      </c>
    </row>
    <row r="68" spans="1:13" hidden="1">
      <c r="A68" s="1" t="s">
        <v>1444</v>
      </c>
      <c r="B68" s="1" t="s">
        <v>65</v>
      </c>
      <c r="C68" s="1" t="s">
        <v>847</v>
      </c>
      <c r="D68" s="1" t="s">
        <v>76</v>
      </c>
      <c r="E68" s="1" t="str">
        <f>A68&amp;(IF(C68="Garden City","Savannah",C68))</f>
        <v>TALLASSEESavannah</v>
      </c>
      <c r="F68" s="1" t="s">
        <v>1008</v>
      </c>
      <c r="G68" s="1">
        <v>843.75</v>
      </c>
      <c r="H68" s="38">
        <f>G68*COSTS!$AA$27</f>
        <v>1265.625</v>
      </c>
      <c r="I68" s="1">
        <f>COSTS!$AA$28</f>
        <v>50</v>
      </c>
      <c r="J68" s="38">
        <f t="shared" si="2"/>
        <v>1315.625</v>
      </c>
      <c r="K68" s="38">
        <f t="shared" si="3"/>
        <v>299.00568181818181</v>
      </c>
      <c r="L68" s="151">
        <v>46023</v>
      </c>
      <c r="M68" s="1">
        <f>VLOOKUP(F:F,[1]Sheet1!$E:$F,2,FALSE)</f>
        <v>950</v>
      </c>
    </row>
    <row r="69" spans="1:13" hidden="1">
      <c r="A69" s="1" t="s">
        <v>1444</v>
      </c>
      <c r="B69" s="1" t="s">
        <v>65</v>
      </c>
      <c r="C69" s="1" t="s">
        <v>1033</v>
      </c>
      <c r="D69" s="1" t="s">
        <v>168</v>
      </c>
      <c r="E69" s="1" t="str">
        <f>A69&amp;C69</f>
        <v>TALLASSEEMEMPHIS</v>
      </c>
      <c r="F69" s="1" t="s">
        <v>1248</v>
      </c>
      <c r="G69" s="1">
        <v>726</v>
      </c>
      <c r="H69" s="38">
        <f>G69*COSTS!$AA$27</f>
        <v>1089</v>
      </c>
      <c r="I69" s="1">
        <f>COSTS!$AA$28</f>
        <v>50</v>
      </c>
      <c r="J69" s="38">
        <f t="shared" si="2"/>
        <v>1139</v>
      </c>
      <c r="K69" s="38">
        <f t="shared" si="3"/>
        <v>258.86363636363637</v>
      </c>
      <c r="L69" s="151">
        <v>46023</v>
      </c>
      <c r="M69" s="1">
        <f>VLOOKUP(F:F,[1]Sheet1!$E:$F,2,FALSE)</f>
        <v>910</v>
      </c>
    </row>
    <row r="70" spans="1:13" hidden="1">
      <c r="A70" s="1" t="s">
        <v>1444</v>
      </c>
      <c r="B70" s="1" t="s">
        <v>65</v>
      </c>
      <c r="C70" s="1" t="s">
        <v>1275</v>
      </c>
      <c r="D70" s="1" t="s">
        <v>136</v>
      </c>
      <c r="E70" s="1" t="str">
        <f>A70&amp;C70</f>
        <v>TALLASSEESHELBY</v>
      </c>
      <c r="F70" s="1" t="str">
        <f>A70&amp;B70&amp;C70&amp;D70</f>
        <v>TALLASSEEALSHELBYNC</v>
      </c>
      <c r="G70" s="1">
        <v>865</v>
      </c>
      <c r="H70" s="38">
        <f>G70*COSTS!$AA$27</f>
        <v>1297.5</v>
      </c>
      <c r="I70" s="1">
        <f>COSTS!$AA$28</f>
        <v>50</v>
      </c>
      <c r="J70" s="38">
        <f t="shared" si="2"/>
        <v>1347.5</v>
      </c>
      <c r="K70" s="38">
        <f t="shared" si="3"/>
        <v>306.25</v>
      </c>
      <c r="L70" s="151">
        <v>46023</v>
      </c>
      <c r="M70" s="1">
        <f>VLOOKUP(F:F,[1]Sheet1!$E:$F,2,FALSE)</f>
        <v>950</v>
      </c>
    </row>
    <row r="71" spans="1:13" hidden="1">
      <c r="A71" s="1" t="s">
        <v>1448</v>
      </c>
      <c r="B71" s="1" t="s">
        <v>65</v>
      </c>
      <c r="C71" s="1" t="s">
        <v>847</v>
      </c>
      <c r="D71" s="1" t="s">
        <v>76</v>
      </c>
      <c r="E71" s="1" t="str">
        <f>A71&amp;(IF(C71="Garden City","Savannah",C71))</f>
        <v>THEODORESavannah</v>
      </c>
      <c r="F71" s="1" t="s">
        <v>1012</v>
      </c>
      <c r="G71" s="1">
        <v>1004.69</v>
      </c>
      <c r="H71" s="38">
        <f>G71*COSTS!$AA$27</f>
        <v>1507.0350000000001</v>
      </c>
      <c r="I71" s="1">
        <f>COSTS!$AA$28</f>
        <v>50</v>
      </c>
      <c r="J71" s="38">
        <f t="shared" si="2"/>
        <v>1557.0350000000001</v>
      </c>
      <c r="K71" s="38">
        <f t="shared" si="3"/>
        <v>353.87159090909097</v>
      </c>
      <c r="L71" s="151">
        <v>46023</v>
      </c>
      <c r="M71" s="1" t="e">
        <f>VLOOKUP(F:F,[1]Sheet1!$E:$F,2,FALSE)</f>
        <v>#N/A</v>
      </c>
    </row>
    <row r="72" spans="1:13" hidden="1">
      <c r="A72" s="1" t="s">
        <v>1448</v>
      </c>
      <c r="B72" s="1" t="s">
        <v>65</v>
      </c>
      <c r="C72" s="1" t="s">
        <v>1033</v>
      </c>
      <c r="D72" s="1" t="s">
        <v>168</v>
      </c>
      <c r="E72" s="1" t="str">
        <f>A72&amp;C72</f>
        <v>THEODOREMEMPHIS</v>
      </c>
      <c r="F72" s="1" t="s">
        <v>1253</v>
      </c>
      <c r="G72" s="1">
        <v>1035</v>
      </c>
      <c r="H72" s="38">
        <f>G72*COSTS!$AA$27</f>
        <v>1552.5</v>
      </c>
      <c r="I72" s="1">
        <f>COSTS!$AA$28</f>
        <v>50</v>
      </c>
      <c r="J72" s="38">
        <f t="shared" si="2"/>
        <v>1602.5</v>
      </c>
      <c r="K72" s="38">
        <f t="shared" si="3"/>
        <v>364.2045454545455</v>
      </c>
      <c r="L72" s="151">
        <v>46023</v>
      </c>
      <c r="M72" s="1" t="e">
        <f>VLOOKUP(F:F,[1]Sheet1!$E:$F,2,FALSE)</f>
        <v>#N/A</v>
      </c>
    </row>
    <row r="73" spans="1:13" hidden="1">
      <c r="A73" s="1" t="s">
        <v>1448</v>
      </c>
      <c r="B73" s="1" t="s">
        <v>65</v>
      </c>
      <c r="C73" s="1" t="s">
        <v>1275</v>
      </c>
      <c r="D73" s="1" t="s">
        <v>136</v>
      </c>
      <c r="E73" s="1" t="str">
        <f>A73&amp;C73</f>
        <v>THEODORESHELBY</v>
      </c>
      <c r="F73" s="1" t="str">
        <f>A73&amp;B73&amp;C73&amp;D73</f>
        <v>THEODOREALSHELBYNC</v>
      </c>
      <c r="G73" s="1">
        <v>1150</v>
      </c>
      <c r="H73" s="38">
        <f>G73*COSTS!$AA$27</f>
        <v>1725</v>
      </c>
      <c r="I73" s="1">
        <f>COSTS!$AA$28</f>
        <v>50</v>
      </c>
      <c r="J73" s="38">
        <f t="shared" si="2"/>
        <v>1775</v>
      </c>
      <c r="K73" s="38">
        <f t="shared" si="3"/>
        <v>403.40909090909093</v>
      </c>
      <c r="L73" s="151">
        <v>46023</v>
      </c>
      <c r="M73" s="1" t="e">
        <f>VLOOKUP(F:F,[1]Sheet1!$E:$F,2,FALSE)</f>
        <v>#N/A</v>
      </c>
    </row>
    <row r="74" spans="1:13" hidden="1">
      <c r="A74" s="1" t="s">
        <v>1451</v>
      </c>
      <c r="B74" s="1" t="s">
        <v>65</v>
      </c>
      <c r="C74" s="1" t="s">
        <v>847</v>
      </c>
      <c r="D74" s="1" t="s">
        <v>76</v>
      </c>
      <c r="E74" s="1" t="str">
        <f>A74&amp;(IF(C74="Garden City","Savannah",C74))</f>
        <v>TOWN CREEKSavannah</v>
      </c>
      <c r="F74" s="1" t="s">
        <v>1015</v>
      </c>
      <c r="G74" s="1">
        <v>952.81500000000005</v>
      </c>
      <c r="H74" s="38">
        <f>G74*COSTS!$AA$27</f>
        <v>1429.2225000000001</v>
      </c>
      <c r="I74" s="1">
        <f>COSTS!$AA$28</f>
        <v>50</v>
      </c>
      <c r="J74" s="38">
        <f t="shared" si="2"/>
        <v>1479.2225000000001</v>
      </c>
      <c r="K74" s="38">
        <f t="shared" si="3"/>
        <v>336.18693181818179</v>
      </c>
      <c r="L74" s="151">
        <v>46023</v>
      </c>
      <c r="M74" s="1" t="e">
        <f>VLOOKUP(F:F,[1]Sheet1!$E:$F,2,FALSE)</f>
        <v>#N/A</v>
      </c>
    </row>
    <row r="75" spans="1:13" hidden="1">
      <c r="A75" s="1" t="s">
        <v>1451</v>
      </c>
      <c r="B75" s="1" t="s">
        <v>65</v>
      </c>
      <c r="C75" s="1" t="s">
        <v>1033</v>
      </c>
      <c r="D75" s="1" t="s">
        <v>168</v>
      </c>
      <c r="E75" s="1" t="str">
        <f>A75&amp;C75</f>
        <v>TOWN CREEKMEMPHIS</v>
      </c>
      <c r="F75" s="1" t="s">
        <v>1255</v>
      </c>
      <c r="G75" s="1">
        <v>624.26</v>
      </c>
      <c r="H75" s="38">
        <f>G75*COSTS!$AA$27</f>
        <v>936.39</v>
      </c>
      <c r="I75" s="1">
        <f>COSTS!$AA$28</f>
        <v>50</v>
      </c>
      <c r="J75" s="38">
        <f t="shared" si="2"/>
        <v>986.39</v>
      </c>
      <c r="K75" s="38">
        <f t="shared" si="3"/>
        <v>224.17954545454546</v>
      </c>
      <c r="L75" s="151">
        <v>46023</v>
      </c>
      <c r="M75" s="1" t="e">
        <f>VLOOKUP(F:F,[1]Sheet1!$E:$F,2,FALSE)</f>
        <v>#N/A</v>
      </c>
    </row>
    <row r="76" spans="1:13" hidden="1">
      <c r="A76" s="1" t="s">
        <v>1456</v>
      </c>
      <c r="B76" s="1" t="s">
        <v>65</v>
      </c>
      <c r="C76" s="1" t="s">
        <v>847</v>
      </c>
      <c r="D76" s="1" t="s">
        <v>76</v>
      </c>
      <c r="E76" s="1" t="str">
        <f>A76&amp;(IF(C76="Garden City","Savannah",C76))</f>
        <v>URIAHSavannah</v>
      </c>
      <c r="F76" s="1" t="s">
        <v>1019</v>
      </c>
      <c r="G76" s="1">
        <v>950.15499999999997</v>
      </c>
      <c r="H76" s="38">
        <f>G76*COSTS!$AA$27</f>
        <v>1425.2325000000001</v>
      </c>
      <c r="I76" s="1">
        <f>COSTS!$AA$28</f>
        <v>50</v>
      </c>
      <c r="J76" s="38">
        <f t="shared" si="2"/>
        <v>1475.2325000000001</v>
      </c>
      <c r="K76" s="38">
        <f t="shared" si="3"/>
        <v>335.28011363636369</v>
      </c>
      <c r="L76" s="151">
        <v>46023</v>
      </c>
      <c r="M76" s="1" t="e">
        <f>VLOOKUP(F:F,[1]Sheet1!$E:$F,2,FALSE)</f>
        <v>#N/A</v>
      </c>
    </row>
    <row r="77" spans="1:13" hidden="1">
      <c r="A77" s="1" t="s">
        <v>1456</v>
      </c>
      <c r="B77" s="1" t="s">
        <v>65</v>
      </c>
      <c r="C77" s="1" t="s">
        <v>1033</v>
      </c>
      <c r="D77" s="1" t="s">
        <v>168</v>
      </c>
      <c r="E77" s="1" t="str">
        <f>A77&amp;C77</f>
        <v>URIAHMEMPHIS</v>
      </c>
      <c r="F77" s="1" t="s">
        <v>1262</v>
      </c>
      <c r="G77" s="1">
        <v>719</v>
      </c>
      <c r="H77" s="38">
        <f>G77*COSTS!$AA$27</f>
        <v>1078.5</v>
      </c>
      <c r="I77" s="1">
        <f>COSTS!$AA$28</f>
        <v>50</v>
      </c>
      <c r="J77" s="38">
        <f t="shared" si="2"/>
        <v>1128.5</v>
      </c>
      <c r="K77" s="38">
        <f t="shared" si="3"/>
        <v>256.47727272727275</v>
      </c>
      <c r="L77" s="151">
        <v>46023</v>
      </c>
      <c r="M77" s="1" t="e">
        <f>VLOOKUP(F:F,[1]Sheet1!$E:$F,2,FALSE)</f>
        <v>#N/A</v>
      </c>
    </row>
    <row r="78" spans="1:13" hidden="1">
      <c r="A78" s="1" t="s">
        <v>1456</v>
      </c>
      <c r="B78" s="1" t="s">
        <v>65</v>
      </c>
      <c r="C78" s="1" t="s">
        <v>1275</v>
      </c>
      <c r="D78" s="1" t="s">
        <v>136</v>
      </c>
      <c r="E78" s="1" t="str">
        <f>A78&amp;C78</f>
        <v>URIAHSHELBY</v>
      </c>
      <c r="F78" s="1" t="str">
        <f>A78&amp;B78&amp;C78&amp;D78</f>
        <v>URIAHALSHELBYNC</v>
      </c>
      <c r="G78" s="1">
        <v>1090</v>
      </c>
      <c r="H78" s="38">
        <f>G78*COSTS!$AA$27</f>
        <v>1635</v>
      </c>
      <c r="I78" s="1">
        <f>COSTS!$AA$28</f>
        <v>50</v>
      </c>
      <c r="J78" s="38">
        <f t="shared" si="2"/>
        <v>1685</v>
      </c>
      <c r="K78" s="38">
        <f t="shared" si="3"/>
        <v>382.9545454545455</v>
      </c>
      <c r="L78" s="151">
        <v>46023</v>
      </c>
      <c r="M78" s="1" t="e">
        <f>VLOOKUP(F:F,[1]Sheet1!$E:$F,2,FALSE)</f>
        <v>#N/A</v>
      </c>
    </row>
    <row r="79" spans="1:13" hidden="1">
      <c r="A79" s="1" t="s">
        <v>1479</v>
      </c>
      <c r="B79" s="1" t="s">
        <v>149</v>
      </c>
      <c r="C79" s="1" t="s">
        <v>1033</v>
      </c>
      <c r="D79" s="1" t="s">
        <v>128</v>
      </c>
      <c r="E79" s="1" t="str">
        <f>A79&amp;C79</f>
        <v>BELZONIMEMPHIS</v>
      </c>
      <c r="F79" s="1" t="s">
        <v>1054</v>
      </c>
      <c r="G79" s="1">
        <v>521.91999999999996</v>
      </c>
      <c r="H79" s="38">
        <f>G79*COSTS!$AA$27</f>
        <v>782.87999999999988</v>
      </c>
      <c r="I79" s="1">
        <f>COSTS!$AA$28</f>
        <v>50</v>
      </c>
      <c r="J79" s="38">
        <f t="shared" si="2"/>
        <v>832.87999999999988</v>
      </c>
      <c r="K79" s="38">
        <f t="shared" si="3"/>
        <v>189.29090909090905</v>
      </c>
      <c r="L79" s="151">
        <v>46023</v>
      </c>
      <c r="M79" s="1" t="e">
        <f>VLOOKUP(F:F,[1]Sheet1!$E:$F,2,FALSE)</f>
        <v>#N/A</v>
      </c>
    </row>
    <row r="80" spans="1:13" hidden="1">
      <c r="A80" s="1" t="s">
        <v>1303</v>
      </c>
      <c r="B80" s="1" t="s">
        <v>149</v>
      </c>
      <c r="C80" s="1" t="s">
        <v>847</v>
      </c>
      <c r="D80" s="1" t="s">
        <v>76</v>
      </c>
      <c r="E80" s="1" t="str">
        <f>A80&amp;(IF(C80="Garden City","Savannah",C80))</f>
        <v>BLYTHEVILLESavannah</v>
      </c>
      <c r="F80" s="1" t="s">
        <v>863</v>
      </c>
      <c r="G80" s="1">
        <v>1429.22</v>
      </c>
      <c r="H80" s="38">
        <f>G80*COSTS!$AA$27</f>
        <v>2143.83</v>
      </c>
      <c r="I80" s="1">
        <f>COSTS!$AA$28</f>
        <v>50</v>
      </c>
      <c r="J80" s="38">
        <f t="shared" si="2"/>
        <v>2193.83</v>
      </c>
      <c r="K80" s="38">
        <f t="shared" si="3"/>
        <v>498.5977272727273</v>
      </c>
      <c r="L80" s="151">
        <v>46023</v>
      </c>
      <c r="M80" s="1">
        <f>VLOOKUP(F:F,[1]Sheet1!$E:$F,2,FALSE)</f>
        <v>1830</v>
      </c>
    </row>
    <row r="81" spans="1:13" hidden="1">
      <c r="A81" s="1" t="s">
        <v>1303</v>
      </c>
      <c r="B81" s="1" t="s">
        <v>149</v>
      </c>
      <c r="C81" s="1" t="s">
        <v>1033</v>
      </c>
      <c r="D81" s="1" t="s">
        <v>168</v>
      </c>
      <c r="E81" s="1" t="str">
        <f t="shared" ref="E81:E104" si="4">A81&amp;C81</f>
        <v>BLYTHEVILLEMEMPHIS</v>
      </c>
      <c r="F81" s="1" t="s">
        <v>1060</v>
      </c>
      <c r="G81" s="1">
        <v>485</v>
      </c>
      <c r="H81" s="38">
        <f>G81*COSTS!$AA$27</f>
        <v>727.5</v>
      </c>
      <c r="I81" s="1">
        <f>COSTS!$AA$28</f>
        <v>50</v>
      </c>
      <c r="J81" s="38">
        <f t="shared" si="2"/>
        <v>777.5</v>
      </c>
      <c r="K81" s="38">
        <f t="shared" si="3"/>
        <v>176.70454545454547</v>
      </c>
      <c r="L81" s="151">
        <v>46023</v>
      </c>
      <c r="M81" s="1">
        <f>VLOOKUP(F:F,[1]Sheet1!$E:$F,2,FALSE)</f>
        <v>430</v>
      </c>
    </row>
    <row r="82" spans="1:13" hidden="1">
      <c r="A82" s="1" t="s">
        <v>1303</v>
      </c>
      <c r="B82" s="1" t="s">
        <v>149</v>
      </c>
      <c r="C82" s="1" t="s">
        <v>1275</v>
      </c>
      <c r="D82" s="1" t="s">
        <v>136</v>
      </c>
      <c r="E82" s="1" t="str">
        <f t="shared" si="4"/>
        <v>BLYTHEVILLESHELBY</v>
      </c>
      <c r="F82" s="1" t="str">
        <f>A82&amp;B82&amp;C82&amp;D82</f>
        <v>BLYTHEVILLEARSHELBYNC</v>
      </c>
      <c r="G82" s="1">
        <v>1280</v>
      </c>
      <c r="H82" s="38">
        <f>G82*COSTS!$AA$27</f>
        <v>1920</v>
      </c>
      <c r="I82" s="1">
        <f>COSTS!$AA$28</f>
        <v>50</v>
      </c>
      <c r="J82" s="38">
        <f t="shared" si="2"/>
        <v>1970</v>
      </c>
      <c r="K82" s="38">
        <f t="shared" si="3"/>
        <v>447.72727272727275</v>
      </c>
      <c r="L82" s="151">
        <v>46023</v>
      </c>
      <c r="M82" s="1">
        <f>VLOOKUP(F:F,[1]Sheet1!$E:$F,2,FALSE)</f>
        <v>1490</v>
      </c>
    </row>
    <row r="83" spans="1:13" hidden="1">
      <c r="A83" s="1" t="s">
        <v>1481</v>
      </c>
      <c r="B83" s="1" t="s">
        <v>149</v>
      </c>
      <c r="C83" s="1" t="s">
        <v>1033</v>
      </c>
      <c r="D83" s="1" t="s">
        <v>168</v>
      </c>
      <c r="E83" s="1" t="str">
        <f t="shared" si="4"/>
        <v>BRADLEYMEMPHIS</v>
      </c>
      <c r="F83" s="1" t="s">
        <v>1062</v>
      </c>
      <c r="G83" s="1">
        <v>796</v>
      </c>
      <c r="H83" s="38">
        <f>G83*COSTS!$AA$27</f>
        <v>1194</v>
      </c>
      <c r="I83" s="1">
        <f>COSTS!$AA$28</f>
        <v>50</v>
      </c>
      <c r="J83" s="38">
        <f t="shared" si="2"/>
        <v>1244</v>
      </c>
      <c r="K83" s="38">
        <f t="shared" si="3"/>
        <v>282.72727272727275</v>
      </c>
      <c r="L83" s="151">
        <v>46023</v>
      </c>
      <c r="M83" s="1" t="e">
        <f>VLOOKUP(F:F,[1]Sheet1!$E:$F,2,FALSE)</f>
        <v>#N/A</v>
      </c>
    </row>
    <row r="84" spans="1:13" hidden="1">
      <c r="A84" s="1" t="s">
        <v>1482</v>
      </c>
      <c r="B84" s="1" t="s">
        <v>149</v>
      </c>
      <c r="C84" s="1" t="s">
        <v>1033</v>
      </c>
      <c r="D84" s="1" t="s">
        <v>168</v>
      </c>
      <c r="E84" s="1" t="str">
        <f t="shared" si="4"/>
        <v>BRINKLEYMEMPHIS</v>
      </c>
      <c r="F84" s="1" t="s">
        <v>1063</v>
      </c>
      <c r="G84" s="1">
        <v>476</v>
      </c>
      <c r="H84" s="38">
        <f>G84*COSTS!$AA$27</f>
        <v>714</v>
      </c>
      <c r="I84" s="1">
        <f>COSTS!$AA$28</f>
        <v>50</v>
      </c>
      <c r="J84" s="38">
        <f t="shared" si="2"/>
        <v>764</v>
      </c>
      <c r="K84" s="38">
        <f t="shared" si="3"/>
        <v>173.63636363636363</v>
      </c>
      <c r="L84" s="151">
        <v>46023</v>
      </c>
      <c r="M84" s="1" t="e">
        <f>VLOOKUP(F:F,[1]Sheet1!$E:$F,2,FALSE)</f>
        <v>#N/A</v>
      </c>
    </row>
    <row r="85" spans="1:13" hidden="1">
      <c r="A85" s="1" t="s">
        <v>1484</v>
      </c>
      <c r="B85" s="1" t="s">
        <v>149</v>
      </c>
      <c r="C85" s="1" t="s">
        <v>1033</v>
      </c>
      <c r="D85" s="1" t="s">
        <v>168</v>
      </c>
      <c r="E85" s="1" t="str">
        <f t="shared" si="4"/>
        <v>CALDWELLMEMPHIS</v>
      </c>
      <c r="F85" s="1" t="s">
        <v>1070</v>
      </c>
      <c r="G85" s="1">
        <v>369</v>
      </c>
      <c r="H85" s="38">
        <f>G85*COSTS!$AA$27</f>
        <v>553.5</v>
      </c>
      <c r="I85" s="1">
        <f>COSTS!$AA$28</f>
        <v>50</v>
      </c>
      <c r="J85" s="38">
        <f t="shared" si="2"/>
        <v>603.5</v>
      </c>
      <c r="K85" s="38">
        <f t="shared" si="3"/>
        <v>137.15909090909091</v>
      </c>
      <c r="L85" s="151">
        <v>46023</v>
      </c>
      <c r="M85" s="1" t="e">
        <f>VLOOKUP(F:F,[1]Sheet1!$E:$F,2,FALSE)</f>
        <v>#N/A</v>
      </c>
    </row>
    <row r="86" spans="1:13" hidden="1">
      <c r="A86" s="1" t="s">
        <v>1491</v>
      </c>
      <c r="B86" s="1" t="s">
        <v>149</v>
      </c>
      <c r="C86" s="1" t="s">
        <v>1033</v>
      </c>
      <c r="D86" s="1" t="s">
        <v>168</v>
      </c>
      <c r="E86" s="1" t="str">
        <f t="shared" si="4"/>
        <v>CRAWFORDSVILLEMEMPHIS</v>
      </c>
      <c r="F86" s="1" t="s">
        <v>1087</v>
      </c>
      <c r="G86" s="1">
        <v>382</v>
      </c>
      <c r="H86" s="38">
        <f>G86*COSTS!$AA$27</f>
        <v>573</v>
      </c>
      <c r="I86" s="1">
        <f>COSTS!$AA$28</f>
        <v>50</v>
      </c>
      <c r="J86" s="38">
        <f t="shared" si="2"/>
        <v>623</v>
      </c>
      <c r="K86" s="38">
        <f t="shared" si="3"/>
        <v>141.59090909090909</v>
      </c>
      <c r="L86" s="151">
        <v>46023</v>
      </c>
      <c r="M86" s="1">
        <f>VLOOKUP(F:F,[1]Sheet1!$E:$F,2,FALSE)</f>
        <v>360</v>
      </c>
    </row>
    <row r="87" spans="1:13" hidden="1">
      <c r="A87" s="1" t="s">
        <v>1491</v>
      </c>
      <c r="B87" s="1" t="s">
        <v>149</v>
      </c>
      <c r="C87" s="1" t="s">
        <v>1275</v>
      </c>
      <c r="D87" s="1" t="s">
        <v>136</v>
      </c>
      <c r="E87" s="1" t="str">
        <f t="shared" si="4"/>
        <v>CRAWFORDSVILLESHELBY</v>
      </c>
      <c r="F87" s="1" t="str">
        <f>A87&amp;B87&amp;C87&amp;D87</f>
        <v>CRAWFORDSVILLEARSHELBYNC</v>
      </c>
      <c r="G87" s="1">
        <v>1320</v>
      </c>
      <c r="H87" s="38">
        <f>G87*COSTS!$AA$27</f>
        <v>1980</v>
      </c>
      <c r="I87" s="1">
        <f>COSTS!$AA$28</f>
        <v>50</v>
      </c>
      <c r="J87" s="38">
        <f t="shared" si="2"/>
        <v>2030</v>
      </c>
      <c r="K87" s="38">
        <f t="shared" si="3"/>
        <v>461.36363636363632</v>
      </c>
      <c r="L87" s="151">
        <v>46023</v>
      </c>
      <c r="M87" s="1">
        <f>VLOOKUP(F:F,[1]Sheet1!$E:$F,2,FALSE)</f>
        <v>1500</v>
      </c>
    </row>
    <row r="88" spans="1:13" hidden="1">
      <c r="A88" s="1" t="s">
        <v>1492</v>
      </c>
      <c r="B88" s="1" t="s">
        <v>149</v>
      </c>
      <c r="C88" s="1" t="s">
        <v>1033</v>
      </c>
      <c r="D88" s="1" t="s">
        <v>168</v>
      </c>
      <c r="E88" s="1" t="str">
        <f t="shared" si="4"/>
        <v>DELLMEMPHIS</v>
      </c>
      <c r="F88" s="1" t="s">
        <v>1091</v>
      </c>
      <c r="G88" s="1">
        <v>465</v>
      </c>
      <c r="H88" s="38">
        <f>G88*COSTS!$AA$27</f>
        <v>697.5</v>
      </c>
      <c r="I88" s="1">
        <f>COSTS!$AA$28</f>
        <v>50</v>
      </c>
      <c r="J88" s="38">
        <f t="shared" si="2"/>
        <v>747.5</v>
      </c>
      <c r="K88" s="38">
        <f t="shared" si="3"/>
        <v>169.88636363636363</v>
      </c>
      <c r="L88" s="151">
        <v>46023</v>
      </c>
      <c r="M88" s="1" t="e">
        <f>VLOOKUP(F:F,[1]Sheet1!$E:$F,2,FALSE)</f>
        <v>#N/A</v>
      </c>
    </row>
    <row r="89" spans="1:13" hidden="1">
      <c r="A89" s="1" t="s">
        <v>1492</v>
      </c>
      <c r="B89" s="1" t="s">
        <v>149</v>
      </c>
      <c r="C89" s="1" t="s">
        <v>1275</v>
      </c>
      <c r="D89" s="1" t="s">
        <v>136</v>
      </c>
      <c r="E89" s="1" t="str">
        <f t="shared" si="4"/>
        <v>DELLSHELBY</v>
      </c>
      <c r="F89" s="1" t="str">
        <f>A89&amp;B89&amp;C89&amp;D89</f>
        <v>DELLARSHELBYNC</v>
      </c>
      <c r="G89" s="1">
        <v>1321</v>
      </c>
      <c r="H89" s="38">
        <f>G89*COSTS!$AA$27</f>
        <v>1981.5</v>
      </c>
      <c r="I89" s="1">
        <f>COSTS!$AA$28</f>
        <v>50</v>
      </c>
      <c r="J89" s="38">
        <f t="shared" si="2"/>
        <v>2031.5</v>
      </c>
      <c r="K89" s="38">
        <f t="shared" si="3"/>
        <v>461.7045454545455</v>
      </c>
      <c r="L89" s="151">
        <v>46023</v>
      </c>
      <c r="M89" s="1" t="e">
        <f>VLOOKUP(F:F,[1]Sheet1!$E:$F,2,FALSE)</f>
        <v>#N/A</v>
      </c>
    </row>
    <row r="90" spans="1:13" hidden="1">
      <c r="A90" s="1" t="s">
        <v>1493</v>
      </c>
      <c r="B90" s="1" t="s">
        <v>149</v>
      </c>
      <c r="C90" s="1" t="s">
        <v>1033</v>
      </c>
      <c r="D90" s="1" t="s">
        <v>168</v>
      </c>
      <c r="E90" s="1" t="str">
        <f t="shared" si="4"/>
        <v>DERMOTTMEMPHIS</v>
      </c>
      <c r="F90" s="1" t="s">
        <v>1092</v>
      </c>
      <c r="G90" s="1">
        <v>840</v>
      </c>
      <c r="H90" s="38">
        <f>G90*COSTS!$AA$27</f>
        <v>1260</v>
      </c>
      <c r="I90" s="1">
        <f>COSTS!$AA$28</f>
        <v>50</v>
      </c>
      <c r="J90" s="38">
        <f t="shared" si="2"/>
        <v>1310</v>
      </c>
      <c r="K90" s="38">
        <f t="shared" si="3"/>
        <v>297.72727272727275</v>
      </c>
      <c r="L90" s="151">
        <v>46023</v>
      </c>
      <c r="M90" s="1" t="e">
        <f>VLOOKUP(F:F,[1]Sheet1!$E:$F,2,FALSE)</f>
        <v>#N/A</v>
      </c>
    </row>
    <row r="91" spans="1:13" hidden="1">
      <c r="A91" s="1" t="s">
        <v>1493</v>
      </c>
      <c r="B91" s="1" t="s">
        <v>149</v>
      </c>
      <c r="C91" s="1" t="s">
        <v>1275</v>
      </c>
      <c r="D91" s="1" t="s">
        <v>136</v>
      </c>
      <c r="E91" s="1" t="str">
        <f t="shared" si="4"/>
        <v>DERMOTTSHELBY</v>
      </c>
      <c r="F91" s="1" t="str">
        <f>A91&amp;B91&amp;C91&amp;D91</f>
        <v>DERMOTTARSHELBYNC</v>
      </c>
      <c r="G91" s="1">
        <v>1490</v>
      </c>
      <c r="H91" s="38">
        <f>G91*COSTS!$AA$27</f>
        <v>2235</v>
      </c>
      <c r="I91" s="1">
        <f>COSTS!$AA$28</f>
        <v>50</v>
      </c>
      <c r="J91" s="38">
        <f t="shared" si="2"/>
        <v>2285</v>
      </c>
      <c r="K91" s="38">
        <f t="shared" si="3"/>
        <v>519.31818181818176</v>
      </c>
      <c r="L91" s="151">
        <v>46023</v>
      </c>
      <c r="M91" s="1" t="e">
        <f>VLOOKUP(F:F,[1]Sheet1!$E:$F,2,FALSE)</f>
        <v>#N/A</v>
      </c>
    </row>
    <row r="92" spans="1:13" hidden="1">
      <c r="A92" s="1" t="s">
        <v>1495</v>
      </c>
      <c r="B92" s="1" t="s">
        <v>149</v>
      </c>
      <c r="C92" s="1" t="s">
        <v>1033</v>
      </c>
      <c r="D92" s="1" t="s">
        <v>168</v>
      </c>
      <c r="E92" s="1" t="str">
        <f t="shared" si="4"/>
        <v>DUMASMEMPHIS</v>
      </c>
      <c r="F92" s="1" t="s">
        <v>1102</v>
      </c>
      <c r="G92" s="1">
        <v>715</v>
      </c>
      <c r="H92" s="38">
        <f>G92*COSTS!$AA$27</f>
        <v>1072.5</v>
      </c>
      <c r="I92" s="1">
        <f>COSTS!$AA$28</f>
        <v>50</v>
      </c>
      <c r="J92" s="38">
        <f t="shared" si="2"/>
        <v>1122.5</v>
      </c>
      <c r="K92" s="38">
        <f t="shared" si="3"/>
        <v>255.11363636363637</v>
      </c>
      <c r="L92" s="151">
        <v>46023</v>
      </c>
      <c r="M92" s="1">
        <f>VLOOKUP(F:F,[1]Sheet1!$E:$F,2,FALSE)</f>
        <v>560</v>
      </c>
    </row>
    <row r="93" spans="1:13" hidden="1">
      <c r="A93" s="1" t="s">
        <v>1495</v>
      </c>
      <c r="B93" s="1" t="s">
        <v>149</v>
      </c>
      <c r="C93" s="1" t="s">
        <v>1275</v>
      </c>
      <c r="D93" s="1" t="s">
        <v>136</v>
      </c>
      <c r="E93" s="1" t="str">
        <f t="shared" si="4"/>
        <v>DUMASSHELBY</v>
      </c>
      <c r="F93" s="1" t="str">
        <f>A93&amp;B93&amp;C93&amp;D93</f>
        <v>DUMASARSHELBYNC</v>
      </c>
      <c r="G93" s="1">
        <v>1775</v>
      </c>
      <c r="H93" s="38">
        <f>G93*COSTS!$AA$27</f>
        <v>2662.5</v>
      </c>
      <c r="I93" s="1">
        <f>COSTS!$AA$28</f>
        <v>50</v>
      </c>
      <c r="J93" s="38">
        <f t="shared" si="2"/>
        <v>2712.5</v>
      </c>
      <c r="K93" s="38">
        <f t="shared" si="3"/>
        <v>616.47727272727275</v>
      </c>
      <c r="L93" s="151">
        <v>46023</v>
      </c>
      <c r="M93" s="1">
        <f>VLOOKUP(F:F,[1]Sheet1!$E:$F,2,FALSE)</f>
        <v>1730</v>
      </c>
    </row>
    <row r="94" spans="1:13" hidden="1">
      <c r="A94" s="1" t="s">
        <v>1497</v>
      </c>
      <c r="B94" s="1" t="s">
        <v>149</v>
      </c>
      <c r="C94" s="1" t="s">
        <v>1033</v>
      </c>
      <c r="D94" s="1" t="s">
        <v>168</v>
      </c>
      <c r="E94" s="1" t="str">
        <f t="shared" si="4"/>
        <v>DYESSMEMPHIS</v>
      </c>
      <c r="F94" s="1" t="s">
        <v>1105</v>
      </c>
      <c r="G94" s="1">
        <v>380</v>
      </c>
      <c r="H94" s="38">
        <f>G94*COSTS!$AA$27</f>
        <v>570</v>
      </c>
      <c r="I94" s="1">
        <f>COSTS!$AA$28</f>
        <v>50</v>
      </c>
      <c r="J94" s="38">
        <f t="shared" si="2"/>
        <v>620</v>
      </c>
      <c r="K94" s="38">
        <f t="shared" si="3"/>
        <v>140.90909090909091</v>
      </c>
      <c r="L94" s="151">
        <v>46023</v>
      </c>
      <c r="M94" s="1">
        <f>VLOOKUP(F:F,[1]Sheet1!$E:$F,2,FALSE)</f>
        <v>400</v>
      </c>
    </row>
    <row r="95" spans="1:13" hidden="1">
      <c r="A95" s="1" t="s">
        <v>1498</v>
      </c>
      <c r="B95" s="1" t="s">
        <v>149</v>
      </c>
      <c r="C95" s="1" t="s">
        <v>1033</v>
      </c>
      <c r="D95" s="1" t="s">
        <v>168</v>
      </c>
      <c r="E95" s="1" t="str">
        <f t="shared" si="4"/>
        <v>ELAINEMEMPHIS</v>
      </c>
      <c r="F95" s="1" t="s">
        <v>1108</v>
      </c>
      <c r="G95" s="1">
        <v>481</v>
      </c>
      <c r="H95" s="38">
        <f>G95*COSTS!$AA$27</f>
        <v>721.5</v>
      </c>
      <c r="I95" s="1">
        <f>COSTS!$AA$28</f>
        <v>50</v>
      </c>
      <c r="J95" s="38">
        <f t="shared" si="2"/>
        <v>771.5</v>
      </c>
      <c r="K95" s="38">
        <f t="shared" si="3"/>
        <v>175.34090909090909</v>
      </c>
      <c r="L95" s="151">
        <v>46023</v>
      </c>
      <c r="M95" s="1" t="e">
        <f>VLOOKUP(F:F,[1]Sheet1!$E:$F,2,FALSE)</f>
        <v>#N/A</v>
      </c>
    </row>
    <row r="96" spans="1:13" hidden="1">
      <c r="A96" s="1" t="s">
        <v>1500</v>
      </c>
      <c r="B96" s="1" t="s">
        <v>149</v>
      </c>
      <c r="C96" s="1" t="s">
        <v>1033</v>
      </c>
      <c r="D96" s="1" t="s">
        <v>168</v>
      </c>
      <c r="E96" s="1" t="str">
        <f t="shared" si="4"/>
        <v>ENGLANDMEMPHIS</v>
      </c>
      <c r="F96" s="1" t="s">
        <v>1113</v>
      </c>
      <c r="G96" s="1">
        <v>600</v>
      </c>
      <c r="H96" s="38">
        <f>G96*COSTS!$AA$27</f>
        <v>900</v>
      </c>
      <c r="I96" s="1">
        <f>COSTS!$AA$28</f>
        <v>50</v>
      </c>
      <c r="J96" s="38">
        <f t="shared" si="2"/>
        <v>950</v>
      </c>
      <c r="K96" s="38">
        <f t="shared" si="3"/>
        <v>215.90909090909091</v>
      </c>
      <c r="L96" s="151">
        <v>46023</v>
      </c>
      <c r="M96" s="1" t="e">
        <f>VLOOKUP(F:F,[1]Sheet1!$E:$F,2,FALSE)</f>
        <v>#N/A</v>
      </c>
    </row>
    <row r="97" spans="1:13" hidden="1">
      <c r="A97" s="1" t="s">
        <v>1501</v>
      </c>
      <c r="B97" s="1" t="s">
        <v>149</v>
      </c>
      <c r="C97" s="1" t="s">
        <v>1033</v>
      </c>
      <c r="D97" s="1" t="s">
        <v>168</v>
      </c>
      <c r="E97" s="1" t="str">
        <f t="shared" si="4"/>
        <v>EUDORAMEMPHIS</v>
      </c>
      <c r="F97" s="1" t="s">
        <v>1117</v>
      </c>
      <c r="G97" s="1">
        <v>652</v>
      </c>
      <c r="H97" s="38">
        <f>G97*COSTS!$AA$27</f>
        <v>978</v>
      </c>
      <c r="I97" s="1">
        <f>COSTS!$AA$28</f>
        <v>50</v>
      </c>
      <c r="J97" s="38">
        <f t="shared" si="2"/>
        <v>1028</v>
      </c>
      <c r="K97" s="38">
        <f t="shared" si="3"/>
        <v>233.63636363636363</v>
      </c>
      <c r="L97" s="151">
        <v>46023</v>
      </c>
      <c r="M97" s="1" t="e">
        <f>VLOOKUP(F:F,[1]Sheet1!$E:$F,2,FALSE)</f>
        <v>#N/A</v>
      </c>
    </row>
    <row r="98" spans="1:13" hidden="1">
      <c r="A98" s="1" t="s">
        <v>1502</v>
      </c>
      <c r="B98" s="1" t="s">
        <v>149</v>
      </c>
      <c r="C98" s="1" t="s">
        <v>1033</v>
      </c>
      <c r="D98" s="1" t="s">
        <v>168</v>
      </c>
      <c r="E98" s="1" t="str">
        <f t="shared" si="4"/>
        <v>EVADALEMEMPHIS</v>
      </c>
      <c r="F98" s="1" t="s">
        <v>1118</v>
      </c>
      <c r="G98" s="1">
        <v>357</v>
      </c>
      <c r="H98" s="38">
        <f>G98*COSTS!$AA$27</f>
        <v>535.5</v>
      </c>
      <c r="I98" s="1">
        <f>COSTS!$AA$28</f>
        <v>50</v>
      </c>
      <c r="J98" s="38">
        <f t="shared" si="2"/>
        <v>585.5</v>
      </c>
      <c r="K98" s="38">
        <f t="shared" si="3"/>
        <v>133.06818181818181</v>
      </c>
      <c r="L98" s="151">
        <v>46023</v>
      </c>
      <c r="M98" s="1" t="e">
        <f>VLOOKUP(F:F,[1]Sheet1!$E:$F,2,FALSE)</f>
        <v>#N/A</v>
      </c>
    </row>
    <row r="99" spans="1:13" hidden="1">
      <c r="A99" s="1" t="s">
        <v>1505</v>
      </c>
      <c r="B99" s="1" t="s">
        <v>149</v>
      </c>
      <c r="C99" s="1" t="s">
        <v>1033</v>
      </c>
      <c r="D99" s="1" t="s">
        <v>168</v>
      </c>
      <c r="E99" s="1" t="str">
        <f t="shared" si="4"/>
        <v>FORREST CITYMEMPHIS</v>
      </c>
      <c r="F99" s="1" t="s">
        <v>1123</v>
      </c>
      <c r="G99" s="1">
        <v>393</v>
      </c>
      <c r="H99" s="38">
        <f>G99*COSTS!$AA$27</f>
        <v>589.5</v>
      </c>
      <c r="I99" s="1">
        <f>COSTS!$AA$28</f>
        <v>50</v>
      </c>
      <c r="J99" s="38">
        <f t="shared" si="2"/>
        <v>639.5</v>
      </c>
      <c r="K99" s="38">
        <f t="shared" si="3"/>
        <v>145.34090909090909</v>
      </c>
      <c r="L99" s="151">
        <v>46023</v>
      </c>
      <c r="M99" s="1">
        <f>VLOOKUP(F:F,[1]Sheet1!$E:$F,2,FALSE)</f>
        <v>400</v>
      </c>
    </row>
    <row r="100" spans="1:13" hidden="1">
      <c r="A100" s="1" t="s">
        <v>1510</v>
      </c>
      <c r="B100" s="1" t="s">
        <v>149</v>
      </c>
      <c r="C100" s="1" t="s">
        <v>1033</v>
      </c>
      <c r="D100" s="1" t="s">
        <v>168</v>
      </c>
      <c r="E100" s="1" t="str">
        <f t="shared" si="4"/>
        <v>HELENAMEMPHIS</v>
      </c>
      <c r="F100" s="1" t="s">
        <v>1142</v>
      </c>
      <c r="G100" s="1">
        <v>550</v>
      </c>
      <c r="H100" s="38">
        <f>G100*COSTS!$AA$27</f>
        <v>825</v>
      </c>
      <c r="I100" s="1">
        <f>COSTS!$AA$28</f>
        <v>50</v>
      </c>
      <c r="J100" s="38">
        <f t="shared" si="2"/>
        <v>875</v>
      </c>
      <c r="K100" s="38">
        <f t="shared" si="3"/>
        <v>198.86363636363637</v>
      </c>
      <c r="L100" s="151">
        <v>46023</v>
      </c>
      <c r="M100" s="1" t="e">
        <f>VLOOKUP(F:F,[1]Sheet1!$E:$F,2,FALSE)</f>
        <v>#N/A</v>
      </c>
    </row>
    <row r="101" spans="1:13" hidden="1">
      <c r="A101" s="1" t="s">
        <v>1521</v>
      </c>
      <c r="B101" s="1" t="s">
        <v>149</v>
      </c>
      <c r="C101" s="1" t="s">
        <v>1033</v>
      </c>
      <c r="D101" s="1" t="s">
        <v>168</v>
      </c>
      <c r="E101" s="1" t="str">
        <f t="shared" si="4"/>
        <v>JONESBOROMEMPHIS</v>
      </c>
      <c r="F101" s="1" t="s">
        <v>1161</v>
      </c>
      <c r="G101" s="1">
        <v>490</v>
      </c>
      <c r="H101" s="38">
        <f>G101*COSTS!$AA$27</f>
        <v>735</v>
      </c>
      <c r="I101" s="1">
        <f>COSTS!$AA$28</f>
        <v>50</v>
      </c>
      <c r="J101" s="38">
        <f t="shared" si="2"/>
        <v>785</v>
      </c>
      <c r="K101" s="38">
        <f t="shared" si="3"/>
        <v>178.40909090909091</v>
      </c>
      <c r="L101" s="151">
        <v>46023</v>
      </c>
      <c r="M101" s="1" t="e">
        <f>VLOOKUP(F:F,[1]Sheet1!$E:$F,2,FALSE)</f>
        <v>#N/A</v>
      </c>
    </row>
    <row r="102" spans="1:13" hidden="1">
      <c r="A102" s="1" t="s">
        <v>1529</v>
      </c>
      <c r="B102" s="1" t="s">
        <v>149</v>
      </c>
      <c r="C102" s="1" t="s">
        <v>1033</v>
      </c>
      <c r="D102" s="1" t="s">
        <v>168</v>
      </c>
      <c r="E102" s="1" t="str">
        <f t="shared" si="4"/>
        <v>LUNDELLMEMPHIS</v>
      </c>
      <c r="F102" s="1" t="s">
        <v>1173</v>
      </c>
      <c r="G102" s="1">
        <v>504.22</v>
      </c>
      <c r="H102" s="38">
        <f>G102*COSTS!$AA$27</f>
        <v>756.33</v>
      </c>
      <c r="I102" s="1">
        <f>COSTS!$AA$28</f>
        <v>50</v>
      </c>
      <c r="J102" s="38">
        <f t="shared" si="2"/>
        <v>806.33</v>
      </c>
      <c r="K102" s="38">
        <f t="shared" si="3"/>
        <v>183.2568181818182</v>
      </c>
      <c r="L102" s="151">
        <v>46023</v>
      </c>
      <c r="M102" s="1" t="e">
        <f>VLOOKUP(F:F,[1]Sheet1!$E:$F,2,FALSE)</f>
        <v>#N/A</v>
      </c>
    </row>
    <row r="103" spans="1:13" hidden="1">
      <c r="A103" s="1" t="s">
        <v>1531</v>
      </c>
      <c r="B103" s="1" t="s">
        <v>149</v>
      </c>
      <c r="C103" s="1" t="s">
        <v>1033</v>
      </c>
      <c r="D103" s="1" t="s">
        <v>168</v>
      </c>
      <c r="E103" s="1" t="str">
        <f t="shared" si="4"/>
        <v>MANILAMEMPHIS</v>
      </c>
      <c r="F103" s="1" t="s">
        <v>1178</v>
      </c>
      <c r="G103" s="1">
        <v>485</v>
      </c>
      <c r="H103" s="38">
        <f>G103*COSTS!$AA$27</f>
        <v>727.5</v>
      </c>
      <c r="I103" s="1">
        <f>COSTS!$AA$28</f>
        <v>50</v>
      </c>
      <c r="J103" s="38">
        <f t="shared" si="2"/>
        <v>777.5</v>
      </c>
      <c r="K103" s="38">
        <f t="shared" si="3"/>
        <v>176.70454545454547</v>
      </c>
      <c r="L103" s="151">
        <v>46023</v>
      </c>
      <c r="M103" s="1">
        <f>VLOOKUP(F:F,[1]Sheet1!$E:$F,2,FALSE)</f>
        <v>460</v>
      </c>
    </row>
    <row r="104" spans="1:13" hidden="1">
      <c r="A104" s="1" t="s">
        <v>1531</v>
      </c>
      <c r="B104" s="1" t="s">
        <v>149</v>
      </c>
      <c r="C104" s="1" t="s">
        <v>1275</v>
      </c>
      <c r="D104" s="1" t="s">
        <v>136</v>
      </c>
      <c r="E104" s="1" t="str">
        <f t="shared" si="4"/>
        <v>MANILASHELBY</v>
      </c>
      <c r="F104" s="1" t="str">
        <f>A104&amp;B104&amp;C104&amp;D104</f>
        <v>MANILAARSHELBYNC</v>
      </c>
      <c r="G104" s="1">
        <v>1340</v>
      </c>
      <c r="H104" s="38">
        <f>G104*COSTS!$AA$27</f>
        <v>2010</v>
      </c>
      <c r="I104" s="1">
        <f>COSTS!$AA$28</f>
        <v>50</v>
      </c>
      <c r="J104" s="38">
        <f t="shared" si="2"/>
        <v>2060</v>
      </c>
      <c r="K104" s="38">
        <f t="shared" si="3"/>
        <v>468.18181818181819</v>
      </c>
      <c r="L104" s="151">
        <v>46023</v>
      </c>
      <c r="M104" s="1">
        <f>VLOOKUP(F:F,[1]Sheet1!$E:$F,2,FALSE)</f>
        <v>1530</v>
      </c>
    </row>
    <row r="105" spans="1:13" hidden="1">
      <c r="A105" s="1" t="s">
        <v>1392</v>
      </c>
      <c r="B105" s="1" t="s">
        <v>149</v>
      </c>
      <c r="C105" s="1" t="s">
        <v>847</v>
      </c>
      <c r="D105" s="1" t="s">
        <v>76</v>
      </c>
      <c r="E105" s="1" t="str">
        <f>A105&amp;(IF(C105="Garden City","Savannah",C105))</f>
        <v>MARIANNASavannah</v>
      </c>
      <c r="F105" s="1" t="s">
        <v>953</v>
      </c>
      <c r="G105" s="1">
        <v>1441.72</v>
      </c>
      <c r="H105" s="38">
        <f>G105*COSTS!$AA$27</f>
        <v>2162.58</v>
      </c>
      <c r="I105" s="1">
        <f>COSTS!$AA$28</f>
        <v>50</v>
      </c>
      <c r="J105" s="38">
        <f t="shared" si="2"/>
        <v>2212.58</v>
      </c>
      <c r="K105" s="38">
        <f t="shared" si="3"/>
        <v>502.85909090909087</v>
      </c>
      <c r="L105" s="151">
        <v>46023</v>
      </c>
      <c r="M105" s="1">
        <f>VLOOKUP(F:F,[1]Sheet1!$E:$F,2,FALSE)</f>
        <v>1810</v>
      </c>
    </row>
    <row r="106" spans="1:13" hidden="1">
      <c r="A106" s="1" t="s">
        <v>1392</v>
      </c>
      <c r="B106" s="1" t="s">
        <v>149</v>
      </c>
      <c r="C106" s="1" t="s">
        <v>1033</v>
      </c>
      <c r="D106" s="1" t="s">
        <v>168</v>
      </c>
      <c r="E106" s="1" t="str">
        <f>A106&amp;C106</f>
        <v>MARIANNAMEMPHIS</v>
      </c>
      <c r="F106" s="1" t="s">
        <v>1179</v>
      </c>
      <c r="G106" s="1">
        <v>475</v>
      </c>
      <c r="H106" s="38">
        <f>G106*COSTS!$AA$27</f>
        <v>712.5</v>
      </c>
      <c r="I106" s="1">
        <f>COSTS!$AA$28</f>
        <v>50</v>
      </c>
      <c r="J106" s="38">
        <f t="shared" si="2"/>
        <v>762.5</v>
      </c>
      <c r="K106" s="38">
        <f t="shared" si="3"/>
        <v>173.29545454545453</v>
      </c>
      <c r="L106" s="151">
        <v>46023</v>
      </c>
      <c r="M106" s="1">
        <f>VLOOKUP(F:F,[1]Sheet1!$E:$F,2,FALSE)</f>
        <v>420</v>
      </c>
    </row>
    <row r="107" spans="1:13" hidden="1">
      <c r="A107" s="1" t="s">
        <v>1392</v>
      </c>
      <c r="B107" s="1" t="s">
        <v>149</v>
      </c>
      <c r="C107" s="1" t="s">
        <v>1275</v>
      </c>
      <c r="D107" s="1" t="s">
        <v>136</v>
      </c>
      <c r="E107" s="1" t="str">
        <f>A107&amp;C107</f>
        <v>MARIANNASHELBY</v>
      </c>
      <c r="F107" s="1" t="str">
        <f>A107&amp;B107&amp;C107&amp;D107</f>
        <v>MARIANNAARSHELBYNC</v>
      </c>
      <c r="G107" s="1">
        <v>1380</v>
      </c>
      <c r="H107" s="38">
        <f>G107*COSTS!$AA$27</f>
        <v>2070</v>
      </c>
      <c r="I107" s="1">
        <f>COSTS!$AA$28</f>
        <v>50</v>
      </c>
      <c r="J107" s="38">
        <f t="shared" si="2"/>
        <v>2120</v>
      </c>
      <c r="K107" s="38">
        <f t="shared" si="3"/>
        <v>481.81818181818181</v>
      </c>
      <c r="L107" s="151">
        <v>46023</v>
      </c>
      <c r="M107" s="1">
        <f>VLOOKUP(F:F,[1]Sheet1!$E:$F,2,FALSE)</f>
        <v>1590</v>
      </c>
    </row>
    <row r="108" spans="1:13" hidden="1">
      <c r="A108" s="1" t="s">
        <v>1533</v>
      </c>
      <c r="B108" s="1" t="s">
        <v>149</v>
      </c>
      <c r="C108" s="1" t="s">
        <v>1033</v>
      </c>
      <c r="D108" s="1" t="s">
        <v>168</v>
      </c>
      <c r="E108" s="1" t="str">
        <f>A108&amp;C108</f>
        <v>MCGEHEEMEMPHIS</v>
      </c>
      <c r="F108" s="1" t="s">
        <v>1182</v>
      </c>
      <c r="G108" s="1">
        <v>890</v>
      </c>
      <c r="H108" s="38">
        <f>G108*COSTS!$AA$27</f>
        <v>1335</v>
      </c>
      <c r="I108" s="1">
        <f>COSTS!$AA$28</f>
        <v>50</v>
      </c>
      <c r="J108" s="38">
        <f t="shared" si="2"/>
        <v>1385</v>
      </c>
      <c r="K108" s="38">
        <f t="shared" si="3"/>
        <v>314.77272727272725</v>
      </c>
      <c r="L108" s="151">
        <v>46023</v>
      </c>
      <c r="M108" s="1">
        <f>VLOOKUP(F:F,[1]Sheet1!$E:$F,2,FALSE)</f>
        <v>580</v>
      </c>
    </row>
    <row r="109" spans="1:13" hidden="1">
      <c r="A109" s="1" t="s">
        <v>1533</v>
      </c>
      <c r="B109" s="1" t="s">
        <v>149</v>
      </c>
      <c r="C109" s="1" t="s">
        <v>1275</v>
      </c>
      <c r="D109" s="1" t="s">
        <v>136</v>
      </c>
      <c r="E109" s="1" t="str">
        <f>A109&amp;C109</f>
        <v>MCGEHEESHELBY</v>
      </c>
      <c r="F109" s="1" t="str">
        <f>A109&amp;B109&amp;C109&amp;D109</f>
        <v>MCGEHEEARSHELBYNC</v>
      </c>
      <c r="G109" s="1">
        <v>1493</v>
      </c>
      <c r="H109" s="38">
        <f>G109*COSTS!$AA$27</f>
        <v>2239.5</v>
      </c>
      <c r="I109" s="1">
        <f>COSTS!$AA$28</f>
        <v>50</v>
      </c>
      <c r="J109" s="38">
        <f t="shared" si="2"/>
        <v>2289.5</v>
      </c>
      <c r="K109" s="38">
        <f t="shared" si="3"/>
        <v>520.34090909090901</v>
      </c>
      <c r="L109" s="151">
        <v>46023</v>
      </c>
      <c r="M109" s="1">
        <f>VLOOKUP(F:F,[1]Sheet1!$E:$F,2,FALSE)</f>
        <v>1690</v>
      </c>
    </row>
    <row r="110" spans="1:13" hidden="1">
      <c r="A110" s="1" t="s">
        <v>1400</v>
      </c>
      <c r="B110" s="1" t="s">
        <v>149</v>
      </c>
      <c r="C110" s="1" t="s">
        <v>847</v>
      </c>
      <c r="D110" s="1" t="s">
        <v>76</v>
      </c>
      <c r="E110" s="1" t="str">
        <f>A110&amp;(IF(C110="Garden City","Savannah",C110))</f>
        <v>MONETTESavannah</v>
      </c>
      <c r="F110" s="1" t="s">
        <v>962</v>
      </c>
      <c r="G110" s="1">
        <v>1429.22</v>
      </c>
      <c r="H110" s="38">
        <f>G110*COSTS!$AA$27</f>
        <v>2143.83</v>
      </c>
      <c r="I110" s="1">
        <f>COSTS!$AA$28</f>
        <v>50</v>
      </c>
      <c r="J110" s="38">
        <f t="shared" si="2"/>
        <v>2193.83</v>
      </c>
      <c r="K110" s="38">
        <f t="shared" si="3"/>
        <v>498.5977272727273</v>
      </c>
      <c r="L110" s="151">
        <v>46023</v>
      </c>
      <c r="M110" s="1" t="e">
        <f>VLOOKUP(F:F,[1]Sheet1!$E:$F,2,FALSE)</f>
        <v>#N/A</v>
      </c>
    </row>
    <row r="111" spans="1:13" hidden="1">
      <c r="A111" s="1" t="s">
        <v>1400</v>
      </c>
      <c r="B111" s="1" t="s">
        <v>149</v>
      </c>
      <c r="C111" s="1" t="s">
        <v>1033</v>
      </c>
      <c r="D111" s="1" t="s">
        <v>168</v>
      </c>
      <c r="E111" s="1" t="str">
        <f>A111&amp;C111</f>
        <v>MONETTEMEMPHIS</v>
      </c>
      <c r="F111" s="1" t="s">
        <v>1192</v>
      </c>
      <c r="G111" s="1">
        <v>455</v>
      </c>
      <c r="H111" s="38">
        <f>G111*COSTS!$AA$27</f>
        <v>682.5</v>
      </c>
      <c r="I111" s="1">
        <f>COSTS!$AA$28</f>
        <v>50</v>
      </c>
      <c r="J111" s="38">
        <f t="shared" si="2"/>
        <v>732.5</v>
      </c>
      <c r="K111" s="38">
        <f t="shared" si="3"/>
        <v>166.47727272727275</v>
      </c>
      <c r="L111" s="151">
        <v>46023</v>
      </c>
      <c r="M111" s="1" t="e">
        <f>VLOOKUP(F:F,[1]Sheet1!$E:$F,2,FALSE)</f>
        <v>#N/A</v>
      </c>
    </row>
    <row r="112" spans="1:13" hidden="1">
      <c r="A112" s="1" t="s">
        <v>1400</v>
      </c>
      <c r="B112" s="1" t="s">
        <v>149</v>
      </c>
      <c r="C112" s="1" t="s">
        <v>1275</v>
      </c>
      <c r="D112" s="1" t="s">
        <v>136</v>
      </c>
      <c r="E112" s="1" t="str">
        <f>A112&amp;C112</f>
        <v>MONETTESHELBY</v>
      </c>
      <c r="F112" s="1" t="str">
        <f>A112&amp;B112&amp;C112&amp;D112</f>
        <v>MONETTEARSHELBYNC</v>
      </c>
      <c r="G112" s="1">
        <v>1379</v>
      </c>
      <c r="H112" s="38">
        <f>G112*COSTS!$AA$27</f>
        <v>2068.5</v>
      </c>
      <c r="I112" s="1">
        <f>COSTS!$AA$28</f>
        <v>50</v>
      </c>
      <c r="J112" s="38">
        <f t="shared" si="2"/>
        <v>2118.5</v>
      </c>
      <c r="K112" s="38">
        <f t="shared" si="3"/>
        <v>481.47727272727275</v>
      </c>
      <c r="L112" s="151">
        <v>46023</v>
      </c>
      <c r="M112" s="1" t="e">
        <f>VLOOKUP(F:F,[1]Sheet1!$E:$F,2,FALSE)</f>
        <v>#N/A</v>
      </c>
    </row>
    <row r="113" spans="1:13" hidden="1">
      <c r="A113" s="1" t="s">
        <v>1536</v>
      </c>
      <c r="B113" s="1" t="s">
        <v>149</v>
      </c>
      <c r="C113" s="1" t="s">
        <v>1033</v>
      </c>
      <c r="D113" s="1" t="s">
        <v>168</v>
      </c>
      <c r="E113" s="1" t="str">
        <f>A113&amp;C113</f>
        <v>MOTETTEMEMPHIS</v>
      </c>
      <c r="F113" s="1" t="s">
        <v>1194</v>
      </c>
      <c r="G113" s="1">
        <v>413.62</v>
      </c>
      <c r="H113" s="38">
        <f>G113*COSTS!$AA$27</f>
        <v>620.43000000000006</v>
      </c>
      <c r="I113" s="1">
        <f>COSTS!$AA$28</f>
        <v>50</v>
      </c>
      <c r="J113" s="38">
        <f t="shared" si="2"/>
        <v>670.43000000000006</v>
      </c>
      <c r="K113" s="38">
        <f t="shared" si="3"/>
        <v>152.37045454545455</v>
      </c>
      <c r="L113" s="151">
        <v>46023</v>
      </c>
      <c r="M113" s="1" t="e">
        <f>VLOOKUP(F:F,[1]Sheet1!$E:$F,2,FALSE)</f>
        <v>#N/A</v>
      </c>
    </row>
    <row r="114" spans="1:13" hidden="1">
      <c r="A114" s="1" t="s">
        <v>1420</v>
      </c>
      <c r="B114" s="1" t="s">
        <v>149</v>
      </c>
      <c r="C114" s="1" t="s">
        <v>847</v>
      </c>
      <c r="D114" s="1" t="s">
        <v>76</v>
      </c>
      <c r="E114" s="1" t="str">
        <f>A114&amp;(IF(C114="Garden City","Savannah",C114))</f>
        <v>PORTLANDSavannah</v>
      </c>
      <c r="F114" s="1" t="s">
        <v>981</v>
      </c>
      <c r="G114" s="1">
        <v>1486.405</v>
      </c>
      <c r="H114" s="38">
        <f>G114*COSTS!$AA$27</f>
        <v>2229.6075000000001</v>
      </c>
      <c r="I114" s="1">
        <f>COSTS!$AA$28</f>
        <v>50</v>
      </c>
      <c r="J114" s="38">
        <f t="shared" si="2"/>
        <v>2279.6075000000001</v>
      </c>
      <c r="K114" s="38">
        <f t="shared" si="3"/>
        <v>518.09261363636369</v>
      </c>
      <c r="L114" s="151">
        <v>46023</v>
      </c>
      <c r="M114" s="1">
        <f>VLOOKUP(F:F,[1]Sheet1!$E:$F,2,FALSE)</f>
        <v>1850</v>
      </c>
    </row>
    <row r="115" spans="1:13" hidden="1">
      <c r="A115" s="1" t="s">
        <v>1420</v>
      </c>
      <c r="B115" s="1" t="s">
        <v>149</v>
      </c>
      <c r="C115" s="1" t="s">
        <v>1033</v>
      </c>
      <c r="D115" s="1" t="s">
        <v>168</v>
      </c>
      <c r="E115" s="1" t="str">
        <f>A115&amp;C115</f>
        <v>PORTLANDMEMPHIS</v>
      </c>
      <c r="F115" s="1" t="s">
        <v>1214</v>
      </c>
      <c r="G115" s="1">
        <v>910</v>
      </c>
      <c r="H115" s="38">
        <f>G115*COSTS!$AA$27</f>
        <v>1365</v>
      </c>
      <c r="I115" s="1">
        <f>COSTS!$AA$28</f>
        <v>50</v>
      </c>
      <c r="J115" s="38">
        <f t="shared" si="2"/>
        <v>1415</v>
      </c>
      <c r="K115" s="38">
        <f t="shared" si="3"/>
        <v>321.59090909090907</v>
      </c>
      <c r="L115" s="151">
        <v>46023</v>
      </c>
      <c r="M115" s="1">
        <f>VLOOKUP(F:F,[1]Sheet1!$E:$F,2,FALSE)</f>
        <v>610</v>
      </c>
    </row>
    <row r="116" spans="1:13" hidden="1">
      <c r="A116" s="1" t="s">
        <v>1420</v>
      </c>
      <c r="B116" s="1" t="s">
        <v>149</v>
      </c>
      <c r="C116" s="1" t="s">
        <v>1275</v>
      </c>
      <c r="D116" s="1" t="s">
        <v>136</v>
      </c>
      <c r="E116" s="1" t="str">
        <f>A116&amp;C116</f>
        <v>PORTLANDSHELBY</v>
      </c>
      <c r="F116" s="1" t="str">
        <f>A116&amp;B116&amp;C116&amp;D116</f>
        <v>PORTLANDARSHELBYNC</v>
      </c>
      <c r="G116" s="1">
        <v>1499</v>
      </c>
      <c r="H116" s="38">
        <f>G116*COSTS!$AA$27</f>
        <v>2248.5</v>
      </c>
      <c r="I116" s="1">
        <f>COSTS!$AA$28</f>
        <v>50</v>
      </c>
      <c r="J116" s="38">
        <f t="shared" si="2"/>
        <v>2298.5</v>
      </c>
      <c r="K116" s="38">
        <f t="shared" si="3"/>
        <v>522.38636363636363</v>
      </c>
      <c r="L116" s="151">
        <v>46023</v>
      </c>
      <c r="M116" s="1">
        <f>VLOOKUP(F:F,[1]Sheet1!$E:$F,2,FALSE)</f>
        <v>1670</v>
      </c>
    </row>
    <row r="117" spans="1:13" hidden="1">
      <c r="A117" s="1" t="s">
        <v>1558</v>
      </c>
      <c r="B117" s="1" t="s">
        <v>149</v>
      </c>
      <c r="C117" s="1" t="s">
        <v>1033</v>
      </c>
      <c r="D117" s="1" t="s">
        <v>168</v>
      </c>
      <c r="E117" s="1" t="str">
        <f>A117&amp;C117</f>
        <v>TRUMANNMEMPHIS</v>
      </c>
      <c r="F117" s="1" t="s">
        <v>1257</v>
      </c>
      <c r="G117" s="1">
        <v>409.86</v>
      </c>
      <c r="H117" s="38">
        <f>G117*COSTS!$AA$27</f>
        <v>614.79</v>
      </c>
      <c r="I117" s="1">
        <f>COSTS!$AA$28</f>
        <v>50</v>
      </c>
      <c r="J117" s="38">
        <f t="shared" si="2"/>
        <v>664.79</v>
      </c>
      <c r="K117" s="38">
        <f t="shared" si="3"/>
        <v>151.08863636363634</v>
      </c>
      <c r="L117" s="151">
        <v>46023</v>
      </c>
      <c r="M117" s="1" t="e">
        <f>VLOOKUP(F:F,[1]Sheet1!$E:$F,2,FALSE)</f>
        <v>#N/A</v>
      </c>
    </row>
    <row r="118" spans="1:13" hidden="1">
      <c r="A118" s="1" t="s">
        <v>1564</v>
      </c>
      <c r="B118" s="1" t="s">
        <v>149</v>
      </c>
      <c r="C118" s="1" t="s">
        <v>1033</v>
      </c>
      <c r="D118" s="1" t="s">
        <v>168</v>
      </c>
      <c r="E118" s="1" t="str">
        <f>A118&amp;C118</f>
        <v>WEST MEMPHISMEMPHIS</v>
      </c>
      <c r="F118" s="1" t="s">
        <v>1270</v>
      </c>
      <c r="G118" s="1">
        <v>375</v>
      </c>
      <c r="H118" s="38">
        <f>G118*COSTS!$AA$27</f>
        <v>562.5</v>
      </c>
      <c r="I118" s="1">
        <f>COSTS!$AA$28</f>
        <v>50</v>
      </c>
      <c r="J118" s="38">
        <f t="shared" si="2"/>
        <v>612.5</v>
      </c>
      <c r="K118" s="38">
        <f t="shared" si="3"/>
        <v>139.20454545454544</v>
      </c>
      <c r="L118" s="151">
        <v>46023</v>
      </c>
      <c r="M118" s="1">
        <f>VLOOKUP(F:F,[1]Sheet1!$E:$F,2,FALSE)</f>
        <v>340</v>
      </c>
    </row>
    <row r="119" spans="1:13" hidden="1">
      <c r="A119" s="1" t="s">
        <v>1564</v>
      </c>
      <c r="B119" s="1" t="s">
        <v>149</v>
      </c>
      <c r="C119" s="1" t="s">
        <v>1275</v>
      </c>
      <c r="D119" s="1" t="s">
        <v>136</v>
      </c>
      <c r="E119" s="1" t="str">
        <f>A119&amp;C119</f>
        <v>WEST MEMPHISSHELBY</v>
      </c>
      <c r="F119" s="1" t="str">
        <f>A119&amp;B119&amp;C119&amp;D119</f>
        <v>WEST MEMPHISARSHELBYNC</v>
      </c>
      <c r="G119" s="1">
        <v>1369</v>
      </c>
      <c r="H119" s="38">
        <f>G119*COSTS!$AA$27</f>
        <v>2053.5</v>
      </c>
      <c r="I119" s="1">
        <f>COSTS!$AA$28</f>
        <v>50</v>
      </c>
      <c r="J119" s="38">
        <f t="shared" si="2"/>
        <v>2103.5</v>
      </c>
      <c r="K119" s="38">
        <f t="shared" si="3"/>
        <v>478.06818181818181</v>
      </c>
      <c r="L119" s="151">
        <v>46023</v>
      </c>
      <c r="M119" s="1">
        <f>VLOOKUP(F:F,[1]Sheet1!$E:$F,2,FALSE)</f>
        <v>1480</v>
      </c>
    </row>
    <row r="120" spans="1:13" hidden="1">
      <c r="A120" s="1" t="s">
        <v>1374</v>
      </c>
      <c r="B120" s="1" t="s">
        <v>461</v>
      </c>
      <c r="C120" s="1" t="s">
        <v>847</v>
      </c>
      <c r="D120" s="1" t="s">
        <v>76</v>
      </c>
      <c r="E120" s="1" t="str">
        <f>A120&amp;(IF(C120="Garden City","Savannah",C120))</f>
        <v>JAYSavannah</v>
      </c>
      <c r="F120" s="1" t="s">
        <v>935</v>
      </c>
      <c r="G120" s="1">
        <v>1253.4366666666667</v>
      </c>
      <c r="H120" s="38">
        <f>G120*COSTS!$AA$27</f>
        <v>1880.1550000000002</v>
      </c>
      <c r="I120" s="1">
        <f>COSTS!$AA$28</f>
        <v>50</v>
      </c>
      <c r="J120" s="38">
        <f t="shared" si="2"/>
        <v>1930.1550000000002</v>
      </c>
      <c r="K120" s="38">
        <f t="shared" si="3"/>
        <v>438.67159090909098</v>
      </c>
      <c r="L120" s="151">
        <v>46023</v>
      </c>
      <c r="M120" s="1">
        <f>VLOOKUP(F:F,[1]Sheet1!$E:$F,2,FALSE)</f>
        <v>1280</v>
      </c>
    </row>
    <row r="121" spans="1:13" hidden="1">
      <c r="A121" s="1" t="s">
        <v>1374</v>
      </c>
      <c r="B121" s="1" t="s">
        <v>461</v>
      </c>
      <c r="C121" s="1" t="s">
        <v>1033</v>
      </c>
      <c r="D121" s="1" t="s">
        <v>168</v>
      </c>
      <c r="E121" s="1" t="str">
        <f>A121&amp;C121</f>
        <v>JAYMEMPHIS</v>
      </c>
      <c r="F121" s="1" t="s">
        <v>1160</v>
      </c>
      <c r="G121" s="1">
        <v>1135</v>
      </c>
      <c r="H121" s="38">
        <f>G121*COSTS!$AA$27</f>
        <v>1702.5</v>
      </c>
      <c r="I121" s="1">
        <f>COSTS!$AA$28</f>
        <v>50</v>
      </c>
      <c r="J121" s="38">
        <f t="shared" si="2"/>
        <v>1752.5</v>
      </c>
      <c r="K121" s="38">
        <f t="shared" si="3"/>
        <v>398.2954545454545</v>
      </c>
      <c r="L121" s="151">
        <v>46023</v>
      </c>
      <c r="M121" s="1">
        <f>VLOOKUP(F:F,[1]Sheet1!$E:$F,2,FALSE)</f>
        <v>1160</v>
      </c>
    </row>
    <row r="122" spans="1:13" hidden="1">
      <c r="A122" s="1" t="s">
        <v>1374</v>
      </c>
      <c r="B122" s="1" t="s">
        <v>461</v>
      </c>
      <c r="C122" s="1" t="s">
        <v>1275</v>
      </c>
      <c r="D122" s="1" t="s">
        <v>136</v>
      </c>
      <c r="E122" s="1" t="str">
        <f>A122&amp;C122</f>
        <v>JAYSHELBY</v>
      </c>
      <c r="F122" s="1" t="str">
        <f>A122&amp;B122&amp;C122&amp;D122</f>
        <v>JAYFLSHELBYNC</v>
      </c>
      <c r="G122" s="1">
        <v>1100</v>
      </c>
      <c r="H122" s="38">
        <f>G122*COSTS!$AA$27</f>
        <v>1650</v>
      </c>
      <c r="I122" s="1">
        <f>COSTS!$AA$28</f>
        <v>50</v>
      </c>
      <c r="J122" s="38">
        <f t="shared" si="2"/>
        <v>1700</v>
      </c>
      <c r="K122" s="38">
        <f t="shared" si="3"/>
        <v>386.36363636363632</v>
      </c>
      <c r="L122" s="151">
        <v>46023</v>
      </c>
      <c r="M122" s="1">
        <f>VLOOKUP(F:F,[1]Sheet1!$E:$F,2,FALSE)</f>
        <v>1280</v>
      </c>
    </row>
    <row r="123" spans="1:13" hidden="1">
      <c r="A123" s="1" t="s">
        <v>1461</v>
      </c>
      <c r="B123" s="1" t="s">
        <v>461</v>
      </c>
      <c r="C123" s="1" t="s">
        <v>847</v>
      </c>
      <c r="D123" s="1" t="s">
        <v>76</v>
      </c>
      <c r="E123" s="1" t="str">
        <f>A123&amp;(IF(C123="Garden City","Savannah",C123))</f>
        <v>WALNUT HILLSavannah</v>
      </c>
      <c r="F123" s="1" t="s">
        <v>1024</v>
      </c>
      <c r="G123" s="1">
        <v>937.65499999999997</v>
      </c>
      <c r="H123" s="38">
        <f>G123*COSTS!$AA$27</f>
        <v>1406.4825000000001</v>
      </c>
      <c r="I123" s="1">
        <f>COSTS!$AA$28</f>
        <v>50</v>
      </c>
      <c r="J123" s="38">
        <f t="shared" si="2"/>
        <v>1456.4825000000001</v>
      </c>
      <c r="K123" s="38">
        <f t="shared" si="3"/>
        <v>331.01875000000001</v>
      </c>
      <c r="L123" s="151">
        <v>46023</v>
      </c>
      <c r="M123" s="1">
        <f>VLOOKUP(F:F,[1]Sheet1!$E:$F,2,FALSE)</f>
        <v>1280</v>
      </c>
    </row>
    <row r="124" spans="1:13" hidden="1">
      <c r="A124" s="1" t="s">
        <v>1461</v>
      </c>
      <c r="B124" s="1" t="s">
        <v>461</v>
      </c>
      <c r="C124" s="1" t="s">
        <v>1033</v>
      </c>
      <c r="D124" s="1" t="s">
        <v>168</v>
      </c>
      <c r="E124" s="1" t="str">
        <f>A124&amp;C124</f>
        <v>WALNUT HILLMEMPHIS</v>
      </c>
      <c r="F124" s="1" t="s">
        <v>1267</v>
      </c>
      <c r="G124" s="1">
        <v>1085</v>
      </c>
      <c r="H124" s="38">
        <f>G124*COSTS!$AA$27</f>
        <v>1627.5</v>
      </c>
      <c r="I124" s="1">
        <f>COSTS!$AA$28</f>
        <v>50</v>
      </c>
      <c r="J124" s="38">
        <f t="shared" si="2"/>
        <v>1677.5</v>
      </c>
      <c r="K124" s="38">
        <f t="shared" si="3"/>
        <v>381.25</v>
      </c>
      <c r="L124" s="151">
        <v>46023</v>
      </c>
      <c r="M124" s="1">
        <f>VLOOKUP(F:F,[1]Sheet1!$E:$F,2,FALSE)</f>
        <v>1170</v>
      </c>
    </row>
    <row r="125" spans="1:13" hidden="1">
      <c r="A125" s="1" t="s">
        <v>1461</v>
      </c>
      <c r="B125" s="1" t="s">
        <v>461</v>
      </c>
      <c r="C125" s="1" t="s">
        <v>1275</v>
      </c>
      <c r="D125" s="1" t="s">
        <v>136</v>
      </c>
      <c r="E125" s="1" t="str">
        <f>A125&amp;C125</f>
        <v>WALNUT HILLSHELBY</v>
      </c>
      <c r="F125" s="1" t="str">
        <f>A125&amp;B125&amp;C125&amp;D125</f>
        <v>WALNUT HILLFLSHELBYNC</v>
      </c>
      <c r="G125" s="1">
        <v>1105</v>
      </c>
      <c r="H125" s="38">
        <f>G125*COSTS!$AA$27</f>
        <v>1657.5</v>
      </c>
      <c r="I125" s="1">
        <f>COSTS!$AA$28</f>
        <v>50</v>
      </c>
      <c r="J125" s="38">
        <f t="shared" si="2"/>
        <v>1707.5</v>
      </c>
      <c r="K125" s="38">
        <f t="shared" si="3"/>
        <v>388.06818181818181</v>
      </c>
      <c r="L125" s="151">
        <v>46023</v>
      </c>
      <c r="M125" s="1">
        <f>VLOOKUP(F:F,[1]Sheet1!$E:$F,2,FALSE)</f>
        <v>1280</v>
      </c>
    </row>
    <row r="126" spans="1:13" hidden="1">
      <c r="A126" s="1" t="s">
        <v>1289</v>
      </c>
      <c r="B126" s="1" t="s">
        <v>76</v>
      </c>
      <c r="C126" s="1" t="s">
        <v>847</v>
      </c>
      <c r="D126" s="1" t="s">
        <v>76</v>
      </c>
      <c r="E126" s="1" t="str">
        <f>A126&amp;(IF(C126="Garden City","Savannah",C126))</f>
        <v>ALBANYSavannah</v>
      </c>
      <c r="F126" s="1" t="s">
        <v>849</v>
      </c>
      <c r="G126" s="1">
        <v>634.48</v>
      </c>
      <c r="H126" s="38">
        <f>G126*COSTS!$AA$27</f>
        <v>951.72</v>
      </c>
      <c r="I126" s="1">
        <f>COSTS!$AA$28</f>
        <v>50</v>
      </c>
      <c r="J126" s="38">
        <f t="shared" si="2"/>
        <v>1001.72</v>
      </c>
      <c r="K126" s="38">
        <f t="shared" si="3"/>
        <v>227.66363636363636</v>
      </c>
      <c r="L126" s="151">
        <v>46023</v>
      </c>
      <c r="M126" s="1">
        <f>VLOOKUP(F:F,[1]Sheet1!$E:$F,2,FALSE)</f>
        <v>760</v>
      </c>
    </row>
    <row r="127" spans="1:13" hidden="1">
      <c r="A127" s="1" t="s">
        <v>1289</v>
      </c>
      <c r="B127" s="1" t="s">
        <v>76</v>
      </c>
      <c r="C127" s="1" t="s">
        <v>1033</v>
      </c>
      <c r="D127" s="1" t="s">
        <v>168</v>
      </c>
      <c r="E127" s="1" t="str">
        <f>A127&amp;C127</f>
        <v>ALBANYMEMPHIS</v>
      </c>
      <c r="F127" s="1" t="s">
        <v>1037</v>
      </c>
      <c r="G127" s="1">
        <v>797.07</v>
      </c>
      <c r="H127" s="38">
        <f>G127*COSTS!$AA$27</f>
        <v>1195.605</v>
      </c>
      <c r="I127" s="1">
        <f>COSTS!$AA$28</f>
        <v>50</v>
      </c>
      <c r="J127" s="38">
        <f t="shared" si="2"/>
        <v>1245.605</v>
      </c>
      <c r="K127" s="38">
        <f t="shared" si="3"/>
        <v>283.09204545454543</v>
      </c>
      <c r="L127" s="151">
        <v>46023</v>
      </c>
      <c r="M127" s="1">
        <f>VLOOKUP(F:F,[1]Sheet1!$E:$F,2,FALSE)</f>
        <v>1190</v>
      </c>
    </row>
    <row r="128" spans="1:13" hidden="1">
      <c r="A128" s="1" t="s">
        <v>1289</v>
      </c>
      <c r="B128" s="1" t="s">
        <v>76</v>
      </c>
      <c r="C128" s="1" t="s">
        <v>1274</v>
      </c>
      <c r="D128" s="1" t="s">
        <v>71</v>
      </c>
      <c r="E128" s="1" t="str">
        <f>A128&amp;C128</f>
        <v>ALBANYWESLACO</v>
      </c>
      <c r="F128" s="1" t="str">
        <f>A128&amp;B128&amp;C128&amp;D128</f>
        <v>ALBANYGAWESLACOTX</v>
      </c>
      <c r="G128" s="1">
        <v>1301.8999999999999</v>
      </c>
      <c r="H128" s="38">
        <f>G128*COSTS!$AA$27</f>
        <v>1952.85</v>
      </c>
      <c r="I128" s="1">
        <f>COSTS!$AA$28</f>
        <v>50</v>
      </c>
      <c r="J128" s="38">
        <f t="shared" si="2"/>
        <v>2002.85</v>
      </c>
      <c r="K128" s="38">
        <f t="shared" si="3"/>
        <v>455.19318181818176</v>
      </c>
      <c r="L128" s="151">
        <v>46023</v>
      </c>
      <c r="M128" s="1">
        <f>VLOOKUP(F:F,[1]Sheet1!$E:$F,2,FALSE)</f>
        <v>1654</v>
      </c>
    </row>
    <row r="129" spans="1:13" hidden="1">
      <c r="A129" s="1" t="s">
        <v>1289</v>
      </c>
      <c r="B129" s="1" t="s">
        <v>76</v>
      </c>
      <c r="C129" s="1" t="s">
        <v>1275</v>
      </c>
      <c r="D129" s="1" t="s">
        <v>136</v>
      </c>
      <c r="E129" s="1" t="str">
        <f>A129&amp;C129</f>
        <v>ALBANYSHELBY</v>
      </c>
      <c r="F129" s="1" t="str">
        <f>A129&amp;B129&amp;C129&amp;D129</f>
        <v>ALBANYGASHELBYNC</v>
      </c>
      <c r="G129" s="1">
        <v>865</v>
      </c>
      <c r="H129" s="38">
        <f>G129*COSTS!$AA$27</f>
        <v>1297.5</v>
      </c>
      <c r="I129" s="1">
        <f>COSTS!$AA$28</f>
        <v>50</v>
      </c>
      <c r="J129" s="38">
        <f t="shared" si="2"/>
        <v>1347.5</v>
      </c>
      <c r="K129" s="38">
        <f t="shared" si="3"/>
        <v>306.25</v>
      </c>
      <c r="L129" s="151">
        <v>46023</v>
      </c>
      <c r="M129" s="1">
        <f>VLOOKUP(F:F,[1]Sheet1!$E:$F,2,FALSE)</f>
        <v>1020</v>
      </c>
    </row>
    <row r="130" spans="1:13" hidden="1">
      <c r="A130" s="1" t="s">
        <v>1291</v>
      </c>
      <c r="B130" s="1" t="s">
        <v>76</v>
      </c>
      <c r="C130" s="1" t="s">
        <v>847</v>
      </c>
      <c r="D130" s="1" t="s">
        <v>76</v>
      </c>
      <c r="E130" s="1" t="str">
        <f>A130&amp;(IF(C130="Garden City","Savannah",C130))</f>
        <v>AMERICUSSavannah</v>
      </c>
      <c r="F130" s="1" t="s">
        <v>851</v>
      </c>
      <c r="G130" s="1">
        <v>629.48</v>
      </c>
      <c r="H130" s="38">
        <f>G130*COSTS!$AA$27</f>
        <v>944.22</v>
      </c>
      <c r="I130" s="1">
        <f>COSTS!$AA$28</f>
        <v>50</v>
      </c>
      <c r="J130" s="38">
        <f t="shared" ref="J130:J193" si="5">H130+I130</f>
        <v>994.22</v>
      </c>
      <c r="K130" s="38">
        <f t="shared" ref="K130:K193" si="6">(J130/88)*20</f>
        <v>225.95909090909092</v>
      </c>
      <c r="L130" s="151">
        <v>46023</v>
      </c>
      <c r="M130" s="1">
        <f>VLOOKUP(F:F,[1]Sheet1!$E:$F,2,FALSE)</f>
        <v>740</v>
      </c>
    </row>
    <row r="131" spans="1:13" hidden="1">
      <c r="A131" s="1" t="s">
        <v>1291</v>
      </c>
      <c r="B131" s="1" t="s">
        <v>76</v>
      </c>
      <c r="C131" s="1" t="s">
        <v>1033</v>
      </c>
      <c r="D131" s="1" t="s">
        <v>168</v>
      </c>
      <c r="E131" s="1" t="str">
        <f>A131&amp;C131</f>
        <v>AMERICUSMEMPHIS</v>
      </c>
      <c r="F131" s="1" t="s">
        <v>1042</v>
      </c>
      <c r="G131" s="1">
        <v>800</v>
      </c>
      <c r="H131" s="38">
        <f>G131*COSTS!$AA$27</f>
        <v>1200</v>
      </c>
      <c r="I131" s="1">
        <f>COSTS!$AA$28</f>
        <v>50</v>
      </c>
      <c r="J131" s="38">
        <f t="shared" si="5"/>
        <v>1250</v>
      </c>
      <c r="K131" s="38">
        <f t="shared" si="6"/>
        <v>284.09090909090912</v>
      </c>
      <c r="L131" s="151">
        <v>46023</v>
      </c>
      <c r="M131" s="1">
        <f>VLOOKUP(F:F,[1]Sheet1!$E:$F,2,FALSE)</f>
        <v>1140</v>
      </c>
    </row>
    <row r="132" spans="1:13" hidden="1">
      <c r="A132" s="1" t="s">
        <v>1291</v>
      </c>
      <c r="B132" s="1" t="s">
        <v>76</v>
      </c>
      <c r="C132" s="1" t="s">
        <v>1275</v>
      </c>
      <c r="D132" s="1" t="s">
        <v>136</v>
      </c>
      <c r="E132" s="1" t="str">
        <f>A132&amp;C132</f>
        <v>AMERICUSSHELBY</v>
      </c>
      <c r="F132" s="1" t="str">
        <f>A132&amp;B132&amp;C132&amp;D132</f>
        <v>AMERICUSGASHELBYNC</v>
      </c>
      <c r="G132" s="1">
        <v>825</v>
      </c>
      <c r="H132" s="38">
        <f>G132*COSTS!$AA$27</f>
        <v>1237.5</v>
      </c>
      <c r="I132" s="1">
        <f>COSTS!$AA$28</f>
        <v>50</v>
      </c>
      <c r="J132" s="38">
        <f t="shared" si="5"/>
        <v>1287.5</v>
      </c>
      <c r="K132" s="38">
        <f t="shared" si="6"/>
        <v>292.61363636363637</v>
      </c>
      <c r="L132" s="151">
        <v>46023</v>
      </c>
      <c r="M132" s="1">
        <f>VLOOKUP(F:F,[1]Sheet1!$E:$F,2,FALSE)</f>
        <v>910</v>
      </c>
    </row>
    <row r="133" spans="1:13" hidden="1">
      <c r="A133" s="1" t="s">
        <v>1293</v>
      </c>
      <c r="B133" s="1" t="s">
        <v>76</v>
      </c>
      <c r="C133" s="1" t="s">
        <v>847</v>
      </c>
      <c r="D133" s="1" t="s">
        <v>76</v>
      </c>
      <c r="E133" s="1" t="str">
        <f>A133&amp;(IF(C133="Garden City","Savannah",C133))</f>
        <v>ARLINGTONSavannah</v>
      </c>
      <c r="F133" s="1" t="s">
        <v>853</v>
      </c>
      <c r="G133" s="1">
        <v>741.12</v>
      </c>
      <c r="H133" s="38">
        <f>G133*COSTS!$AA$27</f>
        <v>1111.68</v>
      </c>
      <c r="I133" s="1">
        <f>COSTS!$AA$28</f>
        <v>50</v>
      </c>
      <c r="J133" s="38">
        <f t="shared" si="5"/>
        <v>1161.68</v>
      </c>
      <c r="K133" s="38">
        <f t="shared" si="6"/>
        <v>264.0181818181818</v>
      </c>
      <c r="L133" s="151">
        <v>46023</v>
      </c>
      <c r="M133" s="1">
        <f>VLOOKUP(F:F,[1]Sheet1!$E:$F,2,FALSE)</f>
        <v>820</v>
      </c>
    </row>
    <row r="134" spans="1:13" hidden="1">
      <c r="A134" s="1" t="s">
        <v>1293</v>
      </c>
      <c r="B134" s="1" t="s">
        <v>76</v>
      </c>
      <c r="C134" s="1" t="s">
        <v>1033</v>
      </c>
      <c r="D134" s="1" t="s">
        <v>168</v>
      </c>
      <c r="E134" s="1" t="str">
        <f>A134&amp;C134</f>
        <v>ARLINGTONMEMPHIS</v>
      </c>
      <c r="F134" s="1" t="s">
        <v>1045</v>
      </c>
      <c r="G134" s="1">
        <v>800</v>
      </c>
      <c r="H134" s="38">
        <f>G134*COSTS!$AA$27</f>
        <v>1200</v>
      </c>
      <c r="I134" s="1">
        <f>COSTS!$AA$28</f>
        <v>50</v>
      </c>
      <c r="J134" s="38">
        <f t="shared" si="5"/>
        <v>1250</v>
      </c>
      <c r="K134" s="38">
        <f t="shared" si="6"/>
        <v>284.09090909090912</v>
      </c>
      <c r="L134" s="151">
        <v>46023</v>
      </c>
      <c r="M134" s="1">
        <f>VLOOKUP(F:F,[1]Sheet1!$E:$F,2,FALSE)</f>
        <v>1180</v>
      </c>
    </row>
    <row r="135" spans="1:13" hidden="1">
      <c r="A135" s="1" t="s">
        <v>1293</v>
      </c>
      <c r="B135" s="1" t="s">
        <v>76</v>
      </c>
      <c r="C135" s="1" t="s">
        <v>1275</v>
      </c>
      <c r="D135" s="1" t="s">
        <v>136</v>
      </c>
      <c r="E135" s="1" t="str">
        <f>A135&amp;C135</f>
        <v>ARLINGTONSHELBY</v>
      </c>
      <c r="F135" s="1" t="str">
        <f>A135&amp;B135&amp;C135&amp;D135</f>
        <v>ARLINGTONGASHELBYNC</v>
      </c>
      <c r="G135" s="1">
        <v>905</v>
      </c>
      <c r="H135" s="38">
        <f>G135*COSTS!$AA$27</f>
        <v>1357.5</v>
      </c>
      <c r="I135" s="1">
        <f>COSTS!$AA$28</f>
        <v>50</v>
      </c>
      <c r="J135" s="38">
        <f t="shared" si="5"/>
        <v>1407.5</v>
      </c>
      <c r="K135" s="38">
        <f t="shared" si="6"/>
        <v>319.88636363636363</v>
      </c>
      <c r="L135" s="151">
        <v>46023</v>
      </c>
      <c r="M135" s="1">
        <f>VLOOKUP(F:F,[1]Sheet1!$E:$F,2,FALSE)</f>
        <v>1050</v>
      </c>
    </row>
    <row r="136" spans="1:13" hidden="1">
      <c r="A136" s="1" t="s">
        <v>1295</v>
      </c>
      <c r="B136" s="1" t="s">
        <v>76</v>
      </c>
      <c r="C136" s="1" t="s">
        <v>847</v>
      </c>
      <c r="D136" s="1" t="s">
        <v>76</v>
      </c>
      <c r="E136" s="1" t="str">
        <f>A136&amp;(IF(C136="Garden City","Savannah",C136))</f>
        <v>BAINBRIDGESavannah</v>
      </c>
      <c r="F136" s="1" t="s">
        <v>855</v>
      </c>
      <c r="G136" s="1">
        <v>739.88666666666666</v>
      </c>
      <c r="H136" s="38">
        <f>G136*COSTS!$AA$27</f>
        <v>1109.83</v>
      </c>
      <c r="I136" s="1">
        <f>COSTS!$AA$28</f>
        <v>50</v>
      </c>
      <c r="J136" s="38">
        <f t="shared" si="5"/>
        <v>1159.83</v>
      </c>
      <c r="K136" s="38">
        <f t="shared" si="6"/>
        <v>263.5977272727273</v>
      </c>
      <c r="L136" s="151">
        <v>46023</v>
      </c>
      <c r="M136" s="1">
        <f>VLOOKUP(F:F,[1]Sheet1!$E:$F,2,FALSE)</f>
        <v>820</v>
      </c>
    </row>
    <row r="137" spans="1:13" hidden="1">
      <c r="A137" s="1" t="s">
        <v>1295</v>
      </c>
      <c r="B137" s="1" t="s">
        <v>76</v>
      </c>
      <c r="C137" s="1" t="s">
        <v>1033</v>
      </c>
      <c r="D137" s="1" t="s">
        <v>168</v>
      </c>
      <c r="E137" s="1" t="str">
        <f>A137&amp;C137</f>
        <v>BAINBRIDGEMEMPHIS</v>
      </c>
      <c r="F137" s="1" t="s">
        <v>1047</v>
      </c>
      <c r="G137" s="1">
        <v>825</v>
      </c>
      <c r="H137" s="38">
        <f>G137*COSTS!$AA$27</f>
        <v>1237.5</v>
      </c>
      <c r="I137" s="1">
        <f>COSTS!$AA$28</f>
        <v>50</v>
      </c>
      <c r="J137" s="38">
        <f t="shared" si="5"/>
        <v>1287.5</v>
      </c>
      <c r="K137" s="38">
        <f t="shared" si="6"/>
        <v>292.61363636363637</v>
      </c>
      <c r="L137" s="151">
        <v>46023</v>
      </c>
      <c r="M137" s="1">
        <f>VLOOKUP(F:F,[1]Sheet1!$E:$F,2,FALSE)</f>
        <v>1240</v>
      </c>
    </row>
    <row r="138" spans="1:13" hidden="1">
      <c r="A138" s="1" t="s">
        <v>1295</v>
      </c>
      <c r="B138" s="1" t="s">
        <v>76</v>
      </c>
      <c r="C138" s="1" t="s">
        <v>1275</v>
      </c>
      <c r="D138" s="1" t="s">
        <v>136</v>
      </c>
      <c r="E138" s="1" t="str">
        <f>A138&amp;C138</f>
        <v>BAINBRIDGESHELBY</v>
      </c>
      <c r="F138" s="1" t="str">
        <f>A138&amp;B138&amp;C138&amp;D138</f>
        <v>BAINBRIDGEGASHELBYNC</v>
      </c>
      <c r="G138" s="1">
        <v>966</v>
      </c>
      <c r="H138" s="38">
        <f>G138*COSTS!$AA$27</f>
        <v>1449</v>
      </c>
      <c r="I138" s="1">
        <f>COSTS!$AA$28</f>
        <v>50</v>
      </c>
      <c r="J138" s="38">
        <f t="shared" si="5"/>
        <v>1499</v>
      </c>
      <c r="K138" s="38">
        <f t="shared" si="6"/>
        <v>340.68181818181819</v>
      </c>
      <c r="L138" s="151">
        <v>46023</v>
      </c>
      <c r="M138" s="1">
        <f>VLOOKUP(F:F,[1]Sheet1!$E:$F,2,FALSE)</f>
        <v>1140</v>
      </c>
    </row>
    <row r="139" spans="1:13" hidden="1">
      <c r="A139" s="1" t="s">
        <v>1296</v>
      </c>
      <c r="B139" s="1" t="s">
        <v>76</v>
      </c>
      <c r="C139" s="1" t="s">
        <v>847</v>
      </c>
      <c r="D139" s="1" t="s">
        <v>76</v>
      </c>
      <c r="E139" s="1" t="str">
        <f>A139&amp;(IF(C139="Garden City","Savannah",C139))</f>
        <v>BARTOWSavannah</v>
      </c>
      <c r="F139" s="1" t="s">
        <v>856</v>
      </c>
      <c r="G139" s="1">
        <v>502.71000000000004</v>
      </c>
      <c r="H139" s="38">
        <f>G139*COSTS!$AA$27</f>
        <v>754.06500000000005</v>
      </c>
      <c r="I139" s="1">
        <f>COSTS!$AA$28</f>
        <v>50</v>
      </c>
      <c r="J139" s="38">
        <f t="shared" si="5"/>
        <v>804.06500000000005</v>
      </c>
      <c r="K139" s="38">
        <f t="shared" si="6"/>
        <v>182.74204545454549</v>
      </c>
      <c r="L139" s="151">
        <v>46023</v>
      </c>
      <c r="M139" s="1">
        <f>VLOOKUP(F:F,[1]Sheet1!$E:$F,2,FALSE)</f>
        <v>600</v>
      </c>
    </row>
    <row r="140" spans="1:13" hidden="1">
      <c r="A140" s="1" t="s">
        <v>1296</v>
      </c>
      <c r="B140" s="1" t="s">
        <v>76</v>
      </c>
      <c r="C140" s="1" t="s">
        <v>1033</v>
      </c>
      <c r="D140" s="1" t="s">
        <v>168</v>
      </c>
      <c r="E140" s="1" t="str">
        <f>A140&amp;C140</f>
        <v>BARTOWMEMPHIS</v>
      </c>
      <c r="F140" s="1" t="s">
        <v>1049</v>
      </c>
      <c r="G140" s="1">
        <v>1050</v>
      </c>
      <c r="H140" s="38">
        <f>G140*COSTS!$AA$27</f>
        <v>1575</v>
      </c>
      <c r="I140" s="1">
        <f>COSTS!$AA$28</f>
        <v>50</v>
      </c>
      <c r="J140" s="38">
        <f t="shared" si="5"/>
        <v>1625</v>
      </c>
      <c r="K140" s="38">
        <f t="shared" si="6"/>
        <v>369.31818181818181</v>
      </c>
      <c r="L140" s="151">
        <v>46023</v>
      </c>
      <c r="M140" s="1">
        <f>VLOOKUP(F:F,[1]Sheet1!$E:$F,2,FALSE)</f>
        <v>1410</v>
      </c>
    </row>
    <row r="141" spans="1:13" hidden="1">
      <c r="A141" s="1" t="s">
        <v>1296</v>
      </c>
      <c r="B141" s="1" t="s">
        <v>76</v>
      </c>
      <c r="C141" s="1" t="s">
        <v>1274</v>
      </c>
      <c r="D141" s="1" t="s">
        <v>71</v>
      </c>
      <c r="E141" s="1" t="str">
        <f>A141&amp;C141</f>
        <v>BARTOWWESLACO</v>
      </c>
      <c r="F141" s="1" t="str">
        <f>A141&amp;B141&amp;C141&amp;D141</f>
        <v>BARTOWGAWESLACOTX</v>
      </c>
      <c r="G141" s="1">
        <v>1484.26</v>
      </c>
      <c r="H141" s="38">
        <f>G141*COSTS!$AA$27</f>
        <v>2226.39</v>
      </c>
      <c r="I141" s="1">
        <f>COSTS!$AA$28</f>
        <v>50</v>
      </c>
      <c r="J141" s="38">
        <f t="shared" si="5"/>
        <v>2276.39</v>
      </c>
      <c r="K141" s="38">
        <f t="shared" si="6"/>
        <v>517.36136363636365</v>
      </c>
      <c r="L141" s="151">
        <v>46023</v>
      </c>
      <c r="M141" s="1">
        <f>VLOOKUP(F:F,[1]Sheet1!$E:$F,2,FALSE)</f>
        <v>2311</v>
      </c>
    </row>
    <row r="142" spans="1:13" hidden="1">
      <c r="A142" s="1" t="s">
        <v>1296</v>
      </c>
      <c r="B142" s="1" t="s">
        <v>76</v>
      </c>
      <c r="C142" s="1" t="s">
        <v>1275</v>
      </c>
      <c r="D142" s="1" t="s">
        <v>136</v>
      </c>
      <c r="E142" s="1" t="str">
        <f>A142&amp;C142</f>
        <v>BARTOWSHELBY</v>
      </c>
      <c r="F142" s="1" t="str">
        <f>A142&amp;B142&amp;C142&amp;D142</f>
        <v>BARTOWGASHELBYNC</v>
      </c>
      <c r="G142" s="1">
        <v>725</v>
      </c>
      <c r="H142" s="38">
        <f>G142*COSTS!$AA$27</f>
        <v>1087.5</v>
      </c>
      <c r="I142" s="1">
        <f>COSTS!$AA$28</f>
        <v>50</v>
      </c>
      <c r="J142" s="38">
        <f t="shared" si="5"/>
        <v>1137.5</v>
      </c>
      <c r="K142" s="38">
        <f t="shared" si="6"/>
        <v>258.52272727272725</v>
      </c>
      <c r="L142" s="151">
        <v>46023</v>
      </c>
      <c r="M142" s="1">
        <f>VLOOKUP(F:F,[1]Sheet1!$E:$F,2,FALSE)</f>
        <v>650</v>
      </c>
    </row>
    <row r="143" spans="1:13" hidden="1">
      <c r="A143" s="1" t="s">
        <v>1297</v>
      </c>
      <c r="B143" s="1" t="s">
        <v>76</v>
      </c>
      <c r="C143" s="1" t="s">
        <v>847</v>
      </c>
      <c r="D143" s="1" t="s">
        <v>76</v>
      </c>
      <c r="E143" s="1" t="str">
        <f>A143&amp;(IF(C143="Garden City","Savannah",C143))</f>
        <v>BAXLEYSavannah</v>
      </c>
      <c r="F143" s="1" t="s">
        <v>857</v>
      </c>
      <c r="G143" s="1">
        <v>476.46000000000004</v>
      </c>
      <c r="H143" s="38">
        <f>G143*COSTS!$AA$27</f>
        <v>714.69</v>
      </c>
      <c r="I143" s="1">
        <f>COSTS!$AA$28</f>
        <v>50</v>
      </c>
      <c r="J143" s="38">
        <f t="shared" si="5"/>
        <v>764.69</v>
      </c>
      <c r="K143" s="38">
        <f t="shared" si="6"/>
        <v>173.79318181818181</v>
      </c>
      <c r="L143" s="151">
        <v>46023</v>
      </c>
      <c r="M143" s="1" t="e">
        <f>VLOOKUP(F:F,[1]Sheet1!$E:$F,2,FALSE)</f>
        <v>#N/A</v>
      </c>
    </row>
    <row r="144" spans="1:13" hidden="1">
      <c r="A144" s="1" t="s">
        <v>1297</v>
      </c>
      <c r="B144" s="1" t="s">
        <v>76</v>
      </c>
      <c r="C144" s="1" t="s">
        <v>1033</v>
      </c>
      <c r="D144" s="1" t="s">
        <v>168</v>
      </c>
      <c r="E144" s="1" t="str">
        <f>A144&amp;C144</f>
        <v>BAXLEYMEMPHIS</v>
      </c>
      <c r="F144" s="1" t="s">
        <v>1051</v>
      </c>
      <c r="G144" s="1">
        <v>1003.86</v>
      </c>
      <c r="H144" s="38">
        <f>G144*COSTS!$AA$27</f>
        <v>1505.79</v>
      </c>
      <c r="I144" s="1">
        <f>COSTS!$AA$28</f>
        <v>50</v>
      </c>
      <c r="J144" s="38">
        <f t="shared" si="5"/>
        <v>1555.79</v>
      </c>
      <c r="K144" s="38">
        <f t="shared" si="6"/>
        <v>353.5886363636364</v>
      </c>
      <c r="L144" s="151">
        <v>46023</v>
      </c>
      <c r="M144" s="1" t="e">
        <f>VLOOKUP(F:F,[1]Sheet1!$E:$F,2,FALSE)</f>
        <v>#N/A</v>
      </c>
    </row>
    <row r="145" spans="1:13" hidden="1">
      <c r="A145" s="1" t="s">
        <v>1297</v>
      </c>
      <c r="B145" s="1" t="s">
        <v>76</v>
      </c>
      <c r="C145" s="1" t="s">
        <v>1274</v>
      </c>
      <c r="D145" s="1" t="s">
        <v>71</v>
      </c>
      <c r="E145" s="1" t="str">
        <f>A145&amp;C145</f>
        <v>BAXLEYWESLACO</v>
      </c>
      <c r="F145" s="1" t="str">
        <f>A145&amp;B145&amp;C145&amp;D145</f>
        <v>BAXLEYGAWESLACOTX</v>
      </c>
      <c r="G145" s="1">
        <v>1483.32</v>
      </c>
      <c r="H145" s="38">
        <f>G145*COSTS!$AA$27</f>
        <v>2224.98</v>
      </c>
      <c r="I145" s="1">
        <f>COSTS!$AA$28</f>
        <v>50</v>
      </c>
      <c r="J145" s="38">
        <f t="shared" si="5"/>
        <v>2274.98</v>
      </c>
      <c r="K145" s="38">
        <f t="shared" si="6"/>
        <v>517.04090909090905</v>
      </c>
      <c r="L145" s="151">
        <v>46023</v>
      </c>
      <c r="M145" s="1">
        <f>VLOOKUP(F:F,[1]Sheet1!$E:$F,2,FALSE)</f>
        <v>2300</v>
      </c>
    </row>
    <row r="146" spans="1:13" hidden="1">
      <c r="A146" s="1" t="s">
        <v>1297</v>
      </c>
      <c r="B146" s="1" t="s">
        <v>76</v>
      </c>
      <c r="C146" s="1" t="s">
        <v>1275</v>
      </c>
      <c r="D146" s="1" t="s">
        <v>136</v>
      </c>
      <c r="E146" s="1" t="str">
        <f>A146&amp;C146</f>
        <v>BAXLEYSHELBY</v>
      </c>
      <c r="F146" s="1" t="str">
        <f>A146&amp;B146&amp;C146&amp;D146</f>
        <v>BAXLEYGASHELBYNC</v>
      </c>
      <c r="G146" s="1">
        <v>825</v>
      </c>
      <c r="H146" s="38">
        <f>G146*COSTS!$AA$27</f>
        <v>1237.5</v>
      </c>
      <c r="I146" s="1">
        <f>COSTS!$AA$28</f>
        <v>50</v>
      </c>
      <c r="J146" s="38">
        <f t="shared" si="5"/>
        <v>1287.5</v>
      </c>
      <c r="K146" s="38">
        <f t="shared" si="6"/>
        <v>292.61363636363637</v>
      </c>
      <c r="L146" s="151">
        <v>46023</v>
      </c>
      <c r="M146" s="1" t="e">
        <f>VLOOKUP(F:F,[1]Sheet1!$E:$F,2,FALSE)</f>
        <v>#N/A</v>
      </c>
    </row>
    <row r="147" spans="1:13" hidden="1">
      <c r="A147" s="1" t="s">
        <v>1302</v>
      </c>
      <c r="B147" s="1" t="s">
        <v>76</v>
      </c>
      <c r="C147" s="1" t="s">
        <v>847</v>
      </c>
      <c r="D147" s="1" t="s">
        <v>76</v>
      </c>
      <c r="E147" s="1" t="str">
        <f>A147&amp;(IF(C147="Garden City","Savannah",C147))</f>
        <v>BLAKELYSavannah</v>
      </c>
      <c r="F147" s="1" t="s">
        <v>862</v>
      </c>
      <c r="G147" s="1">
        <v>760.57</v>
      </c>
      <c r="H147" s="38">
        <f>G147*COSTS!$AA$27</f>
        <v>1140.855</v>
      </c>
      <c r="I147" s="1">
        <f>COSTS!$AA$28</f>
        <v>50</v>
      </c>
      <c r="J147" s="38">
        <f t="shared" si="5"/>
        <v>1190.855</v>
      </c>
      <c r="K147" s="38">
        <f t="shared" si="6"/>
        <v>270.64886363636367</v>
      </c>
      <c r="L147" s="151">
        <v>46023</v>
      </c>
      <c r="M147" s="1">
        <f>VLOOKUP(F:F,[1]Sheet1!$E:$F,2,FALSE)</f>
        <v>870</v>
      </c>
    </row>
    <row r="148" spans="1:13" hidden="1">
      <c r="A148" s="1" t="s">
        <v>1302</v>
      </c>
      <c r="B148" s="1" t="s">
        <v>76</v>
      </c>
      <c r="C148" s="1" t="s">
        <v>1033</v>
      </c>
      <c r="D148" s="1" t="s">
        <v>168</v>
      </c>
      <c r="E148" s="1" t="str">
        <f>A148&amp;C148</f>
        <v>BLAKELYMEMPHIS</v>
      </c>
      <c r="F148" s="1" t="s">
        <v>1059</v>
      </c>
      <c r="G148" s="1">
        <v>784</v>
      </c>
      <c r="H148" s="38">
        <f>G148*COSTS!$AA$27</f>
        <v>1176</v>
      </c>
      <c r="I148" s="1">
        <f>COSTS!$AA$28</f>
        <v>50</v>
      </c>
      <c r="J148" s="38">
        <f t="shared" si="5"/>
        <v>1226</v>
      </c>
      <c r="K148" s="38">
        <f t="shared" si="6"/>
        <v>278.63636363636363</v>
      </c>
      <c r="L148" s="151">
        <v>46023</v>
      </c>
      <c r="M148" s="1">
        <f>VLOOKUP(F:F,[1]Sheet1!$E:$F,2,FALSE)</f>
        <v>1190</v>
      </c>
    </row>
    <row r="149" spans="1:13" hidden="1">
      <c r="A149" s="1" t="s">
        <v>1302</v>
      </c>
      <c r="B149" s="1" t="s">
        <v>76</v>
      </c>
      <c r="C149" s="1" t="s">
        <v>1274</v>
      </c>
      <c r="D149" s="1" t="s">
        <v>71</v>
      </c>
      <c r="E149" s="1" t="str">
        <f>A149&amp;C149</f>
        <v>BLAKELYWESLACO</v>
      </c>
      <c r="F149" s="1" t="str">
        <f>A149&amp;B149&amp;C149&amp;D149</f>
        <v>BLAKELYGAWESLACOTX</v>
      </c>
      <c r="G149" s="1">
        <v>1264.3</v>
      </c>
      <c r="H149" s="38">
        <f>G149*COSTS!$AA$27</f>
        <v>1896.4499999999998</v>
      </c>
      <c r="I149" s="1">
        <f>COSTS!$AA$28</f>
        <v>50</v>
      </c>
      <c r="J149" s="38">
        <f t="shared" si="5"/>
        <v>1946.4499999999998</v>
      </c>
      <c r="K149" s="38">
        <f t="shared" si="6"/>
        <v>442.375</v>
      </c>
      <c r="L149" s="151">
        <v>46023</v>
      </c>
      <c r="M149" s="1">
        <f>VLOOKUP(F:F,[1]Sheet1!$E:$F,2,FALSE)</f>
        <v>1542</v>
      </c>
    </row>
    <row r="150" spans="1:13" hidden="1">
      <c r="A150" s="1" t="s">
        <v>1302</v>
      </c>
      <c r="B150" s="1" t="s">
        <v>76</v>
      </c>
      <c r="C150" s="1" t="s">
        <v>1275</v>
      </c>
      <c r="D150" s="1" t="s">
        <v>136</v>
      </c>
      <c r="E150" s="1" t="str">
        <f>A150&amp;C150</f>
        <v>BLAKELYSHELBY</v>
      </c>
      <c r="F150" s="1" t="str">
        <f>A150&amp;B150&amp;C150&amp;D150</f>
        <v>BLAKELYGASHELBYNC</v>
      </c>
      <c r="G150" s="1">
        <v>904</v>
      </c>
      <c r="H150" s="38">
        <f>G150*COSTS!$AA$27</f>
        <v>1356</v>
      </c>
      <c r="I150" s="1">
        <f>COSTS!$AA$28</f>
        <v>50</v>
      </c>
      <c r="J150" s="38">
        <f t="shared" si="5"/>
        <v>1406</v>
      </c>
      <c r="K150" s="38">
        <f t="shared" si="6"/>
        <v>319.5454545454545</v>
      </c>
      <c r="L150" s="151">
        <v>46023</v>
      </c>
      <c r="M150" s="1">
        <f>VLOOKUP(F:F,[1]Sheet1!$E:$F,2,FALSE)</f>
        <v>1060</v>
      </c>
    </row>
    <row r="151" spans="1:13" hidden="1">
      <c r="A151" s="1" t="s">
        <v>1304</v>
      </c>
      <c r="B151" s="1" t="s">
        <v>76</v>
      </c>
      <c r="C151" s="1" t="s">
        <v>847</v>
      </c>
      <c r="D151" s="1" t="s">
        <v>76</v>
      </c>
      <c r="E151" s="1" t="str">
        <f>A151&amp;(IF(C151="Garden City","Savannah",C151))</f>
        <v>BOSTONSavannah</v>
      </c>
      <c r="F151" s="1" t="s">
        <v>864</v>
      </c>
      <c r="G151" s="1">
        <v>627.81333333333339</v>
      </c>
      <c r="H151" s="38">
        <f>G151*COSTS!$AA$27</f>
        <v>941.72</v>
      </c>
      <c r="I151" s="1">
        <f>COSTS!$AA$28</f>
        <v>50</v>
      </c>
      <c r="J151" s="38">
        <f t="shared" si="5"/>
        <v>991.72</v>
      </c>
      <c r="K151" s="38">
        <f t="shared" si="6"/>
        <v>225.39090909090908</v>
      </c>
      <c r="L151" s="151">
        <v>46023</v>
      </c>
      <c r="M151" s="1">
        <f>VLOOKUP(F:F,[1]Sheet1!$E:$F,2,FALSE)</f>
        <v>730</v>
      </c>
    </row>
    <row r="152" spans="1:13" hidden="1">
      <c r="A152" s="1" t="s">
        <v>1304</v>
      </c>
      <c r="B152" s="1" t="s">
        <v>76</v>
      </c>
      <c r="C152" s="1" t="s">
        <v>1033</v>
      </c>
      <c r="D152" s="1" t="s">
        <v>168</v>
      </c>
      <c r="E152" s="1" t="str">
        <f>A152&amp;C152</f>
        <v>BOSTONMEMPHIS</v>
      </c>
      <c r="F152" s="1" t="s">
        <v>1061</v>
      </c>
      <c r="G152" s="1">
        <v>885.09</v>
      </c>
      <c r="H152" s="38">
        <f>G152*COSTS!$AA$27</f>
        <v>1327.635</v>
      </c>
      <c r="I152" s="1">
        <f>COSTS!$AA$28</f>
        <v>50</v>
      </c>
      <c r="J152" s="38">
        <f t="shared" si="5"/>
        <v>1377.635</v>
      </c>
      <c r="K152" s="38">
        <f t="shared" si="6"/>
        <v>313.0988636363636</v>
      </c>
      <c r="L152" s="151">
        <v>46023</v>
      </c>
      <c r="M152" s="1">
        <f>VLOOKUP(F:F,[1]Sheet1!$E:$F,2,FALSE)</f>
        <v>1360</v>
      </c>
    </row>
    <row r="153" spans="1:13" hidden="1">
      <c r="A153" s="1" t="s">
        <v>1304</v>
      </c>
      <c r="B153" s="1" t="s">
        <v>76</v>
      </c>
      <c r="C153" s="1" t="s">
        <v>1274</v>
      </c>
      <c r="D153" s="1" t="s">
        <v>71</v>
      </c>
      <c r="E153" s="1" t="str">
        <f>A153&amp;C153</f>
        <v>BOSTONWESLACO</v>
      </c>
      <c r="F153" s="1" t="str">
        <f>A153&amp;B153&amp;C153&amp;D153</f>
        <v>BOSTONGAWESLACOTX</v>
      </c>
      <c r="G153" s="1">
        <v>1292.5</v>
      </c>
      <c r="H153" s="38">
        <f>G153*COSTS!$AA$27</f>
        <v>1938.75</v>
      </c>
      <c r="I153" s="1">
        <f>COSTS!$AA$28</f>
        <v>50</v>
      </c>
      <c r="J153" s="38">
        <f t="shared" si="5"/>
        <v>1988.75</v>
      </c>
      <c r="K153" s="38">
        <f t="shared" si="6"/>
        <v>451.98863636363632</v>
      </c>
      <c r="L153" s="151">
        <v>46023</v>
      </c>
      <c r="M153" s="1">
        <f>VLOOKUP(F:F,[1]Sheet1!$E:$F,2,FALSE)</f>
        <v>1608</v>
      </c>
    </row>
    <row r="154" spans="1:13" hidden="1">
      <c r="A154" s="1" t="s">
        <v>1304</v>
      </c>
      <c r="B154" s="1" t="s">
        <v>76</v>
      </c>
      <c r="C154" s="1" t="s">
        <v>1275</v>
      </c>
      <c r="D154" s="1" t="s">
        <v>136</v>
      </c>
      <c r="E154" s="1" t="str">
        <f>A154&amp;C154</f>
        <v>BOSTONSHELBY</v>
      </c>
      <c r="F154" s="1" t="str">
        <f>A154&amp;B154&amp;C154&amp;D154</f>
        <v>BOSTONGASHELBYNC</v>
      </c>
      <c r="G154" s="1">
        <v>975</v>
      </c>
      <c r="H154" s="38">
        <f>G154*COSTS!$AA$27</f>
        <v>1462.5</v>
      </c>
      <c r="I154" s="1">
        <f>COSTS!$AA$28</f>
        <v>50</v>
      </c>
      <c r="J154" s="38">
        <f t="shared" si="5"/>
        <v>1512.5</v>
      </c>
      <c r="K154" s="38">
        <f t="shared" si="6"/>
        <v>343.75</v>
      </c>
      <c r="L154" s="151">
        <v>46023</v>
      </c>
      <c r="M154" s="1">
        <f>VLOOKUP(F:F,[1]Sheet1!$E:$F,2,FALSE)</f>
        <v>1140</v>
      </c>
    </row>
    <row r="155" spans="1:13" hidden="1">
      <c r="A155" s="1" t="s">
        <v>1305</v>
      </c>
      <c r="B155" s="1" t="s">
        <v>76</v>
      </c>
      <c r="C155" s="1" t="s">
        <v>847</v>
      </c>
      <c r="D155" s="1" t="s">
        <v>76</v>
      </c>
      <c r="E155" s="1" t="str">
        <f>A155&amp;(IF(C155="Garden City","Savannah",C155))</f>
        <v>BOSTWICKSavannah</v>
      </c>
      <c r="F155" s="1" t="s">
        <v>865</v>
      </c>
      <c r="G155" s="1">
        <v>652.29333333333341</v>
      </c>
      <c r="H155" s="38">
        <f>G155*COSTS!$AA$27</f>
        <v>978.44</v>
      </c>
      <c r="I155" s="1">
        <f>COSTS!$AA$28</f>
        <v>50</v>
      </c>
      <c r="J155" s="38">
        <f t="shared" si="5"/>
        <v>1028.44</v>
      </c>
      <c r="K155" s="38">
        <f t="shared" si="6"/>
        <v>233.73636363636365</v>
      </c>
      <c r="L155" s="151">
        <v>46023</v>
      </c>
      <c r="M155" s="1" t="e">
        <f>VLOOKUP(F:F,[1]Sheet1!$E:$F,2,FALSE)</f>
        <v>#N/A</v>
      </c>
    </row>
    <row r="156" spans="1:13" hidden="1">
      <c r="A156" s="1" t="s">
        <v>1306</v>
      </c>
      <c r="B156" s="1" t="s">
        <v>76</v>
      </c>
      <c r="C156" s="1" t="s">
        <v>847</v>
      </c>
      <c r="D156" s="1" t="s">
        <v>76</v>
      </c>
      <c r="E156" s="1" t="str">
        <f>A156&amp;(IF(C156="Garden City","Savannah",C156))</f>
        <v>BRONWOODSavannah</v>
      </c>
      <c r="F156" s="1" t="s">
        <v>866</v>
      </c>
      <c r="G156" s="1">
        <v>506.72</v>
      </c>
      <c r="H156" s="38">
        <f>G156*COSTS!$AA$27</f>
        <v>760.08</v>
      </c>
      <c r="I156" s="1">
        <f>COSTS!$AA$28</f>
        <v>50</v>
      </c>
      <c r="J156" s="38">
        <f t="shared" si="5"/>
        <v>810.08</v>
      </c>
      <c r="K156" s="38">
        <f t="shared" si="6"/>
        <v>184.1090909090909</v>
      </c>
      <c r="L156" s="151">
        <v>46023</v>
      </c>
      <c r="M156" s="1" t="e">
        <f>VLOOKUP(F:F,[1]Sheet1!$E:$F,2,FALSE)</f>
        <v>#N/A</v>
      </c>
    </row>
    <row r="157" spans="1:13" hidden="1">
      <c r="A157" s="1" t="s">
        <v>1306</v>
      </c>
      <c r="B157" s="1" t="s">
        <v>76</v>
      </c>
      <c r="C157" s="1" t="s">
        <v>1033</v>
      </c>
      <c r="D157" s="1" t="s">
        <v>168</v>
      </c>
      <c r="E157" s="1" t="str">
        <f>A157&amp;C157</f>
        <v>BRONWOODMEMPHIS</v>
      </c>
      <c r="F157" s="1" t="s">
        <v>1064</v>
      </c>
      <c r="G157" s="1">
        <v>787.29</v>
      </c>
      <c r="H157" s="38">
        <f>G157*COSTS!$AA$27</f>
        <v>1180.9349999999999</v>
      </c>
      <c r="I157" s="1">
        <f>COSTS!$AA$28</f>
        <v>50</v>
      </c>
      <c r="J157" s="38">
        <f t="shared" si="5"/>
        <v>1230.9349999999999</v>
      </c>
      <c r="K157" s="38">
        <f t="shared" si="6"/>
        <v>279.75795454545454</v>
      </c>
      <c r="L157" s="151">
        <v>46023</v>
      </c>
      <c r="M157" s="1" t="e">
        <f>VLOOKUP(F:F,[1]Sheet1!$E:$F,2,FALSE)</f>
        <v>#N/A</v>
      </c>
    </row>
    <row r="158" spans="1:13" hidden="1">
      <c r="A158" s="1" t="s">
        <v>1306</v>
      </c>
      <c r="B158" s="1" t="s">
        <v>76</v>
      </c>
      <c r="C158" s="1" t="s">
        <v>1274</v>
      </c>
      <c r="D158" s="1" t="s">
        <v>71</v>
      </c>
      <c r="E158" s="1" t="str">
        <f>A158&amp;C158</f>
        <v>BRONWOODWESLACO</v>
      </c>
      <c r="F158" s="1" t="str">
        <f>A158&amp;B158&amp;C158&amp;D158</f>
        <v>BRONWOODGAWESLACOTX</v>
      </c>
      <c r="G158" s="1">
        <v>1324.46</v>
      </c>
      <c r="H158" s="38">
        <f>G158*COSTS!$AA$27</f>
        <v>1986.69</v>
      </c>
      <c r="I158" s="1">
        <f>COSTS!$AA$28</f>
        <v>50</v>
      </c>
      <c r="J158" s="38">
        <f t="shared" si="5"/>
        <v>2036.69</v>
      </c>
      <c r="K158" s="38">
        <f t="shared" si="6"/>
        <v>462.8840909090909</v>
      </c>
      <c r="L158" s="151">
        <v>46023</v>
      </c>
      <c r="M158" s="1">
        <f>VLOOKUP(F:F,[1]Sheet1!$E:$F,2,FALSE)</f>
        <v>1608</v>
      </c>
    </row>
    <row r="159" spans="1:13" hidden="1">
      <c r="A159" s="1" t="s">
        <v>1306</v>
      </c>
      <c r="B159" s="1" t="s">
        <v>76</v>
      </c>
      <c r="C159" s="1" t="s">
        <v>1275</v>
      </c>
      <c r="D159" s="1" t="s">
        <v>136</v>
      </c>
      <c r="E159" s="1" t="str">
        <f>A159&amp;C159</f>
        <v>BRONWOODSHELBY</v>
      </c>
      <c r="F159" s="1" t="str">
        <f>A159&amp;B159&amp;C159&amp;D159</f>
        <v>BRONWOODGASHELBYNC</v>
      </c>
      <c r="G159" s="1">
        <v>836</v>
      </c>
      <c r="H159" s="38">
        <f>G159*COSTS!$AA$27</f>
        <v>1254</v>
      </c>
      <c r="I159" s="1">
        <f>COSTS!$AA$28</f>
        <v>50</v>
      </c>
      <c r="J159" s="38">
        <f t="shared" si="5"/>
        <v>1304</v>
      </c>
      <c r="K159" s="38">
        <f t="shared" si="6"/>
        <v>296.36363636363637</v>
      </c>
      <c r="L159" s="151">
        <v>46023</v>
      </c>
      <c r="M159" s="1" t="e">
        <f>VLOOKUP(F:F,[1]Sheet1!$E:$F,2,FALSE)</f>
        <v>#N/A</v>
      </c>
    </row>
    <row r="160" spans="1:13" hidden="1">
      <c r="A160" s="1" t="s">
        <v>1307</v>
      </c>
      <c r="B160" s="1" t="s">
        <v>76</v>
      </c>
      <c r="C160" s="1" t="s">
        <v>847</v>
      </c>
      <c r="D160" s="1" t="s">
        <v>76</v>
      </c>
      <c r="E160" s="1" t="str">
        <f>A160&amp;(IF(C160="Garden City","Savannah",C160))</f>
        <v>BROOKFIELDSavannah</v>
      </c>
      <c r="F160" s="1" t="s">
        <v>867</v>
      </c>
      <c r="G160" s="1">
        <v>576.14666666666665</v>
      </c>
      <c r="H160" s="38">
        <f>G160*COSTS!$AA$27</f>
        <v>864.22</v>
      </c>
      <c r="I160" s="1">
        <f>COSTS!$AA$28</f>
        <v>50</v>
      </c>
      <c r="J160" s="38">
        <f t="shared" si="5"/>
        <v>914.22</v>
      </c>
      <c r="K160" s="38">
        <f t="shared" si="6"/>
        <v>207.77727272727273</v>
      </c>
      <c r="L160" s="151">
        <v>46023</v>
      </c>
      <c r="M160" s="1" t="e">
        <f>VLOOKUP(F:F,[1]Sheet1!$E:$F,2,FALSE)</f>
        <v>#N/A</v>
      </c>
    </row>
    <row r="161" spans="1:13" hidden="1">
      <c r="A161" s="1" t="s">
        <v>1308</v>
      </c>
      <c r="B161" s="1" t="s">
        <v>76</v>
      </c>
      <c r="C161" s="1" t="s">
        <v>847</v>
      </c>
      <c r="D161" s="1" t="s">
        <v>76</v>
      </c>
      <c r="E161" s="1" t="str">
        <f>A161&amp;(IF(C161="Garden City","Savannah",C161))</f>
        <v>BROOKLETSavannah</v>
      </c>
      <c r="F161" s="1" t="s">
        <v>868</v>
      </c>
      <c r="G161" s="1">
        <v>363.54333333333335</v>
      </c>
      <c r="H161" s="38">
        <f>G161*COSTS!$AA$27</f>
        <v>545.31500000000005</v>
      </c>
      <c r="I161" s="1">
        <f>COSTS!$AA$28</f>
        <v>50</v>
      </c>
      <c r="J161" s="38">
        <f t="shared" si="5"/>
        <v>595.31500000000005</v>
      </c>
      <c r="K161" s="38">
        <f t="shared" si="6"/>
        <v>135.29886363636365</v>
      </c>
      <c r="L161" s="151">
        <v>46023</v>
      </c>
      <c r="M161" s="1">
        <f>VLOOKUP(F:F,[1]Sheet1!$E:$F,2,FALSE)</f>
        <v>480</v>
      </c>
    </row>
    <row r="162" spans="1:13" hidden="1">
      <c r="A162" s="1" t="s">
        <v>1308</v>
      </c>
      <c r="B162" s="1" t="s">
        <v>76</v>
      </c>
      <c r="C162" s="1" t="s">
        <v>1033</v>
      </c>
      <c r="D162" s="1" t="s">
        <v>168</v>
      </c>
      <c r="E162" s="1" t="str">
        <f>A162&amp;C162</f>
        <v>BROOKLETMEMPHIS</v>
      </c>
      <c r="F162" s="1" t="s">
        <v>1065</v>
      </c>
      <c r="G162" s="1">
        <v>1050</v>
      </c>
      <c r="H162" s="38">
        <f>G162*COSTS!$AA$27</f>
        <v>1575</v>
      </c>
      <c r="I162" s="1">
        <f>COSTS!$AA$28</f>
        <v>50</v>
      </c>
      <c r="J162" s="38">
        <f t="shared" si="5"/>
        <v>1625</v>
      </c>
      <c r="K162" s="38">
        <f t="shared" si="6"/>
        <v>369.31818181818181</v>
      </c>
      <c r="L162" s="151">
        <v>46023</v>
      </c>
      <c r="M162" s="1">
        <f>VLOOKUP(F:F,[1]Sheet1!$E:$F,2,FALSE)</f>
        <v>1510</v>
      </c>
    </row>
    <row r="163" spans="1:13" hidden="1">
      <c r="A163" s="1" t="s">
        <v>1308</v>
      </c>
      <c r="B163" s="1" t="s">
        <v>76</v>
      </c>
      <c r="C163" s="1" t="s">
        <v>1274</v>
      </c>
      <c r="D163" s="1" t="s">
        <v>71</v>
      </c>
      <c r="E163" s="1" t="str">
        <f>A163&amp;C163</f>
        <v>BROOKLETWESLACO</v>
      </c>
      <c r="F163" s="1" t="str">
        <f>A163&amp;B163&amp;C163&amp;D163</f>
        <v>BROOKLETGAWESLACOTX</v>
      </c>
      <c r="G163" s="1">
        <v>1559.4599999999998</v>
      </c>
      <c r="H163" s="38">
        <f>G163*COSTS!$AA$27</f>
        <v>2339.1899999999996</v>
      </c>
      <c r="I163" s="1">
        <f>COSTS!$AA$28</f>
        <v>50</v>
      </c>
      <c r="J163" s="38">
        <f t="shared" si="5"/>
        <v>2389.1899999999996</v>
      </c>
      <c r="K163" s="38">
        <f t="shared" si="6"/>
        <v>542.99772727272716</v>
      </c>
      <c r="L163" s="151">
        <v>46023</v>
      </c>
      <c r="M163" s="1">
        <f>VLOOKUP(F:F,[1]Sheet1!$E:$F,2,FALSE)</f>
        <v>2435</v>
      </c>
    </row>
    <row r="164" spans="1:13" hidden="1">
      <c r="A164" s="1" t="s">
        <v>1308</v>
      </c>
      <c r="B164" s="1" t="s">
        <v>76</v>
      </c>
      <c r="C164" s="1" t="s">
        <v>1275</v>
      </c>
      <c r="D164" s="1" t="s">
        <v>136</v>
      </c>
      <c r="E164" s="1" t="str">
        <f>A164&amp;C164</f>
        <v>BROOKLETSHELBY</v>
      </c>
      <c r="F164" s="1" t="str">
        <f>A164&amp;B164&amp;C164&amp;D164</f>
        <v>BROOKLETGASHELBYNC</v>
      </c>
      <c r="G164" s="1">
        <v>725</v>
      </c>
      <c r="H164" s="38">
        <f>G164*COSTS!$AA$27</f>
        <v>1087.5</v>
      </c>
      <c r="I164" s="1">
        <f>COSTS!$AA$28</f>
        <v>50</v>
      </c>
      <c r="J164" s="38">
        <f t="shared" si="5"/>
        <v>1137.5</v>
      </c>
      <c r="K164" s="38">
        <f t="shared" si="6"/>
        <v>258.52272727272725</v>
      </c>
      <c r="L164" s="151">
        <v>46023</v>
      </c>
      <c r="M164" s="1">
        <f>VLOOKUP(F:F,[1]Sheet1!$E:$F,2,FALSE)</f>
        <v>700</v>
      </c>
    </row>
    <row r="165" spans="1:13" hidden="1">
      <c r="A165" s="1" t="s">
        <v>1310</v>
      </c>
      <c r="B165" s="1" t="s">
        <v>76</v>
      </c>
      <c r="C165" s="1" t="s">
        <v>847</v>
      </c>
      <c r="D165" s="1" t="s">
        <v>76</v>
      </c>
      <c r="E165" s="1" t="str">
        <f>A165&amp;(IF(C165="Garden City","Savannah",C165))</f>
        <v>BUENA VISTASavannah</v>
      </c>
      <c r="F165" s="1" t="s">
        <v>870</v>
      </c>
      <c r="G165" s="1">
        <v>644.48</v>
      </c>
      <c r="H165" s="38">
        <f>G165*COSTS!$AA$27</f>
        <v>966.72</v>
      </c>
      <c r="I165" s="1">
        <f>COSTS!$AA$28</f>
        <v>50</v>
      </c>
      <c r="J165" s="38">
        <f t="shared" si="5"/>
        <v>1016.72</v>
      </c>
      <c r="K165" s="38">
        <f t="shared" si="6"/>
        <v>231.07272727272729</v>
      </c>
      <c r="L165" s="151">
        <v>46023</v>
      </c>
      <c r="M165" s="1">
        <f>VLOOKUP(F:F,[1]Sheet1!$E:$F,2,FALSE)</f>
        <v>760</v>
      </c>
    </row>
    <row r="166" spans="1:13" hidden="1">
      <c r="A166" s="1" t="s">
        <v>1310</v>
      </c>
      <c r="B166" s="1" t="s">
        <v>76</v>
      </c>
      <c r="C166" s="1" t="s">
        <v>1033</v>
      </c>
      <c r="D166" s="1" t="s">
        <v>168</v>
      </c>
      <c r="E166" s="1" t="str">
        <f>A166&amp;C166</f>
        <v>BUENA VISTAMEMPHIS</v>
      </c>
      <c r="F166" s="1" t="s">
        <v>1067</v>
      </c>
      <c r="G166" s="1">
        <v>790</v>
      </c>
      <c r="H166" s="38">
        <f>G166*COSTS!$AA$27</f>
        <v>1185</v>
      </c>
      <c r="I166" s="1">
        <f>COSTS!$AA$28</f>
        <v>50</v>
      </c>
      <c r="J166" s="38">
        <f t="shared" si="5"/>
        <v>1235</v>
      </c>
      <c r="K166" s="38">
        <f t="shared" si="6"/>
        <v>280.68181818181819</v>
      </c>
      <c r="L166" s="151">
        <v>46023</v>
      </c>
      <c r="M166" s="1">
        <f>VLOOKUP(F:F,[1]Sheet1!$E:$F,2,FALSE)</f>
        <v>1070</v>
      </c>
    </row>
    <row r="167" spans="1:13" hidden="1">
      <c r="A167" s="1" t="s">
        <v>1310</v>
      </c>
      <c r="B167" s="1" t="s">
        <v>76</v>
      </c>
      <c r="C167" s="1" t="s">
        <v>1274</v>
      </c>
      <c r="D167" s="1" t="s">
        <v>71</v>
      </c>
      <c r="E167" s="1" t="str">
        <f>A167&amp;C167</f>
        <v>BUENA VISTAWESLACO</v>
      </c>
      <c r="F167" s="1" t="str">
        <f>A167&amp;B167&amp;C167&amp;D167</f>
        <v>BUENA VISTAGAWESLACOTX</v>
      </c>
      <c r="G167" s="1">
        <v>1343.26</v>
      </c>
      <c r="H167" s="38">
        <f>G167*COSTS!$AA$27</f>
        <v>2014.8899999999999</v>
      </c>
      <c r="I167" s="1">
        <f>COSTS!$AA$28</f>
        <v>50</v>
      </c>
      <c r="J167" s="38">
        <f t="shared" si="5"/>
        <v>2064.89</v>
      </c>
      <c r="K167" s="38">
        <f t="shared" si="6"/>
        <v>469.29318181818184</v>
      </c>
      <c r="L167" s="151">
        <v>46023</v>
      </c>
      <c r="M167" s="1">
        <f>VLOOKUP(F:F,[1]Sheet1!$E:$F,2,FALSE)</f>
        <v>1576</v>
      </c>
    </row>
    <row r="168" spans="1:13" hidden="1">
      <c r="A168" s="1" t="s">
        <v>1310</v>
      </c>
      <c r="B168" s="1" t="s">
        <v>76</v>
      </c>
      <c r="C168" s="1" t="s">
        <v>1275</v>
      </c>
      <c r="D168" s="1" t="s">
        <v>136</v>
      </c>
      <c r="E168" s="1" t="str">
        <f>A168&amp;C168</f>
        <v>BUENA VISTASHELBY</v>
      </c>
      <c r="F168" s="1" t="str">
        <f>A168&amp;B168&amp;C168&amp;D168</f>
        <v>BUENA VISTAGASHELBYNC</v>
      </c>
      <c r="G168" s="1">
        <v>840</v>
      </c>
      <c r="H168" s="38">
        <f>G168*COSTS!$AA$27</f>
        <v>1260</v>
      </c>
      <c r="I168" s="1">
        <f>COSTS!$AA$28</f>
        <v>50</v>
      </c>
      <c r="J168" s="38">
        <f t="shared" si="5"/>
        <v>1310</v>
      </c>
      <c r="K168" s="38">
        <f t="shared" si="6"/>
        <v>297.72727272727275</v>
      </c>
      <c r="L168" s="151">
        <v>46023</v>
      </c>
      <c r="M168" s="1">
        <f>VLOOKUP(F:F,[1]Sheet1!$E:$F,2,FALSE)</f>
        <v>890</v>
      </c>
    </row>
    <row r="169" spans="1:13" hidden="1">
      <c r="A169" s="1" t="s">
        <v>1311</v>
      </c>
      <c r="B169" s="1" t="s">
        <v>76</v>
      </c>
      <c r="C169" s="1" t="s">
        <v>847</v>
      </c>
      <c r="D169" s="1" t="s">
        <v>76</v>
      </c>
      <c r="E169" s="1" t="str">
        <f>A169&amp;(IF(C169="Garden City","Savannah",C169))</f>
        <v>BYROMVILLESavannah</v>
      </c>
      <c r="F169" s="1" t="s">
        <v>871</v>
      </c>
      <c r="G169" s="1">
        <v>558.28</v>
      </c>
      <c r="H169" s="38">
        <f>G169*COSTS!$AA$27</f>
        <v>837.42</v>
      </c>
      <c r="I169" s="1">
        <f>COSTS!$AA$28</f>
        <v>50</v>
      </c>
      <c r="J169" s="38">
        <f t="shared" si="5"/>
        <v>887.42</v>
      </c>
      <c r="K169" s="38">
        <f t="shared" si="6"/>
        <v>201.68636363636364</v>
      </c>
      <c r="L169" s="151">
        <v>46023</v>
      </c>
      <c r="M169" s="1" t="e">
        <f>VLOOKUP(F:F,[1]Sheet1!$E:$F,2,FALSE)</f>
        <v>#N/A</v>
      </c>
    </row>
    <row r="170" spans="1:13" hidden="1">
      <c r="A170" s="1" t="s">
        <v>1311</v>
      </c>
      <c r="B170" s="1" t="s">
        <v>76</v>
      </c>
      <c r="C170" s="1" t="s">
        <v>1033</v>
      </c>
      <c r="D170" s="1" t="s">
        <v>168</v>
      </c>
      <c r="E170" s="1" t="str">
        <f>A170&amp;C170</f>
        <v>BYROMVILLEMEMPHIS</v>
      </c>
      <c r="F170" s="1" t="s">
        <v>1069</v>
      </c>
      <c r="G170" s="1">
        <v>844.2</v>
      </c>
      <c r="H170" s="38">
        <f>G170*COSTS!$AA$27</f>
        <v>1266.3000000000002</v>
      </c>
      <c r="I170" s="1">
        <f>COSTS!$AA$28</f>
        <v>50</v>
      </c>
      <c r="J170" s="38">
        <f t="shared" si="5"/>
        <v>1316.3000000000002</v>
      </c>
      <c r="K170" s="38">
        <f t="shared" si="6"/>
        <v>299.15909090909099</v>
      </c>
      <c r="L170" s="151">
        <v>46023</v>
      </c>
      <c r="M170" s="1" t="e">
        <f>VLOOKUP(F:F,[1]Sheet1!$E:$F,2,FALSE)</f>
        <v>#N/A</v>
      </c>
    </row>
    <row r="171" spans="1:13" hidden="1">
      <c r="A171" s="1" t="s">
        <v>1313</v>
      </c>
      <c r="B171" s="1" t="s">
        <v>76</v>
      </c>
      <c r="C171" s="1" t="s">
        <v>847</v>
      </c>
      <c r="D171" s="1" t="s">
        <v>76</v>
      </c>
      <c r="E171" s="1" t="str">
        <f>A171&amp;(IF(C171="Garden City","Savannah",C171))</f>
        <v>CAMILLASavannah</v>
      </c>
      <c r="F171" s="1" t="s">
        <v>873</v>
      </c>
      <c r="G171" s="1">
        <v>506.72</v>
      </c>
      <c r="H171" s="38">
        <f>G171*COSTS!$AA$27</f>
        <v>760.08</v>
      </c>
      <c r="I171" s="1">
        <f>COSTS!$AA$28</f>
        <v>50</v>
      </c>
      <c r="J171" s="38">
        <f t="shared" si="5"/>
        <v>810.08</v>
      </c>
      <c r="K171" s="38">
        <f t="shared" si="6"/>
        <v>184.1090909090909</v>
      </c>
      <c r="L171" s="151">
        <v>46023</v>
      </c>
      <c r="M171" s="1" t="e">
        <f>VLOOKUP(F:F,[1]Sheet1!$E:$F,2,FALSE)</f>
        <v>#N/A</v>
      </c>
    </row>
    <row r="172" spans="1:13" hidden="1">
      <c r="A172" s="1" t="s">
        <v>1313</v>
      </c>
      <c r="B172" s="1" t="s">
        <v>76</v>
      </c>
      <c r="C172" s="1" t="s">
        <v>1033</v>
      </c>
      <c r="D172" s="1" t="s">
        <v>168</v>
      </c>
      <c r="E172" s="1" t="str">
        <f>A172&amp;C172</f>
        <v>CAMILLAMEMPHIS</v>
      </c>
      <c r="F172" s="1" t="s">
        <v>1072</v>
      </c>
      <c r="G172" s="1">
        <v>823.15</v>
      </c>
      <c r="H172" s="38">
        <f>G172*COSTS!$AA$27</f>
        <v>1234.7249999999999</v>
      </c>
      <c r="I172" s="1">
        <f>COSTS!$AA$28</f>
        <v>50</v>
      </c>
      <c r="J172" s="38">
        <f t="shared" si="5"/>
        <v>1284.7249999999999</v>
      </c>
      <c r="K172" s="38">
        <f t="shared" si="6"/>
        <v>291.9829545454545</v>
      </c>
      <c r="L172" s="151">
        <v>46023</v>
      </c>
      <c r="M172" s="1" t="e">
        <f>VLOOKUP(F:F,[1]Sheet1!$E:$F,2,FALSE)</f>
        <v>#N/A</v>
      </c>
    </row>
    <row r="173" spans="1:13" hidden="1">
      <c r="A173" s="1" t="s">
        <v>1313</v>
      </c>
      <c r="B173" s="1" t="s">
        <v>76</v>
      </c>
      <c r="C173" s="1" t="s">
        <v>1274</v>
      </c>
      <c r="D173" s="1" t="s">
        <v>71</v>
      </c>
      <c r="E173" s="1" t="str">
        <f>A173&amp;C173</f>
        <v>CAMILLAWESLACO</v>
      </c>
      <c r="F173" s="1" t="str">
        <f>A173&amp;B173&amp;C173&amp;D173</f>
        <v>CAMILLAGAWESLACOTX</v>
      </c>
      <c r="G173" s="1">
        <v>1306.5999999999999</v>
      </c>
      <c r="H173" s="38">
        <f>G173*COSTS!$AA$27</f>
        <v>1959.8999999999999</v>
      </c>
      <c r="I173" s="1">
        <f>COSTS!$AA$28</f>
        <v>50</v>
      </c>
      <c r="J173" s="38">
        <f t="shared" si="5"/>
        <v>2009.8999999999999</v>
      </c>
      <c r="K173" s="38">
        <f t="shared" si="6"/>
        <v>456.79545454545456</v>
      </c>
      <c r="L173" s="151">
        <v>46023</v>
      </c>
      <c r="M173" s="1">
        <f>VLOOKUP(F:F,[1]Sheet1!$E:$F,2,FALSE)</f>
        <v>1471</v>
      </c>
    </row>
    <row r="174" spans="1:13" hidden="1">
      <c r="A174" s="1" t="s">
        <v>1318</v>
      </c>
      <c r="B174" s="1" t="s">
        <v>76</v>
      </c>
      <c r="C174" s="1" t="s">
        <v>847</v>
      </c>
      <c r="D174" s="1" t="s">
        <v>76</v>
      </c>
      <c r="E174" s="1" t="str">
        <f>A174&amp;(IF(C174="Garden City","Savannah",C174))</f>
        <v>CLIMAXSavannah</v>
      </c>
      <c r="F174" s="1" t="s">
        <v>878</v>
      </c>
      <c r="G174" s="1">
        <v>708.75999999999988</v>
      </c>
      <c r="H174" s="38">
        <f>G174*COSTS!$AA$27</f>
        <v>1063.1399999999999</v>
      </c>
      <c r="I174" s="1">
        <f>COSTS!$AA$28</f>
        <v>50</v>
      </c>
      <c r="J174" s="38">
        <f t="shared" si="5"/>
        <v>1113.1399999999999</v>
      </c>
      <c r="K174" s="38">
        <f t="shared" si="6"/>
        <v>252.98636363636362</v>
      </c>
      <c r="L174" s="151">
        <v>46023</v>
      </c>
      <c r="M174" s="1">
        <f>VLOOKUP(F:F,[1]Sheet1!$E:$F,2,FALSE)</f>
        <v>800</v>
      </c>
    </row>
    <row r="175" spans="1:13" hidden="1">
      <c r="A175" s="1" t="s">
        <v>1318</v>
      </c>
      <c r="B175" s="1" t="s">
        <v>76</v>
      </c>
      <c r="C175" s="1" t="s">
        <v>1033</v>
      </c>
      <c r="D175" s="1" t="s">
        <v>168</v>
      </c>
      <c r="E175" s="1" t="str">
        <f>A175&amp;C175</f>
        <v>CLIMAXMEMPHIS</v>
      </c>
      <c r="F175" s="1" t="s">
        <v>1079</v>
      </c>
      <c r="G175" s="1">
        <v>850</v>
      </c>
      <c r="H175" s="38">
        <f>G175*COSTS!$AA$27</f>
        <v>1275</v>
      </c>
      <c r="I175" s="1">
        <f>COSTS!$AA$28</f>
        <v>50</v>
      </c>
      <c r="J175" s="38">
        <f t="shared" si="5"/>
        <v>1325</v>
      </c>
      <c r="K175" s="38">
        <f t="shared" si="6"/>
        <v>301.13636363636363</v>
      </c>
      <c r="L175" s="151">
        <v>46023</v>
      </c>
      <c r="M175" s="1">
        <f>VLOOKUP(F:F,[1]Sheet1!$E:$F,2,FALSE)</f>
        <v>1260</v>
      </c>
    </row>
    <row r="176" spans="1:13" hidden="1">
      <c r="A176" s="1" t="s">
        <v>1318</v>
      </c>
      <c r="B176" s="1" t="s">
        <v>76</v>
      </c>
      <c r="C176" s="1" t="s">
        <v>1274</v>
      </c>
      <c r="D176" s="1" t="s">
        <v>71</v>
      </c>
      <c r="E176" s="1" t="str">
        <f>A176&amp;C176</f>
        <v>CLIMAXWESLACO</v>
      </c>
      <c r="F176" s="1" t="str">
        <f>A176&amp;B176&amp;C176&amp;D176</f>
        <v>CLIMAXGAWESLACOTX</v>
      </c>
      <c r="G176" s="1">
        <v>1283.0999999999999</v>
      </c>
      <c r="H176" s="38">
        <f>G176*COSTS!$AA$27</f>
        <v>1924.6499999999999</v>
      </c>
      <c r="I176" s="1">
        <f>COSTS!$AA$28</f>
        <v>50</v>
      </c>
      <c r="J176" s="38">
        <f t="shared" si="5"/>
        <v>1974.6499999999999</v>
      </c>
      <c r="K176" s="38">
        <f t="shared" si="6"/>
        <v>448.78409090909088</v>
      </c>
      <c r="L176" s="151">
        <v>46023</v>
      </c>
      <c r="M176" s="1">
        <f>VLOOKUP(F:F,[1]Sheet1!$E:$F,2,FALSE)</f>
        <v>1574</v>
      </c>
    </row>
    <row r="177" spans="1:13" hidden="1">
      <c r="A177" s="1" t="s">
        <v>1318</v>
      </c>
      <c r="B177" s="1" t="s">
        <v>76</v>
      </c>
      <c r="C177" s="1" t="s">
        <v>1275</v>
      </c>
      <c r="D177" s="1" t="s">
        <v>136</v>
      </c>
      <c r="E177" s="1" t="str">
        <f>A177&amp;C177</f>
        <v>CLIMAXSHELBY</v>
      </c>
      <c r="F177" s="1" t="str">
        <f>A177&amp;B177&amp;C177&amp;D177</f>
        <v>CLIMAXGASHELBYNC</v>
      </c>
      <c r="G177" s="1">
        <v>1025</v>
      </c>
      <c r="H177" s="38">
        <f>G177*COSTS!$AA$27</f>
        <v>1537.5</v>
      </c>
      <c r="I177" s="1">
        <f>COSTS!$AA$28</f>
        <v>50</v>
      </c>
      <c r="J177" s="38">
        <f t="shared" si="5"/>
        <v>1587.5</v>
      </c>
      <c r="K177" s="38">
        <f t="shared" si="6"/>
        <v>360.7954545454545</v>
      </c>
      <c r="L177" s="151">
        <v>46023</v>
      </c>
      <c r="M177" s="1">
        <f>VLOOKUP(F:F,[1]Sheet1!$E:$F,2,FALSE)</f>
        <v>1150</v>
      </c>
    </row>
    <row r="178" spans="1:13" hidden="1">
      <c r="A178" s="1" t="s">
        <v>1320</v>
      </c>
      <c r="B178" s="1" t="s">
        <v>76</v>
      </c>
      <c r="C178" s="1" t="s">
        <v>847</v>
      </c>
      <c r="D178" s="1" t="s">
        <v>76</v>
      </c>
      <c r="E178" s="1" t="str">
        <f>A178&amp;(IF(C178="Garden City","Savannah",C178))</f>
        <v>COCHRANSavannah</v>
      </c>
      <c r="F178" s="1" t="s">
        <v>880</v>
      </c>
      <c r="G178" s="1">
        <v>593.85333333333335</v>
      </c>
      <c r="H178" s="38">
        <f>G178*COSTS!$AA$27</f>
        <v>890.78</v>
      </c>
      <c r="I178" s="1">
        <f>COSTS!$AA$28</f>
        <v>50</v>
      </c>
      <c r="J178" s="38">
        <f t="shared" si="5"/>
        <v>940.78</v>
      </c>
      <c r="K178" s="38">
        <f t="shared" si="6"/>
        <v>213.81363636363633</v>
      </c>
      <c r="L178" s="151">
        <v>46023</v>
      </c>
      <c r="M178" s="1" t="e">
        <f>VLOOKUP(F:F,[1]Sheet1!$E:$F,2,FALSE)</f>
        <v>#N/A</v>
      </c>
    </row>
    <row r="179" spans="1:13" hidden="1">
      <c r="A179" s="1" t="s">
        <v>1320</v>
      </c>
      <c r="B179" s="1" t="s">
        <v>76</v>
      </c>
      <c r="C179" s="1" t="s">
        <v>1033</v>
      </c>
      <c r="D179" s="1" t="s">
        <v>168</v>
      </c>
      <c r="E179" s="1" t="str">
        <f>A179&amp;C179</f>
        <v>COCHRANMEMPHIS</v>
      </c>
      <c r="F179" s="1" t="s">
        <v>1081</v>
      </c>
      <c r="G179" s="1">
        <v>903.26</v>
      </c>
      <c r="H179" s="38">
        <f>G179*COSTS!$AA$27</f>
        <v>1354.8899999999999</v>
      </c>
      <c r="I179" s="1">
        <f>COSTS!$AA$28</f>
        <v>50</v>
      </c>
      <c r="J179" s="38">
        <f t="shared" si="5"/>
        <v>1404.8899999999999</v>
      </c>
      <c r="K179" s="38">
        <f t="shared" si="6"/>
        <v>319.29318181818178</v>
      </c>
      <c r="L179" s="151">
        <v>46023</v>
      </c>
      <c r="M179" s="1" t="e">
        <f>VLOOKUP(F:F,[1]Sheet1!$E:$F,2,FALSE)</f>
        <v>#N/A</v>
      </c>
    </row>
    <row r="180" spans="1:13" hidden="1">
      <c r="A180" s="1" t="s">
        <v>1320</v>
      </c>
      <c r="B180" s="1" t="s">
        <v>76</v>
      </c>
      <c r="C180" s="1" t="s">
        <v>1274</v>
      </c>
      <c r="D180" s="1" t="s">
        <v>71</v>
      </c>
      <c r="E180" s="1" t="str">
        <f>A180&amp;C180</f>
        <v>COCHRANWESLACO</v>
      </c>
      <c r="F180" s="1" t="str">
        <f>A180&amp;B180&amp;C180&amp;D180</f>
        <v>COCHRANGAWESLACOTX</v>
      </c>
      <c r="G180" s="1">
        <v>1493.6599999999999</v>
      </c>
      <c r="H180" s="38">
        <f>G180*COSTS!$AA$27</f>
        <v>2240.4899999999998</v>
      </c>
      <c r="I180" s="1">
        <f>COSTS!$AA$28</f>
        <v>50</v>
      </c>
      <c r="J180" s="38">
        <f t="shared" si="5"/>
        <v>2290.4899999999998</v>
      </c>
      <c r="K180" s="38">
        <f t="shared" si="6"/>
        <v>520.56590909090903</v>
      </c>
      <c r="L180" s="151">
        <v>46023</v>
      </c>
      <c r="M180" s="1">
        <f>VLOOKUP(F:F,[1]Sheet1!$E:$F,2,FALSE)</f>
        <v>1766</v>
      </c>
    </row>
    <row r="181" spans="1:13" hidden="1">
      <c r="A181" s="1" t="s">
        <v>1320</v>
      </c>
      <c r="B181" s="1" t="s">
        <v>76</v>
      </c>
      <c r="C181" s="1" t="s">
        <v>1275</v>
      </c>
      <c r="D181" s="1" t="s">
        <v>136</v>
      </c>
      <c r="E181" s="1" t="str">
        <f>A181&amp;C181</f>
        <v>COCHRANSHELBY</v>
      </c>
      <c r="F181" s="1" t="str">
        <f>A181&amp;B181&amp;C181&amp;D181</f>
        <v>COCHRANGASHELBYNC</v>
      </c>
      <c r="G181" s="1">
        <v>790</v>
      </c>
      <c r="H181" s="38">
        <f>G181*COSTS!$AA$27</f>
        <v>1185</v>
      </c>
      <c r="I181" s="1">
        <f>COSTS!$AA$28</f>
        <v>50</v>
      </c>
      <c r="J181" s="38">
        <f t="shared" si="5"/>
        <v>1235</v>
      </c>
      <c r="K181" s="38">
        <f t="shared" si="6"/>
        <v>280.68181818181819</v>
      </c>
      <c r="L181" s="151">
        <v>46023</v>
      </c>
      <c r="M181" s="1" t="e">
        <f>VLOOKUP(F:F,[1]Sheet1!$E:$F,2,FALSE)</f>
        <v>#N/A</v>
      </c>
    </row>
    <row r="182" spans="1:13" hidden="1">
      <c r="A182" s="1" t="s">
        <v>1321</v>
      </c>
      <c r="B182" s="1" t="s">
        <v>76</v>
      </c>
      <c r="C182" s="1" t="s">
        <v>847</v>
      </c>
      <c r="D182" s="1" t="s">
        <v>76</v>
      </c>
      <c r="E182" s="1" t="str">
        <f>A182&amp;(IF(C182="Garden City","Savannah",C182))</f>
        <v>COLQUITTSavannah</v>
      </c>
      <c r="F182" s="1" t="s">
        <v>881</v>
      </c>
      <c r="G182" s="1">
        <v>744.27</v>
      </c>
      <c r="H182" s="38">
        <f>G182*COSTS!$AA$27</f>
        <v>1116.405</v>
      </c>
      <c r="I182" s="1">
        <f>COSTS!$AA$28</f>
        <v>50</v>
      </c>
      <c r="J182" s="38">
        <f t="shared" si="5"/>
        <v>1166.405</v>
      </c>
      <c r="K182" s="38">
        <f t="shared" si="6"/>
        <v>265.09204545454543</v>
      </c>
      <c r="L182" s="151">
        <v>46023</v>
      </c>
      <c r="M182" s="1">
        <f>VLOOKUP(F:F,[1]Sheet1!$E:$F,2,FALSE)</f>
        <v>860</v>
      </c>
    </row>
    <row r="183" spans="1:13" hidden="1">
      <c r="A183" s="1" t="s">
        <v>1321</v>
      </c>
      <c r="B183" s="1" t="s">
        <v>76</v>
      </c>
      <c r="C183" s="1" t="s">
        <v>1033</v>
      </c>
      <c r="D183" s="1" t="s">
        <v>168</v>
      </c>
      <c r="E183" s="1" t="str">
        <f>A183&amp;C183</f>
        <v>COLQUITTMEMPHIS</v>
      </c>
      <c r="F183" s="1" t="s">
        <v>1082</v>
      </c>
      <c r="G183" s="1">
        <v>800</v>
      </c>
      <c r="H183" s="38">
        <f>G183*COSTS!$AA$27</f>
        <v>1200</v>
      </c>
      <c r="I183" s="1">
        <f>COSTS!$AA$28</f>
        <v>50</v>
      </c>
      <c r="J183" s="38">
        <f t="shared" si="5"/>
        <v>1250</v>
      </c>
      <c r="K183" s="38">
        <f t="shared" si="6"/>
        <v>284.09090909090912</v>
      </c>
      <c r="L183" s="151">
        <v>46023</v>
      </c>
      <c r="M183" s="1">
        <f>VLOOKUP(F:F,[1]Sheet1!$E:$F,2,FALSE)</f>
        <v>1230</v>
      </c>
    </row>
    <row r="184" spans="1:13" hidden="1">
      <c r="A184" s="1" t="s">
        <v>1321</v>
      </c>
      <c r="B184" s="1" t="s">
        <v>76</v>
      </c>
      <c r="C184" s="1" t="s">
        <v>1274</v>
      </c>
      <c r="D184" s="1" t="s">
        <v>71</v>
      </c>
      <c r="E184" s="1" t="str">
        <f>A184&amp;C184</f>
        <v>COLQUITTWESLACO</v>
      </c>
      <c r="F184" s="1" t="str">
        <f>A184&amp;B184&amp;C184&amp;D184</f>
        <v>COLQUITTGAWESLACOTX</v>
      </c>
      <c r="G184" s="1">
        <v>1273.6999999999998</v>
      </c>
      <c r="H184" s="38">
        <f>G184*COSTS!$AA$27</f>
        <v>1910.5499999999997</v>
      </c>
      <c r="I184" s="1">
        <f>COSTS!$AA$28</f>
        <v>50</v>
      </c>
      <c r="J184" s="38">
        <f t="shared" si="5"/>
        <v>1960.5499999999997</v>
      </c>
      <c r="K184" s="38">
        <f t="shared" si="6"/>
        <v>445.57954545454544</v>
      </c>
      <c r="L184" s="151">
        <v>46023</v>
      </c>
      <c r="M184" s="1">
        <f>VLOOKUP(F:F,[1]Sheet1!$E:$F,2,FALSE)</f>
        <v>1566</v>
      </c>
    </row>
    <row r="185" spans="1:13" hidden="1">
      <c r="A185" s="1" t="s">
        <v>1321</v>
      </c>
      <c r="B185" s="1" t="s">
        <v>76</v>
      </c>
      <c r="C185" s="1" t="s">
        <v>1275</v>
      </c>
      <c r="D185" s="1" t="s">
        <v>136</v>
      </c>
      <c r="E185" s="1" t="str">
        <f>A185&amp;C185</f>
        <v>COLQUITTSHELBY</v>
      </c>
      <c r="F185" s="1" t="str">
        <f>A185&amp;B185&amp;C185&amp;D185</f>
        <v>COLQUITTGASHELBYNC</v>
      </c>
      <c r="G185" s="1">
        <v>950</v>
      </c>
      <c r="H185" s="38">
        <f>G185*COSTS!$AA$27</f>
        <v>1425</v>
      </c>
      <c r="I185" s="1">
        <f>COSTS!$AA$28</f>
        <v>50</v>
      </c>
      <c r="J185" s="38">
        <f t="shared" si="5"/>
        <v>1475</v>
      </c>
      <c r="K185" s="38">
        <f t="shared" si="6"/>
        <v>335.22727272727275</v>
      </c>
      <c r="L185" s="151">
        <v>46023</v>
      </c>
      <c r="M185" s="1">
        <f>VLOOKUP(F:F,[1]Sheet1!$E:$F,2,FALSE)</f>
        <v>1110</v>
      </c>
    </row>
    <row r="186" spans="1:13" hidden="1">
      <c r="A186" s="1" t="s">
        <v>1322</v>
      </c>
      <c r="B186" s="1" t="s">
        <v>76</v>
      </c>
      <c r="C186" s="1" t="s">
        <v>847</v>
      </c>
      <c r="D186" s="1" t="s">
        <v>76</v>
      </c>
      <c r="E186" s="1" t="str">
        <f>A186&amp;(IF(C186="Garden City","Savannah",C186))</f>
        <v>COMMERCESavannah</v>
      </c>
      <c r="F186" s="1" t="s">
        <v>882</v>
      </c>
      <c r="G186" s="1">
        <v>625.625</v>
      </c>
      <c r="H186" s="38">
        <f>G186*COSTS!$AA$27</f>
        <v>938.4375</v>
      </c>
      <c r="I186" s="1">
        <f>COSTS!$AA$28</f>
        <v>50</v>
      </c>
      <c r="J186" s="38">
        <f t="shared" si="5"/>
        <v>988.4375</v>
      </c>
      <c r="K186" s="38">
        <f t="shared" si="6"/>
        <v>224.64488636363637</v>
      </c>
      <c r="L186" s="151">
        <v>46023</v>
      </c>
      <c r="M186" s="1" t="e">
        <f>VLOOKUP(F:F,[1]Sheet1!$E:$F,2,FALSE)</f>
        <v>#N/A</v>
      </c>
    </row>
    <row r="187" spans="1:13" hidden="1">
      <c r="A187" s="1" t="s">
        <v>1323</v>
      </c>
      <c r="B187" s="1" t="s">
        <v>76</v>
      </c>
      <c r="C187" s="1" t="s">
        <v>847</v>
      </c>
      <c r="D187" s="1" t="s">
        <v>76</v>
      </c>
      <c r="E187" s="1" t="str">
        <f>A187&amp;(IF(C187="Garden City","Savannah",C187))</f>
        <v>CORDELESavannah</v>
      </c>
      <c r="F187" s="1" t="s">
        <v>883</v>
      </c>
      <c r="G187" s="1">
        <v>637.18666666666661</v>
      </c>
      <c r="H187" s="38">
        <f>G187*COSTS!$AA$27</f>
        <v>955.78</v>
      </c>
      <c r="I187" s="1">
        <f>COSTS!$AA$28</f>
        <v>50</v>
      </c>
      <c r="J187" s="38">
        <f t="shared" si="5"/>
        <v>1005.78</v>
      </c>
      <c r="K187" s="38">
        <f t="shared" si="6"/>
        <v>228.58636363636364</v>
      </c>
      <c r="L187" s="151">
        <v>46023</v>
      </c>
      <c r="M187" s="1">
        <f>VLOOKUP(F:F,[1]Sheet1!$E:$F,2,FALSE)</f>
        <v>700</v>
      </c>
    </row>
    <row r="188" spans="1:13" hidden="1">
      <c r="A188" s="1" t="s">
        <v>1323</v>
      </c>
      <c r="B188" s="1" t="s">
        <v>76</v>
      </c>
      <c r="C188" s="1" t="s">
        <v>1033</v>
      </c>
      <c r="D188" s="1" t="s">
        <v>168</v>
      </c>
      <c r="E188" s="1" t="str">
        <f>A188&amp;C188</f>
        <v>CORDELEMEMPHIS</v>
      </c>
      <c r="F188" s="1" t="s">
        <v>1084</v>
      </c>
      <c r="G188" s="1">
        <v>889.76</v>
      </c>
      <c r="H188" s="38">
        <f>G188*COSTS!$AA$27</f>
        <v>1334.6399999999999</v>
      </c>
      <c r="I188" s="1">
        <f>COSTS!$AA$28</f>
        <v>50</v>
      </c>
      <c r="J188" s="38">
        <f t="shared" si="5"/>
        <v>1384.6399999999999</v>
      </c>
      <c r="K188" s="38">
        <f t="shared" si="6"/>
        <v>314.69090909090903</v>
      </c>
      <c r="L188" s="151">
        <v>46023</v>
      </c>
      <c r="M188" s="1">
        <f>VLOOKUP(F:F,[1]Sheet1!$E:$F,2,FALSE)</f>
        <v>1210</v>
      </c>
    </row>
    <row r="189" spans="1:13" hidden="1">
      <c r="A189" s="1" t="s">
        <v>1323</v>
      </c>
      <c r="B189" s="1" t="s">
        <v>76</v>
      </c>
      <c r="C189" s="1" t="s">
        <v>1274</v>
      </c>
      <c r="D189" s="1" t="s">
        <v>71</v>
      </c>
      <c r="E189" s="1" t="str">
        <f>A189&amp;C189</f>
        <v>CORDELEWESLACO</v>
      </c>
      <c r="F189" s="1" t="str">
        <f>A189&amp;B189&amp;C189&amp;D189</f>
        <v>CORDELEGAWESLACOTX</v>
      </c>
      <c r="G189" s="1">
        <v>1497.4199999999998</v>
      </c>
      <c r="H189" s="38">
        <f>G189*COSTS!$AA$27</f>
        <v>2246.1299999999997</v>
      </c>
      <c r="I189" s="1">
        <f>COSTS!$AA$28</f>
        <v>50</v>
      </c>
      <c r="J189" s="38">
        <f t="shared" si="5"/>
        <v>2296.1299999999997</v>
      </c>
      <c r="K189" s="38">
        <f t="shared" si="6"/>
        <v>521.84772727272718</v>
      </c>
      <c r="L189" s="151">
        <v>46023</v>
      </c>
      <c r="M189" s="1">
        <f>VLOOKUP(F:F,[1]Sheet1!$E:$F,2,FALSE)</f>
        <v>1648</v>
      </c>
    </row>
    <row r="190" spans="1:13" hidden="1">
      <c r="A190" s="1" t="s">
        <v>1323</v>
      </c>
      <c r="B190" s="1" t="s">
        <v>76</v>
      </c>
      <c r="C190" s="1" t="s">
        <v>1275</v>
      </c>
      <c r="D190" s="1" t="s">
        <v>136</v>
      </c>
      <c r="E190" s="1" t="str">
        <f>A190&amp;C190</f>
        <v>CORDELESHELBY</v>
      </c>
      <c r="F190" s="1" t="str">
        <f>A190&amp;B190&amp;C190&amp;D190</f>
        <v>CORDELEGASHELBYNC</v>
      </c>
      <c r="G190" s="1">
        <v>900</v>
      </c>
      <c r="H190" s="38">
        <f>G190*COSTS!$AA$27</f>
        <v>1350</v>
      </c>
      <c r="I190" s="1">
        <f>COSTS!$AA$28</f>
        <v>50</v>
      </c>
      <c r="J190" s="38">
        <f t="shared" si="5"/>
        <v>1400</v>
      </c>
      <c r="K190" s="38">
        <f t="shared" si="6"/>
        <v>318.18181818181819</v>
      </c>
      <c r="L190" s="151">
        <v>46023</v>
      </c>
      <c r="M190" s="1">
        <f>VLOOKUP(F:F,[1]Sheet1!$E:$F,2,FALSE)</f>
        <v>930</v>
      </c>
    </row>
    <row r="191" spans="1:13" hidden="1">
      <c r="A191" s="1" t="s">
        <v>1325</v>
      </c>
      <c r="B191" s="1" t="s">
        <v>76</v>
      </c>
      <c r="C191" s="1" t="s">
        <v>847</v>
      </c>
      <c r="D191" s="1" t="s">
        <v>76</v>
      </c>
      <c r="E191" s="1" t="str">
        <f>A191&amp;(IF(C191="Garden City","Savannah",C191))</f>
        <v>CUTHBERTSavannah</v>
      </c>
      <c r="F191" s="1" t="s">
        <v>885</v>
      </c>
      <c r="G191" s="1">
        <v>559.97</v>
      </c>
      <c r="H191" s="38">
        <f>G191*COSTS!$AA$27</f>
        <v>839.95500000000004</v>
      </c>
      <c r="I191" s="1">
        <f>COSTS!$AA$28</f>
        <v>50</v>
      </c>
      <c r="J191" s="38">
        <f t="shared" si="5"/>
        <v>889.95500000000004</v>
      </c>
      <c r="K191" s="38">
        <f t="shared" si="6"/>
        <v>202.26249999999999</v>
      </c>
      <c r="L191" s="151">
        <v>46023</v>
      </c>
      <c r="M191" s="1">
        <f>VLOOKUP(F:F,[1]Sheet1!$E:$F,2,FALSE)</f>
        <v>810</v>
      </c>
    </row>
    <row r="192" spans="1:13" hidden="1">
      <c r="A192" s="1" t="s">
        <v>1325</v>
      </c>
      <c r="B192" s="1" t="s">
        <v>76</v>
      </c>
      <c r="C192" s="1" t="s">
        <v>1033</v>
      </c>
      <c r="D192" s="1" t="s">
        <v>168</v>
      </c>
      <c r="E192" s="1" t="str">
        <f>A192&amp;C192</f>
        <v>CUTHBERTMEMPHIS</v>
      </c>
      <c r="F192" s="1" t="s">
        <v>1088</v>
      </c>
      <c r="G192" s="1">
        <v>765.45</v>
      </c>
      <c r="H192" s="38">
        <f>G192*COSTS!$AA$27</f>
        <v>1148.1750000000002</v>
      </c>
      <c r="I192" s="1">
        <f>COSTS!$AA$28</f>
        <v>50</v>
      </c>
      <c r="J192" s="38">
        <f t="shared" si="5"/>
        <v>1198.1750000000002</v>
      </c>
      <c r="K192" s="38">
        <f t="shared" si="6"/>
        <v>272.3125</v>
      </c>
      <c r="L192" s="151">
        <v>46023</v>
      </c>
      <c r="M192" s="1">
        <f>VLOOKUP(F:F,[1]Sheet1!$E:$F,2,FALSE)</f>
        <v>1120</v>
      </c>
    </row>
    <row r="193" spans="1:13" hidden="1">
      <c r="A193" s="1" t="s">
        <v>1325</v>
      </c>
      <c r="B193" s="1" t="s">
        <v>76</v>
      </c>
      <c r="C193" s="1" t="s">
        <v>1275</v>
      </c>
      <c r="D193" s="1" t="s">
        <v>136</v>
      </c>
      <c r="E193" s="1" t="str">
        <f>A193&amp;C193</f>
        <v>CUTHBERTSHELBY</v>
      </c>
      <c r="F193" s="1" t="str">
        <f>A193&amp;B193&amp;C193&amp;D193</f>
        <v>CUTHBERTGASHELBYNC</v>
      </c>
      <c r="G193" s="1">
        <v>913</v>
      </c>
      <c r="H193" s="38">
        <f>G193*COSTS!$AA$27</f>
        <v>1369.5</v>
      </c>
      <c r="I193" s="1">
        <f>COSTS!$AA$28</f>
        <v>50</v>
      </c>
      <c r="J193" s="38">
        <f t="shared" si="5"/>
        <v>1419.5</v>
      </c>
      <c r="K193" s="38">
        <f t="shared" si="6"/>
        <v>322.61363636363632</v>
      </c>
      <c r="L193" s="151">
        <v>46023</v>
      </c>
      <c r="M193" s="1">
        <f>VLOOKUP(F:F,[1]Sheet1!$E:$F,2,FALSE)</f>
        <v>990</v>
      </c>
    </row>
    <row r="194" spans="1:13" hidden="1">
      <c r="A194" s="1" t="s">
        <v>1329</v>
      </c>
      <c r="B194" s="1" t="s">
        <v>76</v>
      </c>
      <c r="C194" s="1" t="s">
        <v>847</v>
      </c>
      <c r="D194" s="1" t="s">
        <v>76</v>
      </c>
      <c r="E194" s="1" t="str">
        <f>A194&amp;(IF(C194="Garden City","Savannah",C194))</f>
        <v>DEXTERSavannah</v>
      </c>
      <c r="F194" s="1" t="s">
        <v>889</v>
      </c>
      <c r="G194" s="1">
        <v>544.16666666666663</v>
      </c>
      <c r="H194" s="38">
        <f>G194*COSTS!$AA$27</f>
        <v>816.25</v>
      </c>
      <c r="I194" s="1">
        <f>COSTS!$AA$28</f>
        <v>50</v>
      </c>
      <c r="J194" s="38">
        <f t="shared" ref="J194:J257" si="7">H194+I194</f>
        <v>866.25</v>
      </c>
      <c r="K194" s="38">
        <f t="shared" ref="K194:K257" si="8">(J194/88)*20</f>
        <v>196.875</v>
      </c>
      <c r="L194" s="151">
        <v>46023</v>
      </c>
      <c r="M194" s="1" t="e">
        <f>VLOOKUP(F:F,[1]Sheet1!$E:$F,2,FALSE)</f>
        <v>#N/A</v>
      </c>
    </row>
    <row r="195" spans="1:13" hidden="1">
      <c r="A195" s="1" t="s">
        <v>1329</v>
      </c>
      <c r="B195" s="1" t="s">
        <v>76</v>
      </c>
      <c r="C195" s="1" t="s">
        <v>1033</v>
      </c>
      <c r="D195" s="1" t="s">
        <v>168</v>
      </c>
      <c r="E195" s="1" t="str">
        <f>A195&amp;C195</f>
        <v>DEXTERMEMPHIS</v>
      </c>
      <c r="F195" s="1" t="s">
        <v>1093</v>
      </c>
      <c r="G195" s="1">
        <v>903.26</v>
      </c>
      <c r="H195" s="38">
        <f>G195*COSTS!$AA$27</f>
        <v>1354.8899999999999</v>
      </c>
      <c r="I195" s="1">
        <f>COSTS!$AA$28</f>
        <v>50</v>
      </c>
      <c r="J195" s="38">
        <f t="shared" si="7"/>
        <v>1404.8899999999999</v>
      </c>
      <c r="K195" s="38">
        <f t="shared" si="8"/>
        <v>319.29318181818178</v>
      </c>
      <c r="L195" s="151">
        <v>46023</v>
      </c>
      <c r="M195" s="1" t="e">
        <f>VLOOKUP(F:F,[1]Sheet1!$E:$F,2,FALSE)</f>
        <v>#N/A</v>
      </c>
    </row>
    <row r="196" spans="1:13" hidden="1">
      <c r="A196" s="1" t="s">
        <v>1329</v>
      </c>
      <c r="B196" s="1" t="s">
        <v>76</v>
      </c>
      <c r="C196" s="1" t="s">
        <v>1274</v>
      </c>
      <c r="D196" s="1" t="s">
        <v>71</v>
      </c>
      <c r="E196" s="1" t="str">
        <f>A196&amp;C196</f>
        <v>DEXTERWESLACO</v>
      </c>
      <c r="F196" s="1" t="str">
        <f>A196&amp;B196&amp;C196&amp;D196</f>
        <v>DEXTERGAWESLACOTX</v>
      </c>
      <c r="G196" s="1">
        <v>1516.22</v>
      </c>
      <c r="H196" s="38">
        <f>G196*COSTS!$AA$27</f>
        <v>2274.33</v>
      </c>
      <c r="I196" s="1">
        <f>COSTS!$AA$28</f>
        <v>50</v>
      </c>
      <c r="J196" s="38">
        <f t="shared" si="7"/>
        <v>2324.33</v>
      </c>
      <c r="K196" s="38">
        <f t="shared" si="8"/>
        <v>528.25681818181818</v>
      </c>
      <c r="L196" s="151">
        <v>46023</v>
      </c>
      <c r="M196" s="1">
        <f>VLOOKUP(F:F,[1]Sheet1!$E:$F,2,FALSE)</f>
        <v>1719</v>
      </c>
    </row>
    <row r="197" spans="1:13" hidden="1">
      <c r="A197" s="1" t="s">
        <v>1329</v>
      </c>
      <c r="B197" s="1" t="s">
        <v>76</v>
      </c>
      <c r="C197" s="1" t="s">
        <v>1275</v>
      </c>
      <c r="D197" s="1" t="s">
        <v>136</v>
      </c>
      <c r="E197" s="1" t="str">
        <f>A197&amp;C197</f>
        <v>DEXTERSHELBY</v>
      </c>
      <c r="F197" s="1" t="str">
        <f>A197&amp;B197&amp;C197&amp;D197</f>
        <v>DEXTERGASHELBYNC</v>
      </c>
      <c r="G197" s="1">
        <v>705</v>
      </c>
      <c r="H197" s="38">
        <f>G197*COSTS!$AA$27</f>
        <v>1057.5</v>
      </c>
      <c r="I197" s="1">
        <f>COSTS!$AA$28</f>
        <v>50</v>
      </c>
      <c r="J197" s="38">
        <f t="shared" si="7"/>
        <v>1107.5</v>
      </c>
      <c r="K197" s="38">
        <f t="shared" si="8"/>
        <v>251.70454545454547</v>
      </c>
      <c r="L197" s="151">
        <v>46023</v>
      </c>
      <c r="M197" s="1" t="e">
        <f>VLOOKUP(F:F,[1]Sheet1!$E:$F,2,FALSE)</f>
        <v>#N/A</v>
      </c>
    </row>
    <row r="198" spans="1:13" hidden="1">
      <c r="A198" s="1" t="s">
        <v>1331</v>
      </c>
      <c r="B198" s="1" t="s">
        <v>76</v>
      </c>
      <c r="C198" s="1" t="s">
        <v>847</v>
      </c>
      <c r="D198" s="1" t="s">
        <v>76</v>
      </c>
      <c r="E198" s="1" t="str">
        <f>A198&amp;(IF(C198="Garden City","Savannah",C198))</f>
        <v>DOERUNSavannah</v>
      </c>
      <c r="F198" s="1" t="s">
        <v>891</v>
      </c>
      <c r="G198" s="1">
        <v>631.14666666666665</v>
      </c>
      <c r="H198" s="38">
        <f>G198*COSTS!$AA$27</f>
        <v>946.72</v>
      </c>
      <c r="I198" s="1">
        <f>COSTS!$AA$28</f>
        <v>50</v>
      </c>
      <c r="J198" s="38">
        <f t="shared" si="7"/>
        <v>996.72</v>
      </c>
      <c r="K198" s="38">
        <f t="shared" si="8"/>
        <v>226.52727272727273</v>
      </c>
      <c r="L198" s="151">
        <v>46023</v>
      </c>
      <c r="M198" s="1">
        <f>VLOOKUP(F:F,[1]Sheet1!$E:$F,2,FALSE)</f>
        <v>750</v>
      </c>
    </row>
    <row r="199" spans="1:13" hidden="1">
      <c r="A199" s="1" t="s">
        <v>1331</v>
      </c>
      <c r="B199" s="1" t="s">
        <v>76</v>
      </c>
      <c r="C199" s="1" t="s">
        <v>1033</v>
      </c>
      <c r="D199" s="1" t="s">
        <v>168</v>
      </c>
      <c r="E199" s="1" t="str">
        <f>A199&amp;C199</f>
        <v>DOERUNMEMPHIS</v>
      </c>
      <c r="F199" s="1" t="s">
        <v>1095</v>
      </c>
      <c r="G199" s="1">
        <v>850</v>
      </c>
      <c r="H199" s="38">
        <f>G199*COSTS!$AA$27</f>
        <v>1275</v>
      </c>
      <c r="I199" s="1">
        <f>COSTS!$AA$28</f>
        <v>50</v>
      </c>
      <c r="J199" s="38">
        <f t="shared" si="7"/>
        <v>1325</v>
      </c>
      <c r="K199" s="38">
        <f t="shared" si="8"/>
        <v>301.13636363636363</v>
      </c>
      <c r="L199" s="151">
        <v>46023</v>
      </c>
      <c r="M199" s="1">
        <f>VLOOKUP(F:F,[1]Sheet1!$E:$F,2,FALSE)</f>
        <v>1250</v>
      </c>
    </row>
    <row r="200" spans="1:13" hidden="1">
      <c r="A200" s="1" t="s">
        <v>1331</v>
      </c>
      <c r="B200" s="1" t="s">
        <v>76</v>
      </c>
      <c r="C200" s="1" t="s">
        <v>1274</v>
      </c>
      <c r="D200" s="1" t="s">
        <v>71</v>
      </c>
      <c r="E200" s="1" t="str">
        <f>A200&amp;C200</f>
        <v>DOERUNWESLACO</v>
      </c>
      <c r="F200" s="1" t="str">
        <f>A200&amp;B200&amp;C200&amp;D200</f>
        <v>DOERUNGAWESLACOTX</v>
      </c>
      <c r="G200" s="1">
        <v>1334.8</v>
      </c>
      <c r="H200" s="38">
        <f>G200*COSTS!$AA$27</f>
        <v>2002.1999999999998</v>
      </c>
      <c r="I200" s="1">
        <f>COSTS!$AA$28</f>
        <v>50</v>
      </c>
      <c r="J200" s="38">
        <f t="shared" si="7"/>
        <v>2052.1999999999998</v>
      </c>
      <c r="K200" s="38">
        <f t="shared" si="8"/>
        <v>466.40909090909082</v>
      </c>
      <c r="L200" s="151">
        <v>46023</v>
      </c>
      <c r="M200" s="1">
        <f>VLOOKUP(F:F,[1]Sheet1!$E:$F,2,FALSE)</f>
        <v>1540</v>
      </c>
    </row>
    <row r="201" spans="1:13" hidden="1">
      <c r="A201" s="1" t="s">
        <v>1331</v>
      </c>
      <c r="B201" s="1" t="s">
        <v>76</v>
      </c>
      <c r="C201" s="1" t="s">
        <v>1275</v>
      </c>
      <c r="D201" s="1" t="s">
        <v>136</v>
      </c>
      <c r="E201" s="1" t="str">
        <f>A201&amp;C201</f>
        <v>DOERUNSHELBY</v>
      </c>
      <c r="F201" s="1" t="str">
        <f>A201&amp;B201&amp;C201&amp;D201</f>
        <v>DOERUNGASHELBYNC</v>
      </c>
      <c r="G201" s="1">
        <v>925</v>
      </c>
      <c r="H201" s="38">
        <f>G201*COSTS!$AA$27</f>
        <v>1387.5</v>
      </c>
      <c r="I201" s="1">
        <f>COSTS!$AA$28</f>
        <v>50</v>
      </c>
      <c r="J201" s="38">
        <f t="shared" si="7"/>
        <v>1437.5</v>
      </c>
      <c r="K201" s="38">
        <f t="shared" si="8"/>
        <v>326.7045454545455</v>
      </c>
      <c r="L201" s="151">
        <v>46023</v>
      </c>
      <c r="M201" s="1">
        <f>VLOOKUP(F:F,[1]Sheet1!$E:$F,2,FALSE)</f>
        <v>1050</v>
      </c>
    </row>
    <row r="202" spans="1:13" hidden="1">
      <c r="A202" s="1" t="s">
        <v>1332</v>
      </c>
      <c r="B202" s="1" t="s">
        <v>76</v>
      </c>
      <c r="C202" s="1" t="s">
        <v>847</v>
      </c>
      <c r="D202" s="1" t="s">
        <v>76</v>
      </c>
      <c r="E202" s="1" t="str">
        <f>A202&amp;(IF(C202="Garden City","Savannah",C202))</f>
        <v>DONALSONVILLESavannah</v>
      </c>
      <c r="F202" s="1" t="s">
        <v>892</v>
      </c>
      <c r="G202" s="1">
        <v>760.12666666666667</v>
      </c>
      <c r="H202" s="38">
        <f>G202*COSTS!$AA$27</f>
        <v>1140.19</v>
      </c>
      <c r="I202" s="1">
        <f>COSTS!$AA$28</f>
        <v>50</v>
      </c>
      <c r="J202" s="38">
        <f t="shared" si="7"/>
        <v>1190.19</v>
      </c>
      <c r="K202" s="38">
        <f t="shared" si="8"/>
        <v>270.49772727272727</v>
      </c>
      <c r="L202" s="151">
        <v>46023</v>
      </c>
      <c r="M202" s="1">
        <f>VLOOKUP(F:F,[1]Sheet1!$E:$F,2,FALSE)</f>
        <v>860</v>
      </c>
    </row>
    <row r="203" spans="1:13" hidden="1">
      <c r="A203" s="1" t="s">
        <v>1332</v>
      </c>
      <c r="B203" s="1" t="s">
        <v>76</v>
      </c>
      <c r="C203" s="1" t="s">
        <v>1033</v>
      </c>
      <c r="D203" s="1" t="s">
        <v>168</v>
      </c>
      <c r="E203" s="1" t="str">
        <f>A203&amp;C203</f>
        <v>DONALSONVILLEMEMPHIS</v>
      </c>
      <c r="F203" s="1" t="s">
        <v>1096</v>
      </c>
      <c r="G203" s="1">
        <v>782.4</v>
      </c>
      <c r="H203" s="38">
        <f>G203*COSTS!$AA$27</f>
        <v>1173.5999999999999</v>
      </c>
      <c r="I203" s="1">
        <f>COSTS!$AA$28</f>
        <v>50</v>
      </c>
      <c r="J203" s="38">
        <f t="shared" si="7"/>
        <v>1223.5999999999999</v>
      </c>
      <c r="K203" s="38">
        <f t="shared" si="8"/>
        <v>278.09090909090907</v>
      </c>
      <c r="L203" s="151">
        <v>46023</v>
      </c>
      <c r="M203" s="1">
        <f>VLOOKUP(F:F,[1]Sheet1!$E:$F,2,FALSE)</f>
        <v>1210</v>
      </c>
    </row>
    <row r="204" spans="1:13" hidden="1">
      <c r="A204" s="1" t="s">
        <v>1332</v>
      </c>
      <c r="B204" s="1" t="s">
        <v>76</v>
      </c>
      <c r="C204" s="1" t="s">
        <v>1274</v>
      </c>
      <c r="D204" s="1" t="s">
        <v>71</v>
      </c>
      <c r="E204" s="1" t="str">
        <f>A204&amp;C204</f>
        <v>DONALSONVILLEWESLACO</v>
      </c>
      <c r="F204" s="1" t="str">
        <f>A204&amp;B204&amp;C204&amp;D204</f>
        <v>DONALSONVILLEGAWESLACOTX</v>
      </c>
      <c r="G204" s="1">
        <v>1272.76</v>
      </c>
      <c r="H204" s="38">
        <f>G204*COSTS!$AA$27</f>
        <v>1909.1399999999999</v>
      </c>
      <c r="I204" s="1">
        <f>COSTS!$AA$28</f>
        <v>50</v>
      </c>
      <c r="J204" s="38">
        <f t="shared" si="7"/>
        <v>1959.1399999999999</v>
      </c>
      <c r="K204" s="38">
        <f t="shared" si="8"/>
        <v>445.2590909090909</v>
      </c>
      <c r="L204" s="151">
        <v>46023</v>
      </c>
      <c r="M204" s="1">
        <f>VLOOKUP(F:F,[1]Sheet1!$E:$F,2,FALSE)</f>
        <v>1486</v>
      </c>
    </row>
    <row r="205" spans="1:13" hidden="1">
      <c r="A205" s="1" t="s">
        <v>1332</v>
      </c>
      <c r="B205" s="1" t="s">
        <v>76</v>
      </c>
      <c r="C205" s="1" t="s">
        <v>1275</v>
      </c>
      <c r="D205" s="1" t="s">
        <v>136</v>
      </c>
      <c r="E205" s="1" t="str">
        <f>A205&amp;C205</f>
        <v>DONALSONVILLESHELBY</v>
      </c>
      <c r="F205" s="1" t="str">
        <f>A205&amp;B205&amp;C205&amp;D205</f>
        <v>DONALSONVILLEGASHELBYNC</v>
      </c>
      <c r="G205" s="1">
        <v>955</v>
      </c>
      <c r="H205" s="38">
        <f>G205*COSTS!$AA$27</f>
        <v>1432.5</v>
      </c>
      <c r="I205" s="1">
        <f>COSTS!$AA$28</f>
        <v>50</v>
      </c>
      <c r="J205" s="38">
        <f t="shared" si="7"/>
        <v>1482.5</v>
      </c>
      <c r="K205" s="38">
        <f t="shared" si="8"/>
        <v>336.93181818181819</v>
      </c>
      <c r="L205" s="151">
        <v>46023</v>
      </c>
      <c r="M205" s="1">
        <f>VLOOKUP(F:F,[1]Sheet1!$E:$F,2,FALSE)</f>
        <v>1150</v>
      </c>
    </row>
    <row r="206" spans="1:13" hidden="1">
      <c r="A206" s="1" t="s">
        <v>1333</v>
      </c>
      <c r="B206" s="1" t="s">
        <v>76</v>
      </c>
      <c r="C206" s="1" t="s">
        <v>847</v>
      </c>
      <c r="D206" s="1" t="s">
        <v>76</v>
      </c>
      <c r="E206" s="1" t="str">
        <f>A206&amp;(IF(C206="Garden City","Savannah",C206))</f>
        <v>DOREUNSavannah</v>
      </c>
      <c r="F206" s="1" t="s">
        <v>893</v>
      </c>
      <c r="G206" s="1">
        <v>499.22</v>
      </c>
      <c r="H206" s="38">
        <f>G206*COSTS!$AA$27</f>
        <v>748.83</v>
      </c>
      <c r="I206" s="1">
        <f>COSTS!$AA$28</f>
        <v>50</v>
      </c>
      <c r="J206" s="38">
        <f t="shared" si="7"/>
        <v>798.83</v>
      </c>
      <c r="K206" s="38">
        <f t="shared" si="8"/>
        <v>181.55227272727274</v>
      </c>
      <c r="L206" s="151">
        <v>46023</v>
      </c>
      <c r="M206" s="1" t="e">
        <f>VLOOKUP(F:F,[1]Sheet1!$E:$F,2,FALSE)</f>
        <v>#N/A</v>
      </c>
    </row>
    <row r="207" spans="1:13" hidden="1">
      <c r="A207" s="1" t="s">
        <v>1333</v>
      </c>
      <c r="B207" s="1" t="s">
        <v>76</v>
      </c>
      <c r="C207" s="1" t="s">
        <v>1274</v>
      </c>
      <c r="D207" s="1" t="s">
        <v>71</v>
      </c>
      <c r="E207" s="1" t="str">
        <f>A207&amp;C207</f>
        <v>DOREUNWESLACO</v>
      </c>
      <c r="F207" s="1" t="str">
        <f>A207&amp;B207&amp;C207&amp;D207</f>
        <v>DOREUNGAWESLACOTX</v>
      </c>
      <c r="G207" s="1">
        <v>1334.8</v>
      </c>
      <c r="H207" s="38">
        <f>G207*COSTS!$AA$27</f>
        <v>2002.1999999999998</v>
      </c>
      <c r="I207" s="1">
        <f>COSTS!$AA$28</f>
        <v>50</v>
      </c>
      <c r="J207" s="38">
        <f t="shared" si="7"/>
        <v>2052.1999999999998</v>
      </c>
      <c r="K207" s="38">
        <f t="shared" si="8"/>
        <v>466.40909090909082</v>
      </c>
      <c r="L207" s="151">
        <v>46023</v>
      </c>
      <c r="M207" s="1" t="e">
        <f>VLOOKUP(F:F,[1]Sheet1!$E:$F,2,FALSE)</f>
        <v>#N/A</v>
      </c>
    </row>
    <row r="208" spans="1:13" hidden="1">
      <c r="A208" s="1" t="s">
        <v>1335</v>
      </c>
      <c r="B208" s="1" t="s">
        <v>76</v>
      </c>
      <c r="C208" s="1" t="s">
        <v>847</v>
      </c>
      <c r="D208" s="1" t="s">
        <v>76</v>
      </c>
      <c r="E208" s="1" t="str">
        <f>A208&amp;(IF(C208="Garden City","Savannah",C208))</f>
        <v>DOUGLASSavannah</v>
      </c>
      <c r="F208" s="1" t="s">
        <v>895</v>
      </c>
      <c r="G208" s="1">
        <v>526.04333333333341</v>
      </c>
      <c r="H208" s="38">
        <f>G208*COSTS!$AA$27</f>
        <v>789.06500000000005</v>
      </c>
      <c r="I208" s="1">
        <f>COSTS!$AA$28</f>
        <v>50</v>
      </c>
      <c r="J208" s="38">
        <f t="shared" si="7"/>
        <v>839.06500000000005</v>
      </c>
      <c r="K208" s="38">
        <f t="shared" si="8"/>
        <v>190.6965909090909</v>
      </c>
      <c r="L208" s="151">
        <v>46023</v>
      </c>
      <c r="M208" s="1">
        <f>VLOOKUP(F:F,[1]Sheet1!$E:$F,2,FALSE)</f>
        <v>620</v>
      </c>
    </row>
    <row r="209" spans="1:13" hidden="1">
      <c r="A209" s="1" t="s">
        <v>1335</v>
      </c>
      <c r="B209" s="1" t="s">
        <v>76</v>
      </c>
      <c r="C209" s="1" t="s">
        <v>1033</v>
      </c>
      <c r="D209" s="1" t="s">
        <v>168</v>
      </c>
      <c r="E209" s="1" t="str">
        <f>A209&amp;C209</f>
        <v>DOUGLASMEMPHIS</v>
      </c>
      <c r="F209" s="1" t="s">
        <v>1098</v>
      </c>
      <c r="G209" s="1">
        <v>990.34</v>
      </c>
      <c r="H209" s="38">
        <f>G209*COSTS!$AA$27</f>
        <v>1485.51</v>
      </c>
      <c r="I209" s="1">
        <f>COSTS!$AA$28</f>
        <v>50</v>
      </c>
      <c r="J209" s="38">
        <f t="shared" si="7"/>
        <v>1535.51</v>
      </c>
      <c r="K209" s="38">
        <f t="shared" si="8"/>
        <v>348.97954545454547</v>
      </c>
      <c r="L209" s="151">
        <v>46023</v>
      </c>
      <c r="M209" s="1">
        <f>VLOOKUP(F:F,[1]Sheet1!$E:$F,2,FALSE)</f>
        <v>1380</v>
      </c>
    </row>
    <row r="210" spans="1:13" hidden="1">
      <c r="A210" s="1" t="s">
        <v>1335</v>
      </c>
      <c r="B210" s="1" t="s">
        <v>76</v>
      </c>
      <c r="C210" s="1" t="s">
        <v>1274</v>
      </c>
      <c r="D210" s="1" t="s">
        <v>71</v>
      </c>
      <c r="E210" s="1" t="str">
        <f>A210&amp;C210</f>
        <v>DOUGLASWESLACO</v>
      </c>
      <c r="F210" s="1" t="str">
        <f>A210&amp;B210&amp;C210&amp;D210</f>
        <v>DOUGLASGAWESLACOTX</v>
      </c>
      <c r="G210" s="1">
        <v>1485.1999999999998</v>
      </c>
      <c r="H210" s="38">
        <f>G210*COSTS!$AA$27</f>
        <v>2227.7999999999997</v>
      </c>
      <c r="I210" s="1">
        <f>COSTS!$AA$28</f>
        <v>50</v>
      </c>
      <c r="J210" s="38">
        <f t="shared" si="7"/>
        <v>2277.7999999999997</v>
      </c>
      <c r="K210" s="38">
        <f t="shared" si="8"/>
        <v>517.68181818181813</v>
      </c>
      <c r="L210" s="151">
        <v>46023</v>
      </c>
      <c r="M210" s="1">
        <f>VLOOKUP(F:F,[1]Sheet1!$E:$F,2,FALSE)</f>
        <v>2216</v>
      </c>
    </row>
    <row r="211" spans="1:13" hidden="1">
      <c r="A211" s="1" t="s">
        <v>1335</v>
      </c>
      <c r="B211" s="1" t="s">
        <v>76</v>
      </c>
      <c r="C211" s="1" t="s">
        <v>1275</v>
      </c>
      <c r="D211" s="1" t="s">
        <v>136</v>
      </c>
      <c r="E211" s="1" t="str">
        <f>A211&amp;C211</f>
        <v>DOUGLASSHELBY</v>
      </c>
      <c r="F211" s="1" t="str">
        <f>A211&amp;B211&amp;C211&amp;D211</f>
        <v>DOUGLASGASHELBYNC</v>
      </c>
      <c r="G211" s="1">
        <v>915</v>
      </c>
      <c r="H211" s="38">
        <f>G211*COSTS!$AA$27</f>
        <v>1372.5</v>
      </c>
      <c r="I211" s="1">
        <f>COSTS!$AA$28</f>
        <v>50</v>
      </c>
      <c r="J211" s="38">
        <f t="shared" si="7"/>
        <v>1422.5</v>
      </c>
      <c r="K211" s="38">
        <f t="shared" si="8"/>
        <v>323.2954545454545</v>
      </c>
      <c r="L211" s="151">
        <v>46023</v>
      </c>
      <c r="M211" s="1">
        <f>VLOOKUP(F:F,[1]Sheet1!$E:$F,2,FALSE)</f>
        <v>880</v>
      </c>
    </row>
    <row r="212" spans="1:13" hidden="1">
      <c r="A212" s="1" t="s">
        <v>1336</v>
      </c>
      <c r="B212" s="1" t="s">
        <v>76</v>
      </c>
      <c r="C212" s="1" t="s">
        <v>847</v>
      </c>
      <c r="D212" s="1" t="s">
        <v>76</v>
      </c>
      <c r="E212" s="1" t="str">
        <f>A212&amp;(IF(C212="Garden City","Savannah",C212))</f>
        <v>DUBLINSavannah</v>
      </c>
      <c r="F212" s="1" t="s">
        <v>896</v>
      </c>
      <c r="G212" s="1">
        <v>537.5</v>
      </c>
      <c r="H212" s="38">
        <f>G212*COSTS!$AA$27</f>
        <v>806.25</v>
      </c>
      <c r="I212" s="1">
        <f>COSTS!$AA$28</f>
        <v>50</v>
      </c>
      <c r="J212" s="38">
        <f t="shared" si="7"/>
        <v>856.25</v>
      </c>
      <c r="K212" s="38">
        <f t="shared" si="8"/>
        <v>194.60227272727275</v>
      </c>
      <c r="L212" s="151">
        <v>46023</v>
      </c>
      <c r="M212" s="1">
        <f>VLOOKUP(F:F,[1]Sheet1!$E:$F,2,FALSE)</f>
        <v>600</v>
      </c>
    </row>
    <row r="213" spans="1:13" hidden="1">
      <c r="A213" s="1" t="s">
        <v>1336</v>
      </c>
      <c r="B213" s="1" t="s">
        <v>76</v>
      </c>
      <c r="C213" s="1" t="s">
        <v>1033</v>
      </c>
      <c r="D213" s="1" t="s">
        <v>168</v>
      </c>
      <c r="E213" s="1" t="str">
        <f>A213&amp;C213</f>
        <v>DUBLINMEMPHIS</v>
      </c>
      <c r="F213" s="1" t="s">
        <v>1100</v>
      </c>
      <c r="G213" s="1">
        <v>903.26</v>
      </c>
      <c r="H213" s="38">
        <f>G213*COSTS!$AA$27</f>
        <v>1354.8899999999999</v>
      </c>
      <c r="I213" s="1">
        <f>COSTS!$AA$28</f>
        <v>50</v>
      </c>
      <c r="J213" s="38">
        <f t="shared" si="7"/>
        <v>1404.8899999999999</v>
      </c>
      <c r="K213" s="38">
        <f t="shared" si="8"/>
        <v>319.29318181818178</v>
      </c>
      <c r="L213" s="151">
        <v>46023</v>
      </c>
      <c r="M213" s="1">
        <f>VLOOKUP(F:F,[1]Sheet1!$E:$F,2,FALSE)</f>
        <v>1310</v>
      </c>
    </row>
    <row r="214" spans="1:13" hidden="1">
      <c r="A214" s="1" t="s">
        <v>1336</v>
      </c>
      <c r="B214" s="1" t="s">
        <v>76</v>
      </c>
      <c r="C214" s="1" t="s">
        <v>1274</v>
      </c>
      <c r="D214" s="1" t="s">
        <v>71</v>
      </c>
      <c r="E214" s="1" t="str">
        <f>A214&amp;C214</f>
        <v>DUBLINWESLACO</v>
      </c>
      <c r="F214" s="1" t="str">
        <f>A214&amp;B214&amp;C214&amp;D214</f>
        <v>DUBLINGAWESLACOTX</v>
      </c>
      <c r="G214" s="1">
        <v>1558.52</v>
      </c>
      <c r="H214" s="38">
        <f>G214*COSTS!$AA$27</f>
        <v>2337.7799999999997</v>
      </c>
      <c r="I214" s="1">
        <f>COSTS!$AA$28</f>
        <v>50</v>
      </c>
      <c r="J214" s="38">
        <f t="shared" si="7"/>
        <v>2387.7799999999997</v>
      </c>
      <c r="K214" s="38">
        <f t="shared" si="8"/>
        <v>542.67727272727268</v>
      </c>
      <c r="L214" s="151">
        <v>46023</v>
      </c>
      <c r="M214" s="1">
        <f>VLOOKUP(F:F,[1]Sheet1!$E:$F,2,FALSE)</f>
        <v>1795</v>
      </c>
    </row>
    <row r="215" spans="1:13" hidden="1">
      <c r="A215" s="1" t="s">
        <v>1336</v>
      </c>
      <c r="B215" s="1" t="s">
        <v>76</v>
      </c>
      <c r="C215" s="1" t="s">
        <v>1275</v>
      </c>
      <c r="D215" s="1" t="s">
        <v>136</v>
      </c>
      <c r="E215" s="1" t="str">
        <f>A215&amp;C215</f>
        <v>DUBLINSHELBY</v>
      </c>
      <c r="F215" s="1" t="str">
        <f>A215&amp;B215&amp;C215&amp;D215</f>
        <v>DUBLINGASHELBYNC</v>
      </c>
      <c r="G215" s="1">
        <v>715</v>
      </c>
      <c r="H215" s="38">
        <f>G215*COSTS!$AA$27</f>
        <v>1072.5</v>
      </c>
      <c r="I215" s="1">
        <f>COSTS!$AA$28</f>
        <v>50</v>
      </c>
      <c r="J215" s="38">
        <f t="shared" si="7"/>
        <v>1122.5</v>
      </c>
      <c r="K215" s="38">
        <f t="shared" si="8"/>
        <v>255.11363636363637</v>
      </c>
      <c r="L215" s="151">
        <v>46023</v>
      </c>
      <c r="M215" s="1">
        <f>VLOOKUP(F:F,[1]Sheet1!$E:$F,2,FALSE)</f>
        <v>720</v>
      </c>
    </row>
    <row r="216" spans="1:13" hidden="1">
      <c r="A216" s="1" t="s">
        <v>1337</v>
      </c>
      <c r="B216" s="1" t="s">
        <v>76</v>
      </c>
      <c r="C216" s="1" t="s">
        <v>847</v>
      </c>
      <c r="D216" s="1" t="s">
        <v>76</v>
      </c>
      <c r="E216" s="1" t="str">
        <f>A216&amp;(IF(C216="Garden City","Savannah",C216))</f>
        <v>DUDLEYSavannah</v>
      </c>
      <c r="F216" s="1" t="s">
        <v>897</v>
      </c>
      <c r="G216" s="1">
        <v>544.16666666666663</v>
      </c>
      <c r="H216" s="38">
        <f>G216*COSTS!$AA$27</f>
        <v>816.25</v>
      </c>
      <c r="I216" s="1">
        <f>COSTS!$AA$28</f>
        <v>50</v>
      </c>
      <c r="J216" s="38">
        <f t="shared" si="7"/>
        <v>866.25</v>
      </c>
      <c r="K216" s="38">
        <f t="shared" si="8"/>
        <v>196.875</v>
      </c>
      <c r="L216" s="151">
        <v>46023</v>
      </c>
      <c r="M216" s="1" t="e">
        <f>VLOOKUP(F:F,[1]Sheet1!$E:$F,2,FALSE)</f>
        <v>#N/A</v>
      </c>
    </row>
    <row r="217" spans="1:13" hidden="1">
      <c r="A217" s="1" t="s">
        <v>1337</v>
      </c>
      <c r="B217" s="1" t="s">
        <v>76</v>
      </c>
      <c r="C217" s="1" t="s">
        <v>1033</v>
      </c>
      <c r="D217" s="1" t="s">
        <v>168</v>
      </c>
      <c r="E217" s="1" t="str">
        <f>A217&amp;C217</f>
        <v>DUDLEYMEMPHIS</v>
      </c>
      <c r="F217" s="1" t="s">
        <v>1101</v>
      </c>
      <c r="G217" s="1">
        <v>903.26</v>
      </c>
      <c r="H217" s="38">
        <f>G217*COSTS!$AA$27</f>
        <v>1354.8899999999999</v>
      </c>
      <c r="I217" s="1">
        <f>COSTS!$AA$28</f>
        <v>50</v>
      </c>
      <c r="J217" s="38">
        <f t="shared" si="7"/>
        <v>1404.8899999999999</v>
      </c>
      <c r="K217" s="38">
        <f t="shared" si="8"/>
        <v>319.29318181818178</v>
      </c>
      <c r="L217" s="151">
        <v>46023</v>
      </c>
      <c r="M217" s="1" t="e">
        <f>VLOOKUP(F:F,[1]Sheet1!$E:$F,2,FALSE)</f>
        <v>#N/A</v>
      </c>
    </row>
    <row r="218" spans="1:13" hidden="1">
      <c r="A218" s="1" t="s">
        <v>1337</v>
      </c>
      <c r="B218" s="1" t="s">
        <v>76</v>
      </c>
      <c r="C218" s="1" t="s">
        <v>1274</v>
      </c>
      <c r="D218" s="1" t="s">
        <v>71</v>
      </c>
      <c r="E218" s="1" t="str">
        <f>A218&amp;C218</f>
        <v>DUDLEYWESLACO</v>
      </c>
      <c r="F218" s="1" t="str">
        <f>A218&amp;B218&amp;C218&amp;D218</f>
        <v>DUDLEYGAWESLACOTX</v>
      </c>
      <c r="G218" s="1">
        <v>1522.8</v>
      </c>
      <c r="H218" s="38">
        <f>G218*COSTS!$AA$27</f>
        <v>2284.1999999999998</v>
      </c>
      <c r="I218" s="1">
        <f>COSTS!$AA$28</f>
        <v>50</v>
      </c>
      <c r="J218" s="38">
        <f t="shared" si="7"/>
        <v>2334.1999999999998</v>
      </c>
      <c r="K218" s="38">
        <f t="shared" si="8"/>
        <v>530.5</v>
      </c>
      <c r="L218" s="151">
        <v>46023</v>
      </c>
      <c r="M218" s="1">
        <f>VLOOKUP(F:F,[1]Sheet1!$E:$F,2,FALSE)</f>
        <v>1778</v>
      </c>
    </row>
    <row r="219" spans="1:13" hidden="1">
      <c r="A219" s="1" t="s">
        <v>1337</v>
      </c>
      <c r="B219" s="1" t="s">
        <v>76</v>
      </c>
      <c r="C219" s="1" t="s">
        <v>1275</v>
      </c>
      <c r="D219" s="1" t="s">
        <v>136</v>
      </c>
      <c r="E219" s="1" t="str">
        <f>A219&amp;C219</f>
        <v>DUDLEYSHELBY</v>
      </c>
      <c r="F219" s="1" t="str">
        <f>A219&amp;B219&amp;C219&amp;D219</f>
        <v>DUDLEYGASHELBYNC</v>
      </c>
      <c r="G219" s="1">
        <v>721</v>
      </c>
      <c r="H219" s="38">
        <f>G219*COSTS!$AA$27</f>
        <v>1081.5</v>
      </c>
      <c r="I219" s="1">
        <f>COSTS!$AA$28</f>
        <v>50</v>
      </c>
      <c r="J219" s="38">
        <f t="shared" si="7"/>
        <v>1131.5</v>
      </c>
      <c r="K219" s="38">
        <f t="shared" si="8"/>
        <v>257.15909090909088</v>
      </c>
      <c r="L219" s="151">
        <v>46023</v>
      </c>
      <c r="M219" s="1" t="e">
        <f>VLOOKUP(F:F,[1]Sheet1!$E:$F,2,FALSE)</f>
        <v>#N/A</v>
      </c>
    </row>
    <row r="220" spans="1:13" hidden="1">
      <c r="A220" s="1" t="s">
        <v>1341</v>
      </c>
      <c r="B220" s="1" t="s">
        <v>76</v>
      </c>
      <c r="C220" s="1" t="s">
        <v>847</v>
      </c>
      <c r="D220" s="1" t="s">
        <v>76</v>
      </c>
      <c r="E220" s="1" t="str">
        <f>A220&amp;(IF(C220="Garden City","Savannah",C220))</f>
        <v>EDISONSavannah</v>
      </c>
      <c r="F220" s="1" t="s">
        <v>901</v>
      </c>
      <c r="G220" s="1">
        <v>559.18000000000006</v>
      </c>
      <c r="H220" s="38">
        <f>G220*COSTS!$AA$27</f>
        <v>838.7700000000001</v>
      </c>
      <c r="I220" s="1">
        <f>COSTS!$AA$28</f>
        <v>50</v>
      </c>
      <c r="J220" s="38">
        <f t="shared" si="7"/>
        <v>888.7700000000001</v>
      </c>
      <c r="K220" s="38">
        <f t="shared" si="8"/>
        <v>201.99318181818185</v>
      </c>
      <c r="L220" s="151">
        <v>46023</v>
      </c>
      <c r="M220" s="1" t="e">
        <f>VLOOKUP(F:F,[1]Sheet1!$E:$F,2,FALSE)</f>
        <v>#N/A</v>
      </c>
    </row>
    <row r="221" spans="1:13" hidden="1">
      <c r="A221" s="1" t="s">
        <v>1341</v>
      </c>
      <c r="B221" s="1" t="s">
        <v>76</v>
      </c>
      <c r="C221" s="1" t="s">
        <v>1274</v>
      </c>
      <c r="D221" s="1" t="s">
        <v>71</v>
      </c>
      <c r="E221" s="1" t="str">
        <f>A221&amp;C221</f>
        <v>EDISONWESLACO</v>
      </c>
      <c r="F221" s="1" t="str">
        <f>A221&amp;B221&amp;C221&amp;D221</f>
        <v>EDISONGAWESLACOTX</v>
      </c>
      <c r="G221" s="1">
        <v>1291.56</v>
      </c>
      <c r="H221" s="38">
        <f>G221*COSTS!$AA$27</f>
        <v>1937.34</v>
      </c>
      <c r="I221" s="1">
        <f>COSTS!$AA$28</f>
        <v>50</v>
      </c>
      <c r="J221" s="38">
        <f t="shared" si="7"/>
        <v>1987.34</v>
      </c>
      <c r="K221" s="38">
        <f t="shared" si="8"/>
        <v>451.66818181818178</v>
      </c>
      <c r="L221" s="151">
        <v>46023</v>
      </c>
      <c r="M221" s="1" t="e">
        <f>VLOOKUP(F:F,[1]Sheet1!$E:$F,2,FALSE)</f>
        <v>#N/A</v>
      </c>
    </row>
    <row r="222" spans="1:13" hidden="1">
      <c r="A222" s="1" t="s">
        <v>1346</v>
      </c>
      <c r="B222" s="1" t="s">
        <v>76</v>
      </c>
      <c r="C222" s="1" t="s">
        <v>847</v>
      </c>
      <c r="D222" s="1" t="s">
        <v>76</v>
      </c>
      <c r="E222" s="1" t="str">
        <f>A222&amp;(IF(C222="Garden City","Savannah",C222))</f>
        <v>ENIGMASavannah</v>
      </c>
      <c r="F222" s="1" t="s">
        <v>906</v>
      </c>
      <c r="G222" s="1">
        <v>577.81333333333339</v>
      </c>
      <c r="H222" s="38">
        <f>G222*COSTS!$AA$27</f>
        <v>866.72</v>
      </c>
      <c r="I222" s="1">
        <f>COSTS!$AA$28</f>
        <v>50</v>
      </c>
      <c r="J222" s="38">
        <f t="shared" si="7"/>
        <v>916.72</v>
      </c>
      <c r="K222" s="38">
        <f t="shared" si="8"/>
        <v>208.34545454545457</v>
      </c>
      <c r="L222" s="151">
        <v>46023</v>
      </c>
      <c r="M222" s="1">
        <f>VLOOKUP(F:F,[1]Sheet1!$E:$F,2,FALSE)</f>
        <v>680</v>
      </c>
    </row>
    <row r="223" spans="1:13" hidden="1">
      <c r="A223" s="1" t="s">
        <v>1346</v>
      </c>
      <c r="B223" s="1" t="s">
        <v>76</v>
      </c>
      <c r="C223" s="1" t="s">
        <v>1033</v>
      </c>
      <c r="D223" s="1" t="s">
        <v>168</v>
      </c>
      <c r="E223" s="1" t="str">
        <f>A223&amp;C223</f>
        <v>ENIGMAMEMPHIS</v>
      </c>
      <c r="F223" s="1" t="s">
        <v>1114</v>
      </c>
      <c r="G223" s="1">
        <v>953.55</v>
      </c>
      <c r="H223" s="38">
        <f>G223*COSTS!$AA$27</f>
        <v>1430.3249999999998</v>
      </c>
      <c r="I223" s="1">
        <f>COSTS!$AA$28</f>
        <v>50</v>
      </c>
      <c r="J223" s="38">
        <f t="shared" si="7"/>
        <v>1480.3249999999998</v>
      </c>
      <c r="K223" s="38">
        <f t="shared" si="8"/>
        <v>336.4375</v>
      </c>
      <c r="L223" s="151">
        <v>46023</v>
      </c>
      <c r="M223" s="1">
        <f>VLOOKUP(F:F,[1]Sheet1!$E:$F,2,FALSE)</f>
        <v>1310</v>
      </c>
    </row>
    <row r="224" spans="1:13" hidden="1">
      <c r="A224" s="1" t="s">
        <v>1346</v>
      </c>
      <c r="B224" s="1" t="s">
        <v>76</v>
      </c>
      <c r="C224" s="1" t="s">
        <v>1274</v>
      </c>
      <c r="D224" s="1" t="s">
        <v>71</v>
      </c>
      <c r="E224" s="1" t="str">
        <f>A224&amp;C224</f>
        <v>ENIGMAWESLACO</v>
      </c>
      <c r="F224" s="1" t="str">
        <f>A224&amp;B224&amp;C224&amp;D224</f>
        <v>ENIGMAGAWESLACOTX</v>
      </c>
      <c r="G224" s="1">
        <v>1394.02</v>
      </c>
      <c r="H224" s="38">
        <f>G224*COSTS!$AA$27</f>
        <v>2091.0299999999997</v>
      </c>
      <c r="I224" s="1">
        <f>COSTS!$AA$28</f>
        <v>50</v>
      </c>
      <c r="J224" s="38">
        <f t="shared" si="7"/>
        <v>2141.0299999999997</v>
      </c>
      <c r="K224" s="38">
        <f t="shared" si="8"/>
        <v>486.59772727272724</v>
      </c>
      <c r="L224" s="151">
        <v>46023</v>
      </c>
      <c r="M224" s="1">
        <f>VLOOKUP(F:F,[1]Sheet1!$E:$F,2,FALSE)</f>
        <v>1660</v>
      </c>
    </row>
    <row r="225" spans="1:13" hidden="1">
      <c r="A225" s="1" t="s">
        <v>1346</v>
      </c>
      <c r="B225" s="1" t="s">
        <v>76</v>
      </c>
      <c r="C225" s="1" t="s">
        <v>1275</v>
      </c>
      <c r="D225" s="1" t="s">
        <v>136</v>
      </c>
      <c r="E225" s="1" t="str">
        <f>A225&amp;C225</f>
        <v>ENIGMASHELBY</v>
      </c>
      <c r="F225" s="1" t="str">
        <f>A225&amp;B225&amp;C225&amp;D225</f>
        <v>ENIGMAGASHELBYNC</v>
      </c>
      <c r="G225" s="1">
        <v>890</v>
      </c>
      <c r="H225" s="38">
        <f>G225*COSTS!$AA$27</f>
        <v>1335</v>
      </c>
      <c r="I225" s="1">
        <f>COSTS!$AA$28</f>
        <v>50</v>
      </c>
      <c r="J225" s="38">
        <f t="shared" si="7"/>
        <v>1385</v>
      </c>
      <c r="K225" s="38">
        <f t="shared" si="8"/>
        <v>314.77272727272725</v>
      </c>
      <c r="L225" s="151">
        <v>46023</v>
      </c>
      <c r="M225" s="1">
        <f>VLOOKUP(F:F,[1]Sheet1!$E:$F,2,FALSE)</f>
        <v>1040</v>
      </c>
    </row>
    <row r="226" spans="1:13" hidden="1">
      <c r="A226" s="1" t="s">
        <v>1350</v>
      </c>
      <c r="B226" s="1" t="s">
        <v>76</v>
      </c>
      <c r="C226" s="1" t="s">
        <v>847</v>
      </c>
      <c r="D226" s="1" t="s">
        <v>76</v>
      </c>
      <c r="E226" s="1" t="str">
        <f>A226&amp;(IF(C226="Garden City","Savannah",C226))</f>
        <v>FITZGERALDSavannah</v>
      </c>
      <c r="F226" s="1" t="s">
        <v>910</v>
      </c>
      <c r="G226" s="1">
        <v>479.22</v>
      </c>
      <c r="H226" s="38">
        <f>G226*COSTS!$AA$27</f>
        <v>718.83</v>
      </c>
      <c r="I226" s="1">
        <f>COSTS!$AA$28</f>
        <v>50</v>
      </c>
      <c r="J226" s="38">
        <f t="shared" si="7"/>
        <v>768.83</v>
      </c>
      <c r="K226" s="38">
        <f t="shared" si="8"/>
        <v>174.7340909090909</v>
      </c>
      <c r="L226" s="151">
        <v>46023</v>
      </c>
      <c r="M226" s="1" t="e">
        <f>VLOOKUP(F:F,[1]Sheet1!$E:$F,2,FALSE)</f>
        <v>#N/A</v>
      </c>
    </row>
    <row r="227" spans="1:13" hidden="1">
      <c r="A227" s="1" t="s">
        <v>1352</v>
      </c>
      <c r="B227" s="1" t="s">
        <v>76</v>
      </c>
      <c r="C227" s="1" t="s">
        <v>847</v>
      </c>
      <c r="D227" s="1" t="s">
        <v>76</v>
      </c>
      <c r="E227" s="1" t="str">
        <f>A227&amp;(IF(C227="Garden City","Savannah",C227))</f>
        <v>FUNSTONSavannah</v>
      </c>
      <c r="F227" s="1" t="s">
        <v>912</v>
      </c>
      <c r="G227" s="1">
        <v>649.48</v>
      </c>
      <c r="H227" s="38">
        <f>G227*COSTS!$AA$27</f>
        <v>974.22</v>
      </c>
      <c r="I227" s="1">
        <f>COSTS!$AA$28</f>
        <v>50</v>
      </c>
      <c r="J227" s="38">
        <f t="shared" si="7"/>
        <v>1024.22</v>
      </c>
      <c r="K227" s="38">
        <f t="shared" si="8"/>
        <v>232.77727272727273</v>
      </c>
      <c r="L227" s="151">
        <v>46023</v>
      </c>
      <c r="M227" s="1" t="e">
        <f>VLOOKUP(F:F,[1]Sheet1!$E:$F,2,FALSE)</f>
        <v>#N/A</v>
      </c>
    </row>
    <row r="228" spans="1:13" hidden="1">
      <c r="A228" s="1" t="s">
        <v>1352</v>
      </c>
      <c r="B228" s="1" t="s">
        <v>76</v>
      </c>
      <c r="C228" s="1" t="s">
        <v>1033</v>
      </c>
      <c r="D228" s="1" t="s">
        <v>168</v>
      </c>
      <c r="E228" s="1" t="str">
        <f>A228&amp;C228</f>
        <v>FUNSTONMEMPHIS</v>
      </c>
      <c r="F228" s="1" t="s">
        <v>1124</v>
      </c>
      <c r="G228" s="1">
        <v>852.49</v>
      </c>
      <c r="H228" s="38">
        <f>G228*COSTS!$AA$27</f>
        <v>1278.7350000000001</v>
      </c>
      <c r="I228" s="1">
        <f>COSTS!$AA$28</f>
        <v>50</v>
      </c>
      <c r="J228" s="38">
        <f t="shared" si="7"/>
        <v>1328.7350000000001</v>
      </c>
      <c r="K228" s="38">
        <f t="shared" si="8"/>
        <v>301.98522727272734</v>
      </c>
      <c r="L228" s="151">
        <v>46023</v>
      </c>
      <c r="M228" s="1" t="e">
        <f>VLOOKUP(F:F,[1]Sheet1!$E:$F,2,FALSE)</f>
        <v>#N/A</v>
      </c>
    </row>
    <row r="229" spans="1:13" hidden="1">
      <c r="A229" s="1" t="s">
        <v>1352</v>
      </c>
      <c r="B229" s="1" t="s">
        <v>76</v>
      </c>
      <c r="C229" s="1" t="s">
        <v>1274</v>
      </c>
      <c r="D229" s="1" t="s">
        <v>71</v>
      </c>
      <c r="E229" s="1" t="str">
        <f>A229&amp;C229</f>
        <v>FUNSTONWESLACO</v>
      </c>
      <c r="F229" s="1" t="str">
        <f>A229&amp;B229&amp;C229&amp;D229</f>
        <v>FUNSTONGAWESLACOTX</v>
      </c>
      <c r="G229" s="1">
        <v>1356.4199999999998</v>
      </c>
      <c r="H229" s="38">
        <f>G229*COSTS!$AA$27</f>
        <v>2034.6299999999997</v>
      </c>
      <c r="I229" s="1">
        <f>COSTS!$AA$28</f>
        <v>50</v>
      </c>
      <c r="J229" s="38">
        <f t="shared" si="7"/>
        <v>2084.6299999999997</v>
      </c>
      <c r="K229" s="38">
        <f t="shared" si="8"/>
        <v>473.77954545454537</v>
      </c>
      <c r="L229" s="151">
        <v>46023</v>
      </c>
      <c r="M229" s="1">
        <f>VLOOKUP(F:F,[1]Sheet1!$E:$F,2,FALSE)</f>
        <v>1599</v>
      </c>
    </row>
    <row r="230" spans="1:13" hidden="1">
      <c r="A230" s="1" t="s">
        <v>847</v>
      </c>
      <c r="B230" s="1" t="s">
        <v>76</v>
      </c>
      <c r="C230" s="1" t="s">
        <v>847</v>
      </c>
      <c r="D230" s="1" t="s">
        <v>76</v>
      </c>
      <c r="E230" s="1" t="str">
        <f>A230&amp;(IF(C230="Garden City","Savannah",C230))</f>
        <v>GARDEN CITYSavannah</v>
      </c>
      <c r="F230" s="1" t="s">
        <v>913</v>
      </c>
      <c r="G230" s="1">
        <v>313.54333333333335</v>
      </c>
      <c r="H230" s="38">
        <f>G230*COSTS!$AA$27</f>
        <v>470.31500000000005</v>
      </c>
      <c r="I230" s="1">
        <f>COSTS!$AA$28</f>
        <v>50</v>
      </c>
      <c r="J230" s="38">
        <f t="shared" si="7"/>
        <v>520.31500000000005</v>
      </c>
      <c r="K230" s="38">
        <f t="shared" si="8"/>
        <v>118.2534090909091</v>
      </c>
      <c r="L230" s="151">
        <v>46023</v>
      </c>
      <c r="M230" s="1" t="e">
        <f>VLOOKUP(F:F,[1]Sheet1!$E:$F,2,FALSE)</f>
        <v>#N/A</v>
      </c>
    </row>
    <row r="231" spans="1:13" hidden="1">
      <c r="A231" s="1" t="s">
        <v>847</v>
      </c>
      <c r="B231" s="1" t="s">
        <v>76</v>
      </c>
      <c r="C231" s="1" t="s">
        <v>1033</v>
      </c>
      <c r="D231" s="1" t="s">
        <v>168</v>
      </c>
      <c r="E231" s="1" t="str">
        <f>A231&amp;C231</f>
        <v>GARDEN CITYMEMPHIS</v>
      </c>
      <c r="F231" s="1" t="s">
        <v>1125</v>
      </c>
      <c r="G231" s="1">
        <v>1076.53</v>
      </c>
      <c r="H231" s="38">
        <f>G231*COSTS!$AA$27</f>
        <v>1614.7950000000001</v>
      </c>
      <c r="I231" s="1">
        <f>COSTS!$AA$28</f>
        <v>50</v>
      </c>
      <c r="J231" s="38">
        <f t="shared" si="7"/>
        <v>1664.7950000000001</v>
      </c>
      <c r="K231" s="38">
        <f t="shared" si="8"/>
        <v>378.36250000000001</v>
      </c>
      <c r="L231" s="151">
        <v>46023</v>
      </c>
      <c r="M231" s="1" t="e">
        <f>VLOOKUP(F:F,[1]Sheet1!$E:$F,2,FALSE)</f>
        <v>#N/A</v>
      </c>
    </row>
    <row r="232" spans="1:13" hidden="1">
      <c r="A232" s="1" t="s">
        <v>847</v>
      </c>
      <c r="B232" s="1" t="s">
        <v>76</v>
      </c>
      <c r="C232" s="1" t="s">
        <v>1274</v>
      </c>
      <c r="D232" s="1" t="s">
        <v>71</v>
      </c>
      <c r="E232" s="1" t="str">
        <f>A232&amp;C232</f>
        <v>GARDEN CITYWESLACO</v>
      </c>
      <c r="F232" s="1" t="str">
        <f>A232&amp;B232&amp;C232&amp;D232</f>
        <v>GARDEN CITYGAWESLACOTX</v>
      </c>
      <c r="G232" s="1">
        <v>1673.1999999999998</v>
      </c>
      <c r="H232" s="38">
        <f>G232*COSTS!$AA$27</f>
        <v>2509.7999999999997</v>
      </c>
      <c r="I232" s="1">
        <f>COSTS!$AA$28</f>
        <v>50</v>
      </c>
      <c r="J232" s="38">
        <f t="shared" si="7"/>
        <v>2559.7999999999997</v>
      </c>
      <c r="K232" s="38">
        <f t="shared" si="8"/>
        <v>581.77272727272725</v>
      </c>
      <c r="L232" s="151">
        <v>46023</v>
      </c>
      <c r="M232" s="1">
        <f>VLOOKUP(F:F,[1]Sheet1!$E:$F,2,FALSE)</f>
        <v>2390</v>
      </c>
    </row>
    <row r="233" spans="1:13" hidden="1">
      <c r="A233" s="1" t="s">
        <v>847</v>
      </c>
      <c r="B233" s="1" t="s">
        <v>76</v>
      </c>
      <c r="C233" s="1" t="s">
        <v>1275</v>
      </c>
      <c r="D233" s="1" t="s">
        <v>136</v>
      </c>
      <c r="E233" s="1" t="str">
        <f>A233&amp;C233</f>
        <v>GARDEN CITYSHELBY</v>
      </c>
      <c r="F233" s="1" t="str">
        <f>A233&amp;B233&amp;C233&amp;D233</f>
        <v>GARDEN CITYGASHELBYNC</v>
      </c>
      <c r="G233" s="1">
        <v>750</v>
      </c>
      <c r="H233" s="38">
        <f>G233*COSTS!$AA$27</f>
        <v>1125</v>
      </c>
      <c r="I233" s="1">
        <f>COSTS!$AA$28</f>
        <v>50</v>
      </c>
      <c r="J233" s="38">
        <f t="shared" si="7"/>
        <v>1175</v>
      </c>
      <c r="K233" s="38">
        <f t="shared" si="8"/>
        <v>267.0454545454545</v>
      </c>
      <c r="L233" s="151">
        <v>46023</v>
      </c>
      <c r="M233" s="1" t="e">
        <f>VLOOKUP(F:F,[1]Sheet1!$E:$F,2,FALSE)</f>
        <v>#N/A</v>
      </c>
    </row>
    <row r="234" spans="1:13" hidden="1">
      <c r="A234" s="1" t="s">
        <v>1363</v>
      </c>
      <c r="B234" s="1" t="s">
        <v>76</v>
      </c>
      <c r="C234" s="1" t="s">
        <v>847</v>
      </c>
      <c r="D234" s="1" t="s">
        <v>76</v>
      </c>
      <c r="E234" s="1" t="str">
        <f>A234&amp;(IF(C234="Garden City","Savannah",C234))</f>
        <v>HAWKINSVILLESavannah</v>
      </c>
      <c r="F234" s="1" t="s">
        <v>923</v>
      </c>
      <c r="G234" s="1">
        <v>600.52</v>
      </c>
      <c r="H234" s="38">
        <f>G234*COSTS!$AA$27</f>
        <v>900.78</v>
      </c>
      <c r="I234" s="1">
        <f>COSTS!$AA$28</f>
        <v>50</v>
      </c>
      <c r="J234" s="38">
        <f t="shared" si="7"/>
        <v>950.78</v>
      </c>
      <c r="K234" s="38">
        <f t="shared" si="8"/>
        <v>216.08636363636364</v>
      </c>
      <c r="L234" s="151">
        <v>46023</v>
      </c>
      <c r="M234" s="1">
        <f>VLOOKUP(F:F,[1]Sheet1!$E:$F,2,FALSE)</f>
        <v>650</v>
      </c>
    </row>
    <row r="235" spans="1:13" hidden="1">
      <c r="A235" s="1" t="s">
        <v>1363</v>
      </c>
      <c r="B235" s="1" t="s">
        <v>76</v>
      </c>
      <c r="C235" s="1" t="s">
        <v>1033</v>
      </c>
      <c r="D235" s="1" t="s">
        <v>168</v>
      </c>
      <c r="E235" s="1" t="str">
        <f>A235&amp;C235</f>
        <v>HAWKINSVILLEMEMPHIS</v>
      </c>
      <c r="F235" s="1" t="s">
        <v>1138</v>
      </c>
      <c r="G235" s="1">
        <v>863.2</v>
      </c>
      <c r="H235" s="38">
        <f>G235*COSTS!$AA$27</f>
        <v>1294.8000000000002</v>
      </c>
      <c r="I235" s="1">
        <f>COSTS!$AA$28</f>
        <v>50</v>
      </c>
      <c r="J235" s="38">
        <f t="shared" si="7"/>
        <v>1344.8000000000002</v>
      </c>
      <c r="K235" s="38">
        <f t="shared" si="8"/>
        <v>305.63636363636368</v>
      </c>
      <c r="L235" s="151">
        <v>46023</v>
      </c>
      <c r="M235" s="1">
        <f>VLOOKUP(F:F,[1]Sheet1!$E:$F,2,FALSE)</f>
        <v>1300</v>
      </c>
    </row>
    <row r="236" spans="1:13" hidden="1">
      <c r="A236" s="1" t="s">
        <v>1363</v>
      </c>
      <c r="B236" s="1" t="s">
        <v>76</v>
      </c>
      <c r="C236" s="1" t="s">
        <v>1274</v>
      </c>
      <c r="D236" s="1" t="s">
        <v>71</v>
      </c>
      <c r="E236" s="1" t="str">
        <f>A236&amp;C236</f>
        <v>HAWKINSVILLEWESLACO</v>
      </c>
      <c r="F236" s="1" t="str">
        <f>A236&amp;B236&amp;C236&amp;D236</f>
        <v>HAWKINSVILLEGAWESLACOTX</v>
      </c>
      <c r="G236" s="1">
        <v>1520.9199999999998</v>
      </c>
      <c r="H236" s="38">
        <f>G236*COSTS!$AA$27</f>
        <v>2281.3799999999997</v>
      </c>
      <c r="I236" s="1">
        <f>COSTS!$AA$28</f>
        <v>50</v>
      </c>
      <c r="J236" s="38">
        <f t="shared" si="7"/>
        <v>2331.3799999999997</v>
      </c>
      <c r="K236" s="38">
        <f t="shared" si="8"/>
        <v>529.85909090909081</v>
      </c>
      <c r="L236" s="151">
        <v>46023</v>
      </c>
      <c r="M236" s="1">
        <f>VLOOKUP(F:F,[1]Sheet1!$E:$F,2,FALSE)</f>
        <v>1953</v>
      </c>
    </row>
    <row r="237" spans="1:13" hidden="1">
      <c r="A237" s="1" t="s">
        <v>1363</v>
      </c>
      <c r="B237" s="1" t="s">
        <v>76</v>
      </c>
      <c r="C237" s="1" t="s">
        <v>1275</v>
      </c>
      <c r="D237" s="1" t="s">
        <v>136</v>
      </c>
      <c r="E237" s="1" t="str">
        <f>A237&amp;C237</f>
        <v>HAWKINSVILLESHELBY</v>
      </c>
      <c r="F237" s="1" t="str">
        <f>A237&amp;B237&amp;C237&amp;D237</f>
        <v>HAWKINSVILLEGASHELBYNC</v>
      </c>
      <c r="G237" s="1">
        <v>851</v>
      </c>
      <c r="H237" s="38">
        <f>G237*COSTS!$AA$27</f>
        <v>1276.5</v>
      </c>
      <c r="I237" s="1">
        <f>COSTS!$AA$28</f>
        <v>50</v>
      </c>
      <c r="J237" s="38">
        <f t="shared" si="7"/>
        <v>1326.5</v>
      </c>
      <c r="K237" s="38">
        <f t="shared" si="8"/>
        <v>301.47727272727275</v>
      </c>
      <c r="L237" s="151">
        <v>46023</v>
      </c>
      <c r="M237" s="1">
        <f>VLOOKUP(F:F,[1]Sheet1!$E:$F,2,FALSE)</f>
        <v>890</v>
      </c>
    </row>
    <row r="238" spans="1:13" hidden="1">
      <c r="A238" s="1" t="s">
        <v>1364</v>
      </c>
      <c r="B238" s="1" t="s">
        <v>76</v>
      </c>
      <c r="C238" s="1" t="s">
        <v>847</v>
      </c>
      <c r="D238" s="1" t="s">
        <v>76</v>
      </c>
      <c r="E238" s="1" t="str">
        <f>A238&amp;(IF(C238="Garden City","Savannah",C238))</f>
        <v>HAZELHURSTSavannah</v>
      </c>
      <c r="F238" s="1" t="s">
        <v>924</v>
      </c>
      <c r="G238" s="1">
        <v>502.70666666666665</v>
      </c>
      <c r="H238" s="38">
        <f>G238*COSTS!$AA$27</f>
        <v>754.06</v>
      </c>
      <c r="I238" s="1">
        <f>COSTS!$AA$28</f>
        <v>50</v>
      </c>
      <c r="J238" s="38">
        <f t="shared" si="7"/>
        <v>804.06</v>
      </c>
      <c r="K238" s="38">
        <f t="shared" si="8"/>
        <v>182.7409090909091</v>
      </c>
      <c r="L238" s="151">
        <v>46023</v>
      </c>
      <c r="M238" s="1" t="e">
        <f>VLOOKUP(F:F,[1]Sheet1!$E:$F,2,FALSE)</f>
        <v>#N/A</v>
      </c>
    </row>
    <row r="239" spans="1:13" hidden="1">
      <c r="A239" s="1" t="s">
        <v>1365</v>
      </c>
      <c r="B239" s="1" t="s">
        <v>76</v>
      </c>
      <c r="C239" s="1" t="s">
        <v>847</v>
      </c>
      <c r="D239" s="1" t="s">
        <v>76</v>
      </c>
      <c r="E239" s="1" t="str">
        <f>A239&amp;(IF(C239="Garden City","Savannah",C239))</f>
        <v>HAZLEHURSTSavannah</v>
      </c>
      <c r="F239" s="1" t="s">
        <v>925</v>
      </c>
      <c r="G239" s="1">
        <v>454.065</v>
      </c>
      <c r="H239" s="38">
        <f>G239*COSTS!$AA$27</f>
        <v>681.09749999999997</v>
      </c>
      <c r="I239" s="1">
        <f>COSTS!$AA$28</f>
        <v>50</v>
      </c>
      <c r="J239" s="38">
        <f t="shared" si="7"/>
        <v>731.09749999999997</v>
      </c>
      <c r="K239" s="38">
        <f t="shared" si="8"/>
        <v>166.1585227272727</v>
      </c>
      <c r="L239" s="151">
        <v>46023</v>
      </c>
      <c r="M239" s="1">
        <f>VLOOKUP(F:F,[1]Sheet1!$E:$F,2,FALSE)</f>
        <v>590</v>
      </c>
    </row>
    <row r="240" spans="1:13" hidden="1">
      <c r="A240" s="1" t="s">
        <v>1365</v>
      </c>
      <c r="B240" s="1" t="s">
        <v>76</v>
      </c>
      <c r="C240" s="1" t="s">
        <v>1033</v>
      </c>
      <c r="D240" s="1" t="s">
        <v>168</v>
      </c>
      <c r="E240" s="1" t="str">
        <f>A240&amp;C240</f>
        <v>HAZLEHURSTMEMPHIS</v>
      </c>
      <c r="F240" s="1" t="s">
        <v>1140</v>
      </c>
      <c r="G240" s="1">
        <v>1000</v>
      </c>
      <c r="H240" s="38">
        <f>G240*COSTS!$AA$27</f>
        <v>1500</v>
      </c>
      <c r="I240" s="1">
        <f>COSTS!$AA$28</f>
        <v>50</v>
      </c>
      <c r="J240" s="38">
        <f t="shared" si="7"/>
        <v>1550</v>
      </c>
      <c r="K240" s="38">
        <f t="shared" si="8"/>
        <v>352.27272727272725</v>
      </c>
      <c r="L240" s="151">
        <v>46023</v>
      </c>
      <c r="M240" s="1">
        <f>VLOOKUP(F:F,[1]Sheet1!$E:$F,2,FALSE)</f>
        <v>1430</v>
      </c>
    </row>
    <row r="241" spans="1:13" hidden="1">
      <c r="A241" s="1" t="s">
        <v>1365</v>
      </c>
      <c r="B241" s="1" t="s">
        <v>76</v>
      </c>
      <c r="C241" s="1" t="s">
        <v>1274</v>
      </c>
      <c r="D241" s="1" t="s">
        <v>71</v>
      </c>
      <c r="E241" s="1" t="str">
        <f>A241&amp;C241</f>
        <v>HAZLEHURSTWESLACO</v>
      </c>
      <c r="F241" s="1" t="str">
        <f>A241&amp;B241&amp;C241&amp;D241</f>
        <v>HAZLEHURSTGAWESLACOTX</v>
      </c>
      <c r="G241" s="1">
        <v>1514.34</v>
      </c>
      <c r="H241" s="38">
        <f>G241*COSTS!$AA$27</f>
        <v>2271.5099999999998</v>
      </c>
      <c r="I241" s="1">
        <f>COSTS!$AA$28</f>
        <v>50</v>
      </c>
      <c r="J241" s="38">
        <f t="shared" si="7"/>
        <v>2321.5099999999998</v>
      </c>
      <c r="K241" s="38">
        <f t="shared" si="8"/>
        <v>527.6159090909091</v>
      </c>
      <c r="L241" s="151">
        <v>46023</v>
      </c>
      <c r="M241" s="1">
        <f>VLOOKUP(F:F,[1]Sheet1!$E:$F,2,FALSE)</f>
        <v>2261</v>
      </c>
    </row>
    <row r="242" spans="1:13" hidden="1">
      <c r="A242" s="1" t="s">
        <v>1365</v>
      </c>
      <c r="B242" s="1" t="s">
        <v>76</v>
      </c>
      <c r="C242" s="1" t="s">
        <v>1275</v>
      </c>
      <c r="D242" s="1" t="s">
        <v>136</v>
      </c>
      <c r="E242" s="1" t="str">
        <f>A242&amp;C242</f>
        <v>HAZLEHURSTSHELBY</v>
      </c>
      <c r="F242" s="1" t="str">
        <f>A242&amp;B242&amp;C242&amp;D242</f>
        <v>HAZLEHURSTGASHELBYNC</v>
      </c>
      <c r="G242" s="1">
        <v>875</v>
      </c>
      <c r="H242" s="38">
        <f>G242*COSTS!$AA$27</f>
        <v>1312.5</v>
      </c>
      <c r="I242" s="1">
        <f>COSTS!$AA$28</f>
        <v>50</v>
      </c>
      <c r="J242" s="38">
        <f t="shared" si="7"/>
        <v>1362.5</v>
      </c>
      <c r="K242" s="38">
        <f t="shared" si="8"/>
        <v>309.65909090909088</v>
      </c>
      <c r="L242" s="151">
        <v>46023</v>
      </c>
      <c r="M242" s="1">
        <f>VLOOKUP(F:F,[1]Sheet1!$E:$F,2,FALSE)</f>
        <v>810</v>
      </c>
    </row>
    <row r="243" spans="1:13" hidden="1">
      <c r="A243" s="1" t="s">
        <v>1384</v>
      </c>
      <c r="B243" s="1" t="s">
        <v>76</v>
      </c>
      <c r="C243" s="1" t="s">
        <v>847</v>
      </c>
      <c r="D243" s="1" t="s">
        <v>76</v>
      </c>
      <c r="E243" s="1" t="str">
        <f>A243&amp;(IF(C243="Garden City","Savannah",C243))</f>
        <v>LENOXSavannah</v>
      </c>
      <c r="F243" s="1" t="s">
        <v>945</v>
      </c>
      <c r="G243" s="1">
        <v>479.22</v>
      </c>
      <c r="H243" s="38">
        <f>G243*COSTS!$AA$27</f>
        <v>718.83</v>
      </c>
      <c r="I243" s="1">
        <f>COSTS!$AA$28</f>
        <v>50</v>
      </c>
      <c r="J243" s="38">
        <f t="shared" si="7"/>
        <v>768.83</v>
      </c>
      <c r="K243" s="38">
        <f t="shared" si="8"/>
        <v>174.7340909090909</v>
      </c>
      <c r="L243" s="151">
        <v>46023</v>
      </c>
      <c r="M243" s="1">
        <f>VLOOKUP(F:F,[1]Sheet1!$E:$F,2,FALSE)</f>
        <v>720</v>
      </c>
    </row>
    <row r="244" spans="1:13" hidden="1">
      <c r="A244" s="1" t="s">
        <v>1384</v>
      </c>
      <c r="B244" s="1" t="s">
        <v>76</v>
      </c>
      <c r="C244" s="1" t="s">
        <v>1033</v>
      </c>
      <c r="D244" s="1" t="s">
        <v>168</v>
      </c>
      <c r="E244" s="1" t="str">
        <f>A244&amp;C244</f>
        <v>LENOXMEMPHIS</v>
      </c>
      <c r="F244" s="1" t="s">
        <v>1168</v>
      </c>
      <c r="G244" s="1">
        <v>953.55</v>
      </c>
      <c r="H244" s="38">
        <f>G244*COSTS!$AA$27</f>
        <v>1430.3249999999998</v>
      </c>
      <c r="I244" s="1">
        <f>COSTS!$AA$28</f>
        <v>50</v>
      </c>
      <c r="J244" s="38">
        <f t="shared" si="7"/>
        <v>1480.3249999999998</v>
      </c>
      <c r="K244" s="38">
        <f t="shared" si="8"/>
        <v>336.4375</v>
      </c>
      <c r="L244" s="151">
        <v>46023</v>
      </c>
      <c r="M244" s="1">
        <f>VLOOKUP(F:F,[1]Sheet1!$E:$F,2,FALSE)</f>
        <v>1310</v>
      </c>
    </row>
    <row r="245" spans="1:13" hidden="1">
      <c r="A245" s="1" t="s">
        <v>1384</v>
      </c>
      <c r="B245" s="1" t="s">
        <v>76</v>
      </c>
      <c r="C245" s="1" t="s">
        <v>1275</v>
      </c>
      <c r="D245" s="1" t="s">
        <v>136</v>
      </c>
      <c r="E245" s="1" t="str">
        <f>A245&amp;C245</f>
        <v>LENOXSHELBY</v>
      </c>
      <c r="F245" s="1" t="str">
        <f>A245&amp;B245&amp;C245&amp;D245</f>
        <v>LENOXGASHELBYNC</v>
      </c>
      <c r="G245" s="1">
        <v>895</v>
      </c>
      <c r="H245" s="38">
        <f>G245*COSTS!$AA$27</f>
        <v>1342.5</v>
      </c>
      <c r="I245" s="1">
        <f>COSTS!$AA$28</f>
        <v>50</v>
      </c>
      <c r="J245" s="38">
        <f t="shared" si="7"/>
        <v>1392.5</v>
      </c>
      <c r="K245" s="38">
        <f t="shared" si="8"/>
        <v>316.47727272727275</v>
      </c>
      <c r="L245" s="151">
        <v>46023</v>
      </c>
      <c r="M245" s="1">
        <f>VLOOKUP(F:F,[1]Sheet1!$E:$F,2,FALSE)</f>
        <v>1050</v>
      </c>
    </row>
    <row r="246" spans="1:13" hidden="1">
      <c r="A246" s="1" t="s">
        <v>1389</v>
      </c>
      <c r="B246" s="1" t="s">
        <v>76</v>
      </c>
      <c r="C246" s="1" t="s">
        <v>847</v>
      </c>
      <c r="D246" s="1" t="s">
        <v>76</v>
      </c>
      <c r="E246" s="1" t="str">
        <f>A246&amp;(IF(C246="Garden City","Savannah",C246))</f>
        <v>MADISONSavannah</v>
      </c>
      <c r="F246" s="1" t="s">
        <v>950</v>
      </c>
      <c r="G246" s="1">
        <v>645.62666666666667</v>
      </c>
      <c r="H246" s="38">
        <f>G246*COSTS!$AA$27</f>
        <v>968.44</v>
      </c>
      <c r="I246" s="1">
        <f>COSTS!$AA$28</f>
        <v>50</v>
      </c>
      <c r="J246" s="38">
        <f t="shared" si="7"/>
        <v>1018.44</v>
      </c>
      <c r="K246" s="38">
        <f t="shared" si="8"/>
        <v>231.4636363636364</v>
      </c>
      <c r="L246" s="151">
        <v>46023</v>
      </c>
      <c r="M246" s="1">
        <f>VLOOKUP(F:F,[1]Sheet1!$E:$F,2,FALSE)</f>
        <v>740</v>
      </c>
    </row>
    <row r="247" spans="1:13" hidden="1">
      <c r="A247" s="1" t="s">
        <v>1389</v>
      </c>
      <c r="B247" s="1" t="s">
        <v>76</v>
      </c>
      <c r="C247" s="1" t="s">
        <v>1033</v>
      </c>
      <c r="D247" s="1" t="s">
        <v>168</v>
      </c>
      <c r="E247" s="1" t="str">
        <f>A247&amp;C247</f>
        <v>MADISONMEMPHIS</v>
      </c>
      <c r="F247" s="1" t="s">
        <v>1176</v>
      </c>
      <c r="G247" s="1">
        <v>850</v>
      </c>
      <c r="H247" s="38">
        <f>G247*COSTS!$AA$27</f>
        <v>1275</v>
      </c>
      <c r="I247" s="1">
        <f>COSTS!$AA$28</f>
        <v>50</v>
      </c>
      <c r="J247" s="38">
        <f t="shared" si="7"/>
        <v>1325</v>
      </c>
      <c r="K247" s="38">
        <f t="shared" si="8"/>
        <v>301.13636363636363</v>
      </c>
      <c r="L247" s="151">
        <v>46023</v>
      </c>
      <c r="M247" s="1">
        <f>VLOOKUP(F:F,[1]Sheet1!$E:$F,2,FALSE)</f>
        <v>1170</v>
      </c>
    </row>
    <row r="248" spans="1:13" hidden="1">
      <c r="A248" s="1" t="s">
        <v>1389</v>
      </c>
      <c r="B248" s="1" t="s">
        <v>76</v>
      </c>
      <c r="C248" s="1" t="s">
        <v>1275</v>
      </c>
      <c r="D248" s="1" t="s">
        <v>136</v>
      </c>
      <c r="E248" s="1" t="str">
        <f>A248&amp;C248</f>
        <v>MADISONSHELBY</v>
      </c>
      <c r="F248" s="1" t="str">
        <f>A248&amp;B248&amp;C248&amp;D248</f>
        <v>MADISONGASHELBYNC</v>
      </c>
      <c r="G248" s="1">
        <v>625</v>
      </c>
      <c r="H248" s="38">
        <f>G248*COSTS!$AA$27</f>
        <v>937.5</v>
      </c>
      <c r="I248" s="1">
        <f>COSTS!$AA$28</f>
        <v>50</v>
      </c>
      <c r="J248" s="38">
        <f t="shared" si="7"/>
        <v>987.5</v>
      </c>
      <c r="K248" s="38">
        <f t="shared" si="8"/>
        <v>224.43181818181816</v>
      </c>
      <c r="L248" s="151">
        <v>46023</v>
      </c>
      <c r="M248" s="1">
        <f>VLOOKUP(F:F,[1]Sheet1!$E:$F,2,FALSE)</f>
        <v>620</v>
      </c>
    </row>
    <row r="249" spans="1:13" hidden="1">
      <c r="A249" s="1" t="s">
        <v>1394</v>
      </c>
      <c r="B249" s="1" t="s">
        <v>76</v>
      </c>
      <c r="C249" s="1" t="s">
        <v>847</v>
      </c>
      <c r="D249" s="1" t="s">
        <v>76</v>
      </c>
      <c r="E249" s="1" t="str">
        <f>A249&amp;(IF(C249="Garden City","Savannah",C249))</f>
        <v>MEIGSSavannah</v>
      </c>
      <c r="F249" s="1" t="s">
        <v>955</v>
      </c>
      <c r="G249" s="1">
        <v>646.14666666666665</v>
      </c>
      <c r="H249" s="38">
        <f>G249*COSTS!$AA$27</f>
        <v>969.22</v>
      </c>
      <c r="I249" s="1">
        <f>COSTS!$AA$28</f>
        <v>50</v>
      </c>
      <c r="J249" s="38">
        <f t="shared" si="7"/>
        <v>1019.22</v>
      </c>
      <c r="K249" s="38">
        <f t="shared" si="8"/>
        <v>231.64090909090908</v>
      </c>
      <c r="L249" s="151">
        <v>46023</v>
      </c>
      <c r="M249" s="1">
        <f>VLOOKUP(F:F,[1]Sheet1!$E:$F,2,FALSE)</f>
        <v>770</v>
      </c>
    </row>
    <row r="250" spans="1:13" hidden="1">
      <c r="A250" s="1" t="s">
        <v>1394</v>
      </c>
      <c r="B250" s="1" t="s">
        <v>76</v>
      </c>
      <c r="C250" s="1" t="s">
        <v>1033</v>
      </c>
      <c r="D250" s="1" t="s">
        <v>168</v>
      </c>
      <c r="E250" s="1" t="str">
        <f>A250&amp;C250</f>
        <v>MEIGSMEMPHIS</v>
      </c>
      <c r="F250" s="1" t="s">
        <v>1183</v>
      </c>
      <c r="G250" s="1">
        <v>842.71</v>
      </c>
      <c r="H250" s="38">
        <f>G250*COSTS!$AA$27</f>
        <v>1264.0650000000001</v>
      </c>
      <c r="I250" s="1">
        <f>COSTS!$AA$28</f>
        <v>50</v>
      </c>
      <c r="J250" s="38">
        <f t="shared" si="7"/>
        <v>1314.0650000000001</v>
      </c>
      <c r="K250" s="38">
        <f t="shared" si="8"/>
        <v>298.6511363636364</v>
      </c>
      <c r="L250" s="151">
        <v>46023</v>
      </c>
      <c r="M250" s="1">
        <f>VLOOKUP(F:F,[1]Sheet1!$E:$F,2,FALSE)</f>
        <v>1280</v>
      </c>
    </row>
    <row r="251" spans="1:13" hidden="1">
      <c r="A251" s="1" t="s">
        <v>1394</v>
      </c>
      <c r="B251" s="1" t="s">
        <v>76</v>
      </c>
      <c r="C251" s="1" t="s">
        <v>1274</v>
      </c>
      <c r="D251" s="1" t="s">
        <v>71</v>
      </c>
      <c r="E251" s="1" t="str">
        <f>A251&amp;C251</f>
        <v>MEIGSWESLACO</v>
      </c>
      <c r="F251" s="1" t="str">
        <f>A251&amp;B251&amp;C251&amp;D251</f>
        <v>MEIGSGAWESLACOTX</v>
      </c>
      <c r="G251" s="1">
        <v>1314.12</v>
      </c>
      <c r="H251" s="38">
        <f>G251*COSTS!$AA$27</f>
        <v>1971.1799999999998</v>
      </c>
      <c r="I251" s="1">
        <f>COSTS!$AA$28</f>
        <v>50</v>
      </c>
      <c r="J251" s="38">
        <f t="shared" si="7"/>
        <v>2021.1799999999998</v>
      </c>
      <c r="K251" s="38">
        <f t="shared" si="8"/>
        <v>459.35909090909087</v>
      </c>
      <c r="L251" s="151">
        <v>46023</v>
      </c>
      <c r="M251" s="1">
        <f>VLOOKUP(F:F,[1]Sheet1!$E:$F,2,FALSE)</f>
        <v>1579</v>
      </c>
    </row>
    <row r="252" spans="1:13" hidden="1">
      <c r="A252" s="1" t="s">
        <v>1394</v>
      </c>
      <c r="B252" s="1" t="s">
        <v>76</v>
      </c>
      <c r="C252" s="1" t="s">
        <v>1275</v>
      </c>
      <c r="D252" s="1" t="s">
        <v>136</v>
      </c>
      <c r="E252" s="1" t="str">
        <f>A252&amp;C252</f>
        <v>MEIGSSHELBY</v>
      </c>
      <c r="F252" s="1" t="str">
        <f>A252&amp;B252&amp;C252&amp;D252</f>
        <v>MEIGSGASHELBYNC</v>
      </c>
      <c r="G252" s="1">
        <v>960</v>
      </c>
      <c r="H252" s="38">
        <f>G252*COSTS!$AA$27</f>
        <v>1440</v>
      </c>
      <c r="I252" s="1">
        <f>COSTS!$AA$28</f>
        <v>50</v>
      </c>
      <c r="J252" s="38">
        <f t="shared" si="7"/>
        <v>1490</v>
      </c>
      <c r="K252" s="38">
        <f t="shared" si="8"/>
        <v>338.63636363636368</v>
      </c>
      <c r="L252" s="151">
        <v>46023</v>
      </c>
      <c r="M252" s="1">
        <f>VLOOKUP(F:F,[1]Sheet1!$E:$F,2,FALSE)</f>
        <v>1100</v>
      </c>
    </row>
    <row r="253" spans="1:13" hidden="1">
      <c r="A253" s="1" t="s">
        <v>1395</v>
      </c>
      <c r="B253" s="1" t="s">
        <v>76</v>
      </c>
      <c r="C253" s="1" t="s">
        <v>847</v>
      </c>
      <c r="D253" s="1" t="s">
        <v>76</v>
      </c>
      <c r="E253" s="1" t="str">
        <f>A253&amp;(IF(C253="Garden City","Savannah",C253))</f>
        <v>METTERSavannah</v>
      </c>
      <c r="F253" s="1" t="s">
        <v>957</v>
      </c>
      <c r="G253" s="1">
        <v>426.46000000000004</v>
      </c>
      <c r="H253" s="38">
        <f>G253*COSTS!$AA$27</f>
        <v>639.69000000000005</v>
      </c>
      <c r="I253" s="1">
        <f>COSTS!$AA$28</f>
        <v>50</v>
      </c>
      <c r="J253" s="38">
        <f t="shared" si="7"/>
        <v>689.69</v>
      </c>
      <c r="K253" s="38">
        <f t="shared" si="8"/>
        <v>156.74772727272727</v>
      </c>
      <c r="L253" s="151">
        <v>46023</v>
      </c>
      <c r="M253" s="1">
        <f>VLOOKUP(F:F,[1]Sheet1!$E:$F,2,FALSE)</f>
        <v>510</v>
      </c>
    </row>
    <row r="254" spans="1:13" hidden="1">
      <c r="A254" s="1" t="s">
        <v>1395</v>
      </c>
      <c r="B254" s="1" t="s">
        <v>76</v>
      </c>
      <c r="C254" s="1" t="s">
        <v>1033</v>
      </c>
      <c r="D254" s="1" t="s">
        <v>168</v>
      </c>
      <c r="E254" s="1" t="str">
        <f>A254&amp;C254</f>
        <v>METTERMEMPHIS</v>
      </c>
      <c r="F254" s="1" t="s">
        <v>1186</v>
      </c>
      <c r="G254" s="1">
        <v>1000</v>
      </c>
      <c r="H254" s="38">
        <f>G254*COSTS!$AA$27</f>
        <v>1500</v>
      </c>
      <c r="I254" s="1">
        <f>COSTS!$AA$28</f>
        <v>50</v>
      </c>
      <c r="J254" s="38">
        <f t="shared" si="7"/>
        <v>1550</v>
      </c>
      <c r="K254" s="38">
        <f t="shared" si="8"/>
        <v>352.27272727272725</v>
      </c>
      <c r="L254" s="151">
        <v>46023</v>
      </c>
      <c r="M254" s="1">
        <f>VLOOKUP(F:F,[1]Sheet1!$E:$F,2,FALSE)</f>
        <v>1430</v>
      </c>
    </row>
    <row r="255" spans="1:13" hidden="1">
      <c r="A255" s="1" t="s">
        <v>1395</v>
      </c>
      <c r="B255" s="1" t="s">
        <v>76</v>
      </c>
      <c r="C255" s="1" t="s">
        <v>1274</v>
      </c>
      <c r="D255" s="1" t="s">
        <v>71</v>
      </c>
      <c r="E255" s="1" t="str">
        <f>A255&amp;C255</f>
        <v>METTERWESLACO</v>
      </c>
      <c r="F255" s="1" t="str">
        <f>A255&amp;B255&amp;C255&amp;D255</f>
        <v>METTERGAWESLACOTX</v>
      </c>
      <c r="G255" s="1">
        <v>1558.52</v>
      </c>
      <c r="H255" s="38">
        <f>G255*COSTS!$AA$27</f>
        <v>2337.7799999999997</v>
      </c>
      <c r="I255" s="1">
        <f>COSTS!$AA$28</f>
        <v>50</v>
      </c>
      <c r="J255" s="38">
        <f t="shared" si="7"/>
        <v>2387.7799999999997</v>
      </c>
      <c r="K255" s="38">
        <f t="shared" si="8"/>
        <v>542.67727272727268</v>
      </c>
      <c r="L255" s="151">
        <v>46023</v>
      </c>
      <c r="M255" s="1">
        <f>VLOOKUP(F:F,[1]Sheet1!$E:$F,2,FALSE)</f>
        <v>2275</v>
      </c>
    </row>
    <row r="256" spans="1:13" hidden="1">
      <c r="A256" s="1" t="s">
        <v>1395</v>
      </c>
      <c r="B256" s="1" t="s">
        <v>76</v>
      </c>
      <c r="C256" s="1" t="s">
        <v>1275</v>
      </c>
      <c r="D256" s="1" t="s">
        <v>136</v>
      </c>
      <c r="E256" s="1" t="str">
        <f>A256&amp;C256</f>
        <v>METTERSHELBY</v>
      </c>
      <c r="F256" s="1" t="str">
        <f>A256&amp;B256&amp;C256&amp;D256</f>
        <v>METTERGASHELBYNC</v>
      </c>
      <c r="G256" s="1">
        <v>725</v>
      </c>
      <c r="H256" s="38">
        <f>G256*COSTS!$AA$27</f>
        <v>1087.5</v>
      </c>
      <c r="I256" s="1">
        <f>COSTS!$AA$28</f>
        <v>50</v>
      </c>
      <c r="J256" s="38">
        <f t="shared" si="7"/>
        <v>1137.5</v>
      </c>
      <c r="K256" s="38">
        <f t="shared" si="8"/>
        <v>258.52272727272725</v>
      </c>
      <c r="L256" s="151">
        <v>46023</v>
      </c>
      <c r="M256" s="1">
        <f>VLOOKUP(F:F,[1]Sheet1!$E:$F,2,FALSE)</f>
        <v>690</v>
      </c>
    </row>
    <row r="257" spans="1:13" hidden="1">
      <c r="A257" s="1" t="s">
        <v>1396</v>
      </c>
      <c r="B257" s="1" t="s">
        <v>76</v>
      </c>
      <c r="C257" s="1" t="s">
        <v>847</v>
      </c>
      <c r="D257" s="1" t="s">
        <v>76</v>
      </c>
      <c r="E257" s="1" t="str">
        <f>A257&amp;(IF(C257="Garden City","Savannah",C257))</f>
        <v>MIDVILLESavannah</v>
      </c>
      <c r="F257" s="1" t="s">
        <v>958</v>
      </c>
      <c r="G257" s="1">
        <v>446.46000000000004</v>
      </c>
      <c r="H257" s="38">
        <f>G257*COSTS!$AA$27</f>
        <v>669.69</v>
      </c>
      <c r="I257" s="1">
        <f>COSTS!$AA$28</f>
        <v>50</v>
      </c>
      <c r="J257" s="38">
        <f t="shared" si="7"/>
        <v>719.69</v>
      </c>
      <c r="K257" s="38">
        <f t="shared" si="8"/>
        <v>163.56590909090912</v>
      </c>
      <c r="L257" s="151">
        <v>46023</v>
      </c>
      <c r="M257" s="1">
        <f>VLOOKUP(F:F,[1]Sheet1!$E:$F,2,FALSE)</f>
        <v>570</v>
      </c>
    </row>
    <row r="258" spans="1:13" hidden="1">
      <c r="A258" s="1" t="s">
        <v>1396</v>
      </c>
      <c r="B258" s="1" t="s">
        <v>76</v>
      </c>
      <c r="C258" s="1" t="s">
        <v>1033</v>
      </c>
      <c r="D258" s="1" t="s">
        <v>168</v>
      </c>
      <c r="E258" s="1" t="str">
        <f>A258&amp;C258</f>
        <v>MIDVILLEMEMPHIS</v>
      </c>
      <c r="F258" s="1" t="s">
        <v>1187</v>
      </c>
      <c r="G258" s="1">
        <v>1000</v>
      </c>
      <c r="H258" s="38">
        <f>G258*COSTS!$AA$27</f>
        <v>1500</v>
      </c>
      <c r="I258" s="1">
        <f>COSTS!$AA$28</f>
        <v>50</v>
      </c>
      <c r="J258" s="38">
        <f t="shared" ref="J258:J321" si="9">H258+I258</f>
        <v>1550</v>
      </c>
      <c r="K258" s="38">
        <f t="shared" ref="K258:K321" si="10">(J258/88)*20</f>
        <v>352.27272727272725</v>
      </c>
      <c r="L258" s="151">
        <v>46023</v>
      </c>
      <c r="M258" s="1">
        <f>VLOOKUP(F:F,[1]Sheet1!$E:$F,2,FALSE)</f>
        <v>1400</v>
      </c>
    </row>
    <row r="259" spans="1:13" hidden="1">
      <c r="A259" s="1" t="s">
        <v>1396</v>
      </c>
      <c r="B259" s="1" t="s">
        <v>76</v>
      </c>
      <c r="C259" s="1" t="s">
        <v>1274</v>
      </c>
      <c r="D259" s="1" t="s">
        <v>71</v>
      </c>
      <c r="E259" s="1" t="str">
        <f>A259&amp;C259</f>
        <v>MIDVILLEWESLACO</v>
      </c>
      <c r="F259" s="1" t="str">
        <f>A259&amp;B259&amp;C259&amp;D259</f>
        <v>MIDVILLEGAWESLACOTX</v>
      </c>
      <c r="G259" s="1">
        <v>1559.4599999999998</v>
      </c>
      <c r="H259" s="38">
        <f>G259*COSTS!$AA$27</f>
        <v>2339.1899999999996</v>
      </c>
      <c r="I259" s="1">
        <f>COSTS!$AA$28</f>
        <v>50</v>
      </c>
      <c r="J259" s="38">
        <f t="shared" si="9"/>
        <v>2389.1899999999996</v>
      </c>
      <c r="K259" s="38">
        <f t="shared" si="10"/>
        <v>542.99772727272716</v>
      </c>
      <c r="L259" s="151">
        <v>46023</v>
      </c>
      <c r="M259" s="1">
        <f>VLOOKUP(F:F,[1]Sheet1!$E:$F,2,FALSE)</f>
        <v>2311</v>
      </c>
    </row>
    <row r="260" spans="1:13" hidden="1">
      <c r="A260" s="1" t="s">
        <v>1396</v>
      </c>
      <c r="B260" s="1" t="s">
        <v>76</v>
      </c>
      <c r="C260" s="1" t="s">
        <v>1275</v>
      </c>
      <c r="D260" s="1" t="s">
        <v>136</v>
      </c>
      <c r="E260" s="1" t="str">
        <f>A260&amp;C260</f>
        <v>MIDVILLESHELBY</v>
      </c>
      <c r="F260" s="1" t="str">
        <f>A260&amp;B260&amp;C260&amp;D260</f>
        <v>MIDVILLEGASHELBYNC</v>
      </c>
      <c r="G260" s="1">
        <v>730</v>
      </c>
      <c r="H260" s="38">
        <f>G260*COSTS!$AA$27</f>
        <v>1095</v>
      </c>
      <c r="I260" s="1">
        <f>COSTS!$AA$28</f>
        <v>50</v>
      </c>
      <c r="J260" s="38">
        <f t="shared" si="9"/>
        <v>1145</v>
      </c>
      <c r="K260" s="38">
        <f t="shared" si="10"/>
        <v>260.22727272727275</v>
      </c>
      <c r="L260" s="151">
        <v>46023</v>
      </c>
      <c r="M260" s="1">
        <f>VLOOKUP(F:F,[1]Sheet1!$E:$F,2,FALSE)</f>
        <v>640</v>
      </c>
    </row>
    <row r="261" spans="1:13" hidden="1">
      <c r="A261" s="1" t="s">
        <v>1398</v>
      </c>
      <c r="B261" s="1" t="s">
        <v>76</v>
      </c>
      <c r="C261" s="1" t="s">
        <v>847</v>
      </c>
      <c r="D261" s="1" t="s">
        <v>76</v>
      </c>
      <c r="E261" s="1" t="str">
        <f>A261&amp;(IF(C261="Garden City","Savannah",C261))</f>
        <v>MILLENSavannah</v>
      </c>
      <c r="F261" s="1" t="s">
        <v>960</v>
      </c>
      <c r="G261" s="1">
        <v>377.19</v>
      </c>
      <c r="H261" s="38">
        <f>G261*COSTS!$AA$27</f>
        <v>565.78499999999997</v>
      </c>
      <c r="I261" s="1">
        <f>COSTS!$AA$28</f>
        <v>50</v>
      </c>
      <c r="J261" s="38">
        <f t="shared" si="9"/>
        <v>615.78499999999997</v>
      </c>
      <c r="K261" s="38">
        <f t="shared" si="10"/>
        <v>139.95113636363635</v>
      </c>
      <c r="L261" s="151">
        <v>46023</v>
      </c>
      <c r="M261" s="1">
        <f>VLOOKUP(F:F,[1]Sheet1!$E:$F,2,FALSE)</f>
        <v>530</v>
      </c>
    </row>
    <row r="262" spans="1:13" hidden="1">
      <c r="A262" s="1" t="s">
        <v>1398</v>
      </c>
      <c r="B262" s="1" t="s">
        <v>76</v>
      </c>
      <c r="C262" s="1" t="s">
        <v>1033</v>
      </c>
      <c r="D262" s="1" t="s">
        <v>168</v>
      </c>
      <c r="E262" s="1" t="str">
        <f>A262&amp;C262</f>
        <v>MILLENMEMPHIS</v>
      </c>
      <c r="F262" s="1" t="s">
        <v>1189</v>
      </c>
      <c r="G262" s="1">
        <v>967</v>
      </c>
      <c r="H262" s="38">
        <f>G262*COSTS!$AA$27</f>
        <v>1450.5</v>
      </c>
      <c r="I262" s="1">
        <f>COSTS!$AA$28</f>
        <v>50</v>
      </c>
      <c r="J262" s="38">
        <f t="shared" si="9"/>
        <v>1500.5</v>
      </c>
      <c r="K262" s="38">
        <f t="shared" si="10"/>
        <v>341.02272727272725</v>
      </c>
      <c r="L262" s="151">
        <v>46023</v>
      </c>
      <c r="M262" s="1">
        <f>VLOOKUP(F:F,[1]Sheet1!$E:$F,2,FALSE)</f>
        <v>1470</v>
      </c>
    </row>
    <row r="263" spans="1:13" hidden="1">
      <c r="A263" s="1" t="s">
        <v>1398</v>
      </c>
      <c r="B263" s="1" t="s">
        <v>76</v>
      </c>
      <c r="C263" s="1" t="s">
        <v>1274</v>
      </c>
      <c r="D263" s="1" t="s">
        <v>71</v>
      </c>
      <c r="E263" s="1" t="str">
        <f>A263&amp;C263</f>
        <v>MILLENWESLACO</v>
      </c>
      <c r="F263" s="1" t="str">
        <f>A263&amp;B263&amp;C263&amp;D263</f>
        <v>MILLENGAWESLACOTX</v>
      </c>
      <c r="G263" s="1">
        <v>1572.62</v>
      </c>
      <c r="H263" s="38">
        <f>G263*COSTS!$AA$27</f>
        <v>2358.9299999999998</v>
      </c>
      <c r="I263" s="1">
        <f>COSTS!$AA$28</f>
        <v>50</v>
      </c>
      <c r="J263" s="38">
        <f t="shared" si="9"/>
        <v>2408.9299999999998</v>
      </c>
      <c r="K263" s="38">
        <f t="shared" si="10"/>
        <v>547.48409090909081</v>
      </c>
      <c r="L263" s="151">
        <v>46023</v>
      </c>
      <c r="M263" s="1">
        <f>VLOOKUP(F:F,[1]Sheet1!$E:$F,2,FALSE)</f>
        <v>2221</v>
      </c>
    </row>
    <row r="264" spans="1:13" hidden="1">
      <c r="A264" s="1" t="s">
        <v>1398</v>
      </c>
      <c r="B264" s="1" t="s">
        <v>76</v>
      </c>
      <c r="C264" s="1" t="s">
        <v>1275</v>
      </c>
      <c r="D264" s="1" t="s">
        <v>136</v>
      </c>
      <c r="E264" s="1" t="str">
        <f>A264&amp;C264</f>
        <v>MILLENSHELBY</v>
      </c>
      <c r="F264" s="1" t="str">
        <f>A264&amp;B264&amp;C264&amp;D264</f>
        <v>MILLENGASHELBYNC</v>
      </c>
      <c r="G264" s="1">
        <v>738</v>
      </c>
      <c r="H264" s="38">
        <f>G264*COSTS!$AA$27</f>
        <v>1107</v>
      </c>
      <c r="I264" s="1">
        <f>COSTS!$AA$28</f>
        <v>50</v>
      </c>
      <c r="J264" s="38">
        <f t="shared" si="9"/>
        <v>1157</v>
      </c>
      <c r="K264" s="38">
        <f t="shared" si="10"/>
        <v>262.9545454545455</v>
      </c>
      <c r="L264" s="151">
        <v>46023</v>
      </c>
      <c r="M264" s="1">
        <f>VLOOKUP(F:F,[1]Sheet1!$E:$F,2,FALSE)</f>
        <v>640</v>
      </c>
    </row>
    <row r="265" spans="1:13" hidden="1">
      <c r="A265" s="1" t="s">
        <v>1401</v>
      </c>
      <c r="B265" s="1" t="s">
        <v>76</v>
      </c>
      <c r="C265" s="1" t="s">
        <v>847</v>
      </c>
      <c r="D265" s="1" t="s">
        <v>76</v>
      </c>
      <c r="E265" s="1" t="str">
        <f>A265&amp;(IF(C265="Garden City","Savannah",C265))</f>
        <v>MONROESavannah</v>
      </c>
      <c r="F265" s="1" t="s">
        <v>963</v>
      </c>
      <c r="G265" s="1">
        <v>689.98333333333323</v>
      </c>
      <c r="H265" s="38">
        <f>G265*COSTS!$AA$27</f>
        <v>1034.9749999999999</v>
      </c>
      <c r="I265" s="1">
        <f>COSTS!$AA$28</f>
        <v>50</v>
      </c>
      <c r="J265" s="38">
        <f t="shared" si="9"/>
        <v>1084.9749999999999</v>
      </c>
      <c r="K265" s="38">
        <f t="shared" si="10"/>
        <v>246.58522727272725</v>
      </c>
      <c r="L265" s="151">
        <v>46023</v>
      </c>
      <c r="M265" s="1" t="e">
        <f>VLOOKUP(F:F,[1]Sheet1!$E:$F,2,FALSE)</f>
        <v>#N/A</v>
      </c>
    </row>
    <row r="266" spans="1:13" hidden="1">
      <c r="A266" s="1" t="s">
        <v>1402</v>
      </c>
      <c r="B266" s="1" t="s">
        <v>76</v>
      </c>
      <c r="C266" s="1" t="s">
        <v>847</v>
      </c>
      <c r="D266" s="1" t="s">
        <v>76</v>
      </c>
      <c r="E266" s="1" t="str">
        <f>A266&amp;(IF(C266="Garden City","Savannah",C266))</f>
        <v>MOULTRIESavannah</v>
      </c>
      <c r="F266" s="1" t="s">
        <v>964</v>
      </c>
      <c r="G266" s="1">
        <v>627.81333333333339</v>
      </c>
      <c r="H266" s="38">
        <f>G266*COSTS!$AA$27</f>
        <v>941.72</v>
      </c>
      <c r="I266" s="1">
        <f>COSTS!$AA$28</f>
        <v>50</v>
      </c>
      <c r="J266" s="38">
        <f t="shared" si="9"/>
        <v>991.72</v>
      </c>
      <c r="K266" s="38">
        <f t="shared" si="10"/>
        <v>225.39090909090908</v>
      </c>
      <c r="L266" s="151">
        <v>46023</v>
      </c>
      <c r="M266" s="1">
        <f>VLOOKUP(F:F,[1]Sheet1!$E:$F,2,FALSE)</f>
        <v>740</v>
      </c>
    </row>
    <row r="267" spans="1:13" hidden="1">
      <c r="A267" s="1" t="s">
        <v>1402</v>
      </c>
      <c r="B267" s="1" t="s">
        <v>76</v>
      </c>
      <c r="C267" s="1" t="s">
        <v>1033</v>
      </c>
      <c r="D267" s="1" t="s">
        <v>168</v>
      </c>
      <c r="E267" s="1" t="str">
        <f>A267&amp;C267</f>
        <v>MOULTRIEMEMPHIS</v>
      </c>
      <c r="F267" s="1" t="s">
        <v>1195</v>
      </c>
      <c r="G267" s="1">
        <v>852.49</v>
      </c>
      <c r="H267" s="38">
        <f>G267*COSTS!$AA$27</f>
        <v>1278.7350000000001</v>
      </c>
      <c r="I267" s="1">
        <f>COSTS!$AA$28</f>
        <v>50</v>
      </c>
      <c r="J267" s="38">
        <f t="shared" si="9"/>
        <v>1328.7350000000001</v>
      </c>
      <c r="K267" s="38">
        <f t="shared" si="10"/>
        <v>301.98522727272734</v>
      </c>
      <c r="L267" s="151">
        <v>46023</v>
      </c>
      <c r="M267" s="1">
        <f>VLOOKUP(F:F,[1]Sheet1!$E:$F,2,FALSE)</f>
        <v>1280</v>
      </c>
    </row>
    <row r="268" spans="1:13" hidden="1">
      <c r="A268" s="1" t="s">
        <v>1402</v>
      </c>
      <c r="B268" s="1" t="s">
        <v>76</v>
      </c>
      <c r="C268" s="1" t="s">
        <v>1274</v>
      </c>
      <c r="D268" s="1" t="s">
        <v>71</v>
      </c>
      <c r="E268" s="1" t="str">
        <f>A268&amp;C268</f>
        <v>MOULTRIEWESLACO</v>
      </c>
      <c r="F268" s="1" t="str">
        <f>A268&amp;B268&amp;C268&amp;D268</f>
        <v>MOULTRIEGAWESLACOTX</v>
      </c>
      <c r="G268" s="1">
        <v>1352.6599999999999</v>
      </c>
      <c r="H268" s="38">
        <f>G268*COSTS!$AA$27</f>
        <v>2028.9899999999998</v>
      </c>
      <c r="I268" s="1">
        <f>COSTS!$AA$28</f>
        <v>50</v>
      </c>
      <c r="J268" s="38">
        <f t="shared" si="9"/>
        <v>2078.9899999999998</v>
      </c>
      <c r="K268" s="38">
        <f t="shared" si="10"/>
        <v>472.49772727272722</v>
      </c>
      <c r="L268" s="151">
        <v>46023</v>
      </c>
      <c r="M268" s="1">
        <f>VLOOKUP(F:F,[1]Sheet1!$E:$F,2,FALSE)</f>
        <v>1677</v>
      </c>
    </row>
    <row r="269" spans="1:13" hidden="1">
      <c r="A269" s="1" t="s">
        <v>1402</v>
      </c>
      <c r="B269" s="1" t="s">
        <v>76</v>
      </c>
      <c r="C269" s="1" t="s">
        <v>1275</v>
      </c>
      <c r="D269" s="1" t="s">
        <v>136</v>
      </c>
      <c r="E269" s="1" t="str">
        <f>A269&amp;C269</f>
        <v>MOULTRIESHELBY</v>
      </c>
      <c r="F269" s="1" t="str">
        <f>A269&amp;B269&amp;C269&amp;D269</f>
        <v>MOULTRIEGASHELBYNC</v>
      </c>
      <c r="G269" s="1">
        <v>905</v>
      </c>
      <c r="H269" s="38">
        <f>G269*COSTS!$AA$27</f>
        <v>1357.5</v>
      </c>
      <c r="I269" s="1">
        <f>COSTS!$AA$28</f>
        <v>50</v>
      </c>
      <c r="J269" s="38">
        <f t="shared" si="9"/>
        <v>1407.5</v>
      </c>
      <c r="K269" s="38">
        <f t="shared" si="10"/>
        <v>319.88636363636363</v>
      </c>
      <c r="L269" s="151">
        <v>46023</v>
      </c>
      <c r="M269" s="1">
        <f>VLOOKUP(F:F,[1]Sheet1!$E:$F,2,FALSE)</f>
        <v>1080</v>
      </c>
    </row>
    <row r="270" spans="1:13" hidden="1">
      <c r="A270" s="1" t="s">
        <v>1409</v>
      </c>
      <c r="B270" s="1" t="s">
        <v>76</v>
      </c>
      <c r="C270" s="1" t="s">
        <v>847</v>
      </c>
      <c r="D270" s="1" t="s">
        <v>76</v>
      </c>
      <c r="E270" s="1" t="str">
        <f>A270&amp;(IF(C270="Garden City","Savannah",C270))</f>
        <v>NORMAN PARKSavannah</v>
      </c>
      <c r="F270" s="1" t="s">
        <v>971</v>
      </c>
      <c r="G270" s="1">
        <v>611.14666666666665</v>
      </c>
      <c r="H270" s="38">
        <f>G270*COSTS!$AA$27</f>
        <v>916.72</v>
      </c>
      <c r="I270" s="1">
        <f>COSTS!$AA$28</f>
        <v>50</v>
      </c>
      <c r="J270" s="38">
        <f t="shared" si="9"/>
        <v>966.72</v>
      </c>
      <c r="K270" s="38">
        <f t="shared" si="10"/>
        <v>219.70909090909092</v>
      </c>
      <c r="L270" s="151">
        <v>46023</v>
      </c>
      <c r="M270" s="1">
        <f>VLOOKUP(F:F,[1]Sheet1!$E:$F,2,FALSE)</f>
        <v>720</v>
      </c>
    </row>
    <row r="271" spans="1:13" hidden="1">
      <c r="A271" s="1" t="s">
        <v>1409</v>
      </c>
      <c r="B271" s="1" t="s">
        <v>76</v>
      </c>
      <c r="C271" s="1" t="s">
        <v>1033</v>
      </c>
      <c r="D271" s="1" t="s">
        <v>168</v>
      </c>
      <c r="E271" s="1" t="str">
        <f>A271&amp;C271</f>
        <v>NORMAN PARKMEMPHIS</v>
      </c>
      <c r="F271" s="1" t="s">
        <v>1202</v>
      </c>
      <c r="G271" s="1">
        <v>867.16</v>
      </c>
      <c r="H271" s="38">
        <f>G271*COSTS!$AA$27</f>
        <v>1300.74</v>
      </c>
      <c r="I271" s="1">
        <f>COSTS!$AA$28</f>
        <v>50</v>
      </c>
      <c r="J271" s="38">
        <f t="shared" si="9"/>
        <v>1350.74</v>
      </c>
      <c r="K271" s="38">
        <f t="shared" si="10"/>
        <v>306.98636363636365</v>
      </c>
      <c r="L271" s="151">
        <v>46023</v>
      </c>
      <c r="M271" s="1">
        <f>VLOOKUP(F:F,[1]Sheet1!$E:$F,2,FALSE)</f>
        <v>1280</v>
      </c>
    </row>
    <row r="272" spans="1:13" hidden="1">
      <c r="A272" s="1" t="s">
        <v>1409</v>
      </c>
      <c r="B272" s="1" t="s">
        <v>76</v>
      </c>
      <c r="C272" s="1" t="s">
        <v>1275</v>
      </c>
      <c r="D272" s="1" t="s">
        <v>136</v>
      </c>
      <c r="E272" s="1" t="str">
        <f>A272&amp;C272</f>
        <v>NORMAN PARKSHELBY</v>
      </c>
      <c r="F272" s="1" t="str">
        <f>A272&amp;B272&amp;C272&amp;D272</f>
        <v>NORMAN PARKGASHELBYNC</v>
      </c>
      <c r="G272" s="1">
        <v>939</v>
      </c>
      <c r="H272" s="38">
        <f>G272*COSTS!$AA$27</f>
        <v>1408.5</v>
      </c>
      <c r="I272" s="1">
        <f>COSTS!$AA$28</f>
        <v>50</v>
      </c>
      <c r="J272" s="38">
        <f t="shared" si="9"/>
        <v>1458.5</v>
      </c>
      <c r="K272" s="38">
        <f t="shared" si="10"/>
        <v>331.47727272727275</v>
      </c>
      <c r="L272" s="151">
        <v>46023</v>
      </c>
      <c r="M272" s="1">
        <f>VLOOKUP(F:F,[1]Sheet1!$E:$F,2,FALSE)</f>
        <v>1050</v>
      </c>
    </row>
    <row r="273" spans="1:13" hidden="1">
      <c r="A273" s="1" t="s">
        <v>1411</v>
      </c>
      <c r="B273" s="1" t="s">
        <v>76</v>
      </c>
      <c r="C273" s="1" t="s">
        <v>847</v>
      </c>
      <c r="D273" s="1" t="s">
        <v>76</v>
      </c>
      <c r="E273" s="1" t="str">
        <f>A273&amp;(IF(C273="Garden City","Savannah",C273))</f>
        <v>OCILLASavannah</v>
      </c>
      <c r="F273" s="1" t="s">
        <v>973</v>
      </c>
      <c r="G273" s="1">
        <v>561.14666666666665</v>
      </c>
      <c r="H273" s="38">
        <f>G273*COSTS!$AA$27</f>
        <v>841.72</v>
      </c>
      <c r="I273" s="1">
        <f>COSTS!$AA$28</f>
        <v>50</v>
      </c>
      <c r="J273" s="38">
        <f t="shared" si="9"/>
        <v>891.72</v>
      </c>
      <c r="K273" s="38">
        <f t="shared" si="10"/>
        <v>202.66363636363636</v>
      </c>
      <c r="L273" s="151">
        <v>46023</v>
      </c>
      <c r="M273" s="1">
        <f>VLOOKUP(F:F,[1]Sheet1!$E:$F,2,FALSE)</f>
        <v>670</v>
      </c>
    </row>
    <row r="274" spans="1:13" hidden="1">
      <c r="A274" s="1" t="s">
        <v>1411</v>
      </c>
      <c r="B274" s="1" t="s">
        <v>76</v>
      </c>
      <c r="C274" s="1" t="s">
        <v>1033</v>
      </c>
      <c r="D274" s="1" t="s">
        <v>168</v>
      </c>
      <c r="E274" s="1" t="str">
        <f>A274&amp;C274</f>
        <v>OCILLAMEMPHIS</v>
      </c>
      <c r="F274" s="1" t="s">
        <v>1204</v>
      </c>
      <c r="G274" s="1">
        <v>943.77</v>
      </c>
      <c r="H274" s="38">
        <f>G274*COSTS!$AA$27</f>
        <v>1415.655</v>
      </c>
      <c r="I274" s="1">
        <f>COSTS!$AA$28</f>
        <v>50</v>
      </c>
      <c r="J274" s="38">
        <f t="shared" si="9"/>
        <v>1465.655</v>
      </c>
      <c r="K274" s="38">
        <f t="shared" si="10"/>
        <v>333.10340909090911</v>
      </c>
      <c r="L274" s="151">
        <v>46023</v>
      </c>
      <c r="M274" s="1">
        <f>VLOOKUP(F:F,[1]Sheet1!$E:$F,2,FALSE)</f>
        <v>1330</v>
      </c>
    </row>
    <row r="275" spans="1:13" hidden="1">
      <c r="A275" s="1" t="s">
        <v>1411</v>
      </c>
      <c r="B275" s="1" t="s">
        <v>76</v>
      </c>
      <c r="C275" s="1" t="s">
        <v>1274</v>
      </c>
      <c r="D275" s="1" t="s">
        <v>71</v>
      </c>
      <c r="E275" s="1" t="str">
        <f>A275&amp;C275</f>
        <v>OCILLAWESLACO</v>
      </c>
      <c r="F275" s="1" t="str">
        <f>A275&amp;B275&amp;C275&amp;D275</f>
        <v>OCILLAGAWESLACOTX</v>
      </c>
      <c r="G275" s="1">
        <v>1406.24</v>
      </c>
      <c r="H275" s="38">
        <f>G275*COSTS!$AA$27</f>
        <v>2109.36</v>
      </c>
      <c r="I275" s="1">
        <f>COSTS!$AA$28</f>
        <v>50</v>
      </c>
      <c r="J275" s="38">
        <f t="shared" si="9"/>
        <v>2159.36</v>
      </c>
      <c r="K275" s="38">
        <f t="shared" si="10"/>
        <v>490.76363636363635</v>
      </c>
      <c r="L275" s="151">
        <v>46023</v>
      </c>
      <c r="M275" s="1">
        <f>VLOOKUP(F:F,[1]Sheet1!$E:$F,2,FALSE)</f>
        <v>1677</v>
      </c>
    </row>
    <row r="276" spans="1:13" hidden="1">
      <c r="A276" s="1" t="s">
        <v>1411</v>
      </c>
      <c r="B276" s="1" t="s">
        <v>76</v>
      </c>
      <c r="C276" s="1" t="s">
        <v>1275</v>
      </c>
      <c r="D276" s="1" t="s">
        <v>136</v>
      </c>
      <c r="E276" s="1" t="str">
        <f>A276&amp;C276</f>
        <v>OCILLASHELBY</v>
      </c>
      <c r="F276" s="1" t="str">
        <f>A276&amp;B276&amp;C276&amp;D276</f>
        <v>OCILLAGASHELBYNC</v>
      </c>
      <c r="G276" s="1">
        <v>929</v>
      </c>
      <c r="H276" s="38">
        <f>G276*COSTS!$AA$27</f>
        <v>1393.5</v>
      </c>
      <c r="I276" s="1">
        <f>COSTS!$AA$28</f>
        <v>50</v>
      </c>
      <c r="J276" s="38">
        <f t="shared" si="9"/>
        <v>1443.5</v>
      </c>
      <c r="K276" s="38">
        <f t="shared" si="10"/>
        <v>328.06818181818181</v>
      </c>
      <c r="L276" s="151">
        <v>46023</v>
      </c>
      <c r="M276" s="1">
        <f>VLOOKUP(F:F,[1]Sheet1!$E:$F,2,FALSE)</f>
        <v>1030</v>
      </c>
    </row>
    <row r="277" spans="1:13" hidden="1">
      <c r="A277" s="1" t="s">
        <v>1412</v>
      </c>
      <c r="B277" s="1" t="s">
        <v>76</v>
      </c>
      <c r="C277" s="1" t="s">
        <v>847</v>
      </c>
      <c r="D277" s="1" t="s">
        <v>76</v>
      </c>
      <c r="E277" s="1" t="str">
        <f>A277&amp;(IF(C277="Garden City","Savannah",C277))</f>
        <v>OMEGASavannah</v>
      </c>
      <c r="F277" s="1" t="s">
        <v>974</v>
      </c>
      <c r="G277" s="1">
        <v>604.48</v>
      </c>
      <c r="H277" s="38">
        <f>G277*COSTS!$AA$27</f>
        <v>906.72</v>
      </c>
      <c r="I277" s="1">
        <f>COSTS!$AA$28</f>
        <v>50</v>
      </c>
      <c r="J277" s="38">
        <f t="shared" si="9"/>
        <v>956.72</v>
      </c>
      <c r="K277" s="38">
        <f t="shared" si="10"/>
        <v>217.43636363636367</v>
      </c>
      <c r="L277" s="151">
        <v>46023</v>
      </c>
      <c r="M277" s="1">
        <f>VLOOKUP(F:F,[1]Sheet1!$E:$F,2,FALSE)</f>
        <v>710</v>
      </c>
    </row>
    <row r="278" spans="1:13" hidden="1">
      <c r="A278" s="1" t="s">
        <v>1412</v>
      </c>
      <c r="B278" s="1" t="s">
        <v>76</v>
      </c>
      <c r="C278" s="1" t="s">
        <v>1033</v>
      </c>
      <c r="D278" s="1" t="s">
        <v>168</v>
      </c>
      <c r="E278" s="1" t="str">
        <f>A278&amp;C278</f>
        <v>OMEGAMEMPHIS</v>
      </c>
      <c r="F278" s="1" t="s">
        <v>1206</v>
      </c>
      <c r="G278" s="1">
        <v>910</v>
      </c>
      <c r="H278" s="38">
        <f>G278*COSTS!$AA$27</f>
        <v>1365</v>
      </c>
      <c r="I278" s="1">
        <f>COSTS!$AA$28</f>
        <v>50</v>
      </c>
      <c r="J278" s="38">
        <f t="shared" si="9"/>
        <v>1415</v>
      </c>
      <c r="K278" s="38">
        <f t="shared" si="10"/>
        <v>321.59090909090907</v>
      </c>
      <c r="L278" s="151">
        <v>46023</v>
      </c>
      <c r="M278" s="1">
        <f>VLOOKUP(F:F,[1]Sheet1!$E:$F,2,FALSE)</f>
        <v>1300</v>
      </c>
    </row>
    <row r="279" spans="1:13" hidden="1">
      <c r="A279" s="1" t="s">
        <v>1412</v>
      </c>
      <c r="B279" s="1" t="s">
        <v>76</v>
      </c>
      <c r="C279" s="1" t="s">
        <v>1274</v>
      </c>
      <c r="D279" s="1" t="s">
        <v>71</v>
      </c>
      <c r="E279" s="1" t="str">
        <f>A279&amp;C279</f>
        <v>OMEGAWESLACO</v>
      </c>
      <c r="F279" s="1" t="str">
        <f>A279&amp;B279&amp;C279&amp;D279</f>
        <v>OMEGAGAWESLACOTX</v>
      </c>
      <c r="G279" s="1">
        <v>1398.72</v>
      </c>
      <c r="H279" s="38">
        <f>G279*COSTS!$AA$27</f>
        <v>2098.08</v>
      </c>
      <c r="I279" s="1">
        <f>COSTS!$AA$28</f>
        <v>50</v>
      </c>
      <c r="J279" s="38">
        <f t="shared" si="9"/>
        <v>2148.08</v>
      </c>
      <c r="K279" s="38">
        <f t="shared" si="10"/>
        <v>488.2</v>
      </c>
      <c r="L279" s="151">
        <v>46023</v>
      </c>
      <c r="M279" s="1">
        <f>VLOOKUP(F:F,[1]Sheet1!$E:$F,2,FALSE)</f>
        <v>1681</v>
      </c>
    </row>
    <row r="280" spans="1:13" hidden="1">
      <c r="A280" s="1" t="s">
        <v>1412</v>
      </c>
      <c r="B280" s="1" t="s">
        <v>76</v>
      </c>
      <c r="C280" s="1" t="s">
        <v>1275</v>
      </c>
      <c r="D280" s="1" t="s">
        <v>136</v>
      </c>
      <c r="E280" s="1" t="str">
        <f>A280&amp;C280</f>
        <v>OMEGASHELBY</v>
      </c>
      <c r="F280" s="1" t="str">
        <f>A280&amp;B280&amp;C280&amp;D280</f>
        <v>OMEGAGASHELBYNC</v>
      </c>
      <c r="G280" s="1">
        <v>925</v>
      </c>
      <c r="H280" s="38">
        <f>G280*COSTS!$AA$27</f>
        <v>1387.5</v>
      </c>
      <c r="I280" s="1">
        <f>COSTS!$AA$28</f>
        <v>50</v>
      </c>
      <c r="J280" s="38">
        <f t="shared" si="9"/>
        <v>1437.5</v>
      </c>
      <c r="K280" s="38">
        <f t="shared" si="10"/>
        <v>326.7045454545455</v>
      </c>
      <c r="L280" s="151">
        <v>46023</v>
      </c>
      <c r="M280" s="1">
        <f>VLOOKUP(F:F,[1]Sheet1!$E:$F,2,FALSE)</f>
        <v>1040</v>
      </c>
    </row>
    <row r="281" spans="1:13" hidden="1">
      <c r="A281" s="1" t="s">
        <v>1415</v>
      </c>
      <c r="B281" s="1" t="s">
        <v>76</v>
      </c>
      <c r="C281" s="1" t="s">
        <v>847</v>
      </c>
      <c r="D281" s="1" t="s">
        <v>76</v>
      </c>
      <c r="E281" s="1" t="str">
        <f>A281&amp;(IF(C281="Garden City","Savannah",C281))</f>
        <v>PELHAMSavannah</v>
      </c>
      <c r="F281" s="1" t="s">
        <v>976</v>
      </c>
      <c r="G281" s="1">
        <v>656.14666666666665</v>
      </c>
      <c r="H281" s="38">
        <f>G281*COSTS!$AA$27</f>
        <v>984.22</v>
      </c>
      <c r="I281" s="1">
        <f>COSTS!$AA$28</f>
        <v>50</v>
      </c>
      <c r="J281" s="38">
        <f t="shared" si="9"/>
        <v>1034.22</v>
      </c>
      <c r="K281" s="38">
        <f t="shared" si="10"/>
        <v>235.04999999999998</v>
      </c>
      <c r="L281" s="151">
        <v>46023</v>
      </c>
      <c r="M281" s="1">
        <f>VLOOKUP(F:F,[1]Sheet1!$E:$F,2,FALSE)</f>
        <v>780</v>
      </c>
    </row>
    <row r="282" spans="1:13" hidden="1">
      <c r="A282" s="1" t="s">
        <v>1415</v>
      </c>
      <c r="B282" s="1" t="s">
        <v>76</v>
      </c>
      <c r="C282" s="1" t="s">
        <v>1033</v>
      </c>
      <c r="D282" s="1" t="s">
        <v>168</v>
      </c>
      <c r="E282" s="1" t="str">
        <f>A282&amp;C282</f>
        <v>PELHAMMEMPHIS</v>
      </c>
      <c r="F282" s="1" t="s">
        <v>1208</v>
      </c>
      <c r="G282" s="1">
        <v>845</v>
      </c>
      <c r="H282" s="38">
        <f>G282*COSTS!$AA$27</f>
        <v>1267.5</v>
      </c>
      <c r="I282" s="1">
        <f>COSTS!$AA$28</f>
        <v>50</v>
      </c>
      <c r="J282" s="38">
        <f t="shared" si="9"/>
        <v>1317.5</v>
      </c>
      <c r="K282" s="38">
        <f t="shared" si="10"/>
        <v>299.43181818181819</v>
      </c>
      <c r="L282" s="151">
        <v>46023</v>
      </c>
      <c r="M282" s="1">
        <f>VLOOKUP(F:F,[1]Sheet1!$E:$F,2,FALSE)</f>
        <v>1270</v>
      </c>
    </row>
    <row r="283" spans="1:13" hidden="1">
      <c r="A283" s="1" t="s">
        <v>1415</v>
      </c>
      <c r="B283" s="1" t="s">
        <v>76</v>
      </c>
      <c r="C283" s="1" t="s">
        <v>1274</v>
      </c>
      <c r="D283" s="1" t="s">
        <v>71</v>
      </c>
      <c r="E283" s="1" t="str">
        <f>A283&amp;C283</f>
        <v>PELHAMWESLACO</v>
      </c>
      <c r="F283" s="1" t="str">
        <f>A283&amp;B283&amp;C283&amp;D283</f>
        <v>PELHAMGAWESLACOTX</v>
      </c>
      <c r="G283" s="1">
        <v>1319.76</v>
      </c>
      <c r="H283" s="38">
        <f>G283*COSTS!$AA$27</f>
        <v>1979.6399999999999</v>
      </c>
      <c r="I283" s="1">
        <f>COSTS!$AA$28</f>
        <v>50</v>
      </c>
      <c r="J283" s="38">
        <f t="shared" si="9"/>
        <v>2029.6399999999999</v>
      </c>
      <c r="K283" s="38">
        <f t="shared" si="10"/>
        <v>461.28181818181815</v>
      </c>
      <c r="L283" s="151">
        <v>46023</v>
      </c>
      <c r="M283" s="1">
        <f>VLOOKUP(F:F,[1]Sheet1!$E:$F,2,FALSE)</f>
        <v>1567</v>
      </c>
    </row>
    <row r="284" spans="1:13" hidden="1">
      <c r="A284" s="1" t="s">
        <v>1415</v>
      </c>
      <c r="B284" s="1" t="s">
        <v>76</v>
      </c>
      <c r="C284" s="1" t="s">
        <v>1275</v>
      </c>
      <c r="D284" s="1" t="s">
        <v>136</v>
      </c>
      <c r="E284" s="1" t="str">
        <f>A284&amp;C284</f>
        <v>PELHAMSHELBY</v>
      </c>
      <c r="F284" s="1" t="str">
        <f>A284&amp;B284&amp;C284&amp;D284</f>
        <v>PELHAMGASHELBYNC</v>
      </c>
      <c r="G284" s="1">
        <v>944</v>
      </c>
      <c r="H284" s="38">
        <f>G284*COSTS!$AA$27</f>
        <v>1416</v>
      </c>
      <c r="I284" s="1">
        <f>COSTS!$AA$28</f>
        <v>50</v>
      </c>
      <c r="J284" s="38">
        <f t="shared" si="9"/>
        <v>1466</v>
      </c>
      <c r="K284" s="38">
        <f t="shared" si="10"/>
        <v>333.18181818181819</v>
      </c>
      <c r="L284" s="151">
        <v>46023</v>
      </c>
      <c r="M284" s="1">
        <f>VLOOKUP(F:F,[1]Sheet1!$E:$F,2,FALSE)</f>
        <v>1090</v>
      </c>
    </row>
    <row r="285" spans="1:13" hidden="1">
      <c r="A285" s="1" t="s">
        <v>1417</v>
      </c>
      <c r="B285" s="1" t="s">
        <v>76</v>
      </c>
      <c r="C285" s="1" t="s">
        <v>847</v>
      </c>
      <c r="D285" s="1" t="s">
        <v>76</v>
      </c>
      <c r="E285" s="1" t="str">
        <f>A285&amp;(IF(C285="Garden City","Savannah",C285))</f>
        <v>PINEHURSTSavannah</v>
      </c>
      <c r="F285" s="1" t="s">
        <v>978</v>
      </c>
      <c r="G285" s="1">
        <v>623.85333333333335</v>
      </c>
      <c r="H285" s="38">
        <f>G285*COSTS!$AA$27</f>
        <v>935.78</v>
      </c>
      <c r="I285" s="1">
        <f>COSTS!$AA$28</f>
        <v>50</v>
      </c>
      <c r="J285" s="38">
        <f t="shared" si="9"/>
        <v>985.78</v>
      </c>
      <c r="K285" s="38">
        <f t="shared" si="10"/>
        <v>224.04090909090908</v>
      </c>
      <c r="L285" s="151">
        <v>46023</v>
      </c>
      <c r="M285" s="1">
        <f>VLOOKUP(F:F,[1]Sheet1!$E:$F,2,FALSE)</f>
        <v>690</v>
      </c>
    </row>
    <row r="286" spans="1:13" hidden="1">
      <c r="A286" s="1" t="s">
        <v>1417</v>
      </c>
      <c r="B286" s="1" t="s">
        <v>76</v>
      </c>
      <c r="C286" s="1" t="s">
        <v>1033</v>
      </c>
      <c r="D286" s="1" t="s">
        <v>168</v>
      </c>
      <c r="E286" s="1" t="str">
        <f>A286&amp;C286</f>
        <v>PINEHURSTMEMPHIS</v>
      </c>
      <c r="F286" s="1" t="s">
        <v>1209</v>
      </c>
      <c r="G286" s="1">
        <v>859.88</v>
      </c>
      <c r="H286" s="38">
        <f>G286*COSTS!$AA$27</f>
        <v>1289.82</v>
      </c>
      <c r="I286" s="1">
        <f>COSTS!$AA$28</f>
        <v>50</v>
      </c>
      <c r="J286" s="38">
        <f t="shared" si="9"/>
        <v>1339.82</v>
      </c>
      <c r="K286" s="38">
        <f t="shared" si="10"/>
        <v>304.50454545454545</v>
      </c>
      <c r="L286" s="151">
        <v>46023</v>
      </c>
      <c r="M286" s="1">
        <f>VLOOKUP(F:F,[1]Sheet1!$E:$F,2,FALSE)</f>
        <v>1290</v>
      </c>
    </row>
    <row r="287" spans="1:13" hidden="1">
      <c r="A287" s="1" t="s">
        <v>1417</v>
      </c>
      <c r="B287" s="1" t="s">
        <v>76</v>
      </c>
      <c r="C287" s="1" t="s">
        <v>1274</v>
      </c>
      <c r="D287" s="1" t="s">
        <v>71</v>
      </c>
      <c r="E287" s="1" t="str">
        <f>A287&amp;C287</f>
        <v>PINEHURSTWESLACO</v>
      </c>
      <c r="F287" s="1" t="str">
        <f>A287&amp;B287&amp;C287&amp;D287</f>
        <v>PINEHURSTGAWESLACOTX</v>
      </c>
      <c r="G287" s="1">
        <v>1507.76</v>
      </c>
      <c r="H287" s="38">
        <f>G287*COSTS!$AA$27</f>
        <v>2261.64</v>
      </c>
      <c r="I287" s="1">
        <f>COSTS!$AA$28</f>
        <v>50</v>
      </c>
      <c r="J287" s="38">
        <f t="shared" si="9"/>
        <v>2311.64</v>
      </c>
      <c r="K287" s="38">
        <f t="shared" si="10"/>
        <v>525.37272727272716</v>
      </c>
      <c r="L287" s="151">
        <v>46023</v>
      </c>
      <c r="M287" s="1">
        <f>VLOOKUP(F:F,[1]Sheet1!$E:$F,2,FALSE)</f>
        <v>1677</v>
      </c>
    </row>
    <row r="288" spans="1:13" hidden="1">
      <c r="A288" s="1" t="s">
        <v>1417</v>
      </c>
      <c r="B288" s="1" t="s">
        <v>76</v>
      </c>
      <c r="C288" s="1" t="s">
        <v>1275</v>
      </c>
      <c r="D288" s="1" t="s">
        <v>136</v>
      </c>
      <c r="E288" s="1" t="str">
        <f>A288&amp;C288</f>
        <v>PINEHURSTSHELBY</v>
      </c>
      <c r="F288" s="1" t="str">
        <f>A288&amp;B288&amp;C288&amp;D288</f>
        <v>PINEHURSTGASHELBYNC</v>
      </c>
      <c r="G288" s="1">
        <v>885</v>
      </c>
      <c r="H288" s="38">
        <f>G288*COSTS!$AA$27</f>
        <v>1327.5</v>
      </c>
      <c r="I288" s="1">
        <f>COSTS!$AA$28</f>
        <v>50</v>
      </c>
      <c r="J288" s="38">
        <f t="shared" si="9"/>
        <v>1377.5</v>
      </c>
      <c r="K288" s="38">
        <f t="shared" si="10"/>
        <v>313.06818181818181</v>
      </c>
      <c r="L288" s="151">
        <v>46023</v>
      </c>
      <c r="M288" s="1">
        <f>VLOOKUP(F:F,[1]Sheet1!$E:$F,2,FALSE)</f>
        <v>890</v>
      </c>
    </row>
    <row r="289" spans="1:13" hidden="1">
      <c r="A289" s="1" t="s">
        <v>1418</v>
      </c>
      <c r="B289" s="1" t="s">
        <v>76</v>
      </c>
      <c r="C289" s="1" t="s">
        <v>847</v>
      </c>
      <c r="D289" s="1" t="s">
        <v>76</v>
      </c>
      <c r="E289" s="1" t="str">
        <f>A289&amp;(IF(C289="Garden City","Savannah",C289))</f>
        <v>PITTSSavannah</v>
      </c>
      <c r="F289" s="1" t="s">
        <v>979</v>
      </c>
      <c r="G289" s="1">
        <v>617.18666666666661</v>
      </c>
      <c r="H289" s="38">
        <f>G289*COSTS!$AA$27</f>
        <v>925.78</v>
      </c>
      <c r="I289" s="1">
        <f>COSTS!$AA$28</f>
        <v>50</v>
      </c>
      <c r="J289" s="38">
        <f t="shared" si="9"/>
        <v>975.78</v>
      </c>
      <c r="K289" s="38">
        <f t="shared" si="10"/>
        <v>221.7681818181818</v>
      </c>
      <c r="L289" s="151">
        <v>46023</v>
      </c>
      <c r="M289" s="1" t="e">
        <f>VLOOKUP(F:F,[1]Sheet1!$E:$F,2,FALSE)</f>
        <v>#N/A</v>
      </c>
    </row>
    <row r="290" spans="1:13" hidden="1">
      <c r="A290" s="1" t="s">
        <v>1418</v>
      </c>
      <c r="B290" s="1" t="s">
        <v>76</v>
      </c>
      <c r="C290" s="1" t="s">
        <v>1033</v>
      </c>
      <c r="D290" s="1" t="s">
        <v>168</v>
      </c>
      <c r="E290" s="1" t="str">
        <f>A290&amp;C290</f>
        <v>PITTSMEMPHIS</v>
      </c>
      <c r="F290" s="1" t="s">
        <v>1210</v>
      </c>
      <c r="G290" s="1">
        <v>903.26</v>
      </c>
      <c r="H290" s="38">
        <f>G290*COSTS!$AA$27</f>
        <v>1354.8899999999999</v>
      </c>
      <c r="I290" s="1">
        <f>COSTS!$AA$28</f>
        <v>50</v>
      </c>
      <c r="J290" s="38">
        <f t="shared" si="9"/>
        <v>1404.8899999999999</v>
      </c>
      <c r="K290" s="38">
        <f t="shared" si="10"/>
        <v>319.29318181818178</v>
      </c>
      <c r="L290" s="151">
        <v>46023</v>
      </c>
      <c r="M290" s="1" t="e">
        <f>VLOOKUP(F:F,[1]Sheet1!$E:$F,2,FALSE)</f>
        <v>#N/A</v>
      </c>
    </row>
    <row r="291" spans="1:13" hidden="1">
      <c r="A291" s="1" t="s">
        <v>1418</v>
      </c>
      <c r="B291" s="1" t="s">
        <v>76</v>
      </c>
      <c r="C291" s="1" t="s">
        <v>1275</v>
      </c>
      <c r="D291" s="1" t="s">
        <v>136</v>
      </c>
      <c r="E291" s="1" t="str">
        <f>A291&amp;C291</f>
        <v>PITTSSHELBY</v>
      </c>
      <c r="F291" s="1" t="str">
        <f>A291&amp;B291&amp;C291&amp;D291</f>
        <v>PITTSGASHELBYNC</v>
      </c>
      <c r="G291" s="1">
        <v>800</v>
      </c>
      <c r="H291" s="38">
        <f>G291*COSTS!$AA$27</f>
        <v>1200</v>
      </c>
      <c r="I291" s="1">
        <f>COSTS!$AA$28</f>
        <v>50</v>
      </c>
      <c r="J291" s="38">
        <f t="shared" si="9"/>
        <v>1250</v>
      </c>
      <c r="K291" s="38">
        <f t="shared" si="10"/>
        <v>284.09090909090912</v>
      </c>
      <c r="L291" s="151">
        <v>46023</v>
      </c>
      <c r="M291" s="1" t="e">
        <f>VLOOKUP(F:F,[1]Sheet1!$E:$F,2,FALSE)</f>
        <v>#N/A</v>
      </c>
    </row>
    <row r="292" spans="1:13" hidden="1">
      <c r="A292" s="1" t="s">
        <v>1419</v>
      </c>
      <c r="B292" s="1" t="s">
        <v>76</v>
      </c>
      <c r="C292" s="1" t="s">
        <v>847</v>
      </c>
      <c r="D292" s="1" t="s">
        <v>76</v>
      </c>
      <c r="E292" s="1" t="str">
        <f>A292&amp;(IF(C292="Garden City","Savannah",C292))</f>
        <v>PORT WENTWORTHSavannah</v>
      </c>
      <c r="F292" s="1" t="s">
        <v>980</v>
      </c>
      <c r="G292" s="1">
        <v>308.54333333333335</v>
      </c>
      <c r="H292" s="38">
        <f>G292*COSTS!$AA$27</f>
        <v>462.81500000000005</v>
      </c>
      <c r="I292" s="1">
        <f>COSTS!$AA$28</f>
        <v>50</v>
      </c>
      <c r="J292" s="38">
        <f t="shared" si="9"/>
        <v>512.81500000000005</v>
      </c>
      <c r="K292" s="38">
        <f t="shared" si="10"/>
        <v>116.54886363636365</v>
      </c>
      <c r="L292" s="151">
        <v>46023</v>
      </c>
      <c r="M292" s="1">
        <f>VLOOKUP(F:F,[1]Sheet1!$E:$F,2,FALSE)</f>
        <v>440</v>
      </c>
    </row>
    <row r="293" spans="1:13" hidden="1">
      <c r="A293" s="1" t="s">
        <v>1419</v>
      </c>
      <c r="B293" s="1" t="s">
        <v>76</v>
      </c>
      <c r="C293" s="1" t="s">
        <v>1033</v>
      </c>
      <c r="D293" s="1" t="s">
        <v>168</v>
      </c>
      <c r="E293" s="1" t="str">
        <f>A293&amp;C293</f>
        <v>PORT WENTWORTHMEMPHIS</v>
      </c>
      <c r="F293" s="1" t="s">
        <v>1212</v>
      </c>
      <c r="G293" s="1">
        <v>1079.9100000000001</v>
      </c>
      <c r="H293" s="38">
        <f>G293*COSTS!$AA$27</f>
        <v>1619.8650000000002</v>
      </c>
      <c r="I293" s="1">
        <f>COSTS!$AA$28</f>
        <v>50</v>
      </c>
      <c r="J293" s="38">
        <f t="shared" si="9"/>
        <v>1669.8650000000002</v>
      </c>
      <c r="K293" s="38">
        <f t="shared" si="10"/>
        <v>379.51477272727283</v>
      </c>
      <c r="L293" s="151">
        <v>46023</v>
      </c>
      <c r="M293" s="1">
        <f>VLOOKUP(F:F,[1]Sheet1!$E:$F,2,FALSE)</f>
        <v>1570</v>
      </c>
    </row>
    <row r="294" spans="1:13" hidden="1">
      <c r="A294" s="1" t="s">
        <v>1419</v>
      </c>
      <c r="B294" s="1" t="s">
        <v>76</v>
      </c>
      <c r="C294" s="1" t="s">
        <v>1275</v>
      </c>
      <c r="D294" s="1" t="s">
        <v>136</v>
      </c>
      <c r="E294" s="1" t="str">
        <f>A294&amp;C294</f>
        <v>PORT WENTWORTHSHELBY</v>
      </c>
      <c r="F294" s="1" t="str">
        <f>A294&amp;B294&amp;C294&amp;D294</f>
        <v>PORT WENTWORTHGASHELBYNC</v>
      </c>
      <c r="G294" s="1">
        <v>725</v>
      </c>
      <c r="H294" s="38">
        <f>G294*COSTS!$AA$27</f>
        <v>1087.5</v>
      </c>
      <c r="I294" s="1">
        <f>COSTS!$AA$28</f>
        <v>50</v>
      </c>
      <c r="J294" s="38">
        <f t="shared" si="9"/>
        <v>1137.5</v>
      </c>
      <c r="K294" s="38">
        <f t="shared" si="10"/>
        <v>258.52272727272725</v>
      </c>
      <c r="L294" s="151">
        <v>46023</v>
      </c>
      <c r="M294" s="1">
        <f>VLOOKUP(F:F,[1]Sheet1!$E:$F,2,FALSE)</f>
        <v>790</v>
      </c>
    </row>
    <row r="295" spans="1:13" hidden="1">
      <c r="A295" s="1" t="s">
        <v>1421</v>
      </c>
      <c r="B295" s="1" t="s">
        <v>76</v>
      </c>
      <c r="C295" s="1" t="s">
        <v>847</v>
      </c>
      <c r="D295" s="1" t="s">
        <v>76</v>
      </c>
      <c r="E295" s="1" t="str">
        <f>A295&amp;(IF(C295="Garden City","Savannah",C295))</f>
        <v>QUITMANSavannah</v>
      </c>
      <c r="F295" s="1" t="s">
        <v>982</v>
      </c>
      <c r="G295" s="1">
        <v>494.22</v>
      </c>
      <c r="H295" s="38">
        <f>G295*COSTS!$AA$27</f>
        <v>741.33</v>
      </c>
      <c r="I295" s="1">
        <f>COSTS!$AA$28</f>
        <v>50</v>
      </c>
      <c r="J295" s="38">
        <f t="shared" si="9"/>
        <v>791.33</v>
      </c>
      <c r="K295" s="38">
        <f t="shared" si="10"/>
        <v>179.84772727272727</v>
      </c>
      <c r="L295" s="151">
        <v>46023</v>
      </c>
      <c r="M295" s="1" t="e">
        <f>VLOOKUP(F:F,[1]Sheet1!$E:$F,2,FALSE)</f>
        <v>#N/A</v>
      </c>
    </row>
    <row r="296" spans="1:13" hidden="1">
      <c r="A296" s="1" t="s">
        <v>1423</v>
      </c>
      <c r="B296" s="1" t="s">
        <v>76</v>
      </c>
      <c r="C296" s="1" t="s">
        <v>847</v>
      </c>
      <c r="D296" s="1" t="s">
        <v>76</v>
      </c>
      <c r="E296" s="1" t="str">
        <f>A296&amp;(IF(C296="Garden City","Savannah",C296))</f>
        <v>RINCONSavannah</v>
      </c>
      <c r="F296" s="1" t="s">
        <v>984</v>
      </c>
      <c r="G296" s="1">
        <v>287.815</v>
      </c>
      <c r="H296" s="38">
        <f>G296*COSTS!$AA$27</f>
        <v>431.72249999999997</v>
      </c>
      <c r="I296" s="1">
        <f>COSTS!$AA$28</f>
        <v>50</v>
      </c>
      <c r="J296" s="38">
        <f t="shared" si="9"/>
        <v>481.72249999999997</v>
      </c>
      <c r="K296" s="38">
        <f t="shared" si="10"/>
        <v>109.48238636363635</v>
      </c>
      <c r="L296" s="151">
        <v>46023</v>
      </c>
      <c r="M296" s="1">
        <f>VLOOKUP(F:F,[1]Sheet1!$E:$F,2,FALSE)</f>
        <v>450</v>
      </c>
    </row>
    <row r="297" spans="1:13" hidden="1">
      <c r="A297" s="1" t="s">
        <v>1423</v>
      </c>
      <c r="B297" s="1" t="s">
        <v>76</v>
      </c>
      <c r="C297" s="1" t="s">
        <v>1033</v>
      </c>
      <c r="D297" s="1" t="s">
        <v>168</v>
      </c>
      <c r="E297" s="1" t="str">
        <f>A297&amp;C297</f>
        <v>RINCONMEMPHIS</v>
      </c>
      <c r="F297" s="1" t="s">
        <v>1220</v>
      </c>
      <c r="G297" s="1">
        <v>1162.92</v>
      </c>
      <c r="H297" s="38">
        <f>G297*COSTS!$AA$27</f>
        <v>1744.38</v>
      </c>
      <c r="I297" s="1">
        <f>COSTS!$AA$28</f>
        <v>50</v>
      </c>
      <c r="J297" s="38">
        <f t="shared" si="9"/>
        <v>1794.38</v>
      </c>
      <c r="K297" s="38">
        <f t="shared" si="10"/>
        <v>407.81363636363636</v>
      </c>
      <c r="L297" s="151">
        <v>46023</v>
      </c>
      <c r="M297" s="1">
        <f>VLOOKUP(F:F,[1]Sheet1!$E:$F,2,FALSE)</f>
        <v>1590</v>
      </c>
    </row>
    <row r="298" spans="1:13" hidden="1">
      <c r="A298" s="1" t="s">
        <v>1423</v>
      </c>
      <c r="B298" s="1" t="s">
        <v>76</v>
      </c>
      <c r="C298" s="1" t="s">
        <v>1275</v>
      </c>
      <c r="D298" s="1" t="s">
        <v>136</v>
      </c>
      <c r="E298" s="1" t="str">
        <f>A298&amp;C298</f>
        <v>RINCONSHELBY</v>
      </c>
      <c r="F298" s="1" t="str">
        <f>A298&amp;B298&amp;C298&amp;D298</f>
        <v>RINCONGASHELBYNC</v>
      </c>
      <c r="G298" s="1">
        <v>735</v>
      </c>
      <c r="H298" s="38">
        <f>G298*COSTS!$AA$27</f>
        <v>1102.5</v>
      </c>
      <c r="I298" s="1">
        <f>COSTS!$AA$28</f>
        <v>50</v>
      </c>
      <c r="J298" s="38">
        <f t="shared" si="9"/>
        <v>1152.5</v>
      </c>
      <c r="K298" s="38">
        <f t="shared" si="10"/>
        <v>261.93181818181819</v>
      </c>
      <c r="L298" s="151">
        <v>46023</v>
      </c>
      <c r="M298" s="1">
        <f>VLOOKUP(F:F,[1]Sheet1!$E:$F,2,FALSE)</f>
        <v>800</v>
      </c>
    </row>
    <row r="299" spans="1:13" hidden="1">
      <c r="A299" s="1" t="s">
        <v>1425</v>
      </c>
      <c r="B299" s="1" t="s">
        <v>76</v>
      </c>
      <c r="C299" s="1" t="s">
        <v>847</v>
      </c>
      <c r="D299" s="1" t="s">
        <v>76</v>
      </c>
      <c r="E299" s="1" t="str">
        <f>A299&amp;(IF(C299="Garden City","Savannah",C299))</f>
        <v>ROCHELLESavannah</v>
      </c>
      <c r="F299" s="1" t="s">
        <v>986</v>
      </c>
      <c r="G299" s="1">
        <v>553.28</v>
      </c>
      <c r="H299" s="38">
        <f>G299*COSTS!$AA$27</f>
        <v>829.92</v>
      </c>
      <c r="I299" s="1">
        <f>COSTS!$AA$28</f>
        <v>50</v>
      </c>
      <c r="J299" s="38">
        <f t="shared" si="9"/>
        <v>879.92</v>
      </c>
      <c r="K299" s="38">
        <f t="shared" si="10"/>
        <v>199.98181818181817</v>
      </c>
      <c r="L299" s="151">
        <v>46023</v>
      </c>
      <c r="M299" s="1" t="e">
        <f>VLOOKUP(F:F,[1]Sheet1!$E:$F,2,FALSE)</f>
        <v>#N/A</v>
      </c>
    </row>
    <row r="300" spans="1:13" hidden="1">
      <c r="A300" s="1" t="s">
        <v>1428</v>
      </c>
      <c r="B300" s="1" t="s">
        <v>76</v>
      </c>
      <c r="C300" s="1" t="s">
        <v>847</v>
      </c>
      <c r="D300" s="1" t="s">
        <v>76</v>
      </c>
      <c r="E300" s="1" t="str">
        <f>A300&amp;(IF(C300="Garden City","Savannah",C300))</f>
        <v>SAVANNAHSavannah</v>
      </c>
      <c r="F300" s="1" t="s">
        <v>990</v>
      </c>
      <c r="G300" s="1">
        <v>325.20999999999998</v>
      </c>
      <c r="H300" s="38">
        <f>G300*COSTS!$AA$27</f>
        <v>487.81499999999994</v>
      </c>
      <c r="I300" s="1">
        <f>COSTS!$AA$28</f>
        <v>50</v>
      </c>
      <c r="J300" s="38">
        <f t="shared" si="9"/>
        <v>537.81499999999994</v>
      </c>
      <c r="K300" s="38">
        <f t="shared" si="10"/>
        <v>122.23068181818179</v>
      </c>
      <c r="L300" s="151">
        <v>46023</v>
      </c>
      <c r="M300" s="1" t="e">
        <f>VLOOKUP(F:F,[1]Sheet1!$E:$F,2,FALSE)</f>
        <v>#N/A</v>
      </c>
    </row>
    <row r="301" spans="1:13" hidden="1">
      <c r="A301" s="1" t="s">
        <v>1428</v>
      </c>
      <c r="B301" s="1" t="s">
        <v>76</v>
      </c>
      <c r="C301" s="1" t="s">
        <v>1033</v>
      </c>
      <c r="D301" s="1" t="s">
        <v>168</v>
      </c>
      <c r="E301" s="1" t="str">
        <f t="shared" ref="E301:E314" si="11">A301&amp;C301</f>
        <v>SAVANNAHMEMPHIS</v>
      </c>
      <c r="F301" s="1" t="s">
        <v>1226</v>
      </c>
      <c r="G301" s="1">
        <v>1081.5999999999999</v>
      </c>
      <c r="H301" s="38">
        <f>G301*COSTS!$AA$27</f>
        <v>1622.3999999999999</v>
      </c>
      <c r="I301" s="1">
        <f>COSTS!$AA$28</f>
        <v>50</v>
      </c>
      <c r="J301" s="38">
        <f t="shared" si="9"/>
        <v>1672.3999999999999</v>
      </c>
      <c r="K301" s="38">
        <f t="shared" si="10"/>
        <v>380.09090909090907</v>
      </c>
      <c r="L301" s="151">
        <v>46023</v>
      </c>
      <c r="M301" s="1">
        <f>VLOOKUP(F:F,[1]Sheet1!$E:$F,2,FALSE)</f>
        <v>1560</v>
      </c>
    </row>
    <row r="302" spans="1:13" hidden="1">
      <c r="A302" s="1" t="s">
        <v>1428</v>
      </c>
      <c r="B302" s="1" t="s">
        <v>76</v>
      </c>
      <c r="C302" s="1" t="s">
        <v>1275</v>
      </c>
      <c r="D302" s="1" t="s">
        <v>136</v>
      </c>
      <c r="E302" s="1" t="str">
        <f t="shared" si="11"/>
        <v>SAVANNAHSHELBY</v>
      </c>
      <c r="F302" s="1" t="str">
        <f t="shared" ref="F302:F314" si="12">A302&amp;B302&amp;C302&amp;D302</f>
        <v>SAVANNAHGASHELBYNC</v>
      </c>
      <c r="G302" s="1">
        <v>710</v>
      </c>
      <c r="H302" s="38">
        <f>G302*COSTS!$AA$27</f>
        <v>1065</v>
      </c>
      <c r="I302" s="1">
        <f>COSTS!$AA$28</f>
        <v>50</v>
      </c>
      <c r="J302" s="38">
        <f t="shared" si="9"/>
        <v>1115</v>
      </c>
      <c r="K302" s="38">
        <f t="shared" si="10"/>
        <v>253.40909090909091</v>
      </c>
      <c r="L302" s="151">
        <v>46023</v>
      </c>
      <c r="M302" s="1">
        <f>VLOOKUP(F:F,[1]Sheet1!$E:$F,2,FALSE)</f>
        <v>800</v>
      </c>
    </row>
    <row r="303" spans="1:13" hidden="1">
      <c r="A303" s="40" t="s">
        <v>682</v>
      </c>
      <c r="B303" s="40" t="s">
        <v>76</v>
      </c>
      <c r="C303" s="40" t="s">
        <v>1276</v>
      </c>
      <c r="D303" s="40" t="s">
        <v>136</v>
      </c>
      <c r="E303" s="40" t="str">
        <f t="shared" si="11"/>
        <v>SavannahMINERAL SPRINGS</v>
      </c>
      <c r="F303" s="40" t="str">
        <f t="shared" si="12"/>
        <v>SavannahGAMINERAL SPRINGSNC</v>
      </c>
      <c r="G303" s="40">
        <v>903</v>
      </c>
      <c r="H303" s="38">
        <f>G303*COSTS!$AA$27</f>
        <v>1354.5</v>
      </c>
      <c r="I303" s="1">
        <f>COSTS!$AA$28</f>
        <v>50</v>
      </c>
      <c r="J303" s="38">
        <f t="shared" si="9"/>
        <v>1404.5</v>
      </c>
      <c r="K303" s="38">
        <f t="shared" si="10"/>
        <v>319.2045454545455</v>
      </c>
      <c r="L303" s="151">
        <v>46023</v>
      </c>
      <c r="M303" s="1">
        <f>VLOOKUP(F:F,[1]Sheet1!$E:$F,2,FALSE)</f>
        <v>700</v>
      </c>
    </row>
    <row r="304" spans="1:13" hidden="1">
      <c r="A304" s="40" t="s">
        <v>682</v>
      </c>
      <c r="B304" s="40" t="s">
        <v>76</v>
      </c>
      <c r="C304" s="40" t="s">
        <v>1277</v>
      </c>
      <c r="D304" s="40" t="s">
        <v>76</v>
      </c>
      <c r="E304" s="40" t="str">
        <f t="shared" si="11"/>
        <v>SavannahRABUN GAP</v>
      </c>
      <c r="F304" s="40" t="str">
        <f t="shared" si="12"/>
        <v>SavannahGARABUN GAPGA</v>
      </c>
      <c r="G304" s="40">
        <v>675</v>
      </c>
      <c r="H304" s="38">
        <f>G304*COSTS!$AA$27</f>
        <v>1012.5</v>
      </c>
      <c r="I304" s="1">
        <f>COSTS!$AA$28</f>
        <v>50</v>
      </c>
      <c r="J304" s="38">
        <f t="shared" si="9"/>
        <v>1062.5</v>
      </c>
      <c r="K304" s="38">
        <f t="shared" si="10"/>
        <v>241.47727272727275</v>
      </c>
      <c r="L304" s="151">
        <v>46023</v>
      </c>
      <c r="M304" s="1">
        <f>VLOOKUP(F:F,[1]Sheet1!$E:$F,2,FALSE)</f>
        <v>840</v>
      </c>
    </row>
    <row r="305" spans="1:13" hidden="1">
      <c r="A305" s="40" t="s">
        <v>682</v>
      </c>
      <c r="B305" s="40" t="s">
        <v>76</v>
      </c>
      <c r="C305" s="40" t="s">
        <v>1278</v>
      </c>
      <c r="D305" s="40" t="s">
        <v>136</v>
      </c>
      <c r="E305" s="40" t="str">
        <f t="shared" si="11"/>
        <v>SavannahWALNUT COVE</v>
      </c>
      <c r="F305" s="40" t="str">
        <f t="shared" si="12"/>
        <v>SavannahGAWALNUT COVENC</v>
      </c>
      <c r="G305" s="40">
        <v>981</v>
      </c>
      <c r="H305" s="38">
        <f>G305*COSTS!$AA$27</f>
        <v>1471.5</v>
      </c>
      <c r="I305" s="1">
        <f>COSTS!$AA$28</f>
        <v>50</v>
      </c>
      <c r="J305" s="38">
        <f t="shared" si="9"/>
        <v>1521.5</v>
      </c>
      <c r="K305" s="38">
        <f t="shared" si="10"/>
        <v>345.7954545454545</v>
      </c>
      <c r="L305" s="151">
        <v>46023</v>
      </c>
      <c r="M305" s="1" t="e">
        <f>VLOOKUP(F:F,[1]Sheet1!$E:$F,2,FALSE)</f>
        <v>#N/A</v>
      </c>
    </row>
    <row r="306" spans="1:13" hidden="1">
      <c r="A306" s="40" t="s">
        <v>682</v>
      </c>
      <c r="B306" s="40" t="s">
        <v>76</v>
      </c>
      <c r="C306" s="40" t="s">
        <v>1279</v>
      </c>
      <c r="D306" s="40" t="s">
        <v>136</v>
      </c>
      <c r="E306" s="40" t="str">
        <f t="shared" si="11"/>
        <v>SavannahSANFORD</v>
      </c>
      <c r="F306" s="40" t="str">
        <f t="shared" si="12"/>
        <v>SavannahGASANFORDNC</v>
      </c>
      <c r="G306" s="40">
        <v>915.83999999999992</v>
      </c>
      <c r="H306" s="38">
        <f>G306*COSTS!$AA$27</f>
        <v>1373.7599999999998</v>
      </c>
      <c r="I306" s="1">
        <f>COSTS!$AA$28</f>
        <v>50</v>
      </c>
      <c r="J306" s="38">
        <f t="shared" si="9"/>
        <v>1423.7599999999998</v>
      </c>
      <c r="K306" s="38">
        <f t="shared" si="10"/>
        <v>323.58181818181811</v>
      </c>
      <c r="L306" s="151">
        <v>46023</v>
      </c>
      <c r="M306" s="1">
        <f>VLOOKUP(F:F,[1]Sheet1!$E:$F,2,FALSE)</f>
        <v>800</v>
      </c>
    </row>
    <row r="307" spans="1:13" hidden="1">
      <c r="A307" s="40" t="s">
        <v>682</v>
      </c>
      <c r="B307" s="40" t="s">
        <v>76</v>
      </c>
      <c r="C307" s="40" t="s">
        <v>1280</v>
      </c>
      <c r="D307" s="40" t="s">
        <v>136</v>
      </c>
      <c r="E307" s="40" t="str">
        <f t="shared" si="11"/>
        <v>SavannahLEXINGTON</v>
      </c>
      <c r="F307" s="40" t="str">
        <f t="shared" si="12"/>
        <v>SavannahGALEXINGTONNC</v>
      </c>
      <c r="G307" s="40">
        <v>990</v>
      </c>
      <c r="H307" s="38">
        <f>G307*COSTS!$AA$27</f>
        <v>1485</v>
      </c>
      <c r="I307" s="1">
        <f>COSTS!$AA$28</f>
        <v>50</v>
      </c>
      <c r="J307" s="38">
        <f t="shared" si="9"/>
        <v>1535</v>
      </c>
      <c r="K307" s="38">
        <f t="shared" si="10"/>
        <v>348.86363636363632</v>
      </c>
      <c r="L307" s="151">
        <v>46023</v>
      </c>
      <c r="M307" s="1">
        <f>VLOOKUP(F:F,[1]Sheet1!$E:$F,2,FALSE)</f>
        <v>850</v>
      </c>
    </row>
    <row r="308" spans="1:13" hidden="1">
      <c r="A308" s="40" t="s">
        <v>682</v>
      </c>
      <c r="B308" s="40" t="s">
        <v>76</v>
      </c>
      <c r="C308" s="40" t="s">
        <v>1281</v>
      </c>
      <c r="D308" s="40" t="s">
        <v>324</v>
      </c>
      <c r="E308" s="40" t="str">
        <f t="shared" si="11"/>
        <v>SavannahHILLSVILLE</v>
      </c>
      <c r="F308" s="40" t="str">
        <f t="shared" si="12"/>
        <v>SavannahGAHILLSVILLEVA</v>
      </c>
      <c r="G308" s="40">
        <v>1125</v>
      </c>
      <c r="H308" s="38">
        <f>G308*COSTS!$AA$27</f>
        <v>1687.5</v>
      </c>
      <c r="I308" s="1">
        <f>COSTS!$AA$28</f>
        <v>50</v>
      </c>
      <c r="J308" s="38">
        <f t="shared" si="9"/>
        <v>1737.5</v>
      </c>
      <c r="K308" s="38">
        <f t="shared" si="10"/>
        <v>394.88636363636368</v>
      </c>
      <c r="L308" s="151">
        <v>46023</v>
      </c>
      <c r="M308" s="1" t="e">
        <f>VLOOKUP(F:F,[1]Sheet1!$E:$F,2,FALSE)</f>
        <v>#N/A</v>
      </c>
    </row>
    <row r="309" spans="1:13" hidden="1">
      <c r="A309" s="40" t="s">
        <v>682</v>
      </c>
      <c r="B309" s="40" t="s">
        <v>76</v>
      </c>
      <c r="C309" s="40" t="s">
        <v>1282</v>
      </c>
      <c r="D309" s="40" t="s">
        <v>136</v>
      </c>
      <c r="E309" s="40" t="str">
        <f t="shared" si="11"/>
        <v>SavannahSPARTA</v>
      </c>
      <c r="F309" s="40" t="str">
        <f t="shared" si="12"/>
        <v>SavannahGASPARTANC</v>
      </c>
      <c r="G309" s="40">
        <v>1095</v>
      </c>
      <c r="H309" s="38">
        <f>G309*COSTS!$AA$27</f>
        <v>1642.5</v>
      </c>
      <c r="I309" s="1">
        <f>COSTS!$AA$28</f>
        <v>50</v>
      </c>
      <c r="J309" s="38">
        <f t="shared" si="9"/>
        <v>1692.5</v>
      </c>
      <c r="K309" s="38">
        <f t="shared" si="10"/>
        <v>384.65909090909093</v>
      </c>
      <c r="L309" s="151">
        <v>46023</v>
      </c>
      <c r="M309" s="1">
        <f>VLOOKUP(F:F,[1]Sheet1!$E:$F,2,FALSE)</f>
        <v>950</v>
      </c>
    </row>
    <row r="310" spans="1:13" hidden="1">
      <c r="A310" s="40" t="s">
        <v>682</v>
      </c>
      <c r="B310" s="40" t="s">
        <v>76</v>
      </c>
      <c r="C310" s="40" t="s">
        <v>1283</v>
      </c>
      <c r="D310" s="40" t="s">
        <v>132</v>
      </c>
      <c r="E310" s="40" t="str">
        <f t="shared" si="11"/>
        <v>SavannahGAFFNEY</v>
      </c>
      <c r="F310" s="40" t="str">
        <f t="shared" si="12"/>
        <v>SavannahGAGAFFNEYSC</v>
      </c>
      <c r="G310" s="40">
        <v>940</v>
      </c>
      <c r="H310" s="38">
        <f>G310*COSTS!$AA$27</f>
        <v>1410</v>
      </c>
      <c r="I310" s="1">
        <f>COSTS!$AA$28</f>
        <v>50</v>
      </c>
      <c r="J310" s="38">
        <f t="shared" si="9"/>
        <v>1460</v>
      </c>
      <c r="K310" s="38">
        <f t="shared" si="10"/>
        <v>331.81818181818181</v>
      </c>
      <c r="L310" s="151">
        <v>46023</v>
      </c>
      <c r="M310" s="1">
        <f>VLOOKUP(F:F,[1]Sheet1!$E:$F,2,FALSE)</f>
        <v>760</v>
      </c>
    </row>
    <row r="311" spans="1:13" hidden="1">
      <c r="A311" s="40" t="s">
        <v>682</v>
      </c>
      <c r="B311" s="40" t="s">
        <v>76</v>
      </c>
      <c r="C311" s="40" t="s">
        <v>1284</v>
      </c>
      <c r="D311" s="40" t="s">
        <v>136</v>
      </c>
      <c r="E311" s="40" t="str">
        <f t="shared" si="11"/>
        <v>SavannahSALISBURY</v>
      </c>
      <c r="F311" s="40" t="str">
        <f t="shared" si="12"/>
        <v>SavannahGASALISBURYNC</v>
      </c>
      <c r="G311" s="40">
        <v>912</v>
      </c>
      <c r="H311" s="38">
        <f>G311*COSTS!$AA$27</f>
        <v>1368</v>
      </c>
      <c r="I311" s="1">
        <f>COSTS!$AA$28</f>
        <v>50</v>
      </c>
      <c r="J311" s="38">
        <f t="shared" si="9"/>
        <v>1418</v>
      </c>
      <c r="K311" s="38">
        <f t="shared" si="10"/>
        <v>322.27272727272725</v>
      </c>
      <c r="L311" s="151">
        <v>46023</v>
      </c>
      <c r="M311" s="1">
        <f>VLOOKUP(F:F,[1]Sheet1!$E:$F,2,FALSE)</f>
        <v>810</v>
      </c>
    </row>
    <row r="312" spans="1:13" hidden="1">
      <c r="A312" s="40" t="s">
        <v>682</v>
      </c>
      <c r="B312" s="40" t="s">
        <v>76</v>
      </c>
      <c r="C312" s="40" t="s">
        <v>1279</v>
      </c>
      <c r="D312" s="40" t="s">
        <v>136</v>
      </c>
      <c r="E312" s="40" t="str">
        <f t="shared" si="11"/>
        <v>SavannahSANFORD</v>
      </c>
      <c r="F312" s="40" t="str">
        <f t="shared" si="12"/>
        <v>SavannahGASANFORDNC</v>
      </c>
      <c r="G312" s="40">
        <v>915.83999999999992</v>
      </c>
      <c r="H312" s="38">
        <f>G312*COSTS!$AA$27</f>
        <v>1373.7599999999998</v>
      </c>
      <c r="I312" s="1">
        <f>COSTS!$AA$28</f>
        <v>50</v>
      </c>
      <c r="J312" s="38">
        <f t="shared" si="9"/>
        <v>1423.7599999999998</v>
      </c>
      <c r="K312" s="38">
        <f t="shared" si="10"/>
        <v>323.58181818181811</v>
      </c>
      <c r="L312" s="151">
        <v>46023</v>
      </c>
      <c r="M312" s="1">
        <f>VLOOKUP(F:F,[1]Sheet1!$E:$F,2,FALSE)</f>
        <v>800</v>
      </c>
    </row>
    <row r="313" spans="1:13" hidden="1">
      <c r="A313" s="40" t="s">
        <v>682</v>
      </c>
      <c r="B313" s="40" t="s">
        <v>76</v>
      </c>
      <c r="C313" s="40" t="s">
        <v>1285</v>
      </c>
      <c r="D313" s="40" t="s">
        <v>136</v>
      </c>
      <c r="E313" s="40" t="str">
        <f t="shared" si="11"/>
        <v>SavannahEDEN</v>
      </c>
      <c r="F313" s="40" t="str">
        <f t="shared" si="12"/>
        <v>SavannahGAEDENNC</v>
      </c>
      <c r="G313" s="40">
        <v>985.92</v>
      </c>
      <c r="H313" s="38">
        <f>G313*COSTS!$AA$27</f>
        <v>1478.8799999999999</v>
      </c>
      <c r="I313" s="1">
        <f>COSTS!$AA$28</f>
        <v>50</v>
      </c>
      <c r="J313" s="38">
        <f t="shared" si="9"/>
        <v>1528.8799999999999</v>
      </c>
      <c r="K313" s="38">
        <f t="shared" si="10"/>
        <v>347.47272727272724</v>
      </c>
      <c r="L313" s="151">
        <v>46023</v>
      </c>
      <c r="M313" s="1" t="e">
        <f>VLOOKUP(F:F,[1]Sheet1!$E:$F,2,FALSE)</f>
        <v>#N/A</v>
      </c>
    </row>
    <row r="314" spans="1:13" hidden="1">
      <c r="A314" s="40" t="s">
        <v>682</v>
      </c>
      <c r="B314" s="40" t="s">
        <v>76</v>
      </c>
      <c r="C314" s="40" t="s">
        <v>1286</v>
      </c>
      <c r="D314" s="40" t="s">
        <v>136</v>
      </c>
      <c r="E314" s="40" t="str">
        <f t="shared" si="11"/>
        <v>SavannahMAYODAN</v>
      </c>
      <c r="F314" s="40" t="str">
        <f t="shared" si="12"/>
        <v>SavannahGAMAYODANNC</v>
      </c>
      <c r="G314" s="40">
        <v>985.92</v>
      </c>
      <c r="H314" s="38">
        <f>G314*COSTS!$AA$27</f>
        <v>1478.8799999999999</v>
      </c>
      <c r="I314" s="1">
        <f>COSTS!$AA$28</f>
        <v>50</v>
      </c>
      <c r="J314" s="38">
        <f t="shared" si="9"/>
        <v>1528.8799999999999</v>
      </c>
      <c r="K314" s="38">
        <f t="shared" si="10"/>
        <v>347.47272727272724</v>
      </c>
      <c r="L314" s="151">
        <v>46023</v>
      </c>
      <c r="M314" s="1">
        <f>VLOOKUP(F:F,[1]Sheet1!$E:$F,2,FALSE)</f>
        <v>940</v>
      </c>
    </row>
    <row r="315" spans="1:13" hidden="1">
      <c r="A315" s="1" t="s">
        <v>1431</v>
      </c>
      <c r="B315" s="1" t="s">
        <v>76</v>
      </c>
      <c r="C315" s="1" t="s">
        <v>847</v>
      </c>
      <c r="D315" s="1" t="s">
        <v>76</v>
      </c>
      <c r="E315" s="1" t="str">
        <f>A315&amp;(IF(C315="Garden City","Savannah",C315))</f>
        <v>SHELLMANSavannah</v>
      </c>
      <c r="F315" s="1" t="s">
        <v>995</v>
      </c>
      <c r="G315" s="1">
        <v>548.94499999999994</v>
      </c>
      <c r="H315" s="38">
        <f>G315*COSTS!$AA$27</f>
        <v>823.4174999999999</v>
      </c>
      <c r="I315" s="1">
        <f>COSTS!$AA$28</f>
        <v>50</v>
      </c>
      <c r="J315" s="38">
        <f t="shared" si="9"/>
        <v>873.4174999999999</v>
      </c>
      <c r="K315" s="38">
        <f t="shared" si="10"/>
        <v>198.50397727272724</v>
      </c>
      <c r="L315" s="151">
        <v>46023</v>
      </c>
      <c r="M315" s="1">
        <f>VLOOKUP(F:F,[1]Sheet1!$E:$F,2,FALSE)</f>
        <v>800</v>
      </c>
    </row>
    <row r="316" spans="1:13" hidden="1">
      <c r="A316" s="1" t="s">
        <v>1431</v>
      </c>
      <c r="B316" s="1" t="s">
        <v>76</v>
      </c>
      <c r="C316" s="1" t="s">
        <v>1033</v>
      </c>
      <c r="D316" s="1" t="s">
        <v>168</v>
      </c>
      <c r="E316" s="1" t="str">
        <f>A316&amp;C316</f>
        <v>SHELLMANMEMPHIS</v>
      </c>
      <c r="F316" s="1" t="s">
        <v>1233</v>
      </c>
      <c r="G316" s="1">
        <v>800</v>
      </c>
      <c r="H316" s="38">
        <f>G316*COSTS!$AA$27</f>
        <v>1200</v>
      </c>
      <c r="I316" s="1">
        <f>COSTS!$AA$28</f>
        <v>50</v>
      </c>
      <c r="J316" s="38">
        <f t="shared" si="9"/>
        <v>1250</v>
      </c>
      <c r="K316" s="38">
        <f t="shared" si="10"/>
        <v>284.09090909090912</v>
      </c>
      <c r="L316" s="151">
        <v>46023</v>
      </c>
      <c r="M316" s="1">
        <f>VLOOKUP(F:F,[1]Sheet1!$E:$F,2,FALSE)</f>
        <v>1140</v>
      </c>
    </row>
    <row r="317" spans="1:13" hidden="1">
      <c r="A317" s="1" t="s">
        <v>1431</v>
      </c>
      <c r="B317" s="1" t="s">
        <v>76</v>
      </c>
      <c r="C317" s="1" t="s">
        <v>1275</v>
      </c>
      <c r="D317" s="1" t="s">
        <v>136</v>
      </c>
      <c r="E317" s="1" t="str">
        <f>A317&amp;C317</f>
        <v>SHELLMANSHELBY</v>
      </c>
      <c r="F317" s="1" t="str">
        <f>A317&amp;B317&amp;C317&amp;D317</f>
        <v>SHELLMANGASHELBYNC</v>
      </c>
      <c r="G317" s="1">
        <v>895</v>
      </c>
      <c r="H317" s="38">
        <f>G317*COSTS!$AA$27</f>
        <v>1342.5</v>
      </c>
      <c r="I317" s="1">
        <f>COSTS!$AA$28</f>
        <v>50</v>
      </c>
      <c r="J317" s="38">
        <f t="shared" si="9"/>
        <v>1392.5</v>
      </c>
      <c r="K317" s="38">
        <f t="shared" si="10"/>
        <v>316.47727272727275</v>
      </c>
      <c r="L317" s="151">
        <v>46023</v>
      </c>
      <c r="M317" s="1">
        <f>VLOOKUP(F:F,[1]Sheet1!$E:$F,2,FALSE)</f>
        <v>1010</v>
      </c>
    </row>
    <row r="318" spans="1:13" hidden="1">
      <c r="A318" s="1" t="s">
        <v>1436</v>
      </c>
      <c r="B318" s="1" t="s">
        <v>76</v>
      </c>
      <c r="C318" s="1" t="s">
        <v>847</v>
      </c>
      <c r="D318" s="1" t="s">
        <v>76</v>
      </c>
      <c r="E318" s="1" t="str">
        <f>A318&amp;(IF(C318="Garden City","Savannah",C318))</f>
        <v>STATESBOROSavannah</v>
      </c>
      <c r="F318" s="1" t="s">
        <v>1000</v>
      </c>
      <c r="G318" s="1">
        <v>404.79333333333335</v>
      </c>
      <c r="H318" s="38">
        <f>G318*COSTS!$AA$27</f>
        <v>607.19000000000005</v>
      </c>
      <c r="I318" s="1">
        <f>COSTS!$AA$28</f>
        <v>50</v>
      </c>
      <c r="J318" s="38">
        <f t="shared" si="9"/>
        <v>657.19</v>
      </c>
      <c r="K318" s="38">
        <f t="shared" si="10"/>
        <v>149.36136363636365</v>
      </c>
      <c r="L318" s="151">
        <v>46023</v>
      </c>
      <c r="M318" s="1">
        <f>VLOOKUP(F:F,[1]Sheet1!$E:$F,2,FALSE)</f>
        <v>490</v>
      </c>
    </row>
    <row r="319" spans="1:13" hidden="1">
      <c r="A319" s="1" t="s">
        <v>1436</v>
      </c>
      <c r="B319" s="1" t="s">
        <v>76</v>
      </c>
      <c r="C319" s="1" t="s">
        <v>1033</v>
      </c>
      <c r="D319" s="1" t="s">
        <v>168</v>
      </c>
      <c r="E319" s="1" t="str">
        <f>A319&amp;C319</f>
        <v>STATESBOROMEMPHIS</v>
      </c>
      <c r="F319" s="1" t="s">
        <v>1238</v>
      </c>
      <c r="G319" s="1">
        <v>1010</v>
      </c>
      <c r="H319" s="38">
        <f>G319*COSTS!$AA$27</f>
        <v>1515</v>
      </c>
      <c r="I319" s="1">
        <f>COSTS!$AA$28</f>
        <v>50</v>
      </c>
      <c r="J319" s="38">
        <f t="shared" si="9"/>
        <v>1565</v>
      </c>
      <c r="K319" s="38">
        <f t="shared" si="10"/>
        <v>355.68181818181819</v>
      </c>
      <c r="L319" s="151">
        <v>46023</v>
      </c>
      <c r="M319" s="1">
        <f>VLOOKUP(F:F,[1]Sheet1!$E:$F,2,FALSE)</f>
        <v>1490</v>
      </c>
    </row>
    <row r="320" spans="1:13" hidden="1">
      <c r="A320" s="1" t="s">
        <v>1436</v>
      </c>
      <c r="B320" s="1" t="s">
        <v>76</v>
      </c>
      <c r="C320" s="1" t="s">
        <v>1274</v>
      </c>
      <c r="D320" s="1" t="s">
        <v>71</v>
      </c>
      <c r="E320" s="1" t="str">
        <f>A320&amp;C320</f>
        <v>STATESBOROWESLACO</v>
      </c>
      <c r="F320" s="1" t="str">
        <f>A320&amp;B320&amp;C320&amp;D320</f>
        <v>STATESBOROGAWESLACOTX</v>
      </c>
      <c r="G320" s="1">
        <v>1565.1</v>
      </c>
      <c r="H320" s="38">
        <f>G320*COSTS!$AA$27</f>
        <v>2347.6499999999996</v>
      </c>
      <c r="I320" s="1">
        <f>COSTS!$AA$28</f>
        <v>50</v>
      </c>
      <c r="J320" s="38">
        <f t="shared" si="9"/>
        <v>2397.6499999999996</v>
      </c>
      <c r="K320" s="38">
        <f t="shared" si="10"/>
        <v>544.9204545454545</v>
      </c>
      <c r="L320" s="151">
        <v>46023</v>
      </c>
      <c r="M320" s="1">
        <f>VLOOKUP(F:F,[1]Sheet1!$E:$F,2,FALSE)</f>
        <v>2385</v>
      </c>
    </row>
    <row r="321" spans="1:13" hidden="1">
      <c r="A321" s="1" t="s">
        <v>1436</v>
      </c>
      <c r="B321" s="1" t="s">
        <v>76</v>
      </c>
      <c r="C321" s="1" t="s">
        <v>1275</v>
      </c>
      <c r="D321" s="1" t="s">
        <v>136</v>
      </c>
      <c r="E321" s="1" t="str">
        <f>A321&amp;C321</f>
        <v>STATESBOROSHELBY</v>
      </c>
      <c r="F321" s="1" t="str">
        <f>A321&amp;B321&amp;C321&amp;D321</f>
        <v>STATESBOROGASHELBYNC</v>
      </c>
      <c r="G321" s="1">
        <v>700</v>
      </c>
      <c r="H321" s="38">
        <f>G321*COSTS!$AA$27</f>
        <v>1050</v>
      </c>
      <c r="I321" s="1">
        <f>COSTS!$AA$28</f>
        <v>50</v>
      </c>
      <c r="J321" s="38">
        <f t="shared" si="9"/>
        <v>1100</v>
      </c>
      <c r="K321" s="38">
        <f t="shared" si="10"/>
        <v>250</v>
      </c>
      <c r="L321" s="151">
        <v>46023</v>
      </c>
      <c r="M321" s="1">
        <f>VLOOKUP(F:F,[1]Sheet1!$E:$F,2,FALSE)</f>
        <v>690</v>
      </c>
    </row>
    <row r="322" spans="1:13" hidden="1">
      <c r="A322" s="1" t="s">
        <v>1439</v>
      </c>
      <c r="B322" s="1" t="s">
        <v>76</v>
      </c>
      <c r="C322" s="1" t="s">
        <v>847</v>
      </c>
      <c r="D322" s="1" t="s">
        <v>76</v>
      </c>
      <c r="E322" s="1" t="str">
        <f>A322&amp;(IF(C322="Garden City","Savannah",C322))</f>
        <v>SURRENCYSavannah</v>
      </c>
      <c r="F322" s="1" t="s">
        <v>1003</v>
      </c>
      <c r="G322" s="1">
        <v>443.12666666666672</v>
      </c>
      <c r="H322" s="38">
        <f>G322*COSTS!$AA$27</f>
        <v>664.69</v>
      </c>
      <c r="I322" s="1">
        <f>COSTS!$AA$28</f>
        <v>50</v>
      </c>
      <c r="J322" s="38">
        <f t="shared" ref="J322:J385" si="13">H322+I322</f>
        <v>714.69</v>
      </c>
      <c r="K322" s="38">
        <f t="shared" ref="K322:K385" si="14">(J322/88)*20</f>
        <v>162.42954545454549</v>
      </c>
      <c r="L322" s="151">
        <v>46023</v>
      </c>
      <c r="M322" s="1">
        <f>VLOOKUP(F:F,[1]Sheet1!$E:$F,2,FALSE)</f>
        <v>550</v>
      </c>
    </row>
    <row r="323" spans="1:13" hidden="1">
      <c r="A323" s="1" t="s">
        <v>1439</v>
      </c>
      <c r="B323" s="1" t="s">
        <v>76</v>
      </c>
      <c r="C323" s="1" t="s">
        <v>1033</v>
      </c>
      <c r="D323" s="1" t="s">
        <v>168</v>
      </c>
      <c r="E323" s="1" t="str">
        <f>A323&amp;C323</f>
        <v>SURRENCYMEMPHIS</v>
      </c>
      <c r="F323" s="1" t="s">
        <v>1242</v>
      </c>
      <c r="G323" s="1">
        <v>1019.07</v>
      </c>
      <c r="H323" s="38">
        <f>G323*COSTS!$AA$27</f>
        <v>1528.605</v>
      </c>
      <c r="I323" s="1">
        <f>COSTS!$AA$28</f>
        <v>50</v>
      </c>
      <c r="J323" s="38">
        <f t="shared" si="13"/>
        <v>1578.605</v>
      </c>
      <c r="K323" s="38">
        <f t="shared" si="14"/>
        <v>358.77386363636361</v>
      </c>
      <c r="L323" s="151">
        <v>46023</v>
      </c>
      <c r="M323" s="1">
        <f>VLOOKUP(F:F,[1]Sheet1!$E:$F,2,FALSE)</f>
        <v>1490</v>
      </c>
    </row>
    <row r="324" spans="1:13" hidden="1">
      <c r="A324" s="1" t="s">
        <v>1439</v>
      </c>
      <c r="B324" s="1" t="s">
        <v>76</v>
      </c>
      <c r="C324" s="1" t="s">
        <v>1274</v>
      </c>
      <c r="D324" s="1" t="s">
        <v>71</v>
      </c>
      <c r="E324" s="1" t="str">
        <f>A324&amp;C324</f>
        <v>SURRENCYWESLACO</v>
      </c>
      <c r="F324" s="1" t="str">
        <f>A324&amp;B324&amp;C324&amp;D324</f>
        <v>SURRENCYGAWESLACOTX</v>
      </c>
      <c r="G324" s="1">
        <v>1526.56</v>
      </c>
      <c r="H324" s="38">
        <f>G324*COSTS!$AA$27</f>
        <v>2289.84</v>
      </c>
      <c r="I324" s="1">
        <f>COSTS!$AA$28</f>
        <v>50</v>
      </c>
      <c r="J324" s="38">
        <f t="shared" si="13"/>
        <v>2339.84</v>
      </c>
      <c r="K324" s="38">
        <f t="shared" si="14"/>
        <v>531.78181818181815</v>
      </c>
      <c r="L324" s="151">
        <v>46023</v>
      </c>
      <c r="M324" s="1">
        <f>VLOOKUP(F:F,[1]Sheet1!$E:$F,2,FALSE)</f>
        <v>2256</v>
      </c>
    </row>
    <row r="325" spans="1:13" hidden="1">
      <c r="A325" s="1" t="s">
        <v>1439</v>
      </c>
      <c r="B325" s="1" t="s">
        <v>76</v>
      </c>
      <c r="C325" s="1" t="s">
        <v>1275</v>
      </c>
      <c r="D325" s="1" t="s">
        <v>136</v>
      </c>
      <c r="E325" s="1" t="str">
        <f>A325&amp;C325</f>
        <v>SURRENCYSHELBY</v>
      </c>
      <c r="F325" s="1" t="str">
        <f>A325&amp;B325&amp;C325&amp;D325</f>
        <v>SURRENCYGASHELBYNC</v>
      </c>
      <c r="G325" s="1">
        <v>790</v>
      </c>
      <c r="H325" s="38">
        <f>G325*COSTS!$AA$27</f>
        <v>1185</v>
      </c>
      <c r="I325" s="1">
        <f>COSTS!$AA$28</f>
        <v>50</v>
      </c>
      <c r="J325" s="38">
        <f t="shared" si="13"/>
        <v>1235</v>
      </c>
      <c r="K325" s="38">
        <f t="shared" si="14"/>
        <v>280.68181818181819</v>
      </c>
      <c r="L325" s="151">
        <v>46023</v>
      </c>
      <c r="M325" s="1">
        <f>VLOOKUP(F:F,[1]Sheet1!$E:$F,2,FALSE)</f>
        <v>830</v>
      </c>
    </row>
    <row r="326" spans="1:13" hidden="1">
      <c r="A326" s="1" t="s">
        <v>1441</v>
      </c>
      <c r="B326" s="1" t="s">
        <v>76</v>
      </c>
      <c r="C326" s="1" t="s">
        <v>847</v>
      </c>
      <c r="D326" s="1" t="s">
        <v>76</v>
      </c>
      <c r="E326" s="1" t="str">
        <f>A326&amp;(IF(C326="Garden City","Savannah",C326))</f>
        <v>SYCAMORESavannah</v>
      </c>
      <c r="F326" s="1" t="s">
        <v>1005</v>
      </c>
      <c r="G326" s="1">
        <v>601.14666666666665</v>
      </c>
      <c r="H326" s="38">
        <f>G326*COSTS!$AA$27</f>
        <v>901.72</v>
      </c>
      <c r="I326" s="1">
        <f>COSTS!$AA$28</f>
        <v>50</v>
      </c>
      <c r="J326" s="38">
        <f t="shared" si="13"/>
        <v>951.72</v>
      </c>
      <c r="K326" s="38">
        <f t="shared" si="14"/>
        <v>216.29999999999998</v>
      </c>
      <c r="L326" s="151">
        <v>46023</v>
      </c>
      <c r="M326" s="1">
        <f>VLOOKUP(F:F,[1]Sheet1!$E:$F,2,FALSE)</f>
        <v>710</v>
      </c>
    </row>
    <row r="327" spans="1:13" hidden="1">
      <c r="A327" s="1" t="s">
        <v>1441</v>
      </c>
      <c r="B327" s="1" t="s">
        <v>76</v>
      </c>
      <c r="C327" s="1" t="s">
        <v>1033</v>
      </c>
      <c r="D327" s="1" t="s">
        <v>168</v>
      </c>
      <c r="E327" s="1" t="str">
        <f>A327&amp;C327</f>
        <v>SYCAMOREMEMPHIS</v>
      </c>
      <c r="F327" s="1" t="s">
        <v>1245</v>
      </c>
      <c r="G327" s="1">
        <v>907.91</v>
      </c>
      <c r="H327" s="38">
        <f>G327*COSTS!$AA$27</f>
        <v>1361.865</v>
      </c>
      <c r="I327" s="1">
        <f>COSTS!$AA$28</f>
        <v>50</v>
      </c>
      <c r="J327" s="38">
        <f t="shared" si="13"/>
        <v>1411.865</v>
      </c>
      <c r="K327" s="38">
        <f t="shared" si="14"/>
        <v>320.87840909090909</v>
      </c>
      <c r="L327" s="151">
        <v>46023</v>
      </c>
      <c r="M327" s="1">
        <f>VLOOKUP(F:F,[1]Sheet1!$E:$F,2,FALSE)</f>
        <v>1270</v>
      </c>
    </row>
    <row r="328" spans="1:13" hidden="1">
      <c r="A328" s="1" t="s">
        <v>1441</v>
      </c>
      <c r="B328" s="1" t="s">
        <v>76</v>
      </c>
      <c r="C328" s="1" t="s">
        <v>1274</v>
      </c>
      <c r="D328" s="1" t="s">
        <v>71</v>
      </c>
      <c r="E328" s="1" t="str">
        <f>A328&amp;C328</f>
        <v>SYCAMOREWESLACO</v>
      </c>
      <c r="F328" s="1" t="str">
        <f>A328&amp;B328&amp;C328&amp;D328</f>
        <v>SYCAMOREGAWESLACOTX</v>
      </c>
      <c r="G328" s="1">
        <v>1479.56</v>
      </c>
      <c r="H328" s="38">
        <f>G328*COSTS!$AA$27</f>
        <v>2219.34</v>
      </c>
      <c r="I328" s="1">
        <f>COSTS!$AA$28</f>
        <v>50</v>
      </c>
      <c r="J328" s="38">
        <f t="shared" si="13"/>
        <v>2269.34</v>
      </c>
      <c r="K328" s="38">
        <f t="shared" si="14"/>
        <v>515.7590909090909</v>
      </c>
      <c r="L328" s="151">
        <v>46023</v>
      </c>
      <c r="M328" s="1">
        <f>VLOOKUP(F:F,[1]Sheet1!$E:$F,2,FALSE)</f>
        <v>1657</v>
      </c>
    </row>
    <row r="329" spans="1:13" hidden="1">
      <c r="A329" s="1" t="s">
        <v>1441</v>
      </c>
      <c r="B329" s="1" t="s">
        <v>76</v>
      </c>
      <c r="C329" s="1" t="s">
        <v>1275</v>
      </c>
      <c r="D329" s="1" t="s">
        <v>136</v>
      </c>
      <c r="E329" s="1" t="str">
        <f>A329&amp;C329</f>
        <v>SYCAMORESHELBY</v>
      </c>
      <c r="F329" s="1" t="str">
        <f>A329&amp;B329&amp;C329&amp;D329</f>
        <v>SYCAMOREGASHELBYNC</v>
      </c>
      <c r="G329" s="1">
        <v>859</v>
      </c>
      <c r="H329" s="38">
        <f>G329*COSTS!$AA$27</f>
        <v>1288.5</v>
      </c>
      <c r="I329" s="1">
        <f>COSTS!$AA$28</f>
        <v>50</v>
      </c>
      <c r="J329" s="38">
        <f t="shared" si="13"/>
        <v>1338.5</v>
      </c>
      <c r="K329" s="38">
        <f t="shared" si="14"/>
        <v>304.2045454545455</v>
      </c>
      <c r="L329" s="151">
        <v>46023</v>
      </c>
      <c r="M329" s="1">
        <f>VLOOKUP(F:F,[1]Sheet1!$E:$F,2,FALSE)</f>
        <v>980</v>
      </c>
    </row>
    <row r="330" spans="1:13" hidden="1">
      <c r="A330" s="1" t="s">
        <v>1442</v>
      </c>
      <c r="B330" s="1" t="s">
        <v>76</v>
      </c>
      <c r="C330" s="1" t="s">
        <v>847</v>
      </c>
      <c r="D330" s="1" t="s">
        <v>76</v>
      </c>
      <c r="E330" s="1" t="str">
        <f>A330&amp;(IF(C330="Garden City","Savannah",C330))</f>
        <v>SYLVANIASavannah</v>
      </c>
      <c r="F330" s="1" t="s">
        <v>1006</v>
      </c>
      <c r="G330" s="1">
        <v>419.79333333333335</v>
      </c>
      <c r="H330" s="38">
        <f>G330*COSTS!$AA$27</f>
        <v>629.69000000000005</v>
      </c>
      <c r="I330" s="1">
        <f>COSTS!$AA$28</f>
        <v>50</v>
      </c>
      <c r="J330" s="38">
        <f t="shared" si="13"/>
        <v>679.69</v>
      </c>
      <c r="K330" s="38">
        <f t="shared" si="14"/>
        <v>154.47500000000002</v>
      </c>
      <c r="L330" s="151">
        <v>46023</v>
      </c>
      <c r="M330" s="1">
        <f>VLOOKUP(F:F,[1]Sheet1!$E:$F,2,FALSE)</f>
        <v>510</v>
      </c>
    </row>
    <row r="331" spans="1:13" hidden="1">
      <c r="A331" s="1" t="s">
        <v>1442</v>
      </c>
      <c r="B331" s="1" t="s">
        <v>76</v>
      </c>
      <c r="C331" s="1" t="s">
        <v>1033</v>
      </c>
      <c r="D331" s="1" t="s">
        <v>168</v>
      </c>
      <c r="E331" s="1" t="str">
        <f>A331&amp;C331</f>
        <v>SYLVANIAMEMPHIS</v>
      </c>
      <c r="F331" s="1" t="s">
        <v>1246</v>
      </c>
      <c r="G331" s="1">
        <v>1032</v>
      </c>
      <c r="H331" s="38">
        <f>G331*COSTS!$AA$27</f>
        <v>1548</v>
      </c>
      <c r="I331" s="1">
        <f>COSTS!$AA$28</f>
        <v>50</v>
      </c>
      <c r="J331" s="38">
        <f t="shared" si="13"/>
        <v>1598</v>
      </c>
      <c r="K331" s="38">
        <f t="shared" si="14"/>
        <v>363.18181818181819</v>
      </c>
      <c r="L331" s="151">
        <v>46023</v>
      </c>
      <c r="M331" s="1">
        <f>VLOOKUP(F:F,[1]Sheet1!$E:$F,2,FALSE)</f>
        <v>1510</v>
      </c>
    </row>
    <row r="332" spans="1:13" hidden="1">
      <c r="A332" s="1" t="s">
        <v>1442</v>
      </c>
      <c r="B332" s="1" t="s">
        <v>76</v>
      </c>
      <c r="C332" s="1" t="s">
        <v>1274</v>
      </c>
      <c r="D332" s="1" t="s">
        <v>71</v>
      </c>
      <c r="E332" s="1" t="str">
        <f>A332&amp;C332</f>
        <v>SYLVANIAWESLACO</v>
      </c>
      <c r="F332" s="1" t="str">
        <f>A332&amp;B332&amp;C332&amp;D332</f>
        <v>SYLVANIAGAWESLACOTX</v>
      </c>
      <c r="G332" s="1">
        <v>1602.6999999999998</v>
      </c>
      <c r="H332" s="38">
        <f>G332*COSTS!$AA$27</f>
        <v>2404.0499999999997</v>
      </c>
      <c r="I332" s="1">
        <f>COSTS!$AA$28</f>
        <v>50</v>
      </c>
      <c r="J332" s="38">
        <f t="shared" si="13"/>
        <v>2454.0499999999997</v>
      </c>
      <c r="K332" s="38">
        <f t="shared" si="14"/>
        <v>557.73863636363626</v>
      </c>
      <c r="L332" s="151">
        <v>46023</v>
      </c>
      <c r="M332" s="1">
        <f>VLOOKUP(F:F,[1]Sheet1!$E:$F,2,FALSE)</f>
        <v>2430</v>
      </c>
    </row>
    <row r="333" spans="1:13" hidden="1">
      <c r="A333" s="1" t="s">
        <v>1442</v>
      </c>
      <c r="B333" s="1" t="s">
        <v>76</v>
      </c>
      <c r="C333" s="1" t="s">
        <v>1275</v>
      </c>
      <c r="D333" s="1" t="s">
        <v>136</v>
      </c>
      <c r="E333" s="1" t="str">
        <f>A333&amp;C333</f>
        <v>SYLVANIASHELBY</v>
      </c>
      <c r="F333" s="1" t="str">
        <f>A333&amp;B333&amp;C333&amp;D333</f>
        <v>SYLVANIAGASHELBYNC</v>
      </c>
      <c r="G333" s="1">
        <v>705</v>
      </c>
      <c r="H333" s="38">
        <f>G333*COSTS!$AA$27</f>
        <v>1057.5</v>
      </c>
      <c r="I333" s="1">
        <f>COSTS!$AA$28</f>
        <v>50</v>
      </c>
      <c r="J333" s="38">
        <f t="shared" si="13"/>
        <v>1107.5</v>
      </c>
      <c r="K333" s="38">
        <f t="shared" si="14"/>
        <v>251.70454545454547</v>
      </c>
      <c r="L333" s="151">
        <v>46023</v>
      </c>
      <c r="M333" s="1">
        <f>VLOOKUP(F:F,[1]Sheet1!$E:$F,2,FALSE)</f>
        <v>690</v>
      </c>
    </row>
    <row r="334" spans="1:13" hidden="1">
      <c r="A334" s="1" t="s">
        <v>1443</v>
      </c>
      <c r="B334" s="1" t="s">
        <v>76</v>
      </c>
      <c r="C334" s="1" t="s">
        <v>847</v>
      </c>
      <c r="D334" s="1" t="s">
        <v>76</v>
      </c>
      <c r="E334" s="1" t="str">
        <f>A334&amp;(IF(C334="Garden City","Savannah",C334))</f>
        <v>SYLVESTERSavannah</v>
      </c>
      <c r="F334" s="1" t="s">
        <v>1007</v>
      </c>
      <c r="G334" s="1">
        <v>604.48</v>
      </c>
      <c r="H334" s="38">
        <f>G334*COSTS!$AA$27</f>
        <v>906.72</v>
      </c>
      <c r="I334" s="1">
        <f>COSTS!$AA$28</f>
        <v>50</v>
      </c>
      <c r="J334" s="38">
        <f t="shared" si="13"/>
        <v>956.72</v>
      </c>
      <c r="K334" s="38">
        <f t="shared" si="14"/>
        <v>217.43636363636367</v>
      </c>
      <c r="L334" s="151">
        <v>46023</v>
      </c>
      <c r="M334" s="1">
        <f>VLOOKUP(F:F,[1]Sheet1!$E:$F,2,FALSE)</f>
        <v>730</v>
      </c>
    </row>
    <row r="335" spans="1:13" hidden="1">
      <c r="A335" s="1" t="s">
        <v>1443</v>
      </c>
      <c r="B335" s="1" t="s">
        <v>76</v>
      </c>
      <c r="C335" s="1" t="s">
        <v>1033</v>
      </c>
      <c r="D335" s="1" t="s">
        <v>168</v>
      </c>
      <c r="E335" s="1" t="str">
        <f>A335&amp;C335</f>
        <v>SYLVESTERMEMPHIS</v>
      </c>
      <c r="F335" s="1" t="s">
        <v>1247</v>
      </c>
      <c r="G335" s="1">
        <v>875</v>
      </c>
      <c r="H335" s="38">
        <f>G335*COSTS!$AA$27</f>
        <v>1312.5</v>
      </c>
      <c r="I335" s="1">
        <f>COSTS!$AA$28</f>
        <v>50</v>
      </c>
      <c r="J335" s="38">
        <f t="shared" si="13"/>
        <v>1362.5</v>
      </c>
      <c r="K335" s="38">
        <f t="shared" si="14"/>
        <v>309.65909090909088</v>
      </c>
      <c r="L335" s="151">
        <v>46023</v>
      </c>
      <c r="M335" s="1">
        <f>VLOOKUP(F:F,[1]Sheet1!$E:$F,2,FALSE)</f>
        <v>1230</v>
      </c>
    </row>
    <row r="336" spans="1:13" hidden="1">
      <c r="A336" s="1" t="s">
        <v>1443</v>
      </c>
      <c r="B336" s="1" t="s">
        <v>76</v>
      </c>
      <c r="C336" s="1" t="s">
        <v>1274</v>
      </c>
      <c r="D336" s="1" t="s">
        <v>71</v>
      </c>
      <c r="E336" s="1" t="str">
        <f>A336&amp;C336</f>
        <v>SYLVESTERWESLACO</v>
      </c>
      <c r="F336" s="1" t="str">
        <f>A336&amp;B336&amp;C336&amp;D336</f>
        <v>SYLVESTERGAWESLACOTX</v>
      </c>
      <c r="G336" s="1">
        <v>1377.1</v>
      </c>
      <c r="H336" s="38">
        <f>G336*COSTS!$AA$27</f>
        <v>2065.6499999999996</v>
      </c>
      <c r="I336" s="1">
        <f>COSTS!$AA$28</f>
        <v>50</v>
      </c>
      <c r="J336" s="38">
        <f t="shared" si="13"/>
        <v>2115.6499999999996</v>
      </c>
      <c r="K336" s="38">
        <f t="shared" si="14"/>
        <v>480.82954545454533</v>
      </c>
      <c r="L336" s="151">
        <v>46023</v>
      </c>
      <c r="M336" s="1">
        <f>VLOOKUP(F:F,[1]Sheet1!$E:$F,2,FALSE)</f>
        <v>1623</v>
      </c>
    </row>
    <row r="337" spans="1:13" hidden="1">
      <c r="A337" s="1" t="s">
        <v>1443</v>
      </c>
      <c r="B337" s="1" t="s">
        <v>76</v>
      </c>
      <c r="C337" s="1" t="s">
        <v>1275</v>
      </c>
      <c r="D337" s="1" t="s">
        <v>136</v>
      </c>
      <c r="E337" s="1" t="str">
        <f>A337&amp;C337</f>
        <v>SYLVESTERSHELBY</v>
      </c>
      <c r="F337" s="1" t="str">
        <f>A337&amp;B337&amp;C337&amp;D337</f>
        <v>SYLVESTERGASHELBYNC</v>
      </c>
      <c r="G337" s="1">
        <v>890</v>
      </c>
      <c r="H337" s="38">
        <f>G337*COSTS!$AA$27</f>
        <v>1335</v>
      </c>
      <c r="I337" s="1">
        <f>COSTS!$AA$28</f>
        <v>50</v>
      </c>
      <c r="J337" s="38">
        <f t="shared" si="13"/>
        <v>1385</v>
      </c>
      <c r="K337" s="38">
        <f t="shared" si="14"/>
        <v>314.77272727272725</v>
      </c>
      <c r="L337" s="151">
        <v>46023</v>
      </c>
      <c r="M337" s="1">
        <f>VLOOKUP(F:F,[1]Sheet1!$E:$F,2,FALSE)</f>
        <v>1010</v>
      </c>
    </row>
    <row r="338" spans="1:13" hidden="1">
      <c r="A338" s="1" t="s">
        <v>1447</v>
      </c>
      <c r="B338" s="1" t="s">
        <v>76</v>
      </c>
      <c r="C338" s="1" t="s">
        <v>847</v>
      </c>
      <c r="D338" s="1" t="s">
        <v>76</v>
      </c>
      <c r="E338" s="1" t="str">
        <f>A338&amp;(IF(C338="Garden City","Savannah",C338))</f>
        <v>TAYLORSVILLESavannah</v>
      </c>
      <c r="F338" s="1" t="s">
        <v>1011</v>
      </c>
      <c r="G338" s="1">
        <v>838.43666666666661</v>
      </c>
      <c r="H338" s="38">
        <f>G338*COSTS!$AA$27</f>
        <v>1257.655</v>
      </c>
      <c r="I338" s="1">
        <f>COSTS!$AA$28</f>
        <v>50</v>
      </c>
      <c r="J338" s="38">
        <f t="shared" si="13"/>
        <v>1307.655</v>
      </c>
      <c r="K338" s="38">
        <f t="shared" si="14"/>
        <v>297.19431818181818</v>
      </c>
      <c r="L338" s="151">
        <v>46023</v>
      </c>
      <c r="M338" s="1">
        <f>VLOOKUP(F:F,[1]Sheet1!$E:$F,2,FALSE)</f>
        <v>910</v>
      </c>
    </row>
    <row r="339" spans="1:13" hidden="1">
      <c r="A339" s="1" t="s">
        <v>1447</v>
      </c>
      <c r="B339" s="1" t="s">
        <v>76</v>
      </c>
      <c r="C339" s="1" t="s">
        <v>1033</v>
      </c>
      <c r="D339" s="1" t="s">
        <v>168</v>
      </c>
      <c r="E339" s="1" t="str">
        <f>A339&amp;C339</f>
        <v>TAYLORSVILLEMEMPHIS</v>
      </c>
      <c r="F339" s="1" t="s">
        <v>1251</v>
      </c>
      <c r="G339" s="1">
        <v>726</v>
      </c>
      <c r="H339" s="38">
        <f>G339*COSTS!$AA$27</f>
        <v>1089</v>
      </c>
      <c r="I339" s="1">
        <f>COSTS!$AA$28</f>
        <v>50</v>
      </c>
      <c r="J339" s="38">
        <f t="shared" si="13"/>
        <v>1139</v>
      </c>
      <c r="K339" s="38">
        <f t="shared" si="14"/>
        <v>258.86363636363637</v>
      </c>
      <c r="L339" s="151">
        <v>46023</v>
      </c>
      <c r="M339" s="1">
        <f>VLOOKUP(F:F,[1]Sheet1!$E:$F,2,FALSE)</f>
        <v>970</v>
      </c>
    </row>
    <row r="340" spans="1:13" hidden="1">
      <c r="A340" s="1" t="s">
        <v>1447</v>
      </c>
      <c r="B340" s="1" t="s">
        <v>76</v>
      </c>
      <c r="C340" s="1" t="s">
        <v>1275</v>
      </c>
      <c r="D340" s="1" t="s">
        <v>136</v>
      </c>
      <c r="E340" s="1" t="str">
        <f>A340&amp;C340</f>
        <v>TAYLORSVILLESHELBY</v>
      </c>
      <c r="F340" s="1" t="str">
        <f>A340&amp;B340&amp;C340&amp;D340</f>
        <v>TAYLORSVILLEGASHELBYNC</v>
      </c>
      <c r="G340" s="1">
        <v>715</v>
      </c>
      <c r="H340" s="38">
        <f>G340*COSTS!$AA$27</f>
        <v>1072.5</v>
      </c>
      <c r="I340" s="1">
        <f>COSTS!$AA$28</f>
        <v>50</v>
      </c>
      <c r="J340" s="38">
        <f t="shared" si="13"/>
        <v>1122.5</v>
      </c>
      <c r="K340" s="38">
        <f t="shared" si="14"/>
        <v>255.11363636363637</v>
      </c>
      <c r="L340" s="151">
        <v>46023</v>
      </c>
      <c r="M340" s="1">
        <f>VLOOKUP(F:F,[1]Sheet1!$E:$F,2,FALSE)</f>
        <v>710</v>
      </c>
    </row>
    <row r="341" spans="1:13" hidden="1">
      <c r="A341" s="1" t="s">
        <v>1449</v>
      </c>
      <c r="B341" s="1" t="s">
        <v>76</v>
      </c>
      <c r="C341" s="1" t="s">
        <v>847</v>
      </c>
      <c r="D341" s="1" t="s">
        <v>76</v>
      </c>
      <c r="E341" s="1" t="str">
        <f>A341&amp;(IF(C341="Garden City","Savannah",C341))</f>
        <v>THOMASVILLESavannah</v>
      </c>
      <c r="F341" s="1" t="s">
        <v>1013</v>
      </c>
      <c r="G341" s="1">
        <v>499.22</v>
      </c>
      <c r="H341" s="38">
        <f>G341*COSTS!$AA$27</f>
        <v>748.83</v>
      </c>
      <c r="I341" s="1">
        <f>COSTS!$AA$28</f>
        <v>50</v>
      </c>
      <c r="J341" s="38">
        <f t="shared" si="13"/>
        <v>798.83</v>
      </c>
      <c r="K341" s="38">
        <f t="shared" si="14"/>
        <v>181.55227272727274</v>
      </c>
      <c r="L341" s="151">
        <v>46023</v>
      </c>
      <c r="M341" s="1" t="e">
        <f>VLOOKUP(F:F,[1]Sheet1!$E:$F,2,FALSE)</f>
        <v>#N/A</v>
      </c>
    </row>
    <row r="342" spans="1:13" hidden="1">
      <c r="A342" s="1" t="s">
        <v>1450</v>
      </c>
      <c r="B342" s="1" t="s">
        <v>76</v>
      </c>
      <c r="C342" s="1" t="s">
        <v>847</v>
      </c>
      <c r="D342" s="1" t="s">
        <v>76</v>
      </c>
      <c r="E342" s="1" t="str">
        <f>A342&amp;(IF(C342="Garden City","Savannah",C342))</f>
        <v>TIFTONSavannah</v>
      </c>
      <c r="F342" s="1" t="s">
        <v>1014</v>
      </c>
      <c r="G342" s="1">
        <v>574.48</v>
      </c>
      <c r="H342" s="38">
        <f>G342*COSTS!$AA$27</f>
        <v>861.72</v>
      </c>
      <c r="I342" s="1">
        <f>COSTS!$AA$28</f>
        <v>50</v>
      </c>
      <c r="J342" s="38">
        <f t="shared" si="13"/>
        <v>911.72</v>
      </c>
      <c r="K342" s="38">
        <f t="shared" si="14"/>
        <v>207.20909090909092</v>
      </c>
      <c r="L342" s="151">
        <v>46023</v>
      </c>
      <c r="M342" s="1">
        <f>VLOOKUP(F:F,[1]Sheet1!$E:$F,2,FALSE)</f>
        <v>700</v>
      </c>
    </row>
    <row r="343" spans="1:13" hidden="1">
      <c r="A343" s="1" t="s">
        <v>1450</v>
      </c>
      <c r="B343" s="1" t="s">
        <v>76</v>
      </c>
      <c r="C343" s="1" t="s">
        <v>1033</v>
      </c>
      <c r="D343" s="1" t="s">
        <v>168</v>
      </c>
      <c r="E343" s="1" t="str">
        <f>A343&amp;C343</f>
        <v>TIFTONMEMPHIS</v>
      </c>
      <c r="F343" s="1" t="s">
        <v>1254</v>
      </c>
      <c r="G343" s="1">
        <v>880</v>
      </c>
      <c r="H343" s="38">
        <f>G343*COSTS!$AA$27</f>
        <v>1320</v>
      </c>
      <c r="I343" s="1">
        <f>COSTS!$AA$28</f>
        <v>50</v>
      </c>
      <c r="J343" s="38">
        <f t="shared" si="13"/>
        <v>1370</v>
      </c>
      <c r="K343" s="38">
        <f t="shared" si="14"/>
        <v>311.36363636363637</v>
      </c>
      <c r="L343" s="151">
        <v>46023</v>
      </c>
      <c r="M343" s="1">
        <f>VLOOKUP(F:F,[1]Sheet1!$E:$F,2,FALSE)</f>
        <v>1280</v>
      </c>
    </row>
    <row r="344" spans="1:13" hidden="1">
      <c r="A344" s="1" t="s">
        <v>1450</v>
      </c>
      <c r="B344" s="1" t="s">
        <v>76</v>
      </c>
      <c r="C344" s="1" t="s">
        <v>1274</v>
      </c>
      <c r="D344" s="1" t="s">
        <v>71</v>
      </c>
      <c r="E344" s="1" t="str">
        <f>A344&amp;C344</f>
        <v>TIFTONWESLACO</v>
      </c>
      <c r="F344" s="1" t="str">
        <f>A344&amp;B344&amp;C344&amp;D344</f>
        <v>TIFTONGAWESLACOTX</v>
      </c>
      <c r="G344" s="1">
        <v>1395.8999999999999</v>
      </c>
      <c r="H344" s="38">
        <f>G344*COSTS!$AA$27</f>
        <v>2093.85</v>
      </c>
      <c r="I344" s="1">
        <f>COSTS!$AA$28</f>
        <v>50</v>
      </c>
      <c r="J344" s="38">
        <f t="shared" si="13"/>
        <v>2143.85</v>
      </c>
      <c r="K344" s="38">
        <f t="shared" si="14"/>
        <v>487.23863636363632</v>
      </c>
      <c r="L344" s="151">
        <v>46023</v>
      </c>
      <c r="M344" s="1">
        <f>VLOOKUP(F:F,[1]Sheet1!$E:$F,2,FALSE)</f>
        <v>1647</v>
      </c>
    </row>
    <row r="345" spans="1:13" hidden="1">
      <c r="A345" s="1" t="s">
        <v>1450</v>
      </c>
      <c r="B345" s="1" t="s">
        <v>76</v>
      </c>
      <c r="C345" s="1" t="s">
        <v>1275</v>
      </c>
      <c r="D345" s="1" t="s">
        <v>136</v>
      </c>
      <c r="E345" s="1" t="str">
        <f>A345&amp;C345</f>
        <v>TIFTONSHELBY</v>
      </c>
      <c r="F345" s="1" t="str">
        <f>A345&amp;B345&amp;C345&amp;D345</f>
        <v>TIFTONGASHELBYNC</v>
      </c>
      <c r="G345" s="1">
        <v>875</v>
      </c>
      <c r="H345" s="38">
        <f>G345*COSTS!$AA$27</f>
        <v>1312.5</v>
      </c>
      <c r="I345" s="1">
        <f>COSTS!$AA$28</f>
        <v>50</v>
      </c>
      <c r="J345" s="38">
        <f t="shared" si="13"/>
        <v>1362.5</v>
      </c>
      <c r="K345" s="38">
        <f t="shared" si="14"/>
        <v>309.65909090909088</v>
      </c>
      <c r="L345" s="151">
        <v>46023</v>
      </c>
      <c r="M345" s="1">
        <f>VLOOKUP(F:F,[1]Sheet1!$E:$F,2,FALSE)</f>
        <v>1020</v>
      </c>
    </row>
    <row r="346" spans="1:13" hidden="1">
      <c r="A346" s="1" t="s">
        <v>1455</v>
      </c>
      <c r="B346" s="1" t="s">
        <v>76</v>
      </c>
      <c r="C346" s="1" t="s">
        <v>847</v>
      </c>
      <c r="D346" s="1" t="s">
        <v>76</v>
      </c>
      <c r="E346" s="1" t="str">
        <f>A346&amp;(IF(C346="Garden City","Savannah",C346))</f>
        <v>UNADILLASavannah</v>
      </c>
      <c r="F346" s="1" t="s">
        <v>1018</v>
      </c>
      <c r="G346" s="1">
        <v>623.85333333333335</v>
      </c>
      <c r="H346" s="38">
        <f>G346*COSTS!$AA$27</f>
        <v>935.78</v>
      </c>
      <c r="I346" s="1">
        <f>COSTS!$AA$28</f>
        <v>50</v>
      </c>
      <c r="J346" s="38">
        <f t="shared" si="13"/>
        <v>985.78</v>
      </c>
      <c r="K346" s="38">
        <f t="shared" si="14"/>
        <v>224.04090909090908</v>
      </c>
      <c r="L346" s="151">
        <v>46023</v>
      </c>
      <c r="M346" s="1">
        <f>VLOOKUP(F:F,[1]Sheet1!$E:$F,2,FALSE)</f>
        <v>680</v>
      </c>
    </row>
    <row r="347" spans="1:13" hidden="1">
      <c r="A347" s="1" t="s">
        <v>1455</v>
      </c>
      <c r="B347" s="1" t="s">
        <v>76</v>
      </c>
      <c r="C347" s="1" t="s">
        <v>1033</v>
      </c>
      <c r="D347" s="1" t="s">
        <v>168</v>
      </c>
      <c r="E347" s="1" t="str">
        <f>A347&amp;C347</f>
        <v>UNADILLAMEMPHIS</v>
      </c>
      <c r="F347" s="1" t="s">
        <v>1261</v>
      </c>
      <c r="G347" s="1">
        <v>854.9</v>
      </c>
      <c r="H347" s="38">
        <f>G347*COSTS!$AA$27</f>
        <v>1282.3499999999999</v>
      </c>
      <c r="I347" s="1">
        <f>COSTS!$AA$28</f>
        <v>50</v>
      </c>
      <c r="J347" s="38">
        <f t="shared" si="13"/>
        <v>1332.35</v>
      </c>
      <c r="K347" s="38">
        <f t="shared" si="14"/>
        <v>302.80681818181813</v>
      </c>
      <c r="L347" s="151">
        <v>46023</v>
      </c>
      <c r="M347" s="1">
        <f>VLOOKUP(F:F,[1]Sheet1!$E:$F,2,FALSE)</f>
        <v>1280</v>
      </c>
    </row>
    <row r="348" spans="1:13" hidden="1">
      <c r="A348" s="1" t="s">
        <v>1455</v>
      </c>
      <c r="B348" s="1" t="s">
        <v>76</v>
      </c>
      <c r="C348" s="1" t="s">
        <v>1274</v>
      </c>
      <c r="D348" s="1" t="s">
        <v>71</v>
      </c>
      <c r="E348" s="1" t="str">
        <f>A348&amp;C348</f>
        <v>UNADILLAWESLACO</v>
      </c>
      <c r="F348" s="1" t="str">
        <f>A348&amp;B348&amp;C348&amp;D348</f>
        <v>UNADILLAGAWESLACOTX</v>
      </c>
      <c r="G348" s="1">
        <v>1566.04</v>
      </c>
      <c r="H348" s="38">
        <f>G348*COSTS!$AA$27</f>
        <v>2349.06</v>
      </c>
      <c r="I348" s="1">
        <f>COSTS!$AA$28</f>
        <v>50</v>
      </c>
      <c r="J348" s="38">
        <f t="shared" si="13"/>
        <v>2399.06</v>
      </c>
      <c r="K348" s="38">
        <f t="shared" si="14"/>
        <v>545.2409090909091</v>
      </c>
      <c r="L348" s="151">
        <v>46023</v>
      </c>
      <c r="M348" s="1">
        <f>VLOOKUP(F:F,[1]Sheet1!$E:$F,2,FALSE)</f>
        <v>1702</v>
      </c>
    </row>
    <row r="349" spans="1:13" hidden="1">
      <c r="A349" s="1" t="s">
        <v>1455</v>
      </c>
      <c r="B349" s="1" t="s">
        <v>76</v>
      </c>
      <c r="C349" s="1" t="s">
        <v>1275</v>
      </c>
      <c r="D349" s="1" t="s">
        <v>136</v>
      </c>
      <c r="E349" s="1" t="str">
        <f>A349&amp;C349</f>
        <v>UNADILLASHELBY</v>
      </c>
      <c r="F349" s="1" t="str">
        <f>A349&amp;B349&amp;C349&amp;D349</f>
        <v>UNADILLAGASHELBYNC</v>
      </c>
      <c r="G349" s="1">
        <v>855</v>
      </c>
      <c r="H349" s="38">
        <f>G349*COSTS!$AA$27</f>
        <v>1282.5</v>
      </c>
      <c r="I349" s="1">
        <f>COSTS!$AA$28</f>
        <v>50</v>
      </c>
      <c r="J349" s="38">
        <f t="shared" si="13"/>
        <v>1332.5</v>
      </c>
      <c r="K349" s="38">
        <f t="shared" si="14"/>
        <v>302.84090909090912</v>
      </c>
      <c r="L349" s="151">
        <v>46023</v>
      </c>
      <c r="M349" s="1">
        <f>VLOOKUP(F:F,[1]Sheet1!$E:$F,2,FALSE)</f>
        <v>880</v>
      </c>
    </row>
    <row r="350" spans="1:13" hidden="1">
      <c r="A350" s="1" t="s">
        <v>1457</v>
      </c>
      <c r="B350" s="1" t="s">
        <v>76</v>
      </c>
      <c r="C350" s="1" t="s">
        <v>847</v>
      </c>
      <c r="D350" s="1" t="s">
        <v>76</v>
      </c>
      <c r="E350" s="1" t="str">
        <f>A350&amp;(IF(C350="Garden City","Savannah",C350))</f>
        <v>VALDOSTASavannah</v>
      </c>
      <c r="F350" s="1" t="s">
        <v>1020</v>
      </c>
      <c r="G350" s="1">
        <v>479.22</v>
      </c>
      <c r="H350" s="38">
        <f>G350*COSTS!$AA$27</f>
        <v>718.83</v>
      </c>
      <c r="I350" s="1">
        <f>COSTS!$AA$28</f>
        <v>50</v>
      </c>
      <c r="J350" s="38">
        <f t="shared" si="13"/>
        <v>768.83</v>
      </c>
      <c r="K350" s="38">
        <f t="shared" si="14"/>
        <v>174.7340909090909</v>
      </c>
      <c r="L350" s="151">
        <v>46023</v>
      </c>
      <c r="M350" s="1" t="e">
        <f>VLOOKUP(F:F,[1]Sheet1!$E:$F,2,FALSE)</f>
        <v>#N/A</v>
      </c>
    </row>
    <row r="351" spans="1:13" hidden="1">
      <c r="A351" s="1" t="s">
        <v>1458</v>
      </c>
      <c r="B351" s="1" t="s">
        <v>76</v>
      </c>
      <c r="C351" s="1" t="s">
        <v>847</v>
      </c>
      <c r="D351" s="1" t="s">
        <v>76</v>
      </c>
      <c r="E351" s="1" t="str">
        <f>A351&amp;(IF(C351="Garden City","Savannah",C351))</f>
        <v>VIENNASavannah</v>
      </c>
      <c r="F351" s="1" t="s">
        <v>1021</v>
      </c>
      <c r="G351" s="1">
        <v>633.85333333333335</v>
      </c>
      <c r="H351" s="38">
        <f>G351*COSTS!$AA$27</f>
        <v>950.78</v>
      </c>
      <c r="I351" s="1">
        <f>COSTS!$AA$28</f>
        <v>50</v>
      </c>
      <c r="J351" s="38">
        <f t="shared" si="13"/>
        <v>1000.78</v>
      </c>
      <c r="K351" s="38">
        <f t="shared" si="14"/>
        <v>227.45000000000002</v>
      </c>
      <c r="L351" s="151">
        <v>46023</v>
      </c>
      <c r="M351" s="1">
        <f>VLOOKUP(F:F,[1]Sheet1!$E:$F,2,FALSE)</f>
        <v>690</v>
      </c>
    </row>
    <row r="352" spans="1:13" hidden="1">
      <c r="A352" s="1" t="s">
        <v>1458</v>
      </c>
      <c r="B352" s="1" t="s">
        <v>76</v>
      </c>
      <c r="C352" s="1" t="s">
        <v>1033</v>
      </c>
      <c r="D352" s="1" t="s">
        <v>168</v>
      </c>
      <c r="E352" s="1" t="str">
        <f>A352&amp;C352</f>
        <v>VIENNAMEMPHIS</v>
      </c>
      <c r="F352" s="1" t="s">
        <v>1265</v>
      </c>
      <c r="G352" s="1">
        <v>869.84</v>
      </c>
      <c r="H352" s="38">
        <f>G352*COSTS!$AA$27</f>
        <v>1304.76</v>
      </c>
      <c r="I352" s="1">
        <f>COSTS!$AA$28</f>
        <v>50</v>
      </c>
      <c r="J352" s="38">
        <f t="shared" si="13"/>
        <v>1354.76</v>
      </c>
      <c r="K352" s="38">
        <f t="shared" si="14"/>
        <v>307.89999999999998</v>
      </c>
      <c r="L352" s="151">
        <v>46023</v>
      </c>
      <c r="M352" s="1">
        <f>VLOOKUP(F:F,[1]Sheet1!$E:$F,2,FALSE)</f>
        <v>1200</v>
      </c>
    </row>
    <row r="353" spans="1:13" hidden="1">
      <c r="A353" s="1" t="s">
        <v>1458</v>
      </c>
      <c r="B353" s="1" t="s">
        <v>76</v>
      </c>
      <c r="C353" s="1" t="s">
        <v>1274</v>
      </c>
      <c r="D353" s="1" t="s">
        <v>71</v>
      </c>
      <c r="E353" s="1" t="str">
        <f>A353&amp;C353</f>
        <v>VIENNAWESLACO</v>
      </c>
      <c r="F353" s="1" t="str">
        <f>A353&amp;B353&amp;C353&amp;D353</f>
        <v>VIENNAGAWESLACOTX</v>
      </c>
      <c r="G353" s="1">
        <v>1522.8</v>
      </c>
      <c r="H353" s="38">
        <f>G353*COSTS!$AA$27</f>
        <v>2284.1999999999998</v>
      </c>
      <c r="I353" s="1">
        <f>COSTS!$AA$28</f>
        <v>50</v>
      </c>
      <c r="J353" s="38">
        <f t="shared" si="13"/>
        <v>2334.1999999999998</v>
      </c>
      <c r="K353" s="38">
        <f t="shared" si="14"/>
        <v>530.5</v>
      </c>
      <c r="L353" s="151">
        <v>46023</v>
      </c>
      <c r="M353" s="1">
        <f>VLOOKUP(F:F,[1]Sheet1!$E:$F,2,FALSE)</f>
        <v>1659</v>
      </c>
    </row>
    <row r="354" spans="1:13" hidden="1">
      <c r="A354" s="1" t="s">
        <v>1458</v>
      </c>
      <c r="B354" s="1" t="s">
        <v>76</v>
      </c>
      <c r="C354" s="1" t="s">
        <v>1275</v>
      </c>
      <c r="D354" s="1" t="s">
        <v>136</v>
      </c>
      <c r="E354" s="1" t="str">
        <f>A354&amp;C354</f>
        <v>VIENNASHELBY</v>
      </c>
      <c r="F354" s="1" t="str">
        <f>A354&amp;B354&amp;C354&amp;D354</f>
        <v>VIENNAGASHELBYNC</v>
      </c>
      <c r="G354" s="1">
        <v>860</v>
      </c>
      <c r="H354" s="38">
        <f>G354*COSTS!$AA$27</f>
        <v>1290</v>
      </c>
      <c r="I354" s="1">
        <f>COSTS!$AA$28</f>
        <v>50</v>
      </c>
      <c r="J354" s="38">
        <f t="shared" si="13"/>
        <v>1340</v>
      </c>
      <c r="K354" s="38">
        <f t="shared" si="14"/>
        <v>304.5454545454545</v>
      </c>
      <c r="L354" s="151">
        <v>46023</v>
      </c>
      <c r="M354" s="1">
        <f>VLOOKUP(F:F,[1]Sheet1!$E:$F,2,FALSE)</f>
        <v>910</v>
      </c>
    </row>
    <row r="355" spans="1:13" hidden="1">
      <c r="A355" s="1" t="s">
        <v>1460</v>
      </c>
      <c r="B355" s="1" t="s">
        <v>76</v>
      </c>
      <c r="C355" s="1" t="s">
        <v>847</v>
      </c>
      <c r="D355" s="1" t="s">
        <v>76</v>
      </c>
      <c r="E355" s="1" t="str">
        <f>A355&amp;(IF(C355="Garden City","Savannah",C355))</f>
        <v>WADLEYSavannah</v>
      </c>
      <c r="F355" s="1" t="s">
        <v>1023</v>
      </c>
      <c r="G355" s="1">
        <v>506.04333333333335</v>
      </c>
      <c r="H355" s="38">
        <f>G355*COSTS!$AA$27</f>
        <v>759.06500000000005</v>
      </c>
      <c r="I355" s="1">
        <f>COSTS!$AA$28</f>
        <v>50</v>
      </c>
      <c r="J355" s="38">
        <f t="shared" si="13"/>
        <v>809.06500000000005</v>
      </c>
      <c r="K355" s="38">
        <f t="shared" si="14"/>
        <v>183.87840909090912</v>
      </c>
      <c r="L355" s="151">
        <v>46023</v>
      </c>
      <c r="M355" s="1">
        <f>VLOOKUP(F:F,[1]Sheet1!$E:$F,2,FALSE)</f>
        <v>590</v>
      </c>
    </row>
    <row r="356" spans="1:13" hidden="1">
      <c r="A356" s="1" t="s">
        <v>1460</v>
      </c>
      <c r="B356" s="1" t="s">
        <v>76</v>
      </c>
      <c r="C356" s="1" t="s">
        <v>1033</v>
      </c>
      <c r="D356" s="1" t="s">
        <v>168</v>
      </c>
      <c r="E356" s="1" t="str">
        <f>A356&amp;C356</f>
        <v>WADLEYMEMPHIS</v>
      </c>
      <c r="F356" s="1" t="s">
        <v>1266</v>
      </c>
      <c r="G356" s="1">
        <v>1000</v>
      </c>
      <c r="H356" s="38">
        <f>G356*COSTS!$AA$27</f>
        <v>1500</v>
      </c>
      <c r="I356" s="1">
        <f>COSTS!$AA$28</f>
        <v>50</v>
      </c>
      <c r="J356" s="38">
        <f t="shared" si="13"/>
        <v>1550</v>
      </c>
      <c r="K356" s="38">
        <f t="shared" si="14"/>
        <v>352.27272727272725</v>
      </c>
      <c r="L356" s="151">
        <v>46023</v>
      </c>
      <c r="M356" s="1">
        <f>VLOOKUP(F:F,[1]Sheet1!$E:$F,2,FALSE)</f>
        <v>1390</v>
      </c>
    </row>
    <row r="357" spans="1:13" hidden="1">
      <c r="A357" s="1" t="s">
        <v>1460</v>
      </c>
      <c r="B357" s="1" t="s">
        <v>76</v>
      </c>
      <c r="C357" s="1" t="s">
        <v>1274</v>
      </c>
      <c r="D357" s="1" t="s">
        <v>71</v>
      </c>
      <c r="E357" s="1" t="str">
        <f>A357&amp;C357</f>
        <v>WADLEYWESLACO</v>
      </c>
      <c r="F357" s="1" t="str">
        <f>A357&amp;B357&amp;C357&amp;D357</f>
        <v>WADLEYGAWESLACOTX</v>
      </c>
      <c r="G357" s="1">
        <v>1535.02</v>
      </c>
      <c r="H357" s="38">
        <f>G357*COSTS!$AA$27</f>
        <v>2302.5299999999997</v>
      </c>
      <c r="I357" s="1">
        <f>COSTS!$AA$28</f>
        <v>50</v>
      </c>
      <c r="J357" s="38">
        <f t="shared" si="13"/>
        <v>2352.5299999999997</v>
      </c>
      <c r="K357" s="38">
        <f t="shared" si="14"/>
        <v>534.66590909090905</v>
      </c>
      <c r="L357" s="151">
        <v>46023</v>
      </c>
      <c r="M357" s="1">
        <f>VLOOKUP(F:F,[1]Sheet1!$E:$F,2,FALSE)</f>
        <v>2310</v>
      </c>
    </row>
    <row r="358" spans="1:13" hidden="1">
      <c r="A358" s="1" t="s">
        <v>1460</v>
      </c>
      <c r="B358" s="1" t="s">
        <v>76</v>
      </c>
      <c r="C358" s="1" t="s">
        <v>1275</v>
      </c>
      <c r="D358" s="1" t="s">
        <v>136</v>
      </c>
      <c r="E358" s="1" t="str">
        <f>A358&amp;C358</f>
        <v>WADLEYSHELBY</v>
      </c>
      <c r="F358" s="1" t="str">
        <f>A358&amp;B358&amp;C358&amp;D358</f>
        <v>WADLEYGASHELBYNC</v>
      </c>
      <c r="G358" s="1">
        <v>705</v>
      </c>
      <c r="H358" s="38">
        <f>G358*COSTS!$AA$27</f>
        <v>1057.5</v>
      </c>
      <c r="I358" s="1">
        <f>COSTS!$AA$28</f>
        <v>50</v>
      </c>
      <c r="J358" s="38">
        <f t="shared" si="13"/>
        <v>1107.5</v>
      </c>
      <c r="K358" s="38">
        <f t="shared" si="14"/>
        <v>251.70454545454547</v>
      </c>
      <c r="L358" s="151">
        <v>46023</v>
      </c>
      <c r="M358" s="1">
        <f>VLOOKUP(F:F,[1]Sheet1!$E:$F,2,FALSE)</f>
        <v>650</v>
      </c>
    </row>
    <row r="359" spans="1:13" hidden="1">
      <c r="A359" s="1" t="s">
        <v>1462</v>
      </c>
      <c r="B359" s="1" t="s">
        <v>76</v>
      </c>
      <c r="C359" s="1" t="s">
        <v>847</v>
      </c>
      <c r="D359" s="1" t="s">
        <v>76</v>
      </c>
      <c r="E359" s="1" t="str">
        <f>A359&amp;(IF(C359="Garden City","Savannah",C359))</f>
        <v>WAYNESBOROSavannah</v>
      </c>
      <c r="F359" s="1" t="s">
        <v>1025</v>
      </c>
      <c r="G359" s="1">
        <v>512.5</v>
      </c>
      <c r="H359" s="38">
        <f>G359*COSTS!$AA$27</f>
        <v>768.75</v>
      </c>
      <c r="I359" s="1">
        <f>COSTS!$AA$28</f>
        <v>50</v>
      </c>
      <c r="J359" s="38">
        <f t="shared" si="13"/>
        <v>818.75</v>
      </c>
      <c r="K359" s="38">
        <f t="shared" si="14"/>
        <v>186.07954545454547</v>
      </c>
      <c r="L359" s="151">
        <v>46023</v>
      </c>
      <c r="M359" s="1">
        <f>VLOOKUP(F:F,[1]Sheet1!$E:$F,2,FALSE)</f>
        <v>570</v>
      </c>
    </row>
    <row r="360" spans="1:13" hidden="1">
      <c r="A360" s="1" t="s">
        <v>1462</v>
      </c>
      <c r="B360" s="1" t="s">
        <v>76</v>
      </c>
      <c r="C360" s="1" t="s">
        <v>1033</v>
      </c>
      <c r="D360" s="1" t="s">
        <v>168</v>
      </c>
      <c r="E360" s="1" t="str">
        <f>A360&amp;C360</f>
        <v>WAYNESBOROMEMPHIS</v>
      </c>
      <c r="F360" s="1" t="s">
        <v>1268</v>
      </c>
      <c r="G360" s="1">
        <v>1200</v>
      </c>
      <c r="H360" s="38">
        <f>G360*COSTS!$AA$27</f>
        <v>1800</v>
      </c>
      <c r="I360" s="1">
        <f>COSTS!$AA$28</f>
        <v>50</v>
      </c>
      <c r="J360" s="38">
        <f t="shared" si="13"/>
        <v>1850</v>
      </c>
      <c r="K360" s="38">
        <f t="shared" si="14"/>
        <v>420.4545454545455</v>
      </c>
      <c r="L360" s="151">
        <v>46023</v>
      </c>
      <c r="M360" s="1">
        <f>VLOOKUP(F:F,[1]Sheet1!$E:$F,2,FALSE)</f>
        <v>1420</v>
      </c>
    </row>
    <row r="361" spans="1:13" hidden="1">
      <c r="A361" s="1" t="s">
        <v>1462</v>
      </c>
      <c r="B361" s="1" t="s">
        <v>76</v>
      </c>
      <c r="C361" s="1" t="s">
        <v>1274</v>
      </c>
      <c r="D361" s="1" t="s">
        <v>71</v>
      </c>
      <c r="E361" s="1" t="str">
        <f>A361&amp;C361</f>
        <v>WAYNESBOROWESLACO</v>
      </c>
      <c r="F361" s="1" t="str">
        <f>A361&amp;B361&amp;C361&amp;D361</f>
        <v>WAYNESBOROGAWESLACOTX</v>
      </c>
      <c r="G361" s="1">
        <v>1592.36</v>
      </c>
      <c r="H361" s="38">
        <f>G361*COSTS!$AA$27</f>
        <v>2388.54</v>
      </c>
      <c r="I361" s="1">
        <f>COSTS!$AA$28</f>
        <v>50</v>
      </c>
      <c r="J361" s="38">
        <f t="shared" si="13"/>
        <v>2438.54</v>
      </c>
      <c r="K361" s="38">
        <f t="shared" si="14"/>
        <v>554.2136363636364</v>
      </c>
      <c r="L361" s="151">
        <v>46023</v>
      </c>
      <c r="M361" s="1">
        <f>VLOOKUP(F:F,[1]Sheet1!$E:$F,2,FALSE)</f>
        <v>2066</v>
      </c>
    </row>
    <row r="362" spans="1:13" hidden="1">
      <c r="A362" s="1" t="s">
        <v>1462</v>
      </c>
      <c r="B362" s="1" t="s">
        <v>76</v>
      </c>
      <c r="C362" s="1" t="s">
        <v>1275</v>
      </c>
      <c r="D362" s="1" t="s">
        <v>136</v>
      </c>
      <c r="E362" s="1" t="str">
        <f>A362&amp;C362</f>
        <v>WAYNESBOROSHELBY</v>
      </c>
      <c r="F362" s="1" t="str">
        <f>A362&amp;B362&amp;C362&amp;D362</f>
        <v>WAYNESBOROGASHELBYNC</v>
      </c>
      <c r="G362" s="1">
        <v>625</v>
      </c>
      <c r="H362" s="38">
        <f>G362*COSTS!$AA$27</f>
        <v>937.5</v>
      </c>
      <c r="I362" s="1">
        <f>COSTS!$AA$28</f>
        <v>50</v>
      </c>
      <c r="J362" s="38">
        <f t="shared" si="13"/>
        <v>987.5</v>
      </c>
      <c r="K362" s="38">
        <f t="shared" si="14"/>
        <v>224.43181818181816</v>
      </c>
      <c r="L362" s="151">
        <v>46023</v>
      </c>
      <c r="M362" s="1">
        <f>VLOOKUP(F:F,[1]Sheet1!$E:$F,2,FALSE)</f>
        <v>610</v>
      </c>
    </row>
    <row r="363" spans="1:13" hidden="1">
      <c r="A363" s="1" t="s">
        <v>1464</v>
      </c>
      <c r="B363" s="1" t="s">
        <v>76</v>
      </c>
      <c r="C363" s="1" t="s">
        <v>847</v>
      </c>
      <c r="D363" s="1" t="s">
        <v>76</v>
      </c>
      <c r="E363" s="1" t="str">
        <f>A363&amp;(IF(C363="Garden City","Savannah",C363))</f>
        <v>WESTONSavannah</v>
      </c>
      <c r="F363" s="1" t="s">
        <v>1027</v>
      </c>
      <c r="G363" s="1">
        <v>510.65499999999997</v>
      </c>
      <c r="H363" s="38">
        <f>G363*COSTS!$AA$27</f>
        <v>765.98249999999996</v>
      </c>
      <c r="I363" s="1">
        <f>COSTS!$AA$28</f>
        <v>50</v>
      </c>
      <c r="J363" s="38">
        <f t="shared" si="13"/>
        <v>815.98249999999996</v>
      </c>
      <c r="K363" s="38">
        <f t="shared" si="14"/>
        <v>185.45056818181817</v>
      </c>
      <c r="L363" s="151">
        <v>46023</v>
      </c>
      <c r="M363" s="1" t="e">
        <f>VLOOKUP(F:F,[1]Sheet1!$E:$F,2,FALSE)</f>
        <v>#N/A</v>
      </c>
    </row>
    <row r="364" spans="1:13" hidden="1">
      <c r="A364" s="1" t="s">
        <v>1469</v>
      </c>
      <c r="B364" s="1" t="s">
        <v>76</v>
      </c>
      <c r="C364" s="1" t="s">
        <v>847</v>
      </c>
      <c r="D364" s="1" t="s">
        <v>76</v>
      </c>
      <c r="E364" s="1" t="str">
        <f>A364&amp;(IF(C364="Garden City","Savannah",C364))</f>
        <v>WRIGHTSVILLESavannah</v>
      </c>
      <c r="F364" s="1" t="s">
        <v>1032</v>
      </c>
      <c r="G364" s="1">
        <v>540.83333333333337</v>
      </c>
      <c r="H364" s="38">
        <f>G364*COSTS!$AA$27</f>
        <v>811.25</v>
      </c>
      <c r="I364" s="1">
        <f>COSTS!$AA$28</f>
        <v>50</v>
      </c>
      <c r="J364" s="38">
        <f t="shared" si="13"/>
        <v>861.25</v>
      </c>
      <c r="K364" s="38">
        <f t="shared" si="14"/>
        <v>195.73863636363637</v>
      </c>
      <c r="L364" s="151">
        <v>46023</v>
      </c>
      <c r="M364" s="1" t="e">
        <f>VLOOKUP(F:F,[1]Sheet1!$E:$F,2,FALSE)</f>
        <v>#N/A</v>
      </c>
    </row>
    <row r="365" spans="1:13" hidden="1">
      <c r="A365" s="1" t="s">
        <v>1596</v>
      </c>
      <c r="B365" s="1" t="s">
        <v>205</v>
      </c>
      <c r="C365" s="1" t="s">
        <v>241</v>
      </c>
      <c r="D365" s="1" t="s">
        <v>71</v>
      </c>
      <c r="E365" s="1" t="str">
        <f t="shared" ref="E365:E382" si="15">A365&amp;C365</f>
        <v>CLEARWATERDallas</v>
      </c>
      <c r="F365" s="1" t="str">
        <f>A365&amp;B365&amp;C365&amp;D365</f>
        <v>CLEARWATERKSDallasTX</v>
      </c>
      <c r="G365" s="1">
        <v>800</v>
      </c>
      <c r="H365" s="38">
        <f>G365*COSTS!$AA$27</f>
        <v>1200</v>
      </c>
      <c r="I365" s="1">
        <f>COSTS!$AA$28</f>
        <v>50</v>
      </c>
      <c r="J365" s="38">
        <f t="shared" si="13"/>
        <v>1250</v>
      </c>
      <c r="K365" s="38">
        <f t="shared" si="14"/>
        <v>284.09090909090912</v>
      </c>
      <c r="L365" s="151">
        <v>46023</v>
      </c>
      <c r="M365" s="1">
        <f>VLOOKUP(F:F,[1]Sheet1!$E:$F,2,FALSE)</f>
        <v>784</v>
      </c>
    </row>
    <row r="366" spans="1:13" hidden="1">
      <c r="A366" s="1" t="s">
        <v>1596</v>
      </c>
      <c r="B366" s="1" t="s">
        <v>205</v>
      </c>
      <c r="C366" s="1" t="s">
        <v>439</v>
      </c>
      <c r="D366" s="1" t="s">
        <v>71</v>
      </c>
      <c r="E366" s="1" t="str">
        <f t="shared" si="15"/>
        <v>CLEARWATERHouston</v>
      </c>
      <c r="F366" s="1" t="str">
        <f>A366&amp;B366&amp;C366&amp;D366</f>
        <v>CLEARWATERKSHoustonTX</v>
      </c>
      <c r="G366" s="1">
        <v>1100</v>
      </c>
      <c r="H366" s="38">
        <f>G366*COSTS!$AA$27</f>
        <v>1650</v>
      </c>
      <c r="I366" s="1">
        <f>COSTS!$AA$28</f>
        <v>50</v>
      </c>
      <c r="J366" s="38">
        <f t="shared" si="13"/>
        <v>1700</v>
      </c>
      <c r="K366" s="38">
        <f t="shared" si="14"/>
        <v>386.36363636363632</v>
      </c>
      <c r="L366" s="151">
        <v>46023</v>
      </c>
      <c r="M366" s="1">
        <f>VLOOKUP(F:F,[1]Sheet1!$E:$F,2,FALSE)</f>
        <v>1508</v>
      </c>
    </row>
    <row r="367" spans="1:13" hidden="1">
      <c r="A367" s="1" t="s">
        <v>1526</v>
      </c>
      <c r="B367" s="1" t="s">
        <v>205</v>
      </c>
      <c r="C367" s="1" t="s">
        <v>1033</v>
      </c>
      <c r="D367" s="1" t="s">
        <v>168</v>
      </c>
      <c r="E367" s="1" t="str">
        <f t="shared" si="15"/>
        <v>LIBERALMEMPHIS</v>
      </c>
      <c r="F367" s="1" t="s">
        <v>1169</v>
      </c>
      <c r="G367" s="1">
        <v>1475</v>
      </c>
      <c r="H367" s="38">
        <f>G367*COSTS!$AA$27</f>
        <v>2212.5</v>
      </c>
      <c r="I367" s="1">
        <f>COSTS!$AA$28</f>
        <v>50</v>
      </c>
      <c r="J367" s="38">
        <f t="shared" si="13"/>
        <v>2262.5</v>
      </c>
      <c r="K367" s="38">
        <f t="shared" si="14"/>
        <v>514.2045454545455</v>
      </c>
      <c r="L367" s="151">
        <v>46023</v>
      </c>
      <c r="M367" s="1" t="e">
        <f>VLOOKUP(F:F,[1]Sheet1!$E:$F,2,FALSE)</f>
        <v>#N/A</v>
      </c>
    </row>
    <row r="368" spans="1:13" hidden="1">
      <c r="A368" s="1" t="s">
        <v>1526</v>
      </c>
      <c r="B368" s="1" t="s">
        <v>205</v>
      </c>
      <c r="C368" s="1" t="s">
        <v>1274</v>
      </c>
      <c r="D368" s="1" t="s">
        <v>71</v>
      </c>
      <c r="E368" s="1" t="str">
        <f t="shared" si="15"/>
        <v>LIBERALWESLACO</v>
      </c>
      <c r="F368" s="1" t="str">
        <f>A368&amp;B368&amp;C368&amp;D368</f>
        <v>LIBERALKSWESLACOTX</v>
      </c>
      <c r="G368" s="1">
        <v>1412.82</v>
      </c>
      <c r="H368" s="38">
        <f>G368*COSTS!$AA$27</f>
        <v>2119.23</v>
      </c>
      <c r="I368" s="1">
        <f>COSTS!$AA$28</f>
        <v>50</v>
      </c>
      <c r="J368" s="38">
        <f t="shared" si="13"/>
        <v>2169.23</v>
      </c>
      <c r="K368" s="38">
        <f t="shared" si="14"/>
        <v>493.00681818181823</v>
      </c>
      <c r="L368" s="151">
        <v>46023</v>
      </c>
      <c r="M368" s="1">
        <f>VLOOKUP(F:F,[1]Sheet1!$E:$F,2,FALSE)</f>
        <v>1695</v>
      </c>
    </row>
    <row r="369" spans="1:13" hidden="1">
      <c r="A369" s="1" t="s">
        <v>1526</v>
      </c>
      <c r="B369" s="1" t="s">
        <v>205</v>
      </c>
      <c r="C369" s="1" t="s">
        <v>241</v>
      </c>
      <c r="D369" s="1" t="s">
        <v>71</v>
      </c>
      <c r="E369" s="1" t="str">
        <f t="shared" si="15"/>
        <v>LIBERALDallas</v>
      </c>
      <c r="F369" s="1" t="str">
        <f>A369&amp;B369&amp;C369&amp;D369</f>
        <v>LIBERALKSDallasTX</v>
      </c>
      <c r="G369" s="1">
        <v>870</v>
      </c>
      <c r="H369" s="38">
        <f>G369*COSTS!$AA$27</f>
        <v>1305</v>
      </c>
      <c r="I369" s="1">
        <f>COSTS!$AA$28</f>
        <v>50</v>
      </c>
      <c r="J369" s="38">
        <f t="shared" si="13"/>
        <v>1355</v>
      </c>
      <c r="K369" s="38">
        <f t="shared" si="14"/>
        <v>307.9545454545455</v>
      </c>
      <c r="L369" s="151">
        <v>46023</v>
      </c>
      <c r="M369" s="1">
        <f>VLOOKUP(F:F,[1]Sheet1!$E:$F,2,FALSE)</f>
        <v>860</v>
      </c>
    </row>
    <row r="370" spans="1:13" hidden="1">
      <c r="A370" s="1" t="s">
        <v>1526</v>
      </c>
      <c r="B370" s="1" t="s">
        <v>205</v>
      </c>
      <c r="C370" s="1" t="s">
        <v>439</v>
      </c>
      <c r="D370" s="1" t="s">
        <v>71</v>
      </c>
      <c r="E370" s="1" t="str">
        <f t="shared" si="15"/>
        <v>LIBERALHouston</v>
      </c>
      <c r="F370" s="1" t="str">
        <f>A370&amp;B370&amp;C370&amp;D370</f>
        <v>LIBERALKSHoustonTX</v>
      </c>
      <c r="G370" s="1">
        <v>1200</v>
      </c>
      <c r="H370" s="38">
        <f>G370*COSTS!$AA$27</f>
        <v>1800</v>
      </c>
      <c r="I370" s="1">
        <f>COSTS!$AA$28</f>
        <v>50</v>
      </c>
      <c r="J370" s="38">
        <f t="shared" si="13"/>
        <v>1850</v>
      </c>
      <c r="K370" s="38">
        <f t="shared" si="14"/>
        <v>420.4545454545455</v>
      </c>
      <c r="L370" s="151">
        <v>46023</v>
      </c>
      <c r="M370" s="1">
        <f>VLOOKUP(F:F,[1]Sheet1!$E:$F,2,FALSE)</f>
        <v>1716</v>
      </c>
    </row>
    <row r="371" spans="1:13">
      <c r="A371" s="1" t="s">
        <v>1472</v>
      </c>
      <c r="B371" s="1" t="s">
        <v>80</v>
      </c>
      <c r="C371" s="1" t="s">
        <v>1033</v>
      </c>
      <c r="D371" s="1" t="s">
        <v>168</v>
      </c>
      <c r="E371" s="1" t="str">
        <f t="shared" si="15"/>
        <v>ALEXANDRIAMEMPHIS</v>
      </c>
      <c r="F371" s="1" t="s">
        <v>1039</v>
      </c>
      <c r="G371" s="1">
        <v>913.32</v>
      </c>
      <c r="H371" s="38">
        <f>G371*COSTS!$AA$27</f>
        <v>1369.98</v>
      </c>
      <c r="I371" s="1">
        <f>COSTS!$AA$28</f>
        <v>50</v>
      </c>
      <c r="J371" s="38">
        <f t="shared" si="13"/>
        <v>1419.98</v>
      </c>
      <c r="K371" s="38">
        <f t="shared" si="14"/>
        <v>322.7227272727273</v>
      </c>
      <c r="L371" s="151">
        <v>46023</v>
      </c>
      <c r="M371" s="1">
        <f>VLOOKUP(F:F,[1]Sheet1!$E:$F,2,FALSE)</f>
        <v>940</v>
      </c>
    </row>
    <row r="372" spans="1:13">
      <c r="A372" s="1" t="s">
        <v>1472</v>
      </c>
      <c r="B372" s="1" t="s">
        <v>80</v>
      </c>
      <c r="C372" s="1" t="s">
        <v>1274</v>
      </c>
      <c r="D372" s="1" t="s">
        <v>71</v>
      </c>
      <c r="E372" s="1" t="str">
        <f t="shared" si="15"/>
        <v>ALEXANDRIAWESLACO</v>
      </c>
      <c r="F372" s="1" t="str">
        <f>A372&amp;B372&amp;C372&amp;D372</f>
        <v>ALEXANDRIALAWESLACOTX</v>
      </c>
      <c r="G372" s="1">
        <v>930.59999999999991</v>
      </c>
      <c r="H372" s="38">
        <f>G372*COSTS!$AA$27</f>
        <v>1395.8999999999999</v>
      </c>
      <c r="I372" s="1">
        <f>COSTS!$AA$28</f>
        <v>50</v>
      </c>
      <c r="J372" s="38">
        <f t="shared" si="13"/>
        <v>1445.8999999999999</v>
      </c>
      <c r="K372" s="38">
        <f t="shared" si="14"/>
        <v>328.61363636363637</v>
      </c>
      <c r="L372" s="151">
        <v>46023</v>
      </c>
      <c r="M372" s="1">
        <f>VLOOKUP(F:F,[1]Sheet1!$E:$F,2,FALSE)</f>
        <v>1176</v>
      </c>
    </row>
    <row r="373" spans="1:13">
      <c r="A373" s="1" t="s">
        <v>1472</v>
      </c>
      <c r="B373" s="1" t="s">
        <v>80</v>
      </c>
      <c r="C373" s="1" t="s">
        <v>1275</v>
      </c>
      <c r="D373" s="1" t="s">
        <v>136</v>
      </c>
      <c r="E373" s="1" t="str">
        <f t="shared" si="15"/>
        <v>ALEXANDRIASHELBY</v>
      </c>
      <c r="F373" s="1" t="str">
        <f>A373&amp;B373&amp;C373&amp;D373</f>
        <v>ALEXANDRIALASHELBYNC</v>
      </c>
      <c r="G373" s="1">
        <v>1549</v>
      </c>
      <c r="H373" s="38">
        <f>G373*COSTS!$AA$27</f>
        <v>2323.5</v>
      </c>
      <c r="I373" s="1">
        <f>COSTS!$AA$28</f>
        <v>50</v>
      </c>
      <c r="J373" s="38">
        <f t="shared" si="13"/>
        <v>2373.5</v>
      </c>
      <c r="K373" s="38">
        <f t="shared" si="14"/>
        <v>539.43181818181824</v>
      </c>
      <c r="L373" s="151">
        <v>46023</v>
      </c>
      <c r="M373" s="1">
        <f>VLOOKUP(F:F,[1]Sheet1!$E:$F,2,FALSE)</f>
        <v>1930</v>
      </c>
    </row>
    <row r="374" spans="1:13">
      <c r="A374" s="1" t="s">
        <v>1472</v>
      </c>
      <c r="B374" s="1" t="s">
        <v>80</v>
      </c>
      <c r="C374" s="1" t="s">
        <v>439</v>
      </c>
      <c r="D374" s="1" t="s">
        <v>71</v>
      </c>
      <c r="E374" s="1" t="str">
        <f t="shared" si="15"/>
        <v>ALEXANDRIAHouston</v>
      </c>
      <c r="F374" s="1" t="str">
        <f>A374&amp;B374&amp;C374&amp;D374</f>
        <v>ALEXANDRIALAHoustonTX</v>
      </c>
      <c r="G374" s="1">
        <v>1900</v>
      </c>
      <c r="H374" s="38">
        <f>G374*COSTS!$AA$27</f>
        <v>2850</v>
      </c>
      <c r="I374" s="1">
        <f>COSTS!$AA$28</f>
        <v>50</v>
      </c>
      <c r="J374" s="38">
        <f t="shared" si="13"/>
        <v>2900</v>
      </c>
      <c r="K374" s="38">
        <f t="shared" si="14"/>
        <v>659.09090909090901</v>
      </c>
      <c r="L374" s="151">
        <v>46023</v>
      </c>
      <c r="M374" s="1">
        <f>VLOOKUP(F:F,[1]Sheet1!$E:$F,2,FALSE)</f>
        <v>823</v>
      </c>
    </row>
    <row r="375" spans="1:13">
      <c r="A375" s="1" t="s">
        <v>1610</v>
      </c>
      <c r="B375" s="1" t="s">
        <v>80</v>
      </c>
      <c r="C375" s="1" t="s">
        <v>439</v>
      </c>
      <c r="D375" s="1" t="s">
        <v>71</v>
      </c>
      <c r="E375" s="1" t="str">
        <f t="shared" si="15"/>
        <v>ALEXIANDRIAHouston</v>
      </c>
      <c r="F375" s="1" t="str">
        <f>A375&amp;B375&amp;C375&amp;D375</f>
        <v>ALEXIANDRIALAHoustonTX</v>
      </c>
      <c r="G375" s="1">
        <v>1900</v>
      </c>
      <c r="H375" s="38">
        <f>G375*COSTS!$AA$27</f>
        <v>2850</v>
      </c>
      <c r="I375" s="1">
        <f>COSTS!$AA$28</f>
        <v>50</v>
      </c>
      <c r="J375" s="38">
        <f t="shared" si="13"/>
        <v>2900</v>
      </c>
      <c r="K375" s="38">
        <f t="shared" si="14"/>
        <v>659.09090909090901</v>
      </c>
      <c r="L375" s="151">
        <v>46023</v>
      </c>
      <c r="M375" s="1" t="e">
        <f>VLOOKUP(F:F,[1]Sheet1!$E:$F,2,FALSE)</f>
        <v>#N/A</v>
      </c>
    </row>
    <row r="376" spans="1:13">
      <c r="A376" s="1" t="s">
        <v>1503</v>
      </c>
      <c r="B376" s="1" t="s">
        <v>80</v>
      </c>
      <c r="C376" s="1" t="s">
        <v>1033</v>
      </c>
      <c r="D376" s="1" t="s">
        <v>168</v>
      </c>
      <c r="E376" s="1" t="str">
        <f t="shared" si="15"/>
        <v>FERRIDAYMEMPHIS</v>
      </c>
      <c r="F376" s="1" t="s">
        <v>1120</v>
      </c>
      <c r="G376" s="1">
        <v>835.92</v>
      </c>
      <c r="H376" s="38">
        <f>G376*COSTS!$AA$27</f>
        <v>1253.8799999999999</v>
      </c>
      <c r="I376" s="1">
        <f>COSTS!$AA$28</f>
        <v>50</v>
      </c>
      <c r="J376" s="38">
        <f t="shared" si="13"/>
        <v>1303.8799999999999</v>
      </c>
      <c r="K376" s="38">
        <f t="shared" si="14"/>
        <v>296.33636363636361</v>
      </c>
      <c r="L376" s="151">
        <v>46023</v>
      </c>
      <c r="M376" s="1">
        <f>VLOOKUP(F:F,[1]Sheet1!$E:$F,2,FALSE)</f>
        <v>800</v>
      </c>
    </row>
    <row r="377" spans="1:13">
      <c r="A377" s="1" t="s">
        <v>1503</v>
      </c>
      <c r="B377" s="1" t="s">
        <v>80</v>
      </c>
      <c r="C377" s="1" t="s">
        <v>1274</v>
      </c>
      <c r="D377" s="1" t="s">
        <v>71</v>
      </c>
      <c r="E377" s="1" t="str">
        <f t="shared" si="15"/>
        <v>FERRIDAYWESLACO</v>
      </c>
      <c r="F377" s="1" t="str">
        <f>A377&amp;B377&amp;C377&amp;D377</f>
        <v>FERRIDAYLAWESLACOTX</v>
      </c>
      <c r="G377" s="1">
        <v>1024.5999999999999</v>
      </c>
      <c r="H377" s="38">
        <f>G377*COSTS!$AA$27</f>
        <v>1536.8999999999999</v>
      </c>
      <c r="I377" s="1">
        <f>COSTS!$AA$28</f>
        <v>50</v>
      </c>
      <c r="J377" s="38">
        <f t="shared" si="13"/>
        <v>1586.8999999999999</v>
      </c>
      <c r="K377" s="38">
        <f t="shared" si="14"/>
        <v>360.65909090909088</v>
      </c>
      <c r="L377" s="151">
        <v>46023</v>
      </c>
      <c r="M377" s="1">
        <f>VLOOKUP(F:F,[1]Sheet1!$E:$F,2,FALSE)</f>
        <v>1156</v>
      </c>
    </row>
    <row r="378" spans="1:13">
      <c r="A378" s="1" t="s">
        <v>1503</v>
      </c>
      <c r="B378" s="1" t="s">
        <v>80</v>
      </c>
      <c r="C378" s="1" t="s">
        <v>1275</v>
      </c>
      <c r="D378" s="1" t="s">
        <v>136</v>
      </c>
      <c r="E378" s="1" t="str">
        <f t="shared" si="15"/>
        <v>FERRIDAYSHELBY</v>
      </c>
      <c r="F378" s="1" t="str">
        <f>A378&amp;B378&amp;C378&amp;D378</f>
        <v>FERRIDAYLASHELBYNC</v>
      </c>
      <c r="G378" s="1">
        <v>1459</v>
      </c>
      <c r="H378" s="38">
        <f>G378*COSTS!$AA$27</f>
        <v>2188.5</v>
      </c>
      <c r="I378" s="1">
        <f>COSTS!$AA$28</f>
        <v>50</v>
      </c>
      <c r="J378" s="38">
        <f t="shared" si="13"/>
        <v>2238.5</v>
      </c>
      <c r="K378" s="38">
        <f t="shared" si="14"/>
        <v>508.75</v>
      </c>
      <c r="L378" s="151">
        <v>46023</v>
      </c>
      <c r="M378" s="1">
        <f>VLOOKUP(F:F,[1]Sheet1!$E:$F,2,FALSE)</f>
        <v>1780</v>
      </c>
    </row>
    <row r="379" spans="1:13">
      <c r="A379" s="1" t="s">
        <v>1503</v>
      </c>
      <c r="B379" s="1" t="s">
        <v>80</v>
      </c>
      <c r="C379" s="1" t="s">
        <v>439</v>
      </c>
      <c r="D379" s="1" t="s">
        <v>71</v>
      </c>
      <c r="E379" s="1" t="str">
        <f t="shared" si="15"/>
        <v>FERRIDAYHouston</v>
      </c>
      <c r="F379" s="1" t="str">
        <f>A379&amp;B379&amp;C379&amp;D379</f>
        <v>FERRIDAYLAHoustonTX</v>
      </c>
      <c r="G379" s="1">
        <v>911</v>
      </c>
      <c r="H379" s="38">
        <f>G379*COSTS!$AA$27</f>
        <v>1366.5</v>
      </c>
      <c r="I379" s="1">
        <f>COSTS!$AA$28</f>
        <v>50</v>
      </c>
      <c r="J379" s="38">
        <f t="shared" si="13"/>
        <v>1416.5</v>
      </c>
      <c r="K379" s="38">
        <f t="shared" si="14"/>
        <v>321.93181818181819</v>
      </c>
      <c r="L379" s="151">
        <v>46023</v>
      </c>
      <c r="M379" s="1">
        <f>VLOOKUP(F:F,[1]Sheet1!$E:$F,2,FALSE)</f>
        <v>963</v>
      </c>
    </row>
    <row r="380" spans="1:13">
      <c r="A380" s="1" t="s">
        <v>1522</v>
      </c>
      <c r="B380" s="1" t="s">
        <v>80</v>
      </c>
      <c r="C380" s="1" t="s">
        <v>1033</v>
      </c>
      <c r="D380" s="1" t="s">
        <v>168</v>
      </c>
      <c r="E380" s="1" t="str">
        <f t="shared" si="15"/>
        <v>JONESVILLEMEMPHIS</v>
      </c>
      <c r="F380" s="1" t="s">
        <v>1162</v>
      </c>
      <c r="G380" s="1">
        <v>866.88</v>
      </c>
      <c r="H380" s="38">
        <f>G380*COSTS!$AA$27</f>
        <v>1300.32</v>
      </c>
      <c r="I380" s="1">
        <f>COSTS!$AA$28</f>
        <v>50</v>
      </c>
      <c r="J380" s="38">
        <f t="shared" si="13"/>
        <v>1350.32</v>
      </c>
      <c r="K380" s="38">
        <f t="shared" si="14"/>
        <v>306.89090909090908</v>
      </c>
      <c r="L380" s="151">
        <v>46023</v>
      </c>
      <c r="M380" s="1" t="e">
        <f>VLOOKUP(F:F,[1]Sheet1!$E:$F,2,FALSE)</f>
        <v>#N/A</v>
      </c>
    </row>
    <row r="381" spans="1:13">
      <c r="A381" s="1" t="s">
        <v>1522</v>
      </c>
      <c r="B381" s="1" t="s">
        <v>80</v>
      </c>
      <c r="C381" s="1" t="s">
        <v>1274</v>
      </c>
      <c r="D381" s="1" t="s">
        <v>71</v>
      </c>
      <c r="E381" s="1" t="str">
        <f t="shared" si="15"/>
        <v>JONESVILLEWESLACO</v>
      </c>
      <c r="F381" s="1" t="str">
        <f>A381&amp;B381&amp;C381&amp;D381</f>
        <v>JONESVILLELAWESLACOTX</v>
      </c>
      <c r="G381" s="1">
        <v>1023.66</v>
      </c>
      <c r="H381" s="38">
        <f>G381*COSTS!$AA$27</f>
        <v>1535.49</v>
      </c>
      <c r="I381" s="1">
        <f>COSTS!$AA$28</f>
        <v>50</v>
      </c>
      <c r="J381" s="38">
        <f t="shared" si="13"/>
        <v>1585.49</v>
      </c>
      <c r="K381" s="38">
        <f t="shared" si="14"/>
        <v>360.33863636363634</v>
      </c>
      <c r="L381" s="151">
        <v>46023</v>
      </c>
      <c r="M381" s="1">
        <f>VLOOKUP(F:F,[1]Sheet1!$E:$F,2,FALSE)</f>
        <v>1207</v>
      </c>
    </row>
    <row r="382" spans="1:13">
      <c r="A382" s="1" t="s">
        <v>1522</v>
      </c>
      <c r="B382" s="1" t="s">
        <v>80</v>
      </c>
      <c r="C382" s="1" t="s">
        <v>1275</v>
      </c>
      <c r="D382" s="1" t="s">
        <v>136</v>
      </c>
      <c r="E382" s="1" t="str">
        <f t="shared" si="15"/>
        <v>JONESVILLESHELBY</v>
      </c>
      <c r="F382" s="1" t="str">
        <f>A382&amp;B382&amp;C382&amp;D382</f>
        <v>JONESVILLELASHELBYNC</v>
      </c>
      <c r="G382" s="1">
        <v>1469</v>
      </c>
      <c r="H382" s="38">
        <f>G382*COSTS!$AA$27</f>
        <v>2203.5</v>
      </c>
      <c r="I382" s="1">
        <f>COSTS!$AA$28</f>
        <v>50</v>
      </c>
      <c r="J382" s="38">
        <f t="shared" si="13"/>
        <v>2253.5</v>
      </c>
      <c r="K382" s="38">
        <f t="shared" si="14"/>
        <v>512.15909090909099</v>
      </c>
      <c r="L382" s="151">
        <v>46023</v>
      </c>
      <c r="M382" s="1" t="e">
        <f>VLOOKUP(F:F,[1]Sheet1!$E:$F,2,FALSE)</f>
        <v>#N/A</v>
      </c>
    </row>
    <row r="383" spans="1:13">
      <c r="A383" s="1" t="s">
        <v>1378</v>
      </c>
      <c r="B383" s="1" t="s">
        <v>80</v>
      </c>
      <c r="C383" s="1" t="s">
        <v>847</v>
      </c>
      <c r="D383" s="1" t="s">
        <v>76</v>
      </c>
      <c r="E383" s="1" t="str">
        <f>A383&amp;(IF(C383="Garden City","Savannah",C383))</f>
        <v>LAKE PROVIDENCESavannah</v>
      </c>
      <c r="F383" s="1" t="s">
        <v>939</v>
      </c>
      <c r="G383" s="1">
        <v>1415.625</v>
      </c>
      <c r="H383" s="38">
        <f>G383*COSTS!$AA$27</f>
        <v>2123.4375</v>
      </c>
      <c r="I383" s="1">
        <f>COSTS!$AA$28</f>
        <v>50</v>
      </c>
      <c r="J383" s="38">
        <f t="shared" si="13"/>
        <v>2173.4375</v>
      </c>
      <c r="K383" s="38">
        <f t="shared" si="14"/>
        <v>493.96306818181819</v>
      </c>
      <c r="L383" s="151">
        <v>46023</v>
      </c>
      <c r="M383" s="1">
        <f>VLOOKUP(F:F,[1]Sheet1!$E:$F,2,FALSE)</f>
        <v>1880</v>
      </c>
    </row>
    <row r="384" spans="1:13">
      <c r="A384" s="1" t="s">
        <v>1378</v>
      </c>
      <c r="B384" s="1" t="s">
        <v>80</v>
      </c>
      <c r="C384" s="1" t="s">
        <v>1033</v>
      </c>
      <c r="D384" s="1" t="s">
        <v>168</v>
      </c>
      <c r="E384" s="1" t="str">
        <f t="shared" ref="E384:E420" si="16">A384&amp;C384</f>
        <v>LAKE PROVIDENCEMEMPHIS</v>
      </c>
      <c r="F384" s="1" t="s">
        <v>1165</v>
      </c>
      <c r="G384" s="1">
        <v>671</v>
      </c>
      <c r="H384" s="38">
        <f>G384*COSTS!$AA$27</f>
        <v>1006.5</v>
      </c>
      <c r="I384" s="1">
        <f>COSTS!$AA$28</f>
        <v>50</v>
      </c>
      <c r="J384" s="38">
        <f t="shared" si="13"/>
        <v>1056.5</v>
      </c>
      <c r="K384" s="38">
        <f t="shared" si="14"/>
        <v>240.11363636363637</v>
      </c>
      <c r="L384" s="151">
        <v>46023</v>
      </c>
      <c r="M384" s="1">
        <f>VLOOKUP(F:F,[1]Sheet1!$E:$F,2,FALSE)</f>
        <v>630</v>
      </c>
    </row>
    <row r="385" spans="1:13">
      <c r="A385" s="1" t="s">
        <v>1378</v>
      </c>
      <c r="B385" s="1" t="s">
        <v>80</v>
      </c>
      <c r="C385" s="1" t="s">
        <v>1274</v>
      </c>
      <c r="D385" s="1" t="s">
        <v>71</v>
      </c>
      <c r="E385" s="1" t="str">
        <f t="shared" si="16"/>
        <v>LAKE PROVIDENCEWESLACO</v>
      </c>
      <c r="F385" s="1" t="str">
        <f>A385&amp;B385&amp;C385&amp;D385</f>
        <v>LAKE PROVIDENCELAWESLACOTX</v>
      </c>
      <c r="G385" s="1">
        <v>1051.8599999999999</v>
      </c>
      <c r="H385" s="38">
        <f>G385*COSTS!$AA$27</f>
        <v>1577.79</v>
      </c>
      <c r="I385" s="1">
        <f>COSTS!$AA$28</f>
        <v>50</v>
      </c>
      <c r="J385" s="38">
        <f t="shared" si="13"/>
        <v>1627.79</v>
      </c>
      <c r="K385" s="38">
        <f t="shared" si="14"/>
        <v>369.95227272727271</v>
      </c>
      <c r="L385" s="151">
        <v>46023</v>
      </c>
      <c r="M385" s="1">
        <f>VLOOKUP(F:F,[1]Sheet1!$E:$F,2,FALSE)</f>
        <v>1452</v>
      </c>
    </row>
    <row r="386" spans="1:13">
      <c r="A386" s="1" t="s">
        <v>1378</v>
      </c>
      <c r="B386" s="1" t="s">
        <v>80</v>
      </c>
      <c r="C386" s="1" t="s">
        <v>1275</v>
      </c>
      <c r="D386" s="1" t="s">
        <v>136</v>
      </c>
      <c r="E386" s="1" t="str">
        <f t="shared" si="16"/>
        <v>LAKE PROVIDENCESHELBY</v>
      </c>
      <c r="F386" s="1" t="str">
        <f>A386&amp;B386&amp;C386&amp;D386</f>
        <v>LAKE PROVIDENCELASHELBYNC</v>
      </c>
      <c r="G386" s="1">
        <v>1440</v>
      </c>
      <c r="H386" s="38">
        <f>G386*COSTS!$AA$27</f>
        <v>2160</v>
      </c>
      <c r="I386" s="1">
        <f>COSTS!$AA$28</f>
        <v>50</v>
      </c>
      <c r="J386" s="38">
        <f t="shared" ref="J386:J449" si="17">H386+I386</f>
        <v>2210</v>
      </c>
      <c r="K386" s="38">
        <f t="shared" ref="K386:K449" si="18">(J386/88)*20</f>
        <v>502.27272727272725</v>
      </c>
      <c r="L386" s="151">
        <v>46023</v>
      </c>
      <c r="M386" s="1">
        <f>VLOOKUP(F:F,[1]Sheet1!$E:$F,2,FALSE)</f>
        <v>1710</v>
      </c>
    </row>
    <row r="387" spans="1:13">
      <c r="A387" s="1" t="s">
        <v>1378</v>
      </c>
      <c r="B387" s="1" t="s">
        <v>80</v>
      </c>
      <c r="C387" s="1" t="s">
        <v>439</v>
      </c>
      <c r="D387" s="1" t="s">
        <v>71</v>
      </c>
      <c r="E387" s="1" t="str">
        <f t="shared" si="16"/>
        <v>LAKE PROVIDENCEHouston</v>
      </c>
      <c r="F387" s="1" t="str">
        <f>A387&amp;B387&amp;C387&amp;D387</f>
        <v>LAKE PROVIDENCELAHoustonTX</v>
      </c>
      <c r="G387" s="1">
        <v>975</v>
      </c>
      <c r="H387" s="38">
        <f>G387*COSTS!$AA$27</f>
        <v>1462.5</v>
      </c>
      <c r="I387" s="1">
        <f>COSTS!$AA$28</f>
        <v>50</v>
      </c>
      <c r="J387" s="38">
        <f t="shared" si="17"/>
        <v>1512.5</v>
      </c>
      <c r="K387" s="38">
        <f t="shared" si="18"/>
        <v>343.75</v>
      </c>
      <c r="L387" s="151">
        <v>46023</v>
      </c>
      <c r="M387" s="1">
        <f>VLOOKUP(F:F,[1]Sheet1!$E:$F,2,FALSE)</f>
        <v>1251</v>
      </c>
    </row>
    <row r="388" spans="1:13">
      <c r="A388" s="1" t="s">
        <v>1401</v>
      </c>
      <c r="B388" s="1" t="s">
        <v>80</v>
      </c>
      <c r="C388" s="1" t="s">
        <v>1033</v>
      </c>
      <c r="D388" s="1" t="s">
        <v>168</v>
      </c>
      <c r="E388" s="1" t="str">
        <f t="shared" si="16"/>
        <v>MONROEMEMPHIS</v>
      </c>
      <c r="F388" s="1" t="s">
        <v>1193</v>
      </c>
      <c r="G388" s="1">
        <v>735.3</v>
      </c>
      <c r="H388" s="38">
        <f>G388*COSTS!$AA$27</f>
        <v>1102.9499999999998</v>
      </c>
      <c r="I388" s="1">
        <f>COSTS!$AA$28</f>
        <v>50</v>
      </c>
      <c r="J388" s="38">
        <f t="shared" si="17"/>
        <v>1152.9499999999998</v>
      </c>
      <c r="K388" s="38">
        <f t="shared" si="18"/>
        <v>262.03409090909088</v>
      </c>
      <c r="L388" s="151">
        <v>46023</v>
      </c>
      <c r="M388" s="1" t="e">
        <f>VLOOKUP(F:F,[1]Sheet1!$E:$F,2,FALSE)</f>
        <v>#N/A</v>
      </c>
    </row>
    <row r="389" spans="1:13">
      <c r="A389" s="1" t="s">
        <v>1538</v>
      </c>
      <c r="B389" s="1" t="s">
        <v>80</v>
      </c>
      <c r="C389" s="1" t="s">
        <v>1033</v>
      </c>
      <c r="D389" s="1" t="s">
        <v>168</v>
      </c>
      <c r="E389" s="1" t="str">
        <f t="shared" si="16"/>
        <v>NEW ORLEANSMEMPHIS</v>
      </c>
      <c r="F389" s="1" t="s">
        <v>1200</v>
      </c>
      <c r="G389" s="1">
        <v>822</v>
      </c>
      <c r="H389" s="38">
        <f>G389*COSTS!$AA$27</f>
        <v>1233</v>
      </c>
      <c r="I389" s="1">
        <f>COSTS!$AA$28</f>
        <v>50</v>
      </c>
      <c r="J389" s="38">
        <f t="shared" si="17"/>
        <v>1283</v>
      </c>
      <c r="K389" s="38">
        <f t="shared" si="18"/>
        <v>291.59090909090912</v>
      </c>
      <c r="L389" s="151">
        <v>46023</v>
      </c>
      <c r="M389" s="1" t="e">
        <f>VLOOKUP(F:F,[1]Sheet1!$E:$F,2,FALSE)</f>
        <v>#N/A</v>
      </c>
    </row>
    <row r="390" spans="1:13">
      <c r="A390" s="1" t="s">
        <v>1538</v>
      </c>
      <c r="B390" s="1" t="s">
        <v>80</v>
      </c>
      <c r="C390" s="1" t="s">
        <v>439</v>
      </c>
      <c r="D390" s="1" t="s">
        <v>71</v>
      </c>
      <c r="E390" s="1" t="str">
        <f t="shared" si="16"/>
        <v>NEW ORLEANSHouston</v>
      </c>
      <c r="F390" s="1" t="str">
        <f>A390&amp;B390&amp;C390&amp;D390</f>
        <v>NEW ORLEANSLAHoustonTX</v>
      </c>
      <c r="G390" s="1">
        <v>793</v>
      </c>
      <c r="H390" s="38">
        <f>G390*COSTS!$AA$27</f>
        <v>1189.5</v>
      </c>
      <c r="I390" s="1">
        <f>COSTS!$AA$28</f>
        <v>50</v>
      </c>
      <c r="J390" s="38">
        <f t="shared" si="17"/>
        <v>1239.5</v>
      </c>
      <c r="K390" s="38">
        <f t="shared" si="18"/>
        <v>281.7045454545455</v>
      </c>
      <c r="L390" s="151">
        <v>46023</v>
      </c>
      <c r="M390" s="1">
        <f>VLOOKUP(F:F,[1]Sheet1!$E:$F,2,FALSE)</f>
        <v>829</v>
      </c>
    </row>
    <row r="391" spans="1:13">
      <c r="A391" s="1" t="s">
        <v>1539</v>
      </c>
      <c r="B391" s="1" t="s">
        <v>80</v>
      </c>
      <c r="C391" s="1" t="s">
        <v>1033</v>
      </c>
      <c r="D391" s="1" t="s">
        <v>168</v>
      </c>
      <c r="E391" s="1" t="str">
        <f t="shared" si="16"/>
        <v>OAK GROVEMEMPHIS</v>
      </c>
      <c r="F391" s="1" t="s">
        <v>1203</v>
      </c>
      <c r="G391" s="1">
        <v>707</v>
      </c>
      <c r="H391" s="38">
        <f>G391*COSTS!$AA$27</f>
        <v>1060.5</v>
      </c>
      <c r="I391" s="1">
        <f>COSTS!$AA$28</f>
        <v>50</v>
      </c>
      <c r="J391" s="38">
        <f t="shared" si="17"/>
        <v>1110.5</v>
      </c>
      <c r="K391" s="38">
        <f t="shared" si="18"/>
        <v>252.38636363636363</v>
      </c>
      <c r="L391" s="151">
        <v>46023</v>
      </c>
      <c r="M391" s="1" t="e">
        <f>VLOOKUP(F:F,[1]Sheet1!$E:$F,2,FALSE)</f>
        <v>#N/A</v>
      </c>
    </row>
    <row r="392" spans="1:13">
      <c r="A392" s="1" t="s">
        <v>1545</v>
      </c>
      <c r="B392" s="1" t="s">
        <v>80</v>
      </c>
      <c r="C392" s="1" t="s">
        <v>1033</v>
      </c>
      <c r="D392" s="1" t="s">
        <v>168</v>
      </c>
      <c r="E392" s="1" t="str">
        <f t="shared" si="16"/>
        <v>RAYVILLEMEMPHIS</v>
      </c>
      <c r="F392" s="1" t="s">
        <v>1219</v>
      </c>
      <c r="G392" s="1">
        <v>735.3</v>
      </c>
      <c r="H392" s="38">
        <f>G392*COSTS!$AA$27</f>
        <v>1102.9499999999998</v>
      </c>
      <c r="I392" s="1">
        <f>COSTS!$AA$28</f>
        <v>50</v>
      </c>
      <c r="J392" s="38">
        <f t="shared" si="17"/>
        <v>1152.9499999999998</v>
      </c>
      <c r="K392" s="38">
        <f t="shared" si="18"/>
        <v>262.03409090909088</v>
      </c>
      <c r="L392" s="151">
        <v>46023</v>
      </c>
      <c r="M392" s="1">
        <f>VLOOKUP(F:F,[1]Sheet1!$E:$F,2,FALSE)</f>
        <v>700</v>
      </c>
    </row>
    <row r="393" spans="1:13">
      <c r="A393" s="1" t="s">
        <v>1545</v>
      </c>
      <c r="B393" s="1" t="s">
        <v>80</v>
      </c>
      <c r="C393" s="1" t="s">
        <v>1274</v>
      </c>
      <c r="D393" s="1" t="s">
        <v>71</v>
      </c>
      <c r="E393" s="1" t="str">
        <f t="shared" si="16"/>
        <v>RAYVILLEWESLACO</v>
      </c>
      <c r="F393" s="1" t="str">
        <f>A393&amp;B393&amp;C393&amp;D393</f>
        <v>RAYVILLELAWESLACOTX</v>
      </c>
      <c r="G393" s="1">
        <v>1033.06</v>
      </c>
      <c r="H393" s="38">
        <f>G393*COSTS!$AA$27</f>
        <v>1549.59</v>
      </c>
      <c r="I393" s="1">
        <f>COSTS!$AA$28</f>
        <v>50</v>
      </c>
      <c r="J393" s="38">
        <f t="shared" si="17"/>
        <v>1599.59</v>
      </c>
      <c r="K393" s="38">
        <f t="shared" si="18"/>
        <v>363.54318181818178</v>
      </c>
      <c r="L393" s="151">
        <v>46023</v>
      </c>
      <c r="M393" s="1">
        <f>VLOOKUP(F:F,[1]Sheet1!$E:$F,2,FALSE)</f>
        <v>1352</v>
      </c>
    </row>
    <row r="394" spans="1:13">
      <c r="A394" s="1" t="s">
        <v>1545</v>
      </c>
      <c r="B394" s="1" t="s">
        <v>80</v>
      </c>
      <c r="C394" s="1" t="s">
        <v>1275</v>
      </c>
      <c r="D394" s="1" t="s">
        <v>136</v>
      </c>
      <c r="E394" s="1" t="str">
        <f t="shared" si="16"/>
        <v>RAYVILLESHELBY</v>
      </c>
      <c r="F394" s="1" t="str">
        <f>A394&amp;B394&amp;C394&amp;D394</f>
        <v>RAYVILLELASHELBYNC</v>
      </c>
      <c r="G394" s="1">
        <v>1429</v>
      </c>
      <c r="H394" s="38">
        <f>G394*COSTS!$AA$27</f>
        <v>2143.5</v>
      </c>
      <c r="I394" s="1">
        <f>COSTS!$AA$28</f>
        <v>50</v>
      </c>
      <c r="J394" s="38">
        <f t="shared" si="17"/>
        <v>2193.5</v>
      </c>
      <c r="K394" s="38">
        <f t="shared" si="18"/>
        <v>498.52272727272725</v>
      </c>
      <c r="L394" s="151">
        <v>46023</v>
      </c>
      <c r="M394" s="1">
        <f>VLOOKUP(F:F,[1]Sheet1!$E:$F,2,FALSE)</f>
        <v>1720</v>
      </c>
    </row>
    <row r="395" spans="1:13">
      <c r="A395" s="1" t="s">
        <v>1545</v>
      </c>
      <c r="B395" s="1" t="s">
        <v>80</v>
      </c>
      <c r="C395" s="1" t="s">
        <v>439</v>
      </c>
      <c r="D395" s="1" t="s">
        <v>71</v>
      </c>
      <c r="E395" s="1" t="str">
        <f t="shared" si="16"/>
        <v>RAYVILLEHouston</v>
      </c>
      <c r="F395" s="1" t="str">
        <f>A395&amp;B395&amp;C395&amp;D395</f>
        <v>RAYVILLELAHoustonTX</v>
      </c>
      <c r="G395" s="1">
        <v>975</v>
      </c>
      <c r="H395" s="38">
        <f>G395*COSTS!$AA$27</f>
        <v>1462.5</v>
      </c>
      <c r="I395" s="1">
        <f>COSTS!$AA$28</f>
        <v>50</v>
      </c>
      <c r="J395" s="38">
        <f t="shared" si="17"/>
        <v>1512.5</v>
      </c>
      <c r="K395" s="38">
        <f t="shared" si="18"/>
        <v>343.75</v>
      </c>
      <c r="L395" s="151">
        <v>46023</v>
      </c>
      <c r="M395" s="1">
        <f>VLOOKUP(F:F,[1]Sheet1!$E:$F,2,FALSE)</f>
        <v>1182</v>
      </c>
    </row>
    <row r="396" spans="1:13">
      <c r="A396" s="1" t="s">
        <v>1550</v>
      </c>
      <c r="B396" s="1" t="s">
        <v>80</v>
      </c>
      <c r="C396" s="1" t="s">
        <v>1033</v>
      </c>
      <c r="D396" s="1" t="s">
        <v>168</v>
      </c>
      <c r="E396" s="1" t="str">
        <f t="shared" si="16"/>
        <v>ST JOSEPHMEMPHIS</v>
      </c>
      <c r="F396" s="1" t="s">
        <v>1235</v>
      </c>
      <c r="G396" s="1">
        <v>741</v>
      </c>
      <c r="H396" s="38">
        <f>G396*COSTS!$AA$27</f>
        <v>1111.5</v>
      </c>
      <c r="I396" s="1">
        <f>COSTS!$AA$28</f>
        <v>50</v>
      </c>
      <c r="J396" s="38">
        <f t="shared" si="17"/>
        <v>1161.5</v>
      </c>
      <c r="K396" s="38">
        <f t="shared" si="18"/>
        <v>263.97727272727275</v>
      </c>
      <c r="L396" s="151">
        <v>46023</v>
      </c>
      <c r="M396" s="1">
        <f>VLOOKUP(F:F,[1]Sheet1!$E:$F,2,FALSE)</f>
        <v>740</v>
      </c>
    </row>
    <row r="397" spans="1:13">
      <c r="A397" s="1" t="s">
        <v>1550</v>
      </c>
      <c r="B397" s="1" t="s">
        <v>80</v>
      </c>
      <c r="C397" s="1" t="s">
        <v>1275</v>
      </c>
      <c r="D397" s="1" t="s">
        <v>136</v>
      </c>
      <c r="E397" s="1" t="str">
        <f t="shared" si="16"/>
        <v>ST JOSEPHSHELBY</v>
      </c>
      <c r="F397" s="1" t="str">
        <f>A397&amp;B397&amp;C397&amp;D397</f>
        <v>ST JOSEPHLASHELBYNC</v>
      </c>
      <c r="G397" s="1">
        <v>1450</v>
      </c>
      <c r="H397" s="38">
        <f>G397*COSTS!$AA$27</f>
        <v>2175</v>
      </c>
      <c r="I397" s="1">
        <f>COSTS!$AA$28</f>
        <v>50</v>
      </c>
      <c r="J397" s="38">
        <f t="shared" si="17"/>
        <v>2225</v>
      </c>
      <c r="K397" s="38">
        <f t="shared" si="18"/>
        <v>505.68181818181819</v>
      </c>
      <c r="L397" s="151">
        <v>46023</v>
      </c>
      <c r="M397" s="1">
        <f>VLOOKUP(F:F,[1]Sheet1!$E:$F,2,FALSE)</f>
        <v>1720</v>
      </c>
    </row>
    <row r="398" spans="1:13">
      <c r="A398" s="1" t="s">
        <v>1550</v>
      </c>
      <c r="B398" s="1" t="s">
        <v>80</v>
      </c>
      <c r="C398" s="1" t="s">
        <v>439</v>
      </c>
      <c r="D398" s="1" t="s">
        <v>71</v>
      </c>
      <c r="E398" s="1" t="str">
        <f t="shared" si="16"/>
        <v>ST JOSEPHHouston</v>
      </c>
      <c r="F398" s="1" t="str">
        <f>A398&amp;B398&amp;C398&amp;D398</f>
        <v>ST JOSEPHLAHoustonTX</v>
      </c>
      <c r="G398" s="1">
        <v>900</v>
      </c>
      <c r="H398" s="38">
        <f>G398*COSTS!$AA$27</f>
        <v>1350</v>
      </c>
      <c r="I398" s="1">
        <f>COSTS!$AA$28</f>
        <v>50</v>
      </c>
      <c r="J398" s="38">
        <f t="shared" si="17"/>
        <v>1400</v>
      </c>
      <c r="K398" s="38">
        <f t="shared" si="18"/>
        <v>318.18181818181819</v>
      </c>
      <c r="L398" s="151">
        <v>46023</v>
      </c>
      <c r="M398" s="1" t="e">
        <f>VLOOKUP(F:F,[1]Sheet1!$E:$F,2,FALSE)</f>
        <v>#N/A</v>
      </c>
    </row>
    <row r="399" spans="1:13">
      <c r="A399" s="1" t="s">
        <v>1611</v>
      </c>
      <c r="B399" s="1" t="s">
        <v>80</v>
      </c>
      <c r="C399" s="1" t="s">
        <v>439</v>
      </c>
      <c r="D399" s="1" t="s">
        <v>71</v>
      </c>
      <c r="E399" s="1" t="str">
        <f t="shared" si="16"/>
        <v>ST. JOSEPHHouston</v>
      </c>
      <c r="F399" s="1" t="str">
        <f>A399&amp;B399&amp;C399&amp;D399</f>
        <v>ST. JOSEPHLAHoustonTX</v>
      </c>
      <c r="G399" s="1">
        <v>900</v>
      </c>
      <c r="H399" s="38">
        <f>G399*COSTS!$AA$27</f>
        <v>1350</v>
      </c>
      <c r="I399" s="1">
        <f>COSTS!$AA$28</f>
        <v>50</v>
      </c>
      <c r="J399" s="38">
        <f t="shared" si="17"/>
        <v>1400</v>
      </c>
      <c r="K399" s="38">
        <f t="shared" si="18"/>
        <v>318.18181818181819</v>
      </c>
      <c r="L399" s="151">
        <v>46023</v>
      </c>
      <c r="M399" s="1">
        <f>VLOOKUP(F:F,[1]Sheet1!$E:$F,2,FALSE)</f>
        <v>711</v>
      </c>
    </row>
    <row r="400" spans="1:13">
      <c r="A400" s="1" t="s">
        <v>1552</v>
      </c>
      <c r="B400" s="1" t="s">
        <v>80</v>
      </c>
      <c r="C400" s="1" t="s">
        <v>1033</v>
      </c>
      <c r="D400" s="1" t="s">
        <v>168</v>
      </c>
      <c r="E400" s="1" t="str">
        <f t="shared" si="16"/>
        <v>ST.JOSEPHMEMPHIS</v>
      </c>
      <c r="F400" s="1" t="s">
        <v>1237</v>
      </c>
      <c r="G400" s="1">
        <v>663</v>
      </c>
      <c r="H400" s="38">
        <f>G400*COSTS!$AA$27</f>
        <v>994.5</v>
      </c>
      <c r="I400" s="1">
        <f>COSTS!$AA$28</f>
        <v>50</v>
      </c>
      <c r="J400" s="38">
        <f t="shared" si="17"/>
        <v>1044.5</v>
      </c>
      <c r="K400" s="38">
        <f t="shared" si="18"/>
        <v>237.38636363636363</v>
      </c>
      <c r="L400" s="151">
        <v>46023</v>
      </c>
      <c r="M400" s="1" t="e">
        <f>VLOOKUP(F:F,[1]Sheet1!$E:$F,2,FALSE)</f>
        <v>#N/A</v>
      </c>
    </row>
    <row r="401" spans="1:13">
      <c r="A401" s="1" t="s">
        <v>1556</v>
      </c>
      <c r="B401" s="1" t="s">
        <v>80</v>
      </c>
      <c r="C401" s="1" t="s">
        <v>1033</v>
      </c>
      <c r="D401" s="1" t="s">
        <v>168</v>
      </c>
      <c r="E401" s="1" t="str">
        <f t="shared" si="16"/>
        <v>TALLULAHMEMPHIS</v>
      </c>
      <c r="F401" s="1" t="s">
        <v>1249</v>
      </c>
      <c r="G401" s="1">
        <v>758.52</v>
      </c>
      <c r="H401" s="38">
        <f>G401*COSTS!$AA$27</f>
        <v>1137.78</v>
      </c>
      <c r="I401" s="1">
        <f>COSTS!$AA$28</f>
        <v>50</v>
      </c>
      <c r="J401" s="38">
        <f t="shared" si="17"/>
        <v>1187.78</v>
      </c>
      <c r="K401" s="38">
        <f t="shared" si="18"/>
        <v>269.95</v>
      </c>
      <c r="L401" s="151">
        <v>46023</v>
      </c>
      <c r="M401" s="1">
        <f>VLOOKUP(F:F,[1]Sheet1!$E:$F,2,FALSE)</f>
        <v>670</v>
      </c>
    </row>
    <row r="402" spans="1:13">
      <c r="A402" s="1" t="s">
        <v>1556</v>
      </c>
      <c r="B402" s="1" t="s">
        <v>80</v>
      </c>
      <c r="C402" s="1" t="s">
        <v>1274</v>
      </c>
      <c r="D402" s="1" t="s">
        <v>71</v>
      </c>
      <c r="E402" s="1" t="str">
        <f t="shared" si="16"/>
        <v>TALLULAHWESLACO</v>
      </c>
      <c r="F402" s="1" t="str">
        <f>A402&amp;B402&amp;C402&amp;D402</f>
        <v>TALLULAHLAWESLACOTX</v>
      </c>
      <c r="G402" s="1">
        <v>1047.1599999999999</v>
      </c>
      <c r="H402" s="38">
        <f>G402*COSTS!$AA$27</f>
        <v>1570.7399999999998</v>
      </c>
      <c r="I402" s="1">
        <f>COSTS!$AA$28</f>
        <v>50</v>
      </c>
      <c r="J402" s="38">
        <f t="shared" si="17"/>
        <v>1620.7399999999998</v>
      </c>
      <c r="K402" s="38">
        <f t="shared" si="18"/>
        <v>368.34999999999991</v>
      </c>
      <c r="L402" s="151">
        <v>46023</v>
      </c>
      <c r="M402" s="1">
        <f>VLOOKUP(F:F,[1]Sheet1!$E:$F,2,FALSE)</f>
        <v>1485</v>
      </c>
    </row>
    <row r="403" spans="1:13">
      <c r="A403" s="1" t="s">
        <v>1556</v>
      </c>
      <c r="B403" s="1" t="s">
        <v>80</v>
      </c>
      <c r="C403" s="1" t="s">
        <v>1275</v>
      </c>
      <c r="D403" s="1" t="s">
        <v>136</v>
      </c>
      <c r="E403" s="1" t="str">
        <f t="shared" si="16"/>
        <v>TALLULAHSHELBY</v>
      </c>
      <c r="F403" s="1" t="str">
        <f>A403&amp;B403&amp;C403&amp;D403</f>
        <v>TALLULAHLASHELBYNC</v>
      </c>
      <c r="G403" s="1">
        <v>1428</v>
      </c>
      <c r="H403" s="38">
        <f>G403*COSTS!$AA$27</f>
        <v>2142</v>
      </c>
      <c r="I403" s="1">
        <f>COSTS!$AA$28</f>
        <v>50</v>
      </c>
      <c r="J403" s="38">
        <f t="shared" si="17"/>
        <v>2192</v>
      </c>
      <c r="K403" s="38">
        <f t="shared" si="18"/>
        <v>498.18181818181819</v>
      </c>
      <c r="L403" s="151">
        <v>46023</v>
      </c>
      <c r="M403" s="1">
        <f>VLOOKUP(F:F,[1]Sheet1!$E:$F,2,FALSE)</f>
        <v>1640</v>
      </c>
    </row>
    <row r="404" spans="1:13">
      <c r="A404" s="1" t="s">
        <v>1556</v>
      </c>
      <c r="B404" s="1" t="s">
        <v>80</v>
      </c>
      <c r="C404" s="1" t="s">
        <v>439</v>
      </c>
      <c r="D404" s="1" t="s">
        <v>71</v>
      </c>
      <c r="E404" s="1" t="str">
        <f t="shared" si="16"/>
        <v>TALLULAHHouston</v>
      </c>
      <c r="F404" s="1" t="str">
        <f>A404&amp;B404&amp;C404&amp;D404</f>
        <v>TALLULAHLAHoustonTX</v>
      </c>
      <c r="G404" s="1">
        <v>1137</v>
      </c>
      <c r="H404" s="38">
        <f>G404*COSTS!$AA$27</f>
        <v>1705.5</v>
      </c>
      <c r="I404" s="1">
        <f>COSTS!$AA$28</f>
        <v>50</v>
      </c>
      <c r="J404" s="38">
        <f t="shared" si="17"/>
        <v>1755.5</v>
      </c>
      <c r="K404" s="38">
        <f t="shared" si="18"/>
        <v>398.97727272727275</v>
      </c>
      <c r="L404" s="151">
        <v>46023</v>
      </c>
      <c r="M404" s="1">
        <f>VLOOKUP(F:F,[1]Sheet1!$E:$F,2,FALSE)</f>
        <v>1198</v>
      </c>
    </row>
    <row r="405" spans="1:13">
      <c r="A405" s="1" t="s">
        <v>1565</v>
      </c>
      <c r="B405" s="1" t="s">
        <v>80</v>
      </c>
      <c r="C405" s="1" t="s">
        <v>1033</v>
      </c>
      <c r="D405" s="1" t="s">
        <v>168</v>
      </c>
      <c r="E405" s="1" t="str">
        <f t="shared" si="16"/>
        <v>WINNSBOROMEMPHIS</v>
      </c>
      <c r="F405" s="1" t="s">
        <v>1272</v>
      </c>
      <c r="G405" s="1">
        <v>735.3</v>
      </c>
      <c r="H405" s="38">
        <f>G405*COSTS!$AA$27</f>
        <v>1102.9499999999998</v>
      </c>
      <c r="I405" s="1">
        <f>COSTS!$AA$28</f>
        <v>50</v>
      </c>
      <c r="J405" s="38">
        <f t="shared" si="17"/>
        <v>1152.9499999999998</v>
      </c>
      <c r="K405" s="38">
        <f t="shared" si="18"/>
        <v>262.03409090909088</v>
      </c>
      <c r="L405" s="151">
        <v>46023</v>
      </c>
      <c r="M405" s="1">
        <f>VLOOKUP(F:F,[1]Sheet1!$E:$F,2,FALSE)</f>
        <v>710</v>
      </c>
    </row>
    <row r="406" spans="1:13">
      <c r="A406" s="1" t="s">
        <v>1565</v>
      </c>
      <c r="B406" s="1" t="s">
        <v>80</v>
      </c>
      <c r="C406" s="1" t="s">
        <v>1274</v>
      </c>
      <c r="D406" s="1" t="s">
        <v>71</v>
      </c>
      <c r="E406" s="1" t="str">
        <f t="shared" si="16"/>
        <v>WINNSBOROWESLACO</v>
      </c>
      <c r="F406" s="1" t="str">
        <f>A406&amp;B406&amp;C406&amp;D406</f>
        <v>WINNSBOROLAWESLACOTX</v>
      </c>
      <c r="G406" s="1">
        <v>1004.8599999999999</v>
      </c>
      <c r="H406" s="38">
        <f>G406*COSTS!$AA$27</f>
        <v>1507.29</v>
      </c>
      <c r="I406" s="1">
        <f>COSTS!$AA$28</f>
        <v>50</v>
      </c>
      <c r="J406" s="38">
        <f t="shared" si="17"/>
        <v>1557.29</v>
      </c>
      <c r="K406" s="38">
        <f t="shared" si="18"/>
        <v>353.9295454545454</v>
      </c>
      <c r="L406" s="151">
        <v>46023</v>
      </c>
      <c r="M406" s="1">
        <f>VLOOKUP(F:F,[1]Sheet1!$E:$F,2,FALSE)</f>
        <v>1319</v>
      </c>
    </row>
    <row r="407" spans="1:13">
      <c r="A407" s="1" t="s">
        <v>1565</v>
      </c>
      <c r="B407" s="1" t="s">
        <v>80</v>
      </c>
      <c r="C407" s="1" t="s">
        <v>1275</v>
      </c>
      <c r="D407" s="1" t="s">
        <v>136</v>
      </c>
      <c r="E407" s="1" t="str">
        <f t="shared" si="16"/>
        <v>WINNSBOROSHELBY</v>
      </c>
      <c r="F407" s="1" t="str">
        <f>A407&amp;B407&amp;C407&amp;D407</f>
        <v>WINNSBOROLASHELBYNC</v>
      </c>
      <c r="G407" s="1">
        <v>1529</v>
      </c>
      <c r="H407" s="38">
        <f>G407*COSTS!$AA$27</f>
        <v>2293.5</v>
      </c>
      <c r="I407" s="1">
        <f>COSTS!$AA$28</f>
        <v>50</v>
      </c>
      <c r="J407" s="38">
        <f t="shared" si="17"/>
        <v>2343.5</v>
      </c>
      <c r="K407" s="38">
        <f t="shared" si="18"/>
        <v>532.61363636363637</v>
      </c>
      <c r="L407" s="151">
        <v>46023</v>
      </c>
      <c r="M407" s="1">
        <f>VLOOKUP(F:F,[1]Sheet1!$E:$F,2,FALSE)</f>
        <v>1740</v>
      </c>
    </row>
    <row r="408" spans="1:13">
      <c r="A408" s="1" t="s">
        <v>1565</v>
      </c>
      <c r="B408" s="1" t="s">
        <v>80</v>
      </c>
      <c r="C408" s="1" t="s">
        <v>439</v>
      </c>
      <c r="D408" s="1" t="s">
        <v>71</v>
      </c>
      <c r="E408" s="1" t="str">
        <f t="shared" si="16"/>
        <v>WINNSBOROHouston</v>
      </c>
      <c r="F408" s="1" t="str">
        <f>A408&amp;B408&amp;C408&amp;D408</f>
        <v>WINNSBOROLAHoustonTX</v>
      </c>
      <c r="G408" s="1">
        <v>900</v>
      </c>
      <c r="H408" s="38">
        <f>G408*COSTS!$AA$27</f>
        <v>1350</v>
      </c>
      <c r="I408" s="1">
        <f>COSTS!$AA$28</f>
        <v>50</v>
      </c>
      <c r="J408" s="38">
        <f t="shared" si="17"/>
        <v>1400</v>
      </c>
      <c r="K408" s="38">
        <f t="shared" si="18"/>
        <v>318.18181818181819</v>
      </c>
      <c r="L408" s="151">
        <v>46023</v>
      </c>
      <c r="M408" s="1">
        <f>VLOOKUP(F:F,[1]Sheet1!$E:$F,2,FALSE)</f>
        <v>1045</v>
      </c>
    </row>
    <row r="409" spans="1:13" hidden="1">
      <c r="A409" s="1" t="s">
        <v>1475</v>
      </c>
      <c r="B409" s="1" t="s">
        <v>190</v>
      </c>
      <c r="C409" s="1" t="s">
        <v>1033</v>
      </c>
      <c r="D409" s="1" t="s">
        <v>168</v>
      </c>
      <c r="E409" s="1" t="str">
        <f t="shared" si="16"/>
        <v>ARBYRDMEMPHIS</v>
      </c>
      <c r="F409" s="1" t="s">
        <v>1044</v>
      </c>
      <c r="G409" s="1">
        <v>594.19000000000005</v>
      </c>
      <c r="H409" s="38">
        <f>G409*COSTS!$AA$27</f>
        <v>891.28500000000008</v>
      </c>
      <c r="I409" s="1">
        <f>COSTS!$AA$28</f>
        <v>50</v>
      </c>
      <c r="J409" s="38">
        <f t="shared" si="17"/>
        <v>941.28500000000008</v>
      </c>
      <c r="K409" s="38">
        <f t="shared" si="18"/>
        <v>213.9284090909091</v>
      </c>
      <c r="L409" s="151">
        <v>46023</v>
      </c>
      <c r="M409" s="1" t="e">
        <f>VLOOKUP(F:F,[1]Sheet1!$E:$F,2,FALSE)</f>
        <v>#N/A</v>
      </c>
    </row>
    <row r="410" spans="1:13" hidden="1">
      <c r="A410" s="1" t="s">
        <v>1486</v>
      </c>
      <c r="B410" s="1" t="s">
        <v>190</v>
      </c>
      <c r="C410" s="1" t="s">
        <v>1033</v>
      </c>
      <c r="D410" s="1" t="s">
        <v>168</v>
      </c>
      <c r="E410" s="1" t="str">
        <f t="shared" si="16"/>
        <v>CARUTHERSVILLEMEMPHIS</v>
      </c>
      <c r="F410" s="1" t="s">
        <v>1074</v>
      </c>
      <c r="G410" s="1">
        <v>555</v>
      </c>
      <c r="H410" s="38">
        <f>G410*COSTS!$AA$27</f>
        <v>832.5</v>
      </c>
      <c r="I410" s="1">
        <f>COSTS!$AA$28</f>
        <v>50</v>
      </c>
      <c r="J410" s="38">
        <f t="shared" si="17"/>
        <v>882.5</v>
      </c>
      <c r="K410" s="38">
        <f t="shared" si="18"/>
        <v>200.56818181818184</v>
      </c>
      <c r="L410" s="151">
        <v>46023</v>
      </c>
      <c r="M410" s="1">
        <f>VLOOKUP(F:F,[1]Sheet1!$E:$F,2,FALSE)</f>
        <v>620</v>
      </c>
    </row>
    <row r="411" spans="1:13" hidden="1">
      <c r="A411" s="1" t="s">
        <v>1486</v>
      </c>
      <c r="B411" s="1" t="s">
        <v>190</v>
      </c>
      <c r="C411" s="1" t="s">
        <v>1274</v>
      </c>
      <c r="D411" s="1" t="s">
        <v>71</v>
      </c>
      <c r="E411" s="1" t="str">
        <f t="shared" si="16"/>
        <v>CARUTHERSVILLEWESLACO</v>
      </c>
      <c r="F411" s="1" t="str">
        <f>A411&amp;B411&amp;C411&amp;D411</f>
        <v>CARUTHERSVILLEMOWESLACOTX</v>
      </c>
      <c r="G411" s="1">
        <v>1629.02</v>
      </c>
      <c r="H411" s="38">
        <f>G411*COSTS!$AA$27</f>
        <v>2443.5299999999997</v>
      </c>
      <c r="I411" s="1">
        <f>COSTS!$AA$28</f>
        <v>50</v>
      </c>
      <c r="J411" s="38">
        <f t="shared" si="17"/>
        <v>2493.5299999999997</v>
      </c>
      <c r="K411" s="38">
        <f t="shared" si="18"/>
        <v>566.71136363636356</v>
      </c>
      <c r="L411" s="151">
        <v>46023</v>
      </c>
      <c r="M411" s="1">
        <f>VLOOKUP(F:F,[1]Sheet1!$E:$F,2,FALSE)</f>
        <v>1972</v>
      </c>
    </row>
    <row r="412" spans="1:13" hidden="1">
      <c r="A412" s="1" t="s">
        <v>1486</v>
      </c>
      <c r="B412" s="1" t="s">
        <v>190</v>
      </c>
      <c r="C412" s="1" t="s">
        <v>1275</v>
      </c>
      <c r="D412" s="1" t="s">
        <v>136</v>
      </c>
      <c r="E412" s="1" t="str">
        <f t="shared" si="16"/>
        <v>CARUTHERSVILLESHELBY</v>
      </c>
      <c r="F412" s="1" t="str">
        <f>A412&amp;B412&amp;C412&amp;D412</f>
        <v>CARUTHERSVILLEMOSHELBYNC</v>
      </c>
      <c r="G412" s="1">
        <v>1440</v>
      </c>
      <c r="H412" s="38">
        <f>G412*COSTS!$AA$27</f>
        <v>2160</v>
      </c>
      <c r="I412" s="1">
        <f>COSTS!$AA$28</f>
        <v>50</v>
      </c>
      <c r="J412" s="38">
        <f t="shared" si="17"/>
        <v>2210</v>
      </c>
      <c r="K412" s="38">
        <f t="shared" si="18"/>
        <v>502.27272727272725</v>
      </c>
      <c r="L412" s="151">
        <v>46023</v>
      </c>
      <c r="M412" s="1">
        <f>VLOOKUP(F:F,[1]Sheet1!$E:$F,2,FALSE)</f>
        <v>1560</v>
      </c>
    </row>
    <row r="413" spans="1:13" hidden="1">
      <c r="A413" s="1" t="s">
        <v>1489</v>
      </c>
      <c r="B413" s="1" t="s">
        <v>190</v>
      </c>
      <c r="C413" s="1" t="s">
        <v>1033</v>
      </c>
      <c r="D413" s="1" t="s">
        <v>168</v>
      </c>
      <c r="E413" s="1" t="str">
        <f t="shared" si="16"/>
        <v>COOTERMEMPHIS</v>
      </c>
      <c r="F413" s="1" t="s">
        <v>1083</v>
      </c>
      <c r="G413" s="1">
        <v>593.87</v>
      </c>
      <c r="H413" s="38">
        <f>G413*COSTS!$AA$27</f>
        <v>890.80500000000006</v>
      </c>
      <c r="I413" s="1">
        <f>COSTS!$AA$28</f>
        <v>50</v>
      </c>
      <c r="J413" s="38">
        <f t="shared" si="17"/>
        <v>940.80500000000006</v>
      </c>
      <c r="K413" s="38">
        <f t="shared" si="18"/>
        <v>213.81931818181818</v>
      </c>
      <c r="L413" s="151">
        <v>46023</v>
      </c>
      <c r="M413" s="1" t="e">
        <f>VLOOKUP(F:F,[1]Sheet1!$E:$F,2,FALSE)</f>
        <v>#N/A</v>
      </c>
    </row>
    <row r="414" spans="1:13" hidden="1">
      <c r="A414" s="1" t="s">
        <v>1506</v>
      </c>
      <c r="B414" s="1" t="s">
        <v>190</v>
      </c>
      <c r="C414" s="1" t="s">
        <v>1033</v>
      </c>
      <c r="D414" s="1" t="s">
        <v>168</v>
      </c>
      <c r="E414" s="1" t="str">
        <f t="shared" si="16"/>
        <v>GIDEONMEMPHIS</v>
      </c>
      <c r="F414" s="1" t="s">
        <v>1130</v>
      </c>
      <c r="G414" s="1">
        <v>542</v>
      </c>
      <c r="H414" s="38">
        <f>G414*COSTS!$AA$27</f>
        <v>813</v>
      </c>
      <c r="I414" s="1">
        <f>COSTS!$AA$28</f>
        <v>50</v>
      </c>
      <c r="J414" s="38">
        <f t="shared" si="17"/>
        <v>863</v>
      </c>
      <c r="K414" s="38">
        <f t="shared" si="18"/>
        <v>196.13636363636363</v>
      </c>
      <c r="L414" s="151">
        <v>46023</v>
      </c>
      <c r="M414" s="1" t="e">
        <f>VLOOKUP(F:F,[1]Sheet1!$E:$F,2,FALSE)</f>
        <v>#N/A</v>
      </c>
    </row>
    <row r="415" spans="1:13" hidden="1">
      <c r="A415" s="1" t="s">
        <v>1509</v>
      </c>
      <c r="B415" s="1" t="s">
        <v>190</v>
      </c>
      <c r="C415" s="1" t="s">
        <v>1033</v>
      </c>
      <c r="D415" s="1" t="s">
        <v>168</v>
      </c>
      <c r="E415" s="1" t="str">
        <f t="shared" si="16"/>
        <v>HAYTIMEMPHIS</v>
      </c>
      <c r="F415" s="1" t="s">
        <v>1139</v>
      </c>
      <c r="G415" s="1">
        <v>598.35</v>
      </c>
      <c r="H415" s="38">
        <f>G415*COSTS!$AA$27</f>
        <v>897.52500000000009</v>
      </c>
      <c r="I415" s="1">
        <f>COSTS!$AA$28</f>
        <v>50</v>
      </c>
      <c r="J415" s="38">
        <f t="shared" si="17"/>
        <v>947.52500000000009</v>
      </c>
      <c r="K415" s="38">
        <f t="shared" si="18"/>
        <v>215.34659090909091</v>
      </c>
      <c r="L415" s="151">
        <v>46023</v>
      </c>
      <c r="M415" s="1">
        <f>VLOOKUP(F:F,[1]Sheet1!$E:$F,2,FALSE)</f>
        <v>610</v>
      </c>
    </row>
    <row r="416" spans="1:13" hidden="1">
      <c r="A416" s="1" t="s">
        <v>1509</v>
      </c>
      <c r="B416" s="1" t="s">
        <v>190</v>
      </c>
      <c r="C416" s="1" t="s">
        <v>1274</v>
      </c>
      <c r="D416" s="1" t="s">
        <v>71</v>
      </c>
      <c r="E416" s="1" t="str">
        <f t="shared" si="16"/>
        <v>HAYTIWESLACO</v>
      </c>
      <c r="F416" s="1" t="str">
        <f>A416&amp;B416&amp;C416&amp;D416</f>
        <v>HAYTIMOWESLACOTX</v>
      </c>
      <c r="G416" s="1">
        <v>1629.9599999999998</v>
      </c>
      <c r="H416" s="38">
        <f>G416*COSTS!$AA$27</f>
        <v>2444.9399999999996</v>
      </c>
      <c r="I416" s="1">
        <f>COSTS!$AA$28</f>
        <v>50</v>
      </c>
      <c r="J416" s="38">
        <f t="shared" si="17"/>
        <v>2494.9399999999996</v>
      </c>
      <c r="K416" s="38">
        <f t="shared" si="18"/>
        <v>567.03181818181815</v>
      </c>
      <c r="L416" s="151">
        <v>46023</v>
      </c>
      <c r="M416" s="1">
        <f>VLOOKUP(F:F,[1]Sheet1!$E:$F,2,FALSE)</f>
        <v>1966</v>
      </c>
    </row>
    <row r="417" spans="1:13" hidden="1">
      <c r="A417" s="1" t="s">
        <v>1509</v>
      </c>
      <c r="B417" s="1" t="s">
        <v>190</v>
      </c>
      <c r="C417" s="1" t="s">
        <v>1275</v>
      </c>
      <c r="D417" s="1" t="s">
        <v>136</v>
      </c>
      <c r="E417" s="1" t="str">
        <f t="shared" si="16"/>
        <v>HAYTISHELBY</v>
      </c>
      <c r="F417" s="1" t="str">
        <f>A417&amp;B417&amp;C417&amp;D417</f>
        <v>HAYTIMOSHELBYNC</v>
      </c>
      <c r="G417" s="1">
        <v>1439</v>
      </c>
      <c r="H417" s="38">
        <f>G417*COSTS!$AA$27</f>
        <v>2158.5</v>
      </c>
      <c r="I417" s="1">
        <f>COSTS!$AA$28</f>
        <v>50</v>
      </c>
      <c r="J417" s="38">
        <f t="shared" si="17"/>
        <v>2208.5</v>
      </c>
      <c r="K417" s="38">
        <f t="shared" si="18"/>
        <v>501.93181818181819</v>
      </c>
      <c r="L417" s="151">
        <v>46023</v>
      </c>
      <c r="M417" s="1">
        <f>VLOOKUP(F:F,[1]Sheet1!$E:$F,2,FALSE)</f>
        <v>1570</v>
      </c>
    </row>
    <row r="418" spans="1:13" hidden="1">
      <c r="A418" s="1" t="s">
        <v>1512</v>
      </c>
      <c r="B418" s="1" t="s">
        <v>190</v>
      </c>
      <c r="C418" s="1" t="s">
        <v>1033</v>
      </c>
      <c r="D418" s="1" t="s">
        <v>168</v>
      </c>
      <c r="E418" s="1" t="str">
        <f t="shared" si="16"/>
        <v>HOLLANDMEMPHIS</v>
      </c>
      <c r="F418" s="1" t="s">
        <v>1145</v>
      </c>
      <c r="G418" s="1">
        <v>592.89</v>
      </c>
      <c r="H418" s="38">
        <f>G418*COSTS!$AA$27</f>
        <v>889.33500000000004</v>
      </c>
      <c r="I418" s="1">
        <f>COSTS!$AA$28</f>
        <v>50</v>
      </c>
      <c r="J418" s="38">
        <f t="shared" si="17"/>
        <v>939.33500000000004</v>
      </c>
      <c r="K418" s="38">
        <f t="shared" si="18"/>
        <v>213.48522727272726</v>
      </c>
      <c r="L418" s="151">
        <v>46023</v>
      </c>
      <c r="M418" s="1" t="e">
        <f>VLOOKUP(F:F,[1]Sheet1!$E:$F,2,FALSE)</f>
        <v>#N/A</v>
      </c>
    </row>
    <row r="419" spans="1:13" hidden="1">
      <c r="A419" s="1" t="s">
        <v>1516</v>
      </c>
      <c r="B419" s="1" t="s">
        <v>190</v>
      </c>
      <c r="C419" s="1" t="s">
        <v>1033</v>
      </c>
      <c r="D419" s="1" t="s">
        <v>168</v>
      </c>
      <c r="E419" s="1" t="str">
        <f t="shared" si="16"/>
        <v>HORNERSVILLEMEMPHIS</v>
      </c>
      <c r="F419" s="1" t="s">
        <v>1149</v>
      </c>
      <c r="G419" s="1">
        <v>593.87</v>
      </c>
      <c r="H419" s="38">
        <f>G419*COSTS!$AA$27</f>
        <v>890.80500000000006</v>
      </c>
      <c r="I419" s="1">
        <f>COSTS!$AA$28</f>
        <v>50</v>
      </c>
      <c r="J419" s="38">
        <f t="shared" si="17"/>
        <v>940.80500000000006</v>
      </c>
      <c r="K419" s="38">
        <f t="shared" si="18"/>
        <v>213.81931818181818</v>
      </c>
      <c r="L419" s="151">
        <v>46023</v>
      </c>
      <c r="M419" s="1" t="e">
        <f>VLOOKUP(F:F,[1]Sheet1!$E:$F,2,FALSE)</f>
        <v>#N/A</v>
      </c>
    </row>
    <row r="420" spans="1:13" hidden="1">
      <c r="A420" s="1" t="s">
        <v>1523</v>
      </c>
      <c r="B420" s="1" t="s">
        <v>190</v>
      </c>
      <c r="C420" s="1" t="s">
        <v>1033</v>
      </c>
      <c r="D420" s="1" t="s">
        <v>168</v>
      </c>
      <c r="E420" s="1" t="str">
        <f t="shared" si="16"/>
        <v>KENNETTMEMPHIS</v>
      </c>
      <c r="F420" s="1" t="s">
        <v>1163</v>
      </c>
      <c r="G420" s="1">
        <v>515</v>
      </c>
      <c r="H420" s="38">
        <f>G420*COSTS!$AA$27</f>
        <v>772.5</v>
      </c>
      <c r="I420" s="1">
        <f>COSTS!$AA$28</f>
        <v>50</v>
      </c>
      <c r="J420" s="38">
        <f t="shared" si="17"/>
        <v>822.5</v>
      </c>
      <c r="K420" s="38">
        <f t="shared" si="18"/>
        <v>186.93181818181816</v>
      </c>
      <c r="L420" s="151">
        <v>46023</v>
      </c>
      <c r="M420" s="1" t="e">
        <f>VLOOKUP(F:F,[1]Sheet1!$E:$F,2,FALSE)</f>
        <v>#N/A</v>
      </c>
    </row>
    <row r="421" spans="1:13" hidden="1">
      <c r="A421" s="1" t="s">
        <v>1390</v>
      </c>
      <c r="B421" s="1" t="s">
        <v>190</v>
      </c>
      <c r="C421" s="1" t="s">
        <v>847</v>
      </c>
      <c r="D421" s="1" t="s">
        <v>76</v>
      </c>
      <c r="E421" s="1" t="str">
        <f>A421&amp;(IF(C421="Garden City","Savannah",C421))</f>
        <v>MALDENSavannah</v>
      </c>
      <c r="F421" s="1" t="s">
        <v>951</v>
      </c>
      <c r="G421" s="1">
        <v>1793.14</v>
      </c>
      <c r="H421" s="38">
        <f>G421*COSTS!$AA$27</f>
        <v>2689.71</v>
      </c>
      <c r="I421" s="1">
        <f>COSTS!$AA$28</f>
        <v>50</v>
      </c>
      <c r="J421" s="38">
        <f t="shared" si="17"/>
        <v>2739.71</v>
      </c>
      <c r="K421" s="38">
        <f t="shared" si="18"/>
        <v>622.6613636363636</v>
      </c>
      <c r="L421" s="151">
        <v>46023</v>
      </c>
      <c r="M421" s="1">
        <f>VLOOKUP(F:F,[1]Sheet1!$E:$F,2,FALSE)</f>
        <v>2050</v>
      </c>
    </row>
    <row r="422" spans="1:13" hidden="1">
      <c r="A422" s="1" t="s">
        <v>1390</v>
      </c>
      <c r="B422" s="1" t="s">
        <v>190</v>
      </c>
      <c r="C422" s="1" t="s">
        <v>1033</v>
      </c>
      <c r="D422" s="1" t="s">
        <v>168</v>
      </c>
      <c r="E422" s="1" t="str">
        <f t="shared" ref="E422:E453" si="19">A422&amp;C422</f>
        <v>MALDENMEMPHIS</v>
      </c>
      <c r="F422" s="1" t="s">
        <v>1177</v>
      </c>
      <c r="G422" s="1">
        <v>675</v>
      </c>
      <c r="H422" s="38">
        <f>G422*COSTS!$AA$27</f>
        <v>1012.5</v>
      </c>
      <c r="I422" s="1">
        <f>COSTS!$AA$28</f>
        <v>50</v>
      </c>
      <c r="J422" s="38">
        <f t="shared" si="17"/>
        <v>1062.5</v>
      </c>
      <c r="K422" s="38">
        <f t="shared" si="18"/>
        <v>241.47727272727275</v>
      </c>
      <c r="L422" s="151">
        <v>46023</v>
      </c>
      <c r="M422" s="1">
        <f>VLOOKUP(F:F,[1]Sheet1!$E:$F,2,FALSE)</f>
        <v>680</v>
      </c>
    </row>
    <row r="423" spans="1:13" hidden="1">
      <c r="A423" s="1" t="s">
        <v>1390</v>
      </c>
      <c r="B423" s="1" t="s">
        <v>190</v>
      </c>
      <c r="C423" s="1" t="s">
        <v>1274</v>
      </c>
      <c r="D423" s="1" t="s">
        <v>71</v>
      </c>
      <c r="E423" s="1" t="str">
        <f t="shared" si="19"/>
        <v>MALDENWESLACO</v>
      </c>
      <c r="F423" s="1" t="str">
        <f>A423&amp;B423&amp;C423&amp;D423</f>
        <v>MALDENMOWESLACOTX</v>
      </c>
      <c r="G423" s="1">
        <v>1667.56</v>
      </c>
      <c r="H423" s="38">
        <f>G423*COSTS!$AA$27</f>
        <v>2501.34</v>
      </c>
      <c r="I423" s="1">
        <f>COSTS!$AA$28</f>
        <v>50</v>
      </c>
      <c r="J423" s="38">
        <f t="shared" si="17"/>
        <v>2551.34</v>
      </c>
      <c r="K423" s="38">
        <f t="shared" si="18"/>
        <v>579.85</v>
      </c>
      <c r="L423" s="151">
        <v>46023</v>
      </c>
      <c r="M423" s="1">
        <f>VLOOKUP(F:F,[1]Sheet1!$E:$F,2,FALSE)</f>
        <v>1960</v>
      </c>
    </row>
    <row r="424" spans="1:13" hidden="1">
      <c r="A424" s="1" t="s">
        <v>1390</v>
      </c>
      <c r="B424" s="1" t="s">
        <v>190</v>
      </c>
      <c r="C424" s="1" t="s">
        <v>1275</v>
      </c>
      <c r="D424" s="1" t="s">
        <v>136</v>
      </c>
      <c r="E424" s="1" t="str">
        <f t="shared" si="19"/>
        <v>MALDENSHELBY</v>
      </c>
      <c r="F424" s="1" t="str">
        <f>A424&amp;B424&amp;C424&amp;D424</f>
        <v>MALDENMOSHELBYNC</v>
      </c>
      <c r="G424" s="1">
        <v>1499</v>
      </c>
      <c r="H424" s="38">
        <f>G424*COSTS!$AA$27</f>
        <v>2248.5</v>
      </c>
      <c r="I424" s="1">
        <f>COSTS!$AA$28</f>
        <v>50</v>
      </c>
      <c r="J424" s="38">
        <f t="shared" si="17"/>
        <v>2298.5</v>
      </c>
      <c r="K424" s="38">
        <f t="shared" si="18"/>
        <v>522.38636363636363</v>
      </c>
      <c r="L424" s="151">
        <v>46023</v>
      </c>
      <c r="M424" s="1">
        <f>VLOOKUP(F:F,[1]Sheet1!$E:$F,2,FALSE)</f>
        <v>1660</v>
      </c>
    </row>
    <row r="425" spans="1:13" hidden="1">
      <c r="A425" s="1" t="s">
        <v>1537</v>
      </c>
      <c r="B425" s="1" t="s">
        <v>190</v>
      </c>
      <c r="C425" s="1" t="s">
        <v>1033</v>
      </c>
      <c r="D425" s="1" t="s">
        <v>168</v>
      </c>
      <c r="E425" s="1" t="str">
        <f t="shared" si="19"/>
        <v>NEW MADRIDMEMPHIS</v>
      </c>
      <c r="F425" s="1" t="s">
        <v>1198</v>
      </c>
      <c r="G425" s="1">
        <v>655</v>
      </c>
      <c r="H425" s="38">
        <f>G425*COSTS!$AA$27</f>
        <v>982.5</v>
      </c>
      <c r="I425" s="1">
        <f>COSTS!$AA$28</f>
        <v>50</v>
      </c>
      <c r="J425" s="38">
        <f t="shared" si="17"/>
        <v>1032.5</v>
      </c>
      <c r="K425" s="38">
        <f t="shared" si="18"/>
        <v>234.65909090909091</v>
      </c>
      <c r="L425" s="151">
        <v>46023</v>
      </c>
      <c r="M425" s="1">
        <f>VLOOKUP(F:F,[1]Sheet1!$E:$F,2,FALSE)</f>
        <v>660</v>
      </c>
    </row>
    <row r="426" spans="1:13" hidden="1">
      <c r="A426" s="1" t="s">
        <v>1537</v>
      </c>
      <c r="B426" s="1" t="s">
        <v>190</v>
      </c>
      <c r="C426" s="1" t="s">
        <v>1274</v>
      </c>
      <c r="D426" s="1" t="s">
        <v>71</v>
      </c>
      <c r="E426" s="1" t="str">
        <f t="shared" si="19"/>
        <v>NEW MADRIDWESLACO</v>
      </c>
      <c r="F426" s="1" t="str">
        <f>A426&amp;B426&amp;C426&amp;D426</f>
        <v>NEW MADRIDMOWESLACOTX</v>
      </c>
      <c r="G426" s="1">
        <v>1695.76</v>
      </c>
      <c r="H426" s="38">
        <f>G426*COSTS!$AA$27</f>
        <v>2543.64</v>
      </c>
      <c r="I426" s="1">
        <f>COSTS!$AA$28</f>
        <v>50</v>
      </c>
      <c r="J426" s="38">
        <f t="shared" si="17"/>
        <v>2593.64</v>
      </c>
      <c r="K426" s="38">
        <f t="shared" si="18"/>
        <v>589.4636363636364</v>
      </c>
      <c r="L426" s="151">
        <v>46023</v>
      </c>
      <c r="M426" s="1">
        <f>VLOOKUP(F:F,[1]Sheet1!$E:$F,2,FALSE)</f>
        <v>2019</v>
      </c>
    </row>
    <row r="427" spans="1:13" hidden="1">
      <c r="A427" s="1" t="s">
        <v>1537</v>
      </c>
      <c r="B427" s="1" t="s">
        <v>190</v>
      </c>
      <c r="C427" s="1" t="s">
        <v>1275</v>
      </c>
      <c r="D427" s="1" t="s">
        <v>136</v>
      </c>
      <c r="E427" s="1" t="str">
        <f t="shared" si="19"/>
        <v>NEW MADRIDSHELBY</v>
      </c>
      <c r="F427" s="1" t="str">
        <f>A427&amp;B427&amp;C427&amp;D427</f>
        <v>NEW MADRIDMOSHELBYNC</v>
      </c>
      <c r="G427" s="1">
        <v>1449</v>
      </c>
      <c r="H427" s="38">
        <f>G427*COSTS!$AA$27</f>
        <v>2173.5</v>
      </c>
      <c r="I427" s="1">
        <f>COSTS!$AA$28</f>
        <v>50</v>
      </c>
      <c r="J427" s="38">
        <f t="shared" si="17"/>
        <v>2223.5</v>
      </c>
      <c r="K427" s="38">
        <f t="shared" si="18"/>
        <v>505.34090909090907</v>
      </c>
      <c r="L427" s="151">
        <v>46023</v>
      </c>
      <c r="M427" s="1">
        <f>VLOOKUP(F:F,[1]Sheet1!$E:$F,2,FALSE)</f>
        <v>1610</v>
      </c>
    </row>
    <row r="428" spans="1:13" hidden="1">
      <c r="A428" s="1" t="s">
        <v>1541</v>
      </c>
      <c r="B428" s="1" t="s">
        <v>190</v>
      </c>
      <c r="C428" s="1" t="s">
        <v>1033</v>
      </c>
      <c r="D428" s="1" t="s">
        <v>168</v>
      </c>
      <c r="E428" s="1" t="str">
        <f t="shared" si="19"/>
        <v>PARMAMEMPHIS</v>
      </c>
      <c r="F428" s="1" t="s">
        <v>1207</v>
      </c>
      <c r="G428" s="1">
        <v>563</v>
      </c>
      <c r="H428" s="38">
        <f>G428*COSTS!$AA$27</f>
        <v>844.5</v>
      </c>
      <c r="I428" s="1">
        <f>COSTS!$AA$28</f>
        <v>50</v>
      </c>
      <c r="J428" s="38">
        <f t="shared" si="17"/>
        <v>894.5</v>
      </c>
      <c r="K428" s="38">
        <f t="shared" si="18"/>
        <v>203.29545454545453</v>
      </c>
      <c r="L428" s="151">
        <v>46023</v>
      </c>
      <c r="M428" s="1" t="e">
        <f>VLOOKUP(F:F,[1]Sheet1!$E:$F,2,FALSE)</f>
        <v>#N/A</v>
      </c>
    </row>
    <row r="429" spans="1:13" hidden="1">
      <c r="A429" s="1" t="s">
        <v>1543</v>
      </c>
      <c r="B429" s="1" t="s">
        <v>190</v>
      </c>
      <c r="C429" s="1" t="s">
        <v>1033</v>
      </c>
      <c r="D429" s="1" t="s">
        <v>168</v>
      </c>
      <c r="E429" s="1" t="str">
        <f t="shared" si="19"/>
        <v>PORTAGEVILLEMEMPHIS</v>
      </c>
      <c r="F429" s="1" t="s">
        <v>1213</v>
      </c>
      <c r="G429" s="1">
        <v>515</v>
      </c>
      <c r="H429" s="38">
        <f>G429*COSTS!$AA$27</f>
        <v>772.5</v>
      </c>
      <c r="I429" s="1">
        <f>COSTS!$AA$28</f>
        <v>50</v>
      </c>
      <c r="J429" s="38">
        <f t="shared" si="17"/>
        <v>822.5</v>
      </c>
      <c r="K429" s="38">
        <f t="shared" si="18"/>
        <v>186.93181818181816</v>
      </c>
      <c r="L429" s="151">
        <v>46023</v>
      </c>
      <c r="M429" s="1">
        <f>VLOOKUP(F:F,[1]Sheet1!$E:$F,2,FALSE)</f>
        <v>630</v>
      </c>
    </row>
    <row r="430" spans="1:13" hidden="1">
      <c r="A430" s="1" t="s">
        <v>1543</v>
      </c>
      <c r="B430" s="1" t="s">
        <v>190</v>
      </c>
      <c r="C430" s="1" t="s">
        <v>1274</v>
      </c>
      <c r="D430" s="1" t="s">
        <v>71</v>
      </c>
      <c r="E430" s="1" t="str">
        <f t="shared" si="19"/>
        <v>PORTAGEVILLEWESLACO</v>
      </c>
      <c r="F430" s="1" t="str">
        <f>A430&amp;B430&amp;C430&amp;D430</f>
        <v>PORTAGEVILLEMOWESLACOTX</v>
      </c>
      <c r="G430" s="1">
        <v>1705.1599999999999</v>
      </c>
      <c r="H430" s="38">
        <f>G430*COSTS!$AA$27</f>
        <v>2557.7399999999998</v>
      </c>
      <c r="I430" s="1">
        <f>COSTS!$AA$28</f>
        <v>50</v>
      </c>
      <c r="J430" s="38">
        <f t="shared" si="17"/>
        <v>2607.7399999999998</v>
      </c>
      <c r="K430" s="38">
        <f t="shared" si="18"/>
        <v>592.66818181818178</v>
      </c>
      <c r="L430" s="151">
        <v>46023</v>
      </c>
      <c r="M430" s="1">
        <f>VLOOKUP(F:F,[1]Sheet1!$E:$F,2,FALSE)</f>
        <v>1993</v>
      </c>
    </row>
    <row r="431" spans="1:13" hidden="1">
      <c r="A431" s="1" t="s">
        <v>1543</v>
      </c>
      <c r="B431" s="1" t="s">
        <v>190</v>
      </c>
      <c r="C431" s="1" t="s">
        <v>1275</v>
      </c>
      <c r="D431" s="1" t="s">
        <v>136</v>
      </c>
      <c r="E431" s="1" t="str">
        <f t="shared" si="19"/>
        <v>PORTAGEVILLESHELBY</v>
      </c>
      <c r="F431" s="1" t="str">
        <f>A431&amp;B431&amp;C431&amp;D431</f>
        <v>PORTAGEVILLEMOSHELBYNC</v>
      </c>
      <c r="G431" s="1">
        <v>1446</v>
      </c>
      <c r="H431" s="38">
        <f>G431*COSTS!$AA$27</f>
        <v>2169</v>
      </c>
      <c r="I431" s="1">
        <f>COSTS!$AA$28</f>
        <v>50</v>
      </c>
      <c r="J431" s="38">
        <f t="shared" si="17"/>
        <v>2219</v>
      </c>
      <c r="K431" s="38">
        <f t="shared" si="18"/>
        <v>504.31818181818181</v>
      </c>
      <c r="L431" s="151">
        <v>46023</v>
      </c>
      <c r="M431" s="1">
        <f>VLOOKUP(F:F,[1]Sheet1!$E:$F,2,FALSE)</f>
        <v>1600</v>
      </c>
    </row>
    <row r="432" spans="1:13" hidden="1">
      <c r="A432" s="1" t="s">
        <v>1420</v>
      </c>
      <c r="B432" s="1" t="s">
        <v>190</v>
      </c>
      <c r="C432" s="1" t="s">
        <v>1033</v>
      </c>
      <c r="D432" s="1" t="s">
        <v>168</v>
      </c>
      <c r="E432" s="1" t="str">
        <f t="shared" si="19"/>
        <v>PORTLANDMEMPHIS</v>
      </c>
      <c r="F432" s="1" t="s">
        <v>1215</v>
      </c>
      <c r="G432" s="1">
        <v>800</v>
      </c>
      <c r="H432" s="38">
        <f>G432*COSTS!$AA$27</f>
        <v>1200</v>
      </c>
      <c r="I432" s="1">
        <f>COSTS!$AA$28</f>
        <v>50</v>
      </c>
      <c r="J432" s="38">
        <f t="shared" si="17"/>
        <v>1250</v>
      </c>
      <c r="K432" s="38">
        <f t="shared" si="18"/>
        <v>284.09090909090912</v>
      </c>
      <c r="L432" s="151">
        <v>46023</v>
      </c>
      <c r="M432" s="1" t="e">
        <f>VLOOKUP(F:F,[1]Sheet1!$E:$F,2,FALSE)</f>
        <v>#N/A</v>
      </c>
    </row>
    <row r="433" spans="1:13" hidden="1">
      <c r="A433" s="1" t="s">
        <v>1548</v>
      </c>
      <c r="B433" s="1" t="s">
        <v>190</v>
      </c>
      <c r="C433" s="1" t="s">
        <v>1033</v>
      </c>
      <c r="D433" s="1" t="s">
        <v>168</v>
      </c>
      <c r="E433" s="1" t="str">
        <f t="shared" si="19"/>
        <v>SENATHMEMPHIS</v>
      </c>
      <c r="F433" s="1" t="s">
        <v>1229</v>
      </c>
      <c r="G433" s="1">
        <v>490.83</v>
      </c>
      <c r="H433" s="38">
        <f>G433*COSTS!$AA$27</f>
        <v>736.245</v>
      </c>
      <c r="I433" s="1">
        <f>COSTS!$AA$28</f>
        <v>50</v>
      </c>
      <c r="J433" s="38">
        <f t="shared" si="17"/>
        <v>786.245</v>
      </c>
      <c r="K433" s="38">
        <f t="shared" si="18"/>
        <v>178.69204545454548</v>
      </c>
      <c r="L433" s="151">
        <v>46023</v>
      </c>
      <c r="M433" s="1" t="e">
        <f>VLOOKUP(F:F,[1]Sheet1!$E:$F,2,FALSE)</f>
        <v>#N/A</v>
      </c>
    </row>
    <row r="434" spans="1:13" hidden="1">
      <c r="A434" s="1" t="s">
        <v>1553</v>
      </c>
      <c r="B434" s="1" t="s">
        <v>190</v>
      </c>
      <c r="C434" s="1" t="s">
        <v>1033</v>
      </c>
      <c r="D434" s="1" t="s">
        <v>168</v>
      </c>
      <c r="E434" s="1" t="str">
        <f t="shared" si="19"/>
        <v>STEELEMEMPHIS</v>
      </c>
      <c r="F434" s="1" t="s">
        <v>1239</v>
      </c>
      <c r="G434" s="1">
        <v>593.87</v>
      </c>
      <c r="H434" s="38">
        <f>G434*COSTS!$AA$27</f>
        <v>890.80500000000006</v>
      </c>
      <c r="I434" s="1">
        <f>COSTS!$AA$28</f>
        <v>50</v>
      </c>
      <c r="J434" s="38">
        <f t="shared" si="17"/>
        <v>940.80500000000006</v>
      </c>
      <c r="K434" s="38">
        <f t="shared" si="18"/>
        <v>213.81931818181818</v>
      </c>
      <c r="L434" s="151">
        <v>46023</v>
      </c>
      <c r="M434" s="1" t="e">
        <f>VLOOKUP(F:F,[1]Sheet1!$E:$F,2,FALSE)</f>
        <v>#N/A</v>
      </c>
    </row>
    <row r="435" spans="1:13" hidden="1">
      <c r="A435" s="1" t="s">
        <v>1470</v>
      </c>
      <c r="B435" s="1" t="s">
        <v>128</v>
      </c>
      <c r="C435" s="1" t="s">
        <v>1033</v>
      </c>
      <c r="D435" s="1" t="s">
        <v>168</v>
      </c>
      <c r="E435" s="1" t="str">
        <f t="shared" si="19"/>
        <v>ABERDEENMEMPHIS</v>
      </c>
      <c r="F435" s="1" t="s">
        <v>1035</v>
      </c>
      <c r="G435" s="1">
        <v>594</v>
      </c>
      <c r="H435" s="38">
        <f>G435*COSTS!$AA$27</f>
        <v>891</v>
      </c>
      <c r="I435" s="1">
        <f>COSTS!$AA$28</f>
        <v>50</v>
      </c>
      <c r="J435" s="38">
        <f t="shared" si="17"/>
        <v>941</v>
      </c>
      <c r="K435" s="38">
        <f t="shared" si="18"/>
        <v>213.86363636363637</v>
      </c>
      <c r="L435" s="151">
        <v>46023</v>
      </c>
      <c r="M435" s="1" t="e">
        <f>VLOOKUP(F:F,[1]Sheet1!$E:$F,2,FALSE)</f>
        <v>#N/A</v>
      </c>
    </row>
    <row r="436" spans="1:13" hidden="1">
      <c r="A436" s="1" t="s">
        <v>1470</v>
      </c>
      <c r="B436" s="1" t="s">
        <v>128</v>
      </c>
      <c r="C436" s="1" t="s">
        <v>1274</v>
      </c>
      <c r="D436" s="1" t="s">
        <v>71</v>
      </c>
      <c r="E436" s="1" t="str">
        <f t="shared" si="19"/>
        <v>ABERDEENWESLACO</v>
      </c>
      <c r="F436" s="1" t="str">
        <f>A436&amp;B436&amp;C436&amp;D436</f>
        <v>ABERDEENMSWESLACOTX</v>
      </c>
      <c r="G436" s="1">
        <v>1464.52</v>
      </c>
      <c r="H436" s="38">
        <f>G436*COSTS!$AA$27</f>
        <v>2196.7799999999997</v>
      </c>
      <c r="I436" s="1">
        <f>COSTS!$AA$28</f>
        <v>50</v>
      </c>
      <c r="J436" s="38">
        <f t="shared" si="17"/>
        <v>2246.7799999999997</v>
      </c>
      <c r="K436" s="38">
        <f t="shared" si="18"/>
        <v>510.63181818181812</v>
      </c>
      <c r="L436" s="151">
        <v>46023</v>
      </c>
      <c r="M436" s="1" t="e">
        <f>VLOOKUP(F:F,[1]Sheet1!$E:$F,2,FALSE)</f>
        <v>#N/A</v>
      </c>
    </row>
    <row r="437" spans="1:13" hidden="1">
      <c r="A437" s="1" t="s">
        <v>1477</v>
      </c>
      <c r="B437" s="1" t="s">
        <v>128</v>
      </c>
      <c r="C437" s="1" t="s">
        <v>1033</v>
      </c>
      <c r="D437" s="1" t="s">
        <v>168</v>
      </c>
      <c r="E437" s="1" t="str">
        <f t="shared" si="19"/>
        <v>BATESVILLEMEMPHIS</v>
      </c>
      <c r="F437" s="1" t="s">
        <v>1050</v>
      </c>
      <c r="G437" s="1">
        <v>412.63</v>
      </c>
      <c r="H437" s="38">
        <f>G437*COSTS!$AA$27</f>
        <v>618.94499999999994</v>
      </c>
      <c r="I437" s="1">
        <f>COSTS!$AA$28</f>
        <v>50</v>
      </c>
      <c r="J437" s="38">
        <f t="shared" si="17"/>
        <v>668.94499999999994</v>
      </c>
      <c r="K437" s="38">
        <f t="shared" si="18"/>
        <v>152.03295454545452</v>
      </c>
      <c r="L437" s="151">
        <v>46023</v>
      </c>
      <c r="M437" s="1" t="e">
        <f>VLOOKUP(F:F,[1]Sheet1!$E:$F,2,FALSE)</f>
        <v>#N/A</v>
      </c>
    </row>
    <row r="438" spans="1:13" hidden="1">
      <c r="A438" s="1" t="s">
        <v>1477</v>
      </c>
      <c r="B438" s="1" t="s">
        <v>128</v>
      </c>
      <c r="C438" s="1" t="s">
        <v>1274</v>
      </c>
      <c r="D438" s="1" t="s">
        <v>71</v>
      </c>
      <c r="E438" s="1" t="str">
        <f t="shared" si="19"/>
        <v>BATESVILLEWESLACO</v>
      </c>
      <c r="F438" s="1" t="str">
        <f>A438&amp;B438&amp;C438&amp;D438</f>
        <v>BATESVILLEMSWESLACOTX</v>
      </c>
      <c r="G438" s="1">
        <v>1426.9199999999998</v>
      </c>
      <c r="H438" s="38">
        <f>G438*COSTS!$AA$27</f>
        <v>2140.3799999999997</v>
      </c>
      <c r="I438" s="1">
        <f>COSTS!$AA$28</f>
        <v>50</v>
      </c>
      <c r="J438" s="38">
        <f t="shared" si="17"/>
        <v>2190.3799999999997</v>
      </c>
      <c r="K438" s="38">
        <f t="shared" si="18"/>
        <v>497.81363636363631</v>
      </c>
      <c r="L438" s="151">
        <v>46023</v>
      </c>
      <c r="M438" s="1" t="e">
        <f>VLOOKUP(F:F,[1]Sheet1!$E:$F,2,FALSE)</f>
        <v>#N/A</v>
      </c>
    </row>
    <row r="439" spans="1:13" hidden="1">
      <c r="A439" s="1" t="s">
        <v>1478</v>
      </c>
      <c r="B439" s="1" t="s">
        <v>128</v>
      </c>
      <c r="C439" s="1" t="s">
        <v>1033</v>
      </c>
      <c r="D439" s="1" t="s">
        <v>168</v>
      </c>
      <c r="E439" s="1" t="str">
        <f t="shared" si="19"/>
        <v>BELDENMEMPHIS</v>
      </c>
      <c r="F439" s="1" t="s">
        <v>1052</v>
      </c>
      <c r="G439" s="1">
        <v>498</v>
      </c>
      <c r="H439" s="38">
        <f>G439*COSTS!$AA$27</f>
        <v>747</v>
      </c>
      <c r="I439" s="1">
        <f>COSTS!$AA$28</f>
        <v>50</v>
      </c>
      <c r="J439" s="38">
        <f t="shared" si="17"/>
        <v>797</v>
      </c>
      <c r="K439" s="38">
        <f t="shared" si="18"/>
        <v>181.13636363636363</v>
      </c>
      <c r="L439" s="151">
        <v>46023</v>
      </c>
      <c r="M439" s="1" t="e">
        <f>VLOOKUP(F:F,[1]Sheet1!$E:$F,2,FALSE)</f>
        <v>#N/A</v>
      </c>
    </row>
    <row r="440" spans="1:13" hidden="1">
      <c r="A440" s="1" t="s">
        <v>1479</v>
      </c>
      <c r="B440" s="1" t="s">
        <v>128</v>
      </c>
      <c r="C440" s="1" t="s">
        <v>1033</v>
      </c>
      <c r="D440" s="1" t="s">
        <v>168</v>
      </c>
      <c r="E440" s="1" t="str">
        <f t="shared" si="19"/>
        <v>BELZONIMEMPHIS</v>
      </c>
      <c r="F440" s="1" t="s">
        <v>1055</v>
      </c>
      <c r="G440" s="1">
        <v>765</v>
      </c>
      <c r="H440" s="38">
        <f>G440*COSTS!$AA$27</f>
        <v>1147.5</v>
      </c>
      <c r="I440" s="1">
        <f>COSTS!$AA$28</f>
        <v>50</v>
      </c>
      <c r="J440" s="38">
        <f t="shared" si="17"/>
        <v>1197.5</v>
      </c>
      <c r="K440" s="38">
        <f t="shared" si="18"/>
        <v>272.15909090909088</v>
      </c>
      <c r="L440" s="151">
        <v>46023</v>
      </c>
      <c r="M440" s="1" t="e">
        <f>VLOOKUP(F:F,[1]Sheet1!$E:$F,2,FALSE)</f>
        <v>#N/A</v>
      </c>
    </row>
    <row r="441" spans="1:13" hidden="1">
      <c r="A441" s="1" t="s">
        <v>1479</v>
      </c>
      <c r="B441" s="1" t="s">
        <v>128</v>
      </c>
      <c r="C441" s="1" t="s">
        <v>1274</v>
      </c>
      <c r="D441" s="1" t="s">
        <v>71</v>
      </c>
      <c r="E441" s="1" t="str">
        <f t="shared" si="19"/>
        <v>BELZONIWESLACO</v>
      </c>
      <c r="F441" s="1" t="str">
        <f>A441&amp;B441&amp;C441&amp;D441</f>
        <v>BELZONIMSWESLACOTX</v>
      </c>
      <c r="G441" s="1">
        <v>1332.9199999999998</v>
      </c>
      <c r="H441" s="38">
        <f>G441*COSTS!$AA$27</f>
        <v>1999.3799999999997</v>
      </c>
      <c r="I441" s="1">
        <f>COSTS!$AA$28</f>
        <v>50</v>
      </c>
      <c r="J441" s="38">
        <f t="shared" si="17"/>
        <v>2049.3799999999997</v>
      </c>
      <c r="K441" s="38">
        <f t="shared" si="18"/>
        <v>465.76818181818174</v>
      </c>
      <c r="L441" s="151">
        <v>46023</v>
      </c>
      <c r="M441" s="1">
        <f>VLOOKUP(F:F,[1]Sheet1!$E:$F,2,FALSE)</f>
        <v>1544</v>
      </c>
    </row>
    <row r="442" spans="1:13" hidden="1">
      <c r="A442" s="1" t="s">
        <v>1485</v>
      </c>
      <c r="B442" s="1" t="s">
        <v>128</v>
      </c>
      <c r="C442" s="1" t="s">
        <v>1033</v>
      </c>
      <c r="D442" s="1" t="s">
        <v>168</v>
      </c>
      <c r="E442" s="1" t="str">
        <f t="shared" si="19"/>
        <v>CANTONMEMPHIS</v>
      </c>
      <c r="F442" s="1" t="s">
        <v>1073</v>
      </c>
      <c r="G442" s="1">
        <v>860</v>
      </c>
      <c r="H442" s="38">
        <f>G442*COSTS!$AA$27</f>
        <v>1290</v>
      </c>
      <c r="I442" s="1">
        <f>COSTS!$AA$28</f>
        <v>50</v>
      </c>
      <c r="J442" s="38">
        <f t="shared" si="17"/>
        <v>1340</v>
      </c>
      <c r="K442" s="38">
        <f t="shared" si="18"/>
        <v>304.5454545454545</v>
      </c>
      <c r="L442" s="151">
        <v>46023</v>
      </c>
      <c r="M442" s="1" t="e">
        <f>VLOOKUP(F:F,[1]Sheet1!$E:$F,2,FALSE)</f>
        <v>#N/A</v>
      </c>
    </row>
    <row r="443" spans="1:13" hidden="1">
      <c r="A443" s="1" t="s">
        <v>1485</v>
      </c>
      <c r="B443" s="1" t="s">
        <v>128</v>
      </c>
      <c r="C443" s="1" t="s">
        <v>1274</v>
      </c>
      <c r="D443" s="1" t="s">
        <v>71</v>
      </c>
      <c r="E443" s="1" t="str">
        <f t="shared" si="19"/>
        <v>CANTONWESLACO</v>
      </c>
      <c r="F443" s="1" t="str">
        <f>A443&amp;B443&amp;C443&amp;D443</f>
        <v>CANTONMSWESLACOTX</v>
      </c>
      <c r="G443" s="1">
        <v>1276.52</v>
      </c>
      <c r="H443" s="38">
        <f>G443*COSTS!$AA$27</f>
        <v>1914.78</v>
      </c>
      <c r="I443" s="1">
        <f>COSTS!$AA$28</f>
        <v>50</v>
      </c>
      <c r="J443" s="38">
        <f t="shared" si="17"/>
        <v>1964.78</v>
      </c>
      <c r="K443" s="38">
        <f t="shared" si="18"/>
        <v>446.54090909090911</v>
      </c>
      <c r="L443" s="151">
        <v>46023</v>
      </c>
      <c r="M443" s="1" t="e">
        <f>VLOOKUP(F:F,[1]Sheet1!$E:$F,2,FALSE)</f>
        <v>#N/A</v>
      </c>
    </row>
    <row r="444" spans="1:13" hidden="1">
      <c r="A444" s="1" t="s">
        <v>1487</v>
      </c>
      <c r="B444" s="1" t="s">
        <v>128</v>
      </c>
      <c r="C444" s="1" t="s">
        <v>1033</v>
      </c>
      <c r="D444" s="1" t="s">
        <v>168</v>
      </c>
      <c r="E444" s="1" t="str">
        <f t="shared" si="19"/>
        <v>CLARKSDALEMEMPHIS</v>
      </c>
      <c r="F444" s="1" t="s">
        <v>1076</v>
      </c>
      <c r="G444" s="1">
        <v>505</v>
      </c>
      <c r="H444" s="38">
        <f>G444*COSTS!$AA$27</f>
        <v>757.5</v>
      </c>
      <c r="I444" s="1">
        <f>COSTS!$AA$28</f>
        <v>50</v>
      </c>
      <c r="J444" s="38">
        <f t="shared" si="17"/>
        <v>807.5</v>
      </c>
      <c r="K444" s="38">
        <f t="shared" si="18"/>
        <v>183.52272727272725</v>
      </c>
      <c r="L444" s="151">
        <v>46023</v>
      </c>
      <c r="M444" s="1">
        <f>VLOOKUP(F:F,[1]Sheet1!$E:$F,2,FALSE)</f>
        <v>430</v>
      </c>
    </row>
    <row r="445" spans="1:13" hidden="1">
      <c r="A445" s="1" t="s">
        <v>1487</v>
      </c>
      <c r="B445" s="1" t="s">
        <v>128</v>
      </c>
      <c r="C445" s="1" t="s">
        <v>1274</v>
      </c>
      <c r="D445" s="1" t="s">
        <v>71</v>
      </c>
      <c r="E445" s="1" t="str">
        <f t="shared" si="19"/>
        <v>CLARKSDALEWESLACO</v>
      </c>
      <c r="F445" s="1" t="str">
        <f>A445&amp;B445&amp;C445&amp;D445</f>
        <v>CLARKSDALEMSWESLACOTX</v>
      </c>
      <c r="G445" s="1">
        <v>1309.4199999999998</v>
      </c>
      <c r="H445" s="38">
        <f>G445*COSTS!$AA$27</f>
        <v>1964.1299999999997</v>
      </c>
      <c r="I445" s="1">
        <f>COSTS!$AA$28</f>
        <v>50</v>
      </c>
      <c r="J445" s="38">
        <f t="shared" si="17"/>
        <v>2014.1299999999997</v>
      </c>
      <c r="K445" s="38">
        <f t="shared" si="18"/>
        <v>457.75681818181806</v>
      </c>
      <c r="L445" s="151">
        <v>46023</v>
      </c>
      <c r="M445" s="1">
        <f>VLOOKUP(F:F,[1]Sheet1!$E:$F,2,FALSE)</f>
        <v>1405</v>
      </c>
    </row>
    <row r="446" spans="1:13" hidden="1">
      <c r="A446" s="1" t="s">
        <v>1487</v>
      </c>
      <c r="B446" s="1" t="s">
        <v>128</v>
      </c>
      <c r="C446" s="1" t="s">
        <v>1275</v>
      </c>
      <c r="D446" s="1" t="s">
        <v>136</v>
      </c>
      <c r="E446" s="1" t="str">
        <f t="shared" si="19"/>
        <v>CLARKSDALESHELBY</v>
      </c>
      <c r="F446" s="1" t="str">
        <f>A446&amp;B446&amp;C446&amp;D446</f>
        <v>CLARKSDALEMSSHELBYNC</v>
      </c>
      <c r="G446" s="1">
        <v>1400</v>
      </c>
      <c r="H446" s="38">
        <f>G446*COSTS!$AA$27</f>
        <v>2100</v>
      </c>
      <c r="I446" s="1">
        <f>COSTS!$AA$28</f>
        <v>50</v>
      </c>
      <c r="J446" s="38">
        <f t="shared" si="17"/>
        <v>2150</v>
      </c>
      <c r="K446" s="38">
        <f t="shared" si="18"/>
        <v>488.63636363636368</v>
      </c>
      <c r="L446" s="151">
        <v>46023</v>
      </c>
      <c r="M446" s="1">
        <f>VLOOKUP(F:F,[1]Sheet1!$E:$F,2,FALSE)</f>
        <v>1510</v>
      </c>
    </row>
    <row r="447" spans="1:13" hidden="1">
      <c r="A447" s="1" t="s">
        <v>1488</v>
      </c>
      <c r="B447" s="1" t="s">
        <v>128</v>
      </c>
      <c r="C447" s="1" t="s">
        <v>1033</v>
      </c>
      <c r="D447" s="1" t="s">
        <v>168</v>
      </c>
      <c r="E447" s="1" t="str">
        <f t="shared" si="19"/>
        <v>CLEVELANDMEMPHIS</v>
      </c>
      <c r="F447" s="1" t="s">
        <v>1078</v>
      </c>
      <c r="G447" s="1">
        <v>620</v>
      </c>
      <c r="H447" s="38">
        <f>G447*COSTS!$AA$27</f>
        <v>930</v>
      </c>
      <c r="I447" s="1">
        <f>COSTS!$AA$28</f>
        <v>50</v>
      </c>
      <c r="J447" s="38">
        <f t="shared" si="17"/>
        <v>980</v>
      </c>
      <c r="K447" s="38">
        <f t="shared" si="18"/>
        <v>222.72727272727275</v>
      </c>
      <c r="L447" s="151">
        <v>46023</v>
      </c>
      <c r="M447" s="1" t="e">
        <f>VLOOKUP(F:F,[1]Sheet1!$E:$F,2,FALSE)</f>
        <v>#N/A</v>
      </c>
    </row>
    <row r="448" spans="1:13" hidden="1">
      <c r="A448" s="1" t="s">
        <v>1494</v>
      </c>
      <c r="B448" s="1" t="s">
        <v>128</v>
      </c>
      <c r="C448" s="1" t="s">
        <v>1033</v>
      </c>
      <c r="D448" s="1" t="s">
        <v>168</v>
      </c>
      <c r="E448" s="1" t="str">
        <f t="shared" si="19"/>
        <v>DREWMEMPHIS</v>
      </c>
      <c r="F448" s="1" t="s">
        <v>1099</v>
      </c>
      <c r="G448" s="1">
        <v>516</v>
      </c>
      <c r="H448" s="38">
        <f>G448*COSTS!$AA$27</f>
        <v>774</v>
      </c>
      <c r="I448" s="1">
        <f>COSTS!$AA$28</f>
        <v>50</v>
      </c>
      <c r="J448" s="38">
        <f t="shared" si="17"/>
        <v>824</v>
      </c>
      <c r="K448" s="38">
        <f t="shared" si="18"/>
        <v>187.27272727272725</v>
      </c>
      <c r="L448" s="151">
        <v>46023</v>
      </c>
      <c r="M448" s="1">
        <f>VLOOKUP(F:F,[1]Sheet1!$E:$F,2,FALSE)</f>
        <v>470</v>
      </c>
    </row>
    <row r="449" spans="1:13" hidden="1">
      <c r="A449" s="1" t="s">
        <v>1494</v>
      </c>
      <c r="B449" s="1" t="s">
        <v>128</v>
      </c>
      <c r="C449" s="1" t="s">
        <v>1274</v>
      </c>
      <c r="D449" s="1" t="s">
        <v>71</v>
      </c>
      <c r="E449" s="1" t="str">
        <f t="shared" si="19"/>
        <v>DREWWESLACO</v>
      </c>
      <c r="F449" s="1" t="str">
        <f>A449&amp;B449&amp;C449&amp;D449</f>
        <v>DREWMSWESLACOTX</v>
      </c>
      <c r="G449" s="1">
        <v>1305.6599999999999</v>
      </c>
      <c r="H449" s="38">
        <f>G449*COSTS!$AA$27</f>
        <v>1958.4899999999998</v>
      </c>
      <c r="I449" s="1">
        <f>COSTS!$AA$28</f>
        <v>50</v>
      </c>
      <c r="J449" s="38">
        <f t="shared" si="17"/>
        <v>2008.4899999999998</v>
      </c>
      <c r="K449" s="38">
        <f t="shared" si="18"/>
        <v>456.47499999999991</v>
      </c>
      <c r="L449" s="151">
        <v>46023</v>
      </c>
      <c r="M449" s="1" t="e">
        <f>VLOOKUP(F:F,[1]Sheet1!$E:$F,2,FALSE)</f>
        <v>#N/A</v>
      </c>
    </row>
    <row r="450" spans="1:13" hidden="1">
      <c r="A450" s="1" t="s">
        <v>1494</v>
      </c>
      <c r="B450" s="1" t="s">
        <v>128</v>
      </c>
      <c r="C450" s="1" t="s">
        <v>1275</v>
      </c>
      <c r="D450" s="1" t="s">
        <v>136</v>
      </c>
      <c r="E450" s="1" t="str">
        <f t="shared" si="19"/>
        <v>DREWSHELBY</v>
      </c>
      <c r="F450" s="1" t="str">
        <f>A450&amp;B450&amp;C450&amp;D450</f>
        <v>DREWMSSHELBYNC</v>
      </c>
      <c r="G450" s="1">
        <v>1404</v>
      </c>
      <c r="H450" s="38">
        <f>G450*COSTS!$AA$27</f>
        <v>2106</v>
      </c>
      <c r="I450" s="1">
        <f>COSTS!$AA$28</f>
        <v>50</v>
      </c>
      <c r="J450" s="38">
        <f t="shared" ref="J450:J513" si="20">H450+I450</f>
        <v>2156</v>
      </c>
      <c r="K450" s="38">
        <f t="shared" ref="K450:K513" si="21">(J450/88)*20</f>
        <v>490</v>
      </c>
      <c r="L450" s="151">
        <v>46023</v>
      </c>
      <c r="M450" s="1">
        <f>VLOOKUP(F:F,[1]Sheet1!$E:$F,2,FALSE)</f>
        <v>1550</v>
      </c>
    </row>
    <row r="451" spans="1:13" hidden="1">
      <c r="A451" s="1" t="s">
        <v>1504</v>
      </c>
      <c r="B451" s="1" t="s">
        <v>128</v>
      </c>
      <c r="C451" s="1" t="s">
        <v>1033</v>
      </c>
      <c r="D451" s="1" t="s">
        <v>168</v>
      </c>
      <c r="E451" s="1" t="str">
        <f t="shared" si="19"/>
        <v>FLORAMEMPHIS</v>
      </c>
      <c r="F451" s="1" t="s">
        <v>1121</v>
      </c>
      <c r="G451" s="1">
        <v>895</v>
      </c>
      <c r="H451" s="38">
        <f>G451*COSTS!$AA$27</f>
        <v>1342.5</v>
      </c>
      <c r="I451" s="1">
        <f>COSTS!$AA$28</f>
        <v>50</v>
      </c>
      <c r="J451" s="38">
        <f t="shared" si="20"/>
        <v>1392.5</v>
      </c>
      <c r="K451" s="38">
        <f t="shared" si="21"/>
        <v>316.47727272727275</v>
      </c>
      <c r="L451" s="151">
        <v>46023</v>
      </c>
      <c r="M451" s="1" t="e">
        <f>VLOOKUP(F:F,[1]Sheet1!$E:$F,2,FALSE)</f>
        <v>#N/A</v>
      </c>
    </row>
    <row r="452" spans="1:13" hidden="1">
      <c r="A452" s="1" t="s">
        <v>1358</v>
      </c>
      <c r="B452" s="1" t="s">
        <v>128</v>
      </c>
      <c r="C452" s="1" t="s">
        <v>1033</v>
      </c>
      <c r="D452" s="1" t="s">
        <v>168</v>
      </c>
      <c r="E452" s="1" t="str">
        <f t="shared" si="19"/>
        <v>GREENVILLEMEMPHIS</v>
      </c>
      <c r="F452" s="1" t="s">
        <v>1131</v>
      </c>
      <c r="G452" s="1">
        <v>725</v>
      </c>
      <c r="H452" s="38">
        <f>G452*COSTS!$AA$27</f>
        <v>1087.5</v>
      </c>
      <c r="I452" s="1">
        <f>COSTS!$AA$28</f>
        <v>50</v>
      </c>
      <c r="J452" s="38">
        <f t="shared" si="20"/>
        <v>1137.5</v>
      </c>
      <c r="K452" s="38">
        <f t="shared" si="21"/>
        <v>258.52272727272725</v>
      </c>
      <c r="L452" s="151">
        <v>46023</v>
      </c>
      <c r="M452" s="1" t="e">
        <f>VLOOKUP(F:F,[1]Sheet1!$E:$F,2,FALSE)</f>
        <v>#N/A</v>
      </c>
    </row>
    <row r="453" spans="1:13" hidden="1">
      <c r="A453" s="1" t="s">
        <v>1358</v>
      </c>
      <c r="B453" s="1" t="s">
        <v>128</v>
      </c>
      <c r="C453" s="1" t="s">
        <v>1274</v>
      </c>
      <c r="D453" s="1" t="s">
        <v>71</v>
      </c>
      <c r="E453" s="1" t="str">
        <f t="shared" si="19"/>
        <v>GREENVILLEWESLACO</v>
      </c>
      <c r="F453" s="1" t="str">
        <f>A453&amp;B453&amp;C453&amp;D453</f>
        <v>GREENVILLEMSWESLACOTX</v>
      </c>
      <c r="G453" s="1">
        <v>1249.26</v>
      </c>
      <c r="H453" s="38">
        <f>G453*COSTS!$AA$27</f>
        <v>1873.8899999999999</v>
      </c>
      <c r="I453" s="1">
        <f>COSTS!$AA$28</f>
        <v>50</v>
      </c>
      <c r="J453" s="38">
        <f t="shared" si="20"/>
        <v>1923.8899999999999</v>
      </c>
      <c r="K453" s="38">
        <f t="shared" si="21"/>
        <v>437.24772727272722</v>
      </c>
      <c r="L453" s="151">
        <v>46023</v>
      </c>
      <c r="M453" s="1">
        <f>VLOOKUP(F:F,[1]Sheet1!$E:$F,2,FALSE)</f>
        <v>1419</v>
      </c>
    </row>
    <row r="454" spans="1:13" hidden="1">
      <c r="A454" s="1" t="s">
        <v>1358</v>
      </c>
      <c r="B454" s="1" t="s">
        <v>128</v>
      </c>
      <c r="C454" s="1" t="s">
        <v>1275</v>
      </c>
      <c r="D454" s="1" t="s">
        <v>136</v>
      </c>
      <c r="E454" s="1" t="str">
        <f t="shared" ref="E454:E472" si="22">A454&amp;C454</f>
        <v>GREENVILLESHELBY</v>
      </c>
      <c r="F454" s="1" t="str">
        <f>A454&amp;B454&amp;C454&amp;D454</f>
        <v>GREENVILLEMSSHELBYNC</v>
      </c>
      <c r="G454" s="1">
        <v>1449</v>
      </c>
      <c r="H454" s="38">
        <f>G454*COSTS!$AA$27</f>
        <v>2173.5</v>
      </c>
      <c r="I454" s="1">
        <f>COSTS!$AA$28</f>
        <v>50</v>
      </c>
      <c r="J454" s="38">
        <f t="shared" si="20"/>
        <v>2223.5</v>
      </c>
      <c r="K454" s="38">
        <f t="shared" si="21"/>
        <v>505.34090909090907</v>
      </c>
      <c r="L454" s="151">
        <v>46023</v>
      </c>
      <c r="M454" s="1" t="e">
        <f>VLOOKUP(F:F,[1]Sheet1!$E:$F,2,FALSE)</f>
        <v>#N/A</v>
      </c>
    </row>
    <row r="455" spans="1:13" hidden="1">
      <c r="A455" s="1" t="s">
        <v>1359</v>
      </c>
      <c r="B455" s="1" t="s">
        <v>128</v>
      </c>
      <c r="C455" s="1" t="s">
        <v>1033</v>
      </c>
      <c r="D455" s="1" t="s">
        <v>168</v>
      </c>
      <c r="E455" s="1" t="str">
        <f t="shared" si="22"/>
        <v>GREENWOODMEMPHIS</v>
      </c>
      <c r="F455" s="1" t="s">
        <v>1132</v>
      </c>
      <c r="G455" s="1">
        <v>605</v>
      </c>
      <c r="H455" s="38">
        <f>G455*COSTS!$AA$27</f>
        <v>907.5</v>
      </c>
      <c r="I455" s="1">
        <f>COSTS!$AA$28</f>
        <v>50</v>
      </c>
      <c r="J455" s="38">
        <f t="shared" si="20"/>
        <v>957.5</v>
      </c>
      <c r="K455" s="38">
        <f t="shared" si="21"/>
        <v>217.61363636363637</v>
      </c>
      <c r="L455" s="151">
        <v>46023</v>
      </c>
      <c r="M455" s="1">
        <f>VLOOKUP(F:F,[1]Sheet1!$E:$F,2,FALSE)</f>
        <v>540</v>
      </c>
    </row>
    <row r="456" spans="1:13" hidden="1">
      <c r="A456" s="1" t="s">
        <v>1359</v>
      </c>
      <c r="B456" s="1" t="s">
        <v>128</v>
      </c>
      <c r="C456" s="1" t="s">
        <v>1274</v>
      </c>
      <c r="D456" s="1" t="s">
        <v>71</v>
      </c>
      <c r="E456" s="1" t="str">
        <f t="shared" si="22"/>
        <v>GREENWOODWESLACO</v>
      </c>
      <c r="F456" s="1" t="str">
        <f>A456&amp;B456&amp;C456&amp;D456</f>
        <v>GREENWOODMSWESLACOTX</v>
      </c>
      <c r="G456" s="1">
        <v>1398.72</v>
      </c>
      <c r="H456" s="38">
        <f>G456*COSTS!$AA$27</f>
        <v>2098.08</v>
      </c>
      <c r="I456" s="1">
        <f>COSTS!$AA$28</f>
        <v>50</v>
      </c>
      <c r="J456" s="38">
        <f t="shared" si="20"/>
        <v>2148.08</v>
      </c>
      <c r="K456" s="38">
        <f t="shared" si="21"/>
        <v>488.2</v>
      </c>
      <c r="L456" s="151">
        <v>46023</v>
      </c>
      <c r="M456" s="1">
        <f>VLOOKUP(F:F,[1]Sheet1!$E:$F,2,FALSE)</f>
        <v>1584</v>
      </c>
    </row>
    <row r="457" spans="1:13" hidden="1">
      <c r="A457" s="1" t="s">
        <v>1359</v>
      </c>
      <c r="B457" s="1" t="s">
        <v>128</v>
      </c>
      <c r="C457" s="1" t="s">
        <v>1275</v>
      </c>
      <c r="D457" s="1" t="s">
        <v>136</v>
      </c>
      <c r="E457" s="1" t="str">
        <f t="shared" si="22"/>
        <v>GREENWOODSHELBY</v>
      </c>
      <c r="F457" s="1" t="str">
        <f>A457&amp;B457&amp;C457&amp;D457</f>
        <v>GREENWOODMSSHELBYNC</v>
      </c>
      <c r="G457" s="1">
        <v>1462</v>
      </c>
      <c r="H457" s="38">
        <f>G457*COSTS!$AA$27</f>
        <v>2193</v>
      </c>
      <c r="I457" s="1">
        <f>COSTS!$AA$28</f>
        <v>50</v>
      </c>
      <c r="J457" s="38">
        <f t="shared" si="20"/>
        <v>2243</v>
      </c>
      <c r="K457" s="38">
        <f t="shared" si="21"/>
        <v>509.77272727272725</v>
      </c>
      <c r="L457" s="151">
        <v>46023</v>
      </c>
      <c r="M457" s="1">
        <f>VLOOKUP(F:F,[1]Sheet1!$E:$F,2,FALSE)</f>
        <v>1460</v>
      </c>
    </row>
    <row r="458" spans="1:13" hidden="1">
      <c r="A458" s="1" t="s">
        <v>1507</v>
      </c>
      <c r="B458" s="1" t="s">
        <v>128</v>
      </c>
      <c r="C458" s="1" t="s">
        <v>1033</v>
      </c>
      <c r="D458" s="1" t="s">
        <v>168</v>
      </c>
      <c r="E458" s="1" t="str">
        <f t="shared" si="22"/>
        <v>GRENADAMEMPHIS</v>
      </c>
      <c r="F458" s="1" t="s">
        <v>1134</v>
      </c>
      <c r="G458" s="1">
        <v>555</v>
      </c>
      <c r="H458" s="38">
        <f>G458*COSTS!$AA$27</f>
        <v>832.5</v>
      </c>
      <c r="I458" s="1">
        <f>COSTS!$AA$28</f>
        <v>50</v>
      </c>
      <c r="J458" s="38">
        <f t="shared" si="20"/>
        <v>882.5</v>
      </c>
      <c r="K458" s="38">
        <f t="shared" si="21"/>
        <v>200.56818181818184</v>
      </c>
      <c r="L458" s="151">
        <v>46023</v>
      </c>
      <c r="M458" s="1">
        <f>VLOOKUP(F:F,[1]Sheet1!$E:$F,2,FALSE)</f>
        <v>470</v>
      </c>
    </row>
    <row r="459" spans="1:13" hidden="1">
      <c r="A459" s="1" t="s">
        <v>1507</v>
      </c>
      <c r="B459" s="1" t="s">
        <v>128</v>
      </c>
      <c r="C459" s="1" t="s">
        <v>1274</v>
      </c>
      <c r="D459" s="1" t="s">
        <v>71</v>
      </c>
      <c r="E459" s="1" t="str">
        <f t="shared" si="22"/>
        <v>GRENADAWESLACO</v>
      </c>
      <c r="F459" s="1" t="str">
        <f>A459&amp;B459&amp;C459&amp;D459</f>
        <v>GRENADAMSWESLACOTX</v>
      </c>
      <c r="G459" s="1">
        <v>1392.1399999999999</v>
      </c>
      <c r="H459" s="38">
        <f>G459*COSTS!$AA$27</f>
        <v>2088.21</v>
      </c>
      <c r="I459" s="1">
        <f>COSTS!$AA$28</f>
        <v>50</v>
      </c>
      <c r="J459" s="38">
        <f t="shared" si="20"/>
        <v>2138.21</v>
      </c>
      <c r="K459" s="38">
        <f t="shared" si="21"/>
        <v>485.95681818181816</v>
      </c>
      <c r="L459" s="151">
        <v>46023</v>
      </c>
      <c r="M459" s="1">
        <f>VLOOKUP(F:F,[1]Sheet1!$E:$F,2,FALSE)</f>
        <v>1614</v>
      </c>
    </row>
    <row r="460" spans="1:13" hidden="1">
      <c r="A460" s="1" t="s">
        <v>1507</v>
      </c>
      <c r="B460" s="1" t="s">
        <v>128</v>
      </c>
      <c r="C460" s="1" t="s">
        <v>1275</v>
      </c>
      <c r="D460" s="1" t="s">
        <v>136</v>
      </c>
      <c r="E460" s="1" t="str">
        <f t="shared" si="22"/>
        <v>GRENADASHELBY</v>
      </c>
      <c r="F460" s="1" t="str">
        <f>A460&amp;B460&amp;C460&amp;D460</f>
        <v>GRENADAMSSHELBYNC</v>
      </c>
      <c r="G460" s="1">
        <v>1450</v>
      </c>
      <c r="H460" s="38">
        <f>G460*COSTS!$AA$27</f>
        <v>2175</v>
      </c>
      <c r="I460" s="1">
        <f>COSTS!$AA$28</f>
        <v>50</v>
      </c>
      <c r="J460" s="38">
        <f t="shared" si="20"/>
        <v>2225</v>
      </c>
      <c r="K460" s="38">
        <f t="shared" si="21"/>
        <v>505.68181818181819</v>
      </c>
      <c r="L460" s="151">
        <v>46023</v>
      </c>
      <c r="M460" s="1">
        <f>VLOOKUP(F:F,[1]Sheet1!$E:$F,2,FALSE)</f>
        <v>1460</v>
      </c>
    </row>
    <row r="461" spans="1:13" hidden="1">
      <c r="A461" s="1" t="s">
        <v>1511</v>
      </c>
      <c r="B461" s="1" t="s">
        <v>128</v>
      </c>
      <c r="C461" s="1" t="s">
        <v>1033</v>
      </c>
      <c r="D461" s="1" t="s">
        <v>168</v>
      </c>
      <c r="E461" s="1" t="str">
        <f t="shared" si="22"/>
        <v>HOLLANDALEMEMPHIS</v>
      </c>
      <c r="F461" s="1" t="s">
        <v>1144</v>
      </c>
      <c r="G461" s="1">
        <v>725</v>
      </c>
      <c r="H461" s="38">
        <f>G461*COSTS!$AA$27</f>
        <v>1087.5</v>
      </c>
      <c r="I461" s="1">
        <f>COSTS!$AA$28</f>
        <v>50</v>
      </c>
      <c r="J461" s="38">
        <f t="shared" si="20"/>
        <v>1137.5</v>
      </c>
      <c r="K461" s="38">
        <f t="shared" si="21"/>
        <v>258.52272727272725</v>
      </c>
      <c r="L461" s="151">
        <v>46023</v>
      </c>
      <c r="M461" s="1" t="e">
        <f>VLOOKUP(F:F,[1]Sheet1!$E:$F,2,FALSE)</f>
        <v>#N/A</v>
      </c>
    </row>
    <row r="462" spans="1:13" hidden="1">
      <c r="A462" s="1" t="s">
        <v>1511</v>
      </c>
      <c r="B462" s="1" t="s">
        <v>128</v>
      </c>
      <c r="C462" s="1" t="s">
        <v>1274</v>
      </c>
      <c r="D462" s="1" t="s">
        <v>71</v>
      </c>
      <c r="E462" s="1" t="str">
        <f t="shared" si="22"/>
        <v>HOLLANDALEWESLACO</v>
      </c>
      <c r="F462" s="1" t="str">
        <f>A462&amp;B462&amp;C462&amp;D462</f>
        <v>HOLLANDALEMSWESLACOTX</v>
      </c>
      <c r="G462" s="1">
        <v>1263.3599999999999</v>
      </c>
      <c r="H462" s="38">
        <f>G462*COSTS!$AA$27</f>
        <v>1895.04</v>
      </c>
      <c r="I462" s="1">
        <f>COSTS!$AA$28</f>
        <v>50</v>
      </c>
      <c r="J462" s="38">
        <f t="shared" si="20"/>
        <v>1945.04</v>
      </c>
      <c r="K462" s="38">
        <f t="shared" si="21"/>
        <v>442.0545454545454</v>
      </c>
      <c r="L462" s="151">
        <v>46023</v>
      </c>
      <c r="M462" s="1" t="e">
        <f>VLOOKUP(F:F,[1]Sheet1!$E:$F,2,FALSE)</f>
        <v>#N/A</v>
      </c>
    </row>
    <row r="463" spans="1:13" hidden="1">
      <c r="A463" s="1" t="s">
        <v>1511</v>
      </c>
      <c r="B463" s="1" t="s">
        <v>128</v>
      </c>
      <c r="C463" s="1" t="s">
        <v>1275</v>
      </c>
      <c r="D463" s="1" t="s">
        <v>136</v>
      </c>
      <c r="E463" s="1" t="str">
        <f t="shared" si="22"/>
        <v>HOLLANDALESHELBY</v>
      </c>
      <c r="F463" s="1" t="str">
        <f>A463&amp;B463&amp;C463&amp;D463</f>
        <v>HOLLANDALEMSSHELBYNC</v>
      </c>
      <c r="G463" s="1">
        <v>1470</v>
      </c>
      <c r="H463" s="38">
        <f>G463*COSTS!$AA$27</f>
        <v>2205</v>
      </c>
      <c r="I463" s="1">
        <f>COSTS!$AA$28</f>
        <v>50</v>
      </c>
      <c r="J463" s="38">
        <f t="shared" si="20"/>
        <v>2255</v>
      </c>
      <c r="K463" s="38">
        <f t="shared" si="21"/>
        <v>512.5</v>
      </c>
      <c r="L463" s="151">
        <v>46023</v>
      </c>
      <c r="M463" s="1" t="e">
        <f>VLOOKUP(F:F,[1]Sheet1!$E:$F,2,FALSE)</f>
        <v>#N/A</v>
      </c>
    </row>
    <row r="464" spans="1:13" hidden="1">
      <c r="A464" s="1" t="s">
        <v>1513</v>
      </c>
      <c r="B464" s="1" t="s">
        <v>128</v>
      </c>
      <c r="C464" s="1" t="s">
        <v>1033</v>
      </c>
      <c r="D464" s="1" t="s">
        <v>168</v>
      </c>
      <c r="E464" s="1" t="str">
        <f t="shared" si="22"/>
        <v>HOLLY BLUFFMEMPHIS</v>
      </c>
      <c r="F464" s="1" t="s">
        <v>1146</v>
      </c>
      <c r="G464" s="1">
        <v>659</v>
      </c>
      <c r="H464" s="38">
        <f>G464*COSTS!$AA$27</f>
        <v>988.5</v>
      </c>
      <c r="I464" s="1">
        <f>COSTS!$AA$28</f>
        <v>50</v>
      </c>
      <c r="J464" s="38">
        <f t="shared" si="20"/>
        <v>1038.5</v>
      </c>
      <c r="K464" s="38">
        <f t="shared" si="21"/>
        <v>236.02272727272725</v>
      </c>
      <c r="L464" s="151">
        <v>46023</v>
      </c>
      <c r="M464" s="1" t="e">
        <f>VLOOKUP(F:F,[1]Sheet1!$E:$F,2,FALSE)</f>
        <v>#N/A</v>
      </c>
    </row>
    <row r="465" spans="1:13" hidden="1">
      <c r="A465" s="1" t="s">
        <v>1514</v>
      </c>
      <c r="B465" s="1" t="s">
        <v>128</v>
      </c>
      <c r="C465" s="1" t="s">
        <v>1033</v>
      </c>
      <c r="D465" s="1" t="s">
        <v>168</v>
      </c>
      <c r="E465" s="1" t="str">
        <f t="shared" si="22"/>
        <v>HOLLY SPRINGSMEMPHIS</v>
      </c>
      <c r="F465" s="1" t="s">
        <v>1147</v>
      </c>
      <c r="G465" s="1">
        <v>395</v>
      </c>
      <c r="H465" s="38">
        <f>G465*COSTS!$AA$27</f>
        <v>592.5</v>
      </c>
      <c r="I465" s="1">
        <f>COSTS!$AA$28</f>
        <v>50</v>
      </c>
      <c r="J465" s="38">
        <f t="shared" si="20"/>
        <v>642.5</v>
      </c>
      <c r="K465" s="38">
        <f t="shared" si="21"/>
        <v>146.02272727272725</v>
      </c>
      <c r="L465" s="151">
        <v>46023</v>
      </c>
      <c r="M465" s="1" t="e">
        <f>VLOOKUP(F:F,[1]Sheet1!$E:$F,2,FALSE)</f>
        <v>#N/A</v>
      </c>
    </row>
    <row r="466" spans="1:13" hidden="1">
      <c r="A466" s="1" t="s">
        <v>1514</v>
      </c>
      <c r="B466" s="1" t="s">
        <v>128</v>
      </c>
      <c r="C466" s="1" t="s">
        <v>1274</v>
      </c>
      <c r="D466" s="1" t="s">
        <v>71</v>
      </c>
      <c r="E466" s="1" t="str">
        <f t="shared" si="22"/>
        <v>HOLLY SPRINGSWESLACO</v>
      </c>
      <c r="F466" s="1" t="str">
        <f>A466&amp;B466&amp;C466&amp;D466</f>
        <v>HOLLY SPRINGSMSWESLACOTX</v>
      </c>
      <c r="G466" s="1">
        <v>1418.4599999999998</v>
      </c>
      <c r="H466" s="38">
        <f>G466*COSTS!$AA$27</f>
        <v>2127.6899999999996</v>
      </c>
      <c r="I466" s="1">
        <f>COSTS!$AA$28</f>
        <v>50</v>
      </c>
      <c r="J466" s="38">
        <f t="shared" si="20"/>
        <v>2177.6899999999996</v>
      </c>
      <c r="K466" s="38">
        <f t="shared" si="21"/>
        <v>494.9295454545454</v>
      </c>
      <c r="L466" s="151">
        <v>46023</v>
      </c>
      <c r="M466" s="1" t="e">
        <f>VLOOKUP(F:F,[1]Sheet1!$E:$F,2,FALSE)</f>
        <v>#N/A</v>
      </c>
    </row>
    <row r="467" spans="1:13" hidden="1">
      <c r="A467" s="1" t="s">
        <v>1515</v>
      </c>
      <c r="B467" s="1" t="s">
        <v>128</v>
      </c>
      <c r="C467" s="1" t="s">
        <v>1033</v>
      </c>
      <c r="D467" s="1" t="s">
        <v>168</v>
      </c>
      <c r="E467" s="1" t="str">
        <f t="shared" si="22"/>
        <v>HORN LAKEMEMPHIS</v>
      </c>
      <c r="F467" s="1" t="s">
        <v>1148</v>
      </c>
      <c r="G467" s="1">
        <v>397</v>
      </c>
      <c r="H467" s="38">
        <f>G467*COSTS!$AA$27</f>
        <v>595.5</v>
      </c>
      <c r="I467" s="1">
        <f>COSTS!$AA$28</f>
        <v>50</v>
      </c>
      <c r="J467" s="38">
        <f t="shared" si="20"/>
        <v>645.5</v>
      </c>
      <c r="K467" s="38">
        <f t="shared" si="21"/>
        <v>146.70454545454544</v>
      </c>
      <c r="L467" s="151">
        <v>46023</v>
      </c>
      <c r="M467" s="1" t="e">
        <f>VLOOKUP(F:F,[1]Sheet1!$E:$F,2,FALSE)</f>
        <v>#N/A</v>
      </c>
    </row>
    <row r="468" spans="1:13" hidden="1">
      <c r="A468" s="1" t="s">
        <v>1517</v>
      </c>
      <c r="B468" s="1" t="s">
        <v>128</v>
      </c>
      <c r="C468" s="1" t="s">
        <v>1033</v>
      </c>
      <c r="D468" s="1" t="s">
        <v>168</v>
      </c>
      <c r="E468" s="1" t="str">
        <f t="shared" si="22"/>
        <v>HOUSTONMEMPHIS</v>
      </c>
      <c r="F468" s="1" t="s">
        <v>1150</v>
      </c>
      <c r="G468" s="1">
        <v>710</v>
      </c>
      <c r="H468" s="38">
        <f>G468*COSTS!$AA$27</f>
        <v>1065</v>
      </c>
      <c r="I468" s="1">
        <f>COSTS!$AA$28</f>
        <v>50</v>
      </c>
      <c r="J468" s="38">
        <f t="shared" si="20"/>
        <v>1115</v>
      </c>
      <c r="K468" s="38">
        <f t="shared" si="21"/>
        <v>253.40909090909091</v>
      </c>
      <c r="L468" s="151">
        <v>46023</v>
      </c>
      <c r="M468" s="1" t="e">
        <f>VLOOKUP(F:F,[1]Sheet1!$E:$F,2,FALSE)</f>
        <v>#N/A</v>
      </c>
    </row>
    <row r="469" spans="1:13" hidden="1">
      <c r="A469" s="1" t="s">
        <v>1517</v>
      </c>
      <c r="B469" s="1" t="s">
        <v>128</v>
      </c>
      <c r="C469" s="1" t="s">
        <v>1274</v>
      </c>
      <c r="D469" s="1" t="s">
        <v>71</v>
      </c>
      <c r="E469" s="1" t="str">
        <f t="shared" si="22"/>
        <v>HOUSTONWESLACO</v>
      </c>
      <c r="F469" s="1" t="str">
        <f>A469&amp;B469&amp;C469&amp;D469</f>
        <v>HOUSTONMSWESLACOTX</v>
      </c>
      <c r="G469" s="1">
        <v>1249.26</v>
      </c>
      <c r="H469" s="38">
        <f>G469*COSTS!$AA$27</f>
        <v>1873.8899999999999</v>
      </c>
      <c r="I469" s="1">
        <f>COSTS!$AA$28</f>
        <v>50</v>
      </c>
      <c r="J469" s="38">
        <f t="shared" si="20"/>
        <v>1923.8899999999999</v>
      </c>
      <c r="K469" s="38">
        <f t="shared" si="21"/>
        <v>437.24772727272722</v>
      </c>
      <c r="L469" s="151">
        <v>46023</v>
      </c>
      <c r="M469" s="1" t="e">
        <f>VLOOKUP(F:F,[1]Sheet1!$E:$F,2,FALSE)</f>
        <v>#N/A</v>
      </c>
    </row>
    <row r="470" spans="1:13" hidden="1">
      <c r="A470" s="1" t="s">
        <v>1518</v>
      </c>
      <c r="B470" s="1" t="s">
        <v>128</v>
      </c>
      <c r="C470" s="1" t="s">
        <v>1033</v>
      </c>
      <c r="D470" s="1" t="s">
        <v>168</v>
      </c>
      <c r="E470" s="1" t="str">
        <f t="shared" si="22"/>
        <v>INDIANOLAMEMPHIS</v>
      </c>
      <c r="F470" s="1" t="s">
        <v>1154</v>
      </c>
      <c r="G470" s="1">
        <v>557</v>
      </c>
      <c r="H470" s="38">
        <f>G470*COSTS!$AA$27</f>
        <v>835.5</v>
      </c>
      <c r="I470" s="1">
        <f>COSTS!$AA$28</f>
        <v>50</v>
      </c>
      <c r="J470" s="38">
        <f t="shared" si="20"/>
        <v>885.5</v>
      </c>
      <c r="K470" s="38">
        <f t="shared" si="21"/>
        <v>201.25</v>
      </c>
      <c r="L470" s="151">
        <v>46023</v>
      </c>
      <c r="M470" s="1">
        <f>VLOOKUP(F:F,[1]Sheet1!$E:$F,2,FALSE)</f>
        <v>520</v>
      </c>
    </row>
    <row r="471" spans="1:13" hidden="1">
      <c r="A471" s="1" t="s">
        <v>1518</v>
      </c>
      <c r="B471" s="1" t="s">
        <v>128</v>
      </c>
      <c r="C471" s="1" t="s">
        <v>1274</v>
      </c>
      <c r="D471" s="1" t="s">
        <v>71</v>
      </c>
      <c r="E471" s="1" t="str">
        <f t="shared" si="22"/>
        <v>INDIANOLAWESLACO</v>
      </c>
      <c r="F471" s="1" t="str">
        <f>A471&amp;B471&amp;C471&amp;D471</f>
        <v>INDIANOLAMSWESLACOTX</v>
      </c>
      <c r="G471" s="1">
        <v>1260.54</v>
      </c>
      <c r="H471" s="38">
        <f>G471*COSTS!$AA$27</f>
        <v>1890.81</v>
      </c>
      <c r="I471" s="1">
        <f>COSTS!$AA$28</f>
        <v>50</v>
      </c>
      <c r="J471" s="38">
        <f t="shared" si="20"/>
        <v>1940.81</v>
      </c>
      <c r="K471" s="38">
        <f t="shared" si="21"/>
        <v>441.09318181818185</v>
      </c>
      <c r="L471" s="151">
        <v>46023</v>
      </c>
      <c r="M471" s="1">
        <f>VLOOKUP(F:F,[1]Sheet1!$E:$F,2,FALSE)</f>
        <v>1510</v>
      </c>
    </row>
    <row r="472" spans="1:13" hidden="1">
      <c r="A472" s="1" t="s">
        <v>1518</v>
      </c>
      <c r="B472" s="1" t="s">
        <v>128</v>
      </c>
      <c r="C472" s="1" t="s">
        <v>1275</v>
      </c>
      <c r="D472" s="1" t="s">
        <v>136</v>
      </c>
      <c r="E472" s="1" t="str">
        <f t="shared" si="22"/>
        <v>INDIANOLASHELBY</v>
      </c>
      <c r="F472" s="1" t="str">
        <f>A472&amp;B472&amp;C472&amp;D472</f>
        <v>INDIANOLAMSSHELBYNC</v>
      </c>
      <c r="G472" s="1">
        <v>1425</v>
      </c>
      <c r="H472" s="38">
        <f>G472*COSTS!$AA$27</f>
        <v>2137.5</v>
      </c>
      <c r="I472" s="1">
        <f>COSTS!$AA$28</f>
        <v>50</v>
      </c>
      <c r="J472" s="38">
        <f t="shared" si="20"/>
        <v>2187.5</v>
      </c>
      <c r="K472" s="38">
        <f t="shared" si="21"/>
        <v>497.15909090909093</v>
      </c>
      <c r="L472" s="151">
        <v>46023</v>
      </c>
      <c r="M472" s="1">
        <f>VLOOKUP(F:F,[1]Sheet1!$E:$F,2,FALSE)</f>
        <v>1530</v>
      </c>
    </row>
    <row r="473" spans="1:13" hidden="1">
      <c r="A473" s="1" t="s">
        <v>1372</v>
      </c>
      <c r="B473" s="1" t="s">
        <v>128</v>
      </c>
      <c r="C473" s="1" t="s">
        <v>847</v>
      </c>
      <c r="D473" s="1" t="s">
        <v>76</v>
      </c>
      <c r="E473" s="1" t="str">
        <f>A473&amp;(IF(C473="Garden City","Savannah",C473))</f>
        <v>INVERNESSSavannah</v>
      </c>
      <c r="F473" s="1" t="s">
        <v>932</v>
      </c>
      <c r="G473" s="1">
        <v>1102.5</v>
      </c>
      <c r="H473" s="38">
        <f>G473*COSTS!$AA$27</f>
        <v>1653.75</v>
      </c>
      <c r="I473" s="1">
        <f>COSTS!$AA$28</f>
        <v>50</v>
      </c>
      <c r="J473" s="38">
        <f t="shared" si="20"/>
        <v>1703.75</v>
      </c>
      <c r="K473" s="38">
        <f t="shared" si="21"/>
        <v>387.21590909090907</v>
      </c>
      <c r="L473" s="151">
        <v>46023</v>
      </c>
      <c r="M473" s="1">
        <f>VLOOKUP(F:F,[1]Sheet1!$E:$F,2,FALSE)</f>
        <v>1720</v>
      </c>
    </row>
    <row r="474" spans="1:13" hidden="1">
      <c r="A474" s="1" t="s">
        <v>1372</v>
      </c>
      <c r="B474" s="1" t="s">
        <v>128</v>
      </c>
      <c r="C474" s="1" t="s">
        <v>1033</v>
      </c>
      <c r="D474" s="1" t="s">
        <v>168</v>
      </c>
      <c r="E474" s="1" t="str">
        <f t="shared" ref="E474:E485" si="23">A474&amp;C474</f>
        <v>INVERNESSMEMPHIS</v>
      </c>
      <c r="F474" s="1" t="s">
        <v>1155</v>
      </c>
      <c r="G474" s="1">
        <v>675</v>
      </c>
      <c r="H474" s="38">
        <f>G474*COSTS!$AA$27</f>
        <v>1012.5</v>
      </c>
      <c r="I474" s="1">
        <f>COSTS!$AA$28</f>
        <v>50</v>
      </c>
      <c r="J474" s="38">
        <f t="shared" si="20"/>
        <v>1062.5</v>
      </c>
      <c r="K474" s="38">
        <f t="shared" si="21"/>
        <v>241.47727272727275</v>
      </c>
      <c r="L474" s="151">
        <v>46023</v>
      </c>
      <c r="M474" s="1">
        <f>VLOOKUP(F:F,[1]Sheet1!$E:$F,2,FALSE)</f>
        <v>530</v>
      </c>
    </row>
    <row r="475" spans="1:13" hidden="1">
      <c r="A475" s="1" t="s">
        <v>1372</v>
      </c>
      <c r="B475" s="1" t="s">
        <v>128</v>
      </c>
      <c r="C475" s="1" t="s">
        <v>1274</v>
      </c>
      <c r="D475" s="1" t="s">
        <v>71</v>
      </c>
      <c r="E475" s="1" t="str">
        <f t="shared" si="23"/>
        <v>INVERNESSWESLACO</v>
      </c>
      <c r="F475" s="1" t="str">
        <f>A475&amp;B475&amp;C475&amp;D475</f>
        <v>INVERNESSMSWESLACOTX</v>
      </c>
      <c r="G475" s="1">
        <v>1335.74</v>
      </c>
      <c r="H475" s="38">
        <f>G475*COSTS!$AA$27</f>
        <v>2003.6100000000001</v>
      </c>
      <c r="I475" s="1">
        <f>COSTS!$AA$28</f>
        <v>50</v>
      </c>
      <c r="J475" s="38">
        <f t="shared" si="20"/>
        <v>2053.61</v>
      </c>
      <c r="K475" s="38">
        <f t="shared" si="21"/>
        <v>466.72954545454553</v>
      </c>
      <c r="L475" s="151">
        <v>46023</v>
      </c>
      <c r="M475" s="1">
        <f>VLOOKUP(F:F,[1]Sheet1!$E:$F,2,FALSE)</f>
        <v>1603</v>
      </c>
    </row>
    <row r="476" spans="1:13" hidden="1">
      <c r="A476" s="1" t="s">
        <v>1372</v>
      </c>
      <c r="B476" s="1" t="s">
        <v>128</v>
      </c>
      <c r="C476" s="1" t="s">
        <v>1275</v>
      </c>
      <c r="D476" s="1" t="s">
        <v>136</v>
      </c>
      <c r="E476" s="1" t="str">
        <f t="shared" si="23"/>
        <v>INVERNESSSHELBY</v>
      </c>
      <c r="F476" s="1" t="str">
        <f>A476&amp;B476&amp;C476&amp;D476</f>
        <v>INVERNESSMSSHELBYNC</v>
      </c>
      <c r="G476" s="1">
        <v>1430</v>
      </c>
      <c r="H476" s="38">
        <f>G476*COSTS!$AA$27</f>
        <v>2145</v>
      </c>
      <c r="I476" s="1">
        <f>COSTS!$AA$28</f>
        <v>50</v>
      </c>
      <c r="J476" s="38">
        <f t="shared" si="20"/>
        <v>2195</v>
      </c>
      <c r="K476" s="38">
        <f t="shared" si="21"/>
        <v>498.86363636363632</v>
      </c>
      <c r="L476" s="151">
        <v>46023</v>
      </c>
      <c r="M476" s="1">
        <f>VLOOKUP(F:F,[1]Sheet1!$E:$F,2,FALSE)</f>
        <v>1540</v>
      </c>
    </row>
    <row r="477" spans="1:13" hidden="1">
      <c r="A477" s="1" t="s">
        <v>1519</v>
      </c>
      <c r="B477" s="1" t="s">
        <v>128</v>
      </c>
      <c r="C477" s="1" t="s">
        <v>1033</v>
      </c>
      <c r="D477" s="1" t="s">
        <v>168</v>
      </c>
      <c r="E477" s="1" t="str">
        <f t="shared" si="23"/>
        <v>ITTA BENAMEMPHIS</v>
      </c>
      <c r="F477" s="1" t="s">
        <v>1156</v>
      </c>
      <c r="G477" s="1">
        <v>529</v>
      </c>
      <c r="H477" s="38">
        <f>G477*COSTS!$AA$27</f>
        <v>793.5</v>
      </c>
      <c r="I477" s="1">
        <f>COSTS!$AA$28</f>
        <v>50</v>
      </c>
      <c r="J477" s="38">
        <f t="shared" si="20"/>
        <v>843.5</v>
      </c>
      <c r="K477" s="38">
        <f t="shared" si="21"/>
        <v>191.70454545454547</v>
      </c>
      <c r="L477" s="151">
        <v>46023</v>
      </c>
      <c r="M477" s="1" t="e">
        <f>VLOOKUP(F:F,[1]Sheet1!$E:$F,2,FALSE)</f>
        <v>#N/A</v>
      </c>
    </row>
    <row r="478" spans="1:13" hidden="1">
      <c r="A478" s="1" t="s">
        <v>1519</v>
      </c>
      <c r="B478" s="1" t="s">
        <v>128</v>
      </c>
      <c r="C478" s="1" t="s">
        <v>1274</v>
      </c>
      <c r="D478" s="1" t="s">
        <v>71</v>
      </c>
      <c r="E478" s="1" t="str">
        <f t="shared" si="23"/>
        <v>ITTA BENAWESLACO</v>
      </c>
      <c r="F478" s="1" t="str">
        <f>A478&amp;B478&amp;C478&amp;D478</f>
        <v>ITTA BENAMSWESLACOTX</v>
      </c>
      <c r="G478" s="1">
        <v>1288.74</v>
      </c>
      <c r="H478" s="38">
        <f>G478*COSTS!$AA$27</f>
        <v>1933.1100000000001</v>
      </c>
      <c r="I478" s="1">
        <f>COSTS!$AA$28</f>
        <v>50</v>
      </c>
      <c r="J478" s="38">
        <f t="shared" si="20"/>
        <v>1983.1100000000001</v>
      </c>
      <c r="K478" s="38">
        <f t="shared" si="21"/>
        <v>450.70681818181816</v>
      </c>
      <c r="L478" s="151">
        <v>46023</v>
      </c>
      <c r="M478" s="1">
        <f>VLOOKUP(F:F,[1]Sheet1!$E:$F,2,FALSE)</f>
        <v>1614</v>
      </c>
    </row>
    <row r="479" spans="1:13" hidden="1">
      <c r="A479" s="1" t="s">
        <v>1519</v>
      </c>
      <c r="B479" s="1" t="s">
        <v>128</v>
      </c>
      <c r="C479" s="1" t="s">
        <v>1275</v>
      </c>
      <c r="D479" s="1" t="s">
        <v>136</v>
      </c>
      <c r="E479" s="1" t="str">
        <f t="shared" si="23"/>
        <v>ITTA BENASHELBY</v>
      </c>
      <c r="F479" s="1" t="str">
        <f>A479&amp;B479&amp;C479&amp;D479</f>
        <v>ITTA BENAMSSHELBYNC</v>
      </c>
      <c r="G479" s="1">
        <v>1470</v>
      </c>
      <c r="H479" s="38">
        <f>G479*COSTS!$AA$27</f>
        <v>2205</v>
      </c>
      <c r="I479" s="1">
        <f>COSTS!$AA$28</f>
        <v>50</v>
      </c>
      <c r="J479" s="38">
        <f t="shared" si="20"/>
        <v>2255</v>
      </c>
      <c r="K479" s="38">
        <f t="shared" si="21"/>
        <v>512.5</v>
      </c>
      <c r="L479" s="151">
        <v>46023</v>
      </c>
      <c r="M479" s="1" t="e">
        <f>VLOOKUP(F:F,[1]Sheet1!$E:$F,2,FALSE)</f>
        <v>#N/A</v>
      </c>
    </row>
    <row r="480" spans="1:13" hidden="1">
      <c r="A480" s="1" t="s">
        <v>1520</v>
      </c>
      <c r="B480" s="1" t="s">
        <v>128</v>
      </c>
      <c r="C480" s="1" t="s">
        <v>1033</v>
      </c>
      <c r="D480" s="1" t="s">
        <v>168</v>
      </c>
      <c r="E480" s="1" t="str">
        <f t="shared" si="23"/>
        <v>ITTABENAMEMPHIS</v>
      </c>
      <c r="F480" s="1" t="s">
        <v>1157</v>
      </c>
      <c r="G480" s="1">
        <v>528</v>
      </c>
      <c r="H480" s="38">
        <f>G480*COSTS!$AA$27</f>
        <v>792</v>
      </c>
      <c r="I480" s="1">
        <f>COSTS!$AA$28</f>
        <v>50</v>
      </c>
      <c r="J480" s="38">
        <f t="shared" si="20"/>
        <v>842</v>
      </c>
      <c r="K480" s="38">
        <f t="shared" si="21"/>
        <v>191.36363636363637</v>
      </c>
      <c r="L480" s="151">
        <v>46023</v>
      </c>
      <c r="M480" s="1" t="e">
        <f>VLOOKUP(F:F,[1]Sheet1!$E:$F,2,FALSE)</f>
        <v>#N/A</v>
      </c>
    </row>
    <row r="481" spans="1:13" hidden="1">
      <c r="A481" s="1" t="s">
        <v>1373</v>
      </c>
      <c r="B481" s="1" t="s">
        <v>128</v>
      </c>
      <c r="C481" s="1" t="s">
        <v>1033</v>
      </c>
      <c r="D481" s="1" t="s">
        <v>168</v>
      </c>
      <c r="E481" s="1" t="str">
        <f t="shared" si="23"/>
        <v>JACKSONMEMPHIS</v>
      </c>
      <c r="F481" s="1" t="s">
        <v>1158</v>
      </c>
      <c r="G481" s="1">
        <v>925</v>
      </c>
      <c r="H481" s="38">
        <f>G481*COSTS!$AA$27</f>
        <v>1387.5</v>
      </c>
      <c r="I481" s="1">
        <f>COSTS!$AA$28</f>
        <v>50</v>
      </c>
      <c r="J481" s="38">
        <f t="shared" si="20"/>
        <v>1437.5</v>
      </c>
      <c r="K481" s="38">
        <f t="shared" si="21"/>
        <v>326.7045454545455</v>
      </c>
      <c r="L481" s="151">
        <v>46023</v>
      </c>
      <c r="M481" s="1" t="e">
        <f>VLOOKUP(F:F,[1]Sheet1!$E:$F,2,FALSE)</f>
        <v>#N/A</v>
      </c>
    </row>
    <row r="482" spans="1:13" hidden="1">
      <c r="A482" s="1" t="s">
        <v>1524</v>
      </c>
      <c r="B482" s="1" t="s">
        <v>128</v>
      </c>
      <c r="C482" s="1" t="s">
        <v>1033</v>
      </c>
      <c r="D482" s="1" t="s">
        <v>168</v>
      </c>
      <c r="E482" s="1" t="str">
        <f t="shared" si="23"/>
        <v>KOSCIUSKOMEMPHIS</v>
      </c>
      <c r="F482" s="1" t="s">
        <v>1164</v>
      </c>
      <c r="G482" s="1">
        <v>616</v>
      </c>
      <c r="H482" s="38">
        <f>G482*COSTS!$AA$27</f>
        <v>924</v>
      </c>
      <c r="I482" s="1">
        <f>COSTS!$AA$28</f>
        <v>50</v>
      </c>
      <c r="J482" s="38">
        <f t="shared" si="20"/>
        <v>974</v>
      </c>
      <c r="K482" s="38">
        <f t="shared" si="21"/>
        <v>221.36363636363637</v>
      </c>
      <c r="L482" s="151">
        <v>46023</v>
      </c>
      <c r="M482" s="1" t="e">
        <f>VLOOKUP(F:F,[1]Sheet1!$E:$F,2,FALSE)</f>
        <v>#N/A</v>
      </c>
    </row>
    <row r="483" spans="1:13" hidden="1">
      <c r="A483" s="1" t="s">
        <v>1525</v>
      </c>
      <c r="B483" s="1" t="s">
        <v>128</v>
      </c>
      <c r="C483" s="1" t="s">
        <v>1033</v>
      </c>
      <c r="D483" s="1" t="s">
        <v>168</v>
      </c>
      <c r="E483" s="1" t="str">
        <f t="shared" si="23"/>
        <v>LELANDMEMPHIS</v>
      </c>
      <c r="F483" s="1" t="s">
        <v>1167</v>
      </c>
      <c r="G483" s="1">
        <v>574</v>
      </c>
      <c r="H483" s="38">
        <f>G483*COSTS!$AA$27</f>
        <v>861</v>
      </c>
      <c r="I483" s="1">
        <f>COSTS!$AA$28</f>
        <v>50</v>
      </c>
      <c r="J483" s="38">
        <f t="shared" si="20"/>
        <v>911</v>
      </c>
      <c r="K483" s="38">
        <f t="shared" si="21"/>
        <v>207.04545454545453</v>
      </c>
      <c r="L483" s="151">
        <v>46023</v>
      </c>
      <c r="M483" s="1" t="e">
        <f>VLOOKUP(F:F,[1]Sheet1!$E:$F,2,FALSE)</f>
        <v>#N/A</v>
      </c>
    </row>
    <row r="484" spans="1:13" hidden="1">
      <c r="A484" s="1" t="s">
        <v>1525</v>
      </c>
      <c r="B484" s="1" t="s">
        <v>128</v>
      </c>
      <c r="C484" s="1" t="s">
        <v>1274</v>
      </c>
      <c r="D484" s="1" t="s">
        <v>71</v>
      </c>
      <c r="E484" s="1" t="str">
        <f t="shared" si="23"/>
        <v>LELANDWESLACO</v>
      </c>
      <c r="F484" s="1" t="str">
        <f>A484&amp;B484&amp;C484&amp;D484</f>
        <v>LELANDMSWESLACOTX</v>
      </c>
      <c r="G484" s="1">
        <v>1269</v>
      </c>
      <c r="H484" s="38">
        <f>G484*COSTS!$AA$27</f>
        <v>1903.5</v>
      </c>
      <c r="I484" s="1">
        <f>COSTS!$AA$28</f>
        <v>50</v>
      </c>
      <c r="J484" s="38">
        <f t="shared" si="20"/>
        <v>1953.5</v>
      </c>
      <c r="K484" s="38">
        <f t="shared" si="21"/>
        <v>443.97727272727275</v>
      </c>
      <c r="L484" s="151">
        <v>46023</v>
      </c>
      <c r="M484" s="1" t="e">
        <f>VLOOKUP(F:F,[1]Sheet1!$E:$F,2,FALSE)</f>
        <v>#N/A</v>
      </c>
    </row>
    <row r="485" spans="1:13" hidden="1">
      <c r="A485" s="1" t="s">
        <v>1530</v>
      </c>
      <c r="B485" s="1" t="s">
        <v>128</v>
      </c>
      <c r="C485" s="1" t="s">
        <v>1033</v>
      </c>
      <c r="D485" s="1" t="s">
        <v>168</v>
      </c>
      <c r="E485" s="1" t="str">
        <f t="shared" si="23"/>
        <v>MACONMEMPHIS</v>
      </c>
      <c r="F485" s="1" t="s">
        <v>1175</v>
      </c>
      <c r="G485" s="1">
        <v>647</v>
      </c>
      <c r="H485" s="38">
        <f>G485*COSTS!$AA$27</f>
        <v>970.5</v>
      </c>
      <c r="I485" s="1">
        <f>COSTS!$AA$28</f>
        <v>50</v>
      </c>
      <c r="J485" s="38">
        <f t="shared" si="20"/>
        <v>1020.5</v>
      </c>
      <c r="K485" s="38">
        <f t="shared" si="21"/>
        <v>231.93181818181816</v>
      </c>
      <c r="L485" s="151">
        <v>46023</v>
      </c>
      <c r="M485" s="1" t="e">
        <f>VLOOKUP(F:F,[1]Sheet1!$E:$F,2,FALSE)</f>
        <v>#N/A</v>
      </c>
    </row>
    <row r="486" spans="1:13" hidden="1">
      <c r="A486" s="1" t="s">
        <v>1405</v>
      </c>
      <c r="B486" s="1" t="s">
        <v>128</v>
      </c>
      <c r="C486" s="1" t="s">
        <v>847</v>
      </c>
      <c r="D486" s="1" t="s">
        <v>76</v>
      </c>
      <c r="E486" s="1" t="str">
        <f>A486&amp;(IF(C486="Garden City","Savannah",C486))</f>
        <v>NEW ALBANYSavannah</v>
      </c>
      <c r="F486" s="1" t="s">
        <v>967</v>
      </c>
      <c r="G486" s="1">
        <v>1240.31</v>
      </c>
      <c r="H486" s="38">
        <f>G486*COSTS!$AA$27</f>
        <v>1860.4649999999999</v>
      </c>
      <c r="I486" s="1">
        <f>COSTS!$AA$28</f>
        <v>50</v>
      </c>
      <c r="J486" s="38">
        <f t="shared" si="20"/>
        <v>1910.4649999999999</v>
      </c>
      <c r="K486" s="38">
        <f t="shared" si="21"/>
        <v>434.19659090909084</v>
      </c>
      <c r="L486" s="151">
        <v>46023</v>
      </c>
      <c r="M486" s="1" t="e">
        <f>VLOOKUP(F:F,[1]Sheet1!$E:$F,2,FALSE)</f>
        <v>#N/A</v>
      </c>
    </row>
    <row r="487" spans="1:13" hidden="1">
      <c r="A487" s="1" t="s">
        <v>1405</v>
      </c>
      <c r="B487" s="1" t="s">
        <v>128</v>
      </c>
      <c r="C487" s="1" t="s">
        <v>1033</v>
      </c>
      <c r="D487" s="1" t="s">
        <v>168</v>
      </c>
      <c r="E487" s="1" t="str">
        <f t="shared" ref="E487:E497" si="24">A487&amp;C487</f>
        <v>NEW ALBANYMEMPHIS</v>
      </c>
      <c r="F487" s="1" t="s">
        <v>1197</v>
      </c>
      <c r="G487" s="1">
        <v>456</v>
      </c>
      <c r="H487" s="38">
        <f>G487*COSTS!$AA$27</f>
        <v>684</v>
      </c>
      <c r="I487" s="1">
        <f>COSTS!$AA$28</f>
        <v>50</v>
      </c>
      <c r="J487" s="38">
        <f t="shared" si="20"/>
        <v>734</v>
      </c>
      <c r="K487" s="38">
        <f t="shared" si="21"/>
        <v>166.81818181818184</v>
      </c>
      <c r="L487" s="151">
        <v>46023</v>
      </c>
      <c r="M487" s="1" t="e">
        <f>VLOOKUP(F:F,[1]Sheet1!$E:$F,2,FALSE)</f>
        <v>#N/A</v>
      </c>
    </row>
    <row r="488" spans="1:13" hidden="1">
      <c r="A488" s="1" t="s">
        <v>1405</v>
      </c>
      <c r="B488" s="1" t="s">
        <v>128</v>
      </c>
      <c r="C488" s="1" t="s">
        <v>1274</v>
      </c>
      <c r="D488" s="1" t="s">
        <v>71</v>
      </c>
      <c r="E488" s="1" t="str">
        <f t="shared" si="24"/>
        <v>NEW ALBANYWESLACO</v>
      </c>
      <c r="F488" s="1" t="str">
        <f>A488&amp;B488&amp;C488&amp;D488</f>
        <v>NEW ALBANYMSWESLACOTX</v>
      </c>
      <c r="G488" s="1">
        <v>1494.6</v>
      </c>
      <c r="H488" s="38">
        <f>G488*COSTS!$AA$27</f>
        <v>2241.8999999999996</v>
      </c>
      <c r="I488" s="1">
        <f>COSTS!$AA$28</f>
        <v>50</v>
      </c>
      <c r="J488" s="38">
        <f t="shared" si="20"/>
        <v>2291.8999999999996</v>
      </c>
      <c r="K488" s="38">
        <f t="shared" si="21"/>
        <v>520.88636363636351</v>
      </c>
      <c r="L488" s="151">
        <v>46023</v>
      </c>
      <c r="M488" s="1" t="e">
        <f>VLOOKUP(F:F,[1]Sheet1!$E:$F,2,FALSE)</f>
        <v>#N/A</v>
      </c>
    </row>
    <row r="489" spans="1:13" hidden="1">
      <c r="A489" s="1" t="s">
        <v>1540</v>
      </c>
      <c r="B489" s="1" t="s">
        <v>128</v>
      </c>
      <c r="C489" s="1" t="s">
        <v>1033</v>
      </c>
      <c r="D489" s="1" t="s">
        <v>168</v>
      </c>
      <c r="E489" s="1" t="str">
        <f t="shared" si="24"/>
        <v>OLIVE BRANCHMEMPHIS</v>
      </c>
      <c r="F489" s="1" t="s">
        <v>1205</v>
      </c>
      <c r="G489" s="1">
        <v>340</v>
      </c>
      <c r="H489" s="38">
        <f>G489*COSTS!$AA$27</f>
        <v>510</v>
      </c>
      <c r="I489" s="1">
        <f>COSTS!$AA$28</f>
        <v>50</v>
      </c>
      <c r="J489" s="38">
        <f t="shared" si="20"/>
        <v>560</v>
      </c>
      <c r="K489" s="38">
        <f t="shared" si="21"/>
        <v>127.27272727272727</v>
      </c>
      <c r="L489" s="151">
        <v>46023</v>
      </c>
      <c r="M489" s="1">
        <f>VLOOKUP(F:F,[1]Sheet1!$E:$F,2,FALSE)</f>
        <v>350</v>
      </c>
    </row>
    <row r="490" spans="1:13" hidden="1">
      <c r="A490" s="1" t="s">
        <v>1540</v>
      </c>
      <c r="B490" s="1" t="s">
        <v>128</v>
      </c>
      <c r="C490" s="1" t="s">
        <v>1275</v>
      </c>
      <c r="D490" s="1" t="s">
        <v>136</v>
      </c>
      <c r="E490" s="1" t="str">
        <f t="shared" si="24"/>
        <v>OLIVE BRANCHSHELBY</v>
      </c>
      <c r="F490" s="1" t="str">
        <f>A490&amp;B490&amp;C490&amp;D490</f>
        <v>OLIVE BRANCHMSSHELBYNC</v>
      </c>
      <c r="G490" s="1">
        <v>1255</v>
      </c>
      <c r="H490" s="38">
        <f>G490*COSTS!$AA$27</f>
        <v>1882.5</v>
      </c>
      <c r="I490" s="1">
        <f>COSTS!$AA$28</f>
        <v>50</v>
      </c>
      <c r="J490" s="38">
        <f t="shared" si="20"/>
        <v>1932.5</v>
      </c>
      <c r="K490" s="38">
        <f t="shared" si="21"/>
        <v>439.2045454545455</v>
      </c>
      <c r="L490" s="151">
        <v>46023</v>
      </c>
      <c r="M490" s="1">
        <f>VLOOKUP(F:F,[1]Sheet1!$E:$F,2,FALSE)</f>
        <v>1440</v>
      </c>
    </row>
    <row r="491" spans="1:13" hidden="1">
      <c r="A491" s="1" t="s">
        <v>1567</v>
      </c>
      <c r="B491" s="1" t="s">
        <v>128</v>
      </c>
      <c r="C491" s="1" t="s">
        <v>1274</v>
      </c>
      <c r="D491" s="1" t="s">
        <v>71</v>
      </c>
      <c r="E491" s="1" t="str">
        <f t="shared" si="24"/>
        <v>PONTOTOCWESLACO</v>
      </c>
      <c r="F491" s="1" t="str">
        <f>A491&amp;B491&amp;C491&amp;D491</f>
        <v>PONTOTOCMSWESLACOTX</v>
      </c>
      <c r="G491" s="1">
        <v>1250.1999999999998</v>
      </c>
      <c r="H491" s="38">
        <f>G491*COSTS!$AA$27</f>
        <v>1875.2999999999997</v>
      </c>
      <c r="I491" s="1">
        <f>COSTS!$AA$28</f>
        <v>50</v>
      </c>
      <c r="J491" s="38">
        <f t="shared" si="20"/>
        <v>1925.2999999999997</v>
      </c>
      <c r="K491" s="38">
        <f t="shared" si="21"/>
        <v>437.56818181818176</v>
      </c>
      <c r="L491" s="151">
        <v>46023</v>
      </c>
      <c r="M491" s="1" t="e">
        <f>VLOOKUP(F:F,[1]Sheet1!$E:$F,2,FALSE)</f>
        <v>#N/A</v>
      </c>
    </row>
    <row r="492" spans="1:13" hidden="1">
      <c r="A492" s="1" t="s">
        <v>1544</v>
      </c>
      <c r="B492" s="1" t="s">
        <v>128</v>
      </c>
      <c r="C492" s="1" t="s">
        <v>1033</v>
      </c>
      <c r="D492" s="1" t="s">
        <v>168</v>
      </c>
      <c r="E492" s="1" t="str">
        <f t="shared" si="24"/>
        <v>PRAIRIEMEMPHIS</v>
      </c>
      <c r="F492" s="1" t="s">
        <v>1216</v>
      </c>
      <c r="G492" s="1">
        <v>815</v>
      </c>
      <c r="H492" s="38">
        <f>G492*COSTS!$AA$27</f>
        <v>1222.5</v>
      </c>
      <c r="I492" s="1">
        <f>COSTS!$AA$28</f>
        <v>50</v>
      </c>
      <c r="J492" s="38">
        <f t="shared" si="20"/>
        <v>1272.5</v>
      </c>
      <c r="K492" s="38">
        <f t="shared" si="21"/>
        <v>289.2045454545455</v>
      </c>
      <c r="L492" s="151">
        <v>46023</v>
      </c>
      <c r="M492" s="1" t="e">
        <f>VLOOKUP(F:F,[1]Sheet1!$E:$F,2,FALSE)</f>
        <v>#N/A</v>
      </c>
    </row>
    <row r="493" spans="1:13" hidden="1">
      <c r="A493" s="1" t="s">
        <v>1544</v>
      </c>
      <c r="B493" s="1" t="s">
        <v>128</v>
      </c>
      <c r="C493" s="1" t="s">
        <v>1274</v>
      </c>
      <c r="D493" s="1" t="s">
        <v>71</v>
      </c>
      <c r="E493" s="1" t="str">
        <f t="shared" si="24"/>
        <v>PRAIRIEWESLACO</v>
      </c>
      <c r="F493" s="1" t="str">
        <f>A493&amp;B493&amp;C493&amp;D493</f>
        <v>PRAIRIEMSWESLACOTX</v>
      </c>
      <c r="G493" s="1">
        <v>1493.6599999999999</v>
      </c>
      <c r="H493" s="38">
        <f>G493*COSTS!$AA$27</f>
        <v>2240.4899999999998</v>
      </c>
      <c r="I493" s="1">
        <f>COSTS!$AA$28</f>
        <v>50</v>
      </c>
      <c r="J493" s="38">
        <f t="shared" si="20"/>
        <v>2290.4899999999998</v>
      </c>
      <c r="K493" s="38">
        <f t="shared" si="21"/>
        <v>520.56590909090903</v>
      </c>
      <c r="L493" s="151">
        <v>46023</v>
      </c>
      <c r="M493" s="1" t="e">
        <f>VLOOKUP(F:F,[1]Sheet1!$E:$F,2,FALSE)</f>
        <v>#N/A</v>
      </c>
    </row>
    <row r="494" spans="1:13" hidden="1">
      <c r="A494" s="1" t="s">
        <v>1421</v>
      </c>
      <c r="B494" s="1" t="s">
        <v>128</v>
      </c>
      <c r="C494" s="1" t="s">
        <v>1033</v>
      </c>
      <c r="D494" s="1" t="s">
        <v>168</v>
      </c>
      <c r="E494" s="1" t="str">
        <f t="shared" si="24"/>
        <v>QUITMANMEMPHIS</v>
      </c>
      <c r="F494" s="1" t="s">
        <v>1217</v>
      </c>
      <c r="G494" s="1">
        <v>739.2</v>
      </c>
      <c r="H494" s="38">
        <f>G494*COSTS!$AA$27</f>
        <v>1108.8000000000002</v>
      </c>
      <c r="I494" s="1">
        <f>COSTS!$AA$28</f>
        <v>50</v>
      </c>
      <c r="J494" s="38">
        <f t="shared" si="20"/>
        <v>1158.8000000000002</v>
      </c>
      <c r="K494" s="38">
        <f t="shared" si="21"/>
        <v>263.36363636363637</v>
      </c>
      <c r="L494" s="151">
        <v>46023</v>
      </c>
      <c r="M494" s="1" t="e">
        <f>VLOOKUP(F:F,[1]Sheet1!$E:$F,2,FALSE)</f>
        <v>#N/A</v>
      </c>
    </row>
    <row r="495" spans="1:13" hidden="1">
      <c r="A495" s="1" t="s">
        <v>1547</v>
      </c>
      <c r="B495" s="1" t="s">
        <v>128</v>
      </c>
      <c r="C495" s="1" t="s">
        <v>1033</v>
      </c>
      <c r="D495" s="1" t="s">
        <v>168</v>
      </c>
      <c r="E495" s="1" t="str">
        <f t="shared" si="24"/>
        <v>ROLLING FORKMEMPHIS</v>
      </c>
      <c r="F495" s="1" t="s">
        <v>1223</v>
      </c>
      <c r="G495" s="1">
        <v>630</v>
      </c>
      <c r="H495" s="38">
        <f>G495*COSTS!$AA$27</f>
        <v>945</v>
      </c>
      <c r="I495" s="1">
        <f>COSTS!$AA$28</f>
        <v>50</v>
      </c>
      <c r="J495" s="38">
        <f t="shared" si="20"/>
        <v>995</v>
      </c>
      <c r="K495" s="38">
        <f t="shared" si="21"/>
        <v>226.13636363636363</v>
      </c>
      <c r="L495" s="151">
        <v>46023</v>
      </c>
      <c r="M495" s="1">
        <f>VLOOKUP(F:F,[1]Sheet1!$E:$F,2,FALSE)</f>
        <v>590</v>
      </c>
    </row>
    <row r="496" spans="1:13" hidden="1">
      <c r="A496" s="1" t="s">
        <v>1547</v>
      </c>
      <c r="B496" s="1" t="s">
        <v>128</v>
      </c>
      <c r="C496" s="1" t="s">
        <v>1274</v>
      </c>
      <c r="D496" s="1" t="s">
        <v>71</v>
      </c>
      <c r="E496" s="1" t="str">
        <f t="shared" si="24"/>
        <v>ROLLING FORKWESLACO</v>
      </c>
      <c r="F496" s="1" t="str">
        <f>A496&amp;B496&amp;C496&amp;D496</f>
        <v>ROLLING FORKMSWESLACOTX</v>
      </c>
      <c r="G496" s="1">
        <v>1249.26</v>
      </c>
      <c r="H496" s="38">
        <f>G496*COSTS!$AA$27</f>
        <v>1873.8899999999999</v>
      </c>
      <c r="I496" s="1">
        <f>COSTS!$AA$28</f>
        <v>50</v>
      </c>
      <c r="J496" s="38">
        <f t="shared" si="20"/>
        <v>1923.8899999999999</v>
      </c>
      <c r="K496" s="38">
        <f t="shared" si="21"/>
        <v>437.24772727272722</v>
      </c>
      <c r="L496" s="151">
        <v>46023</v>
      </c>
      <c r="M496" s="1">
        <f>VLOOKUP(F:F,[1]Sheet1!$E:$F,2,FALSE)</f>
        <v>1465</v>
      </c>
    </row>
    <row r="497" spans="1:13" hidden="1">
      <c r="A497" s="1" t="s">
        <v>1547</v>
      </c>
      <c r="B497" s="1" t="s">
        <v>128</v>
      </c>
      <c r="C497" s="1" t="s">
        <v>1275</v>
      </c>
      <c r="D497" s="1" t="s">
        <v>136</v>
      </c>
      <c r="E497" s="1" t="str">
        <f t="shared" si="24"/>
        <v>ROLLING FORKSHELBY</v>
      </c>
      <c r="F497" s="1" t="str">
        <f>A497&amp;B497&amp;C497&amp;D497</f>
        <v>ROLLING FORKMSSHELBYNC</v>
      </c>
      <c r="G497" s="1">
        <v>1495</v>
      </c>
      <c r="H497" s="38">
        <f>G497*COSTS!$AA$27</f>
        <v>2242.5</v>
      </c>
      <c r="I497" s="1">
        <f>COSTS!$AA$28</f>
        <v>50</v>
      </c>
      <c r="J497" s="38">
        <f t="shared" si="20"/>
        <v>2292.5</v>
      </c>
      <c r="K497" s="38">
        <f t="shared" si="21"/>
        <v>521.02272727272725</v>
      </c>
      <c r="L497" s="151">
        <v>46023</v>
      </c>
      <c r="M497" s="1">
        <f>VLOOKUP(F:F,[1]Sheet1!$E:$F,2,FALSE)</f>
        <v>1670</v>
      </c>
    </row>
    <row r="498" spans="1:13" hidden="1">
      <c r="A498" s="1" t="s">
        <v>1427</v>
      </c>
      <c r="B498" s="1" t="s">
        <v>128</v>
      </c>
      <c r="C498" s="1" t="s">
        <v>847</v>
      </c>
      <c r="D498" s="1" t="s">
        <v>76</v>
      </c>
      <c r="E498" s="1" t="str">
        <f>A498&amp;(IF(C498="Garden City","Savannah",C498))</f>
        <v>SALTILLOSavannah</v>
      </c>
      <c r="F498" s="1" t="s">
        <v>988</v>
      </c>
      <c r="G498" s="1">
        <v>1004.06</v>
      </c>
      <c r="H498" s="38">
        <f>G498*COSTS!$AA$27</f>
        <v>1506.09</v>
      </c>
      <c r="I498" s="1">
        <f>COSTS!$AA$28</f>
        <v>50</v>
      </c>
      <c r="J498" s="38">
        <f t="shared" si="20"/>
        <v>1556.09</v>
      </c>
      <c r="K498" s="38">
        <f t="shared" si="21"/>
        <v>353.65681818181821</v>
      </c>
      <c r="L498" s="151">
        <v>46023</v>
      </c>
      <c r="M498" s="1" t="e">
        <f>VLOOKUP(F:F,[1]Sheet1!$E:$F,2,FALSE)</f>
        <v>#N/A</v>
      </c>
    </row>
    <row r="499" spans="1:13" hidden="1">
      <c r="A499" s="1" t="s">
        <v>1427</v>
      </c>
      <c r="B499" s="1" t="s">
        <v>128</v>
      </c>
      <c r="C499" s="1" t="s">
        <v>1033</v>
      </c>
      <c r="D499" s="1" t="s">
        <v>168</v>
      </c>
      <c r="E499" s="1" t="str">
        <f t="shared" ref="E499:E512" si="25">A499&amp;C499</f>
        <v>SALTILLOMEMPHIS</v>
      </c>
      <c r="F499" s="1" t="s">
        <v>1225</v>
      </c>
      <c r="G499" s="1">
        <v>593.85</v>
      </c>
      <c r="H499" s="38">
        <f>G499*COSTS!$AA$27</f>
        <v>890.77500000000009</v>
      </c>
      <c r="I499" s="1">
        <f>COSTS!$AA$28</f>
        <v>50</v>
      </c>
      <c r="J499" s="38">
        <f t="shared" si="20"/>
        <v>940.77500000000009</v>
      </c>
      <c r="K499" s="38">
        <f t="shared" si="21"/>
        <v>213.8125</v>
      </c>
      <c r="L499" s="151">
        <v>46023</v>
      </c>
      <c r="M499" s="1" t="e">
        <f>VLOOKUP(F:F,[1]Sheet1!$E:$F,2,FALSE)</f>
        <v>#N/A</v>
      </c>
    </row>
    <row r="500" spans="1:13" hidden="1">
      <c r="A500" s="1" t="s">
        <v>1427</v>
      </c>
      <c r="B500" s="1" t="s">
        <v>128</v>
      </c>
      <c r="C500" s="1" t="s">
        <v>1274</v>
      </c>
      <c r="D500" s="1" t="s">
        <v>71</v>
      </c>
      <c r="E500" s="1" t="str">
        <f t="shared" si="25"/>
        <v>SALTILLOWESLACO</v>
      </c>
      <c r="F500" s="1" t="str">
        <f>A500&amp;B500&amp;C500&amp;D500</f>
        <v>SALTILLOMSWESLACOTX</v>
      </c>
      <c r="G500" s="1">
        <v>1260.54</v>
      </c>
      <c r="H500" s="38">
        <f>G500*COSTS!$AA$27</f>
        <v>1890.81</v>
      </c>
      <c r="I500" s="1">
        <f>COSTS!$AA$28</f>
        <v>50</v>
      </c>
      <c r="J500" s="38">
        <f t="shared" si="20"/>
        <v>1940.81</v>
      </c>
      <c r="K500" s="38">
        <f t="shared" si="21"/>
        <v>441.09318181818185</v>
      </c>
      <c r="L500" s="151">
        <v>46023</v>
      </c>
      <c r="M500" s="1">
        <f>VLOOKUP(F:F,[1]Sheet1!$E:$F,2,FALSE)</f>
        <v>1630</v>
      </c>
    </row>
    <row r="501" spans="1:13" hidden="1">
      <c r="A501" s="1" t="s">
        <v>1549</v>
      </c>
      <c r="B501" s="1" t="s">
        <v>128</v>
      </c>
      <c r="C501" s="1" t="s">
        <v>1033</v>
      </c>
      <c r="D501" s="1" t="s">
        <v>168</v>
      </c>
      <c r="E501" s="1" t="str">
        <f t="shared" si="25"/>
        <v>SHAWMEMPHIS</v>
      </c>
      <c r="F501" s="1" t="s">
        <v>1230</v>
      </c>
      <c r="G501" s="1">
        <v>538</v>
      </c>
      <c r="H501" s="38">
        <f>G501*COSTS!$AA$27</f>
        <v>807</v>
      </c>
      <c r="I501" s="1">
        <f>COSTS!$AA$28</f>
        <v>50</v>
      </c>
      <c r="J501" s="38">
        <f t="shared" si="20"/>
        <v>857</v>
      </c>
      <c r="K501" s="38">
        <f t="shared" si="21"/>
        <v>194.77272727272725</v>
      </c>
      <c r="L501" s="151">
        <v>46023</v>
      </c>
      <c r="M501" s="1" t="e">
        <f>VLOOKUP(F:F,[1]Sheet1!$E:$F,2,FALSE)</f>
        <v>#N/A</v>
      </c>
    </row>
    <row r="502" spans="1:13" hidden="1">
      <c r="A502" s="1" t="s">
        <v>1275</v>
      </c>
      <c r="B502" s="1" t="s">
        <v>128</v>
      </c>
      <c r="C502" s="1" t="s">
        <v>1033</v>
      </c>
      <c r="D502" s="1" t="s">
        <v>168</v>
      </c>
      <c r="E502" s="1" t="str">
        <f t="shared" si="25"/>
        <v>SHELBYMEMPHIS</v>
      </c>
      <c r="F502" s="1" t="s">
        <v>1231</v>
      </c>
      <c r="G502" s="1">
        <v>550</v>
      </c>
      <c r="H502" s="38">
        <f>G502*COSTS!$AA$27</f>
        <v>825</v>
      </c>
      <c r="I502" s="1">
        <f>COSTS!$AA$28</f>
        <v>50</v>
      </c>
      <c r="J502" s="38">
        <f t="shared" si="20"/>
        <v>875</v>
      </c>
      <c r="K502" s="38">
        <f t="shared" si="21"/>
        <v>198.86363636363637</v>
      </c>
      <c r="L502" s="151">
        <v>46023</v>
      </c>
      <c r="M502" s="1" t="e">
        <f>VLOOKUP(F:F,[1]Sheet1!$E:$F,2,FALSE)</f>
        <v>#N/A</v>
      </c>
    </row>
    <row r="503" spans="1:13" hidden="1">
      <c r="A503" s="1" t="s">
        <v>1557</v>
      </c>
      <c r="B503" s="1" t="s">
        <v>128</v>
      </c>
      <c r="C503" s="1" t="s">
        <v>1033</v>
      </c>
      <c r="D503" s="1" t="s">
        <v>168</v>
      </c>
      <c r="E503" s="1" t="str">
        <f t="shared" si="25"/>
        <v>TCHULAMEMPHIS</v>
      </c>
      <c r="F503" s="1" t="s">
        <v>1252</v>
      </c>
      <c r="G503" s="1">
        <v>715</v>
      </c>
      <c r="H503" s="38">
        <f>G503*COSTS!$AA$27</f>
        <v>1072.5</v>
      </c>
      <c r="I503" s="1">
        <f>COSTS!$AA$28</f>
        <v>50</v>
      </c>
      <c r="J503" s="38">
        <f t="shared" si="20"/>
        <v>1122.5</v>
      </c>
      <c r="K503" s="38">
        <f t="shared" si="21"/>
        <v>255.11363636363637</v>
      </c>
      <c r="L503" s="151">
        <v>46023</v>
      </c>
      <c r="M503" s="1" t="e">
        <f>VLOOKUP(F:F,[1]Sheet1!$E:$F,2,FALSE)</f>
        <v>#N/A</v>
      </c>
    </row>
    <row r="504" spans="1:13" hidden="1">
      <c r="A504" s="1" t="s">
        <v>1557</v>
      </c>
      <c r="B504" s="1" t="s">
        <v>128</v>
      </c>
      <c r="C504" s="1" t="s">
        <v>1274</v>
      </c>
      <c r="D504" s="1" t="s">
        <v>71</v>
      </c>
      <c r="E504" s="1" t="str">
        <f t="shared" si="25"/>
        <v>TCHULAWESLACO</v>
      </c>
      <c r="F504" s="1" t="str">
        <f>A504&amp;B504&amp;C504&amp;D504</f>
        <v>TCHULAMSWESLACOTX</v>
      </c>
      <c r="G504" s="1">
        <v>1335.74</v>
      </c>
      <c r="H504" s="38">
        <f>G504*COSTS!$AA$27</f>
        <v>2003.6100000000001</v>
      </c>
      <c r="I504" s="1">
        <f>COSTS!$AA$28</f>
        <v>50</v>
      </c>
      <c r="J504" s="38">
        <f t="shared" si="20"/>
        <v>2053.61</v>
      </c>
      <c r="K504" s="38">
        <f t="shared" si="21"/>
        <v>466.72954545454553</v>
      </c>
      <c r="L504" s="151">
        <v>46023</v>
      </c>
      <c r="M504" s="1" t="e">
        <f>VLOOKUP(F:F,[1]Sheet1!$E:$F,2,FALSE)</f>
        <v>#N/A</v>
      </c>
    </row>
    <row r="505" spans="1:13" hidden="1">
      <c r="A505" s="1" t="s">
        <v>1557</v>
      </c>
      <c r="B505" s="1" t="s">
        <v>128</v>
      </c>
      <c r="C505" s="1" t="s">
        <v>1275</v>
      </c>
      <c r="D505" s="1" t="s">
        <v>136</v>
      </c>
      <c r="E505" s="1" t="str">
        <f t="shared" si="25"/>
        <v>TCHULASHELBY</v>
      </c>
      <c r="F505" s="1" t="str">
        <f>A505&amp;B505&amp;C505&amp;D505</f>
        <v>TCHULAMSSHELBYNC</v>
      </c>
      <c r="G505" s="1">
        <v>1395</v>
      </c>
      <c r="H505" s="38">
        <f>G505*COSTS!$AA$27</f>
        <v>2092.5</v>
      </c>
      <c r="I505" s="1">
        <f>COSTS!$AA$28</f>
        <v>50</v>
      </c>
      <c r="J505" s="38">
        <f t="shared" si="20"/>
        <v>2142.5</v>
      </c>
      <c r="K505" s="38">
        <f t="shared" si="21"/>
        <v>486.93181818181819</v>
      </c>
      <c r="L505" s="151">
        <v>46023</v>
      </c>
      <c r="M505" s="1" t="e">
        <f>VLOOKUP(F:F,[1]Sheet1!$E:$F,2,FALSE)</f>
        <v>#N/A</v>
      </c>
    </row>
    <row r="506" spans="1:13" hidden="1">
      <c r="A506" s="1" t="s">
        <v>1560</v>
      </c>
      <c r="B506" s="1" t="s">
        <v>128</v>
      </c>
      <c r="C506" s="1" t="s">
        <v>1033</v>
      </c>
      <c r="D506" s="1" t="s">
        <v>168</v>
      </c>
      <c r="E506" s="1" t="str">
        <f t="shared" si="25"/>
        <v>TUNICAMEMPHIS</v>
      </c>
      <c r="F506" s="1" t="s">
        <v>1259</v>
      </c>
      <c r="G506" s="1">
        <v>400</v>
      </c>
      <c r="H506" s="38">
        <f>G506*COSTS!$AA$27</f>
        <v>600</v>
      </c>
      <c r="I506" s="1">
        <f>COSTS!$AA$28</f>
        <v>50</v>
      </c>
      <c r="J506" s="38">
        <f t="shared" si="20"/>
        <v>650</v>
      </c>
      <c r="K506" s="38">
        <f t="shared" si="21"/>
        <v>147.72727272727275</v>
      </c>
      <c r="L506" s="151">
        <v>46023</v>
      </c>
      <c r="M506" s="1">
        <f>VLOOKUP(F:F,[1]Sheet1!$E:$F,2,FALSE)</f>
        <v>370</v>
      </c>
    </row>
    <row r="507" spans="1:13" hidden="1">
      <c r="A507" s="1" t="s">
        <v>1560</v>
      </c>
      <c r="B507" s="1" t="s">
        <v>128</v>
      </c>
      <c r="C507" s="1" t="s">
        <v>1274</v>
      </c>
      <c r="D507" s="1" t="s">
        <v>71</v>
      </c>
      <c r="E507" s="1" t="str">
        <f t="shared" si="25"/>
        <v>TUNICAWESLACO</v>
      </c>
      <c r="F507" s="1" t="str">
        <f>A507&amp;B507&amp;C507&amp;D507</f>
        <v>TUNICAMSWESLACOTX</v>
      </c>
      <c r="G507" s="1">
        <v>1506.82</v>
      </c>
      <c r="H507" s="38">
        <f>G507*COSTS!$AA$27</f>
        <v>2260.23</v>
      </c>
      <c r="I507" s="1">
        <f>COSTS!$AA$28</f>
        <v>50</v>
      </c>
      <c r="J507" s="38">
        <f t="shared" si="20"/>
        <v>2310.23</v>
      </c>
      <c r="K507" s="38">
        <f t="shared" si="21"/>
        <v>525.05227272727279</v>
      </c>
      <c r="L507" s="151">
        <v>46023</v>
      </c>
      <c r="M507" s="1" t="e">
        <f>VLOOKUP(F:F,[1]Sheet1!$E:$F,2,FALSE)</f>
        <v>#N/A</v>
      </c>
    </row>
    <row r="508" spans="1:13" hidden="1">
      <c r="A508" s="1" t="s">
        <v>1560</v>
      </c>
      <c r="B508" s="1" t="s">
        <v>128</v>
      </c>
      <c r="C508" s="1" t="s">
        <v>1275</v>
      </c>
      <c r="D508" s="1" t="s">
        <v>136</v>
      </c>
      <c r="E508" s="1" t="str">
        <f t="shared" si="25"/>
        <v>TUNICASHELBY</v>
      </c>
      <c r="F508" s="1" t="str">
        <f>A508&amp;B508&amp;C508&amp;D508</f>
        <v>TUNICAMSSHELBYNC</v>
      </c>
      <c r="G508" s="1">
        <v>1438</v>
      </c>
      <c r="H508" s="38">
        <f>G508*COSTS!$AA$27</f>
        <v>2157</v>
      </c>
      <c r="I508" s="1">
        <f>COSTS!$AA$28</f>
        <v>50</v>
      </c>
      <c r="J508" s="38">
        <f t="shared" si="20"/>
        <v>2207</v>
      </c>
      <c r="K508" s="38">
        <f t="shared" si="21"/>
        <v>501.59090909090907</v>
      </c>
      <c r="L508" s="151">
        <v>46023</v>
      </c>
      <c r="M508" s="1">
        <f>VLOOKUP(F:F,[1]Sheet1!$E:$F,2,FALSE)</f>
        <v>1530</v>
      </c>
    </row>
    <row r="509" spans="1:13" hidden="1">
      <c r="A509" s="1" t="s">
        <v>1561</v>
      </c>
      <c r="B509" s="1" t="s">
        <v>128</v>
      </c>
      <c r="C509" s="1" t="s">
        <v>1033</v>
      </c>
      <c r="D509" s="1" t="s">
        <v>168</v>
      </c>
      <c r="E509" s="1" t="str">
        <f t="shared" si="25"/>
        <v>TUPELOMEMPHIS</v>
      </c>
      <c r="F509" s="1" t="s">
        <v>1260</v>
      </c>
      <c r="G509" s="1">
        <v>593.24</v>
      </c>
      <c r="H509" s="38">
        <f>G509*COSTS!$AA$27</f>
        <v>889.86</v>
      </c>
      <c r="I509" s="1">
        <f>COSTS!$AA$28</f>
        <v>50</v>
      </c>
      <c r="J509" s="38">
        <f t="shared" si="20"/>
        <v>939.86</v>
      </c>
      <c r="K509" s="38">
        <f t="shared" si="21"/>
        <v>213.60454545454544</v>
      </c>
      <c r="L509" s="151">
        <v>46023</v>
      </c>
      <c r="M509" s="1">
        <f>VLOOKUP(F:F,[1]Sheet1!$E:$F,2,FALSE)</f>
        <v>480</v>
      </c>
    </row>
    <row r="510" spans="1:13" hidden="1">
      <c r="A510" s="1" t="s">
        <v>1561</v>
      </c>
      <c r="B510" s="1" t="s">
        <v>128</v>
      </c>
      <c r="C510" s="1" t="s">
        <v>1275</v>
      </c>
      <c r="D510" s="1" t="s">
        <v>136</v>
      </c>
      <c r="E510" s="1" t="str">
        <f t="shared" si="25"/>
        <v>TUPELOSHELBY</v>
      </c>
      <c r="F510" s="1" t="str">
        <f>A510&amp;B510&amp;C510&amp;D510</f>
        <v>TUPELOMSSHELBYNC</v>
      </c>
      <c r="G510" s="1">
        <v>1190</v>
      </c>
      <c r="H510" s="38">
        <f>G510*COSTS!$AA$27</f>
        <v>1785</v>
      </c>
      <c r="I510" s="1">
        <f>COSTS!$AA$28</f>
        <v>50</v>
      </c>
      <c r="J510" s="38">
        <f t="shared" si="20"/>
        <v>1835</v>
      </c>
      <c r="K510" s="38">
        <f t="shared" si="21"/>
        <v>417.0454545454545</v>
      </c>
      <c r="L510" s="151">
        <v>46023</v>
      </c>
      <c r="M510" s="1">
        <f>VLOOKUP(F:F,[1]Sheet1!$E:$F,2,FALSE)</f>
        <v>1260</v>
      </c>
    </row>
    <row r="511" spans="1:13" hidden="1">
      <c r="A511" s="1" t="s">
        <v>1563</v>
      </c>
      <c r="B511" s="1" t="s">
        <v>128</v>
      </c>
      <c r="C511" s="1" t="s">
        <v>1033</v>
      </c>
      <c r="D511" s="1" t="s">
        <v>168</v>
      </c>
      <c r="E511" s="1" t="str">
        <f t="shared" si="25"/>
        <v>VICKSBURGMEMPHIS</v>
      </c>
      <c r="F511" s="1" t="s">
        <v>1264</v>
      </c>
      <c r="G511" s="1">
        <v>709</v>
      </c>
      <c r="H511" s="38">
        <f>G511*COSTS!$AA$27</f>
        <v>1063.5</v>
      </c>
      <c r="I511" s="1">
        <f>COSTS!$AA$28</f>
        <v>50</v>
      </c>
      <c r="J511" s="38">
        <f t="shared" si="20"/>
        <v>1113.5</v>
      </c>
      <c r="K511" s="38">
        <f t="shared" si="21"/>
        <v>253.06818181818184</v>
      </c>
      <c r="L511" s="151">
        <v>46023</v>
      </c>
      <c r="M511" s="1" t="e">
        <f>VLOOKUP(F:F,[1]Sheet1!$E:$F,2,FALSE)</f>
        <v>#N/A</v>
      </c>
    </row>
    <row r="512" spans="1:13" hidden="1">
      <c r="A512" s="1" t="s">
        <v>1566</v>
      </c>
      <c r="B512" s="1" t="s">
        <v>128</v>
      </c>
      <c r="C512" s="1" t="s">
        <v>1033</v>
      </c>
      <c r="D512" s="1" t="s">
        <v>168</v>
      </c>
      <c r="E512" s="1" t="str">
        <f t="shared" si="25"/>
        <v>YAZOO CITYMEMPHIS</v>
      </c>
      <c r="F512" s="1" t="s">
        <v>1273</v>
      </c>
      <c r="G512" s="1">
        <v>626</v>
      </c>
      <c r="H512" s="38">
        <f>G512*COSTS!$AA$27</f>
        <v>939</v>
      </c>
      <c r="I512" s="1">
        <f>COSTS!$AA$28</f>
        <v>50</v>
      </c>
      <c r="J512" s="38">
        <f t="shared" si="20"/>
        <v>989</v>
      </c>
      <c r="K512" s="38">
        <f t="shared" si="21"/>
        <v>224.77272727272725</v>
      </c>
      <c r="L512" s="151">
        <v>46023</v>
      </c>
      <c r="M512" s="1" t="e">
        <f>VLOOKUP(F:F,[1]Sheet1!$E:$F,2,FALSE)</f>
        <v>#N/A</v>
      </c>
    </row>
    <row r="513" spans="1:13" hidden="1">
      <c r="A513" s="1" t="s">
        <v>1290</v>
      </c>
      <c r="B513" s="1" t="s">
        <v>136</v>
      </c>
      <c r="C513" s="1" t="s">
        <v>847</v>
      </c>
      <c r="D513" s="1" t="s">
        <v>76</v>
      </c>
      <c r="E513" s="1" t="str">
        <f>A513&amp;(IF(C513="Garden City","Savannah",C513))</f>
        <v>ALBEMARLESavannah</v>
      </c>
      <c r="F513" s="1" t="s">
        <v>850</v>
      </c>
      <c r="G513" s="1">
        <v>615.78</v>
      </c>
      <c r="H513" s="38">
        <f>G513*COSTS!$AA$27</f>
        <v>923.67</v>
      </c>
      <c r="I513" s="1">
        <f>COSTS!$AA$28</f>
        <v>50</v>
      </c>
      <c r="J513" s="38">
        <f t="shared" si="20"/>
        <v>973.67</v>
      </c>
      <c r="K513" s="38">
        <f t="shared" si="21"/>
        <v>221.28863636363636</v>
      </c>
      <c r="L513" s="151">
        <v>46023</v>
      </c>
      <c r="M513" s="1">
        <f>VLOOKUP(F:F,[1]Sheet1!$E:$F,2,FALSE)</f>
        <v>850</v>
      </c>
    </row>
    <row r="514" spans="1:13" hidden="1">
      <c r="A514" s="1" t="s">
        <v>1290</v>
      </c>
      <c r="B514" s="1" t="s">
        <v>136</v>
      </c>
      <c r="C514" s="1" t="s">
        <v>1033</v>
      </c>
      <c r="D514" s="1" t="s">
        <v>168</v>
      </c>
      <c r="E514" s="1" t="str">
        <f>A514&amp;C514</f>
        <v>ALBEMARLEMEMPHIS</v>
      </c>
      <c r="F514" s="1" t="s">
        <v>1038</v>
      </c>
      <c r="G514" s="1">
        <v>1158</v>
      </c>
      <c r="H514" s="38">
        <f>G514*COSTS!$AA$27</f>
        <v>1737</v>
      </c>
      <c r="I514" s="1">
        <f>COSTS!$AA$28</f>
        <v>50</v>
      </c>
      <c r="J514" s="38">
        <f t="shared" ref="J514:J577" si="26">H514+I514</f>
        <v>1787</v>
      </c>
      <c r="K514" s="38">
        <f t="shared" ref="K514:K577" si="27">(J514/88)*20</f>
        <v>406.13636363636368</v>
      </c>
      <c r="L514" s="151">
        <v>46023</v>
      </c>
      <c r="M514" s="1">
        <f>VLOOKUP(F:F,[1]Sheet1!$E:$F,2,FALSE)</f>
        <v>1660</v>
      </c>
    </row>
    <row r="515" spans="1:13" hidden="1">
      <c r="A515" s="1" t="s">
        <v>1290</v>
      </c>
      <c r="B515" s="1" t="s">
        <v>136</v>
      </c>
      <c r="C515" s="1" t="s">
        <v>1275</v>
      </c>
      <c r="D515" s="1" t="s">
        <v>136</v>
      </c>
      <c r="E515" s="1" t="str">
        <f>A515&amp;C515</f>
        <v>ALBEMARLESHELBY</v>
      </c>
      <c r="F515" s="1" t="str">
        <f>A515&amp;B515&amp;C515&amp;D515</f>
        <v>ALBEMARLENCSHELBYNC</v>
      </c>
      <c r="G515" s="1">
        <v>400</v>
      </c>
      <c r="H515" s="38">
        <f>G515*COSTS!$AA$27</f>
        <v>600</v>
      </c>
      <c r="I515" s="1">
        <f>COSTS!$AA$28</f>
        <v>50</v>
      </c>
      <c r="J515" s="38">
        <f t="shared" si="26"/>
        <v>650</v>
      </c>
      <c r="K515" s="38">
        <f t="shared" si="27"/>
        <v>147.72727272727275</v>
      </c>
      <c r="L515" s="151">
        <v>46023</v>
      </c>
      <c r="M515" s="1">
        <f>VLOOKUP(F:F,[1]Sheet1!$E:$F,2,FALSE)</f>
        <v>460</v>
      </c>
    </row>
    <row r="516" spans="1:13" hidden="1">
      <c r="A516" s="1" t="s">
        <v>1300</v>
      </c>
      <c r="B516" s="1" t="s">
        <v>136</v>
      </c>
      <c r="C516" s="1" t="s">
        <v>847</v>
      </c>
      <c r="D516" s="1" t="s">
        <v>76</v>
      </c>
      <c r="E516" s="1" t="str">
        <f>A516&amp;(IF(C516="Garden City","Savannah",C516))</f>
        <v>BETHELSavannah</v>
      </c>
      <c r="F516" s="1" t="s">
        <v>860</v>
      </c>
      <c r="G516" s="1">
        <v>741.875</v>
      </c>
      <c r="H516" s="38">
        <f>G516*COSTS!$AA$27</f>
        <v>1112.8125</v>
      </c>
      <c r="I516" s="1">
        <f>COSTS!$AA$28</f>
        <v>50</v>
      </c>
      <c r="J516" s="38">
        <f t="shared" si="26"/>
        <v>1162.8125</v>
      </c>
      <c r="K516" s="38">
        <f t="shared" si="27"/>
        <v>264.27556818181819</v>
      </c>
      <c r="L516" s="151">
        <v>46023</v>
      </c>
      <c r="M516" s="1" t="e">
        <f>VLOOKUP(F:F,[1]Sheet1!$E:$F,2,FALSE)</f>
        <v>#N/A</v>
      </c>
    </row>
    <row r="517" spans="1:13" hidden="1">
      <c r="A517" s="1" t="s">
        <v>1300</v>
      </c>
      <c r="B517" s="1" t="s">
        <v>136</v>
      </c>
      <c r="C517" s="1" t="s">
        <v>1275</v>
      </c>
      <c r="D517" s="1" t="s">
        <v>136</v>
      </c>
      <c r="E517" s="1" t="str">
        <f>A517&amp;C517</f>
        <v>BETHELSHELBY</v>
      </c>
      <c r="F517" s="1" t="str">
        <f>A517&amp;B517&amp;C517&amp;D517</f>
        <v>BETHELNCSHELBYNC</v>
      </c>
      <c r="G517" s="1">
        <v>720</v>
      </c>
      <c r="H517" s="38">
        <f>G517*COSTS!$AA$27</f>
        <v>1080</v>
      </c>
      <c r="I517" s="1">
        <f>COSTS!$AA$28</f>
        <v>50</v>
      </c>
      <c r="J517" s="38">
        <f t="shared" si="26"/>
        <v>1130</v>
      </c>
      <c r="K517" s="38">
        <f t="shared" si="27"/>
        <v>256.81818181818181</v>
      </c>
      <c r="L517" s="151">
        <v>46023</v>
      </c>
      <c r="M517" s="1" t="e">
        <f>VLOOKUP(F:F,[1]Sheet1!$E:$F,2,FALSE)</f>
        <v>#N/A</v>
      </c>
    </row>
    <row r="518" spans="1:13" hidden="1">
      <c r="A518" s="1" t="s">
        <v>1316</v>
      </c>
      <c r="B518" s="1" t="s">
        <v>136</v>
      </c>
      <c r="C518" s="1" t="s">
        <v>847</v>
      </c>
      <c r="D518" s="1" t="s">
        <v>76</v>
      </c>
      <c r="E518" s="1" t="str">
        <f>A518&amp;(IF(C518="Garden City","Savannah",C518))</f>
        <v>CHOCOWINITYSavannah</v>
      </c>
      <c r="F518" s="1" t="s">
        <v>876</v>
      </c>
      <c r="G518" s="1">
        <v>741.875</v>
      </c>
      <c r="H518" s="38">
        <f>G518*COSTS!$AA$27</f>
        <v>1112.8125</v>
      </c>
      <c r="I518" s="1">
        <f>COSTS!$AA$28</f>
        <v>50</v>
      </c>
      <c r="J518" s="38">
        <f t="shared" si="26"/>
        <v>1162.8125</v>
      </c>
      <c r="K518" s="38">
        <f t="shared" si="27"/>
        <v>264.27556818181819</v>
      </c>
      <c r="L518" s="151">
        <v>46023</v>
      </c>
      <c r="M518" s="1" t="e">
        <f>VLOOKUP(F:F,[1]Sheet1!$E:$F,2,FALSE)</f>
        <v>#N/A</v>
      </c>
    </row>
    <row r="519" spans="1:13" hidden="1">
      <c r="A519" s="1" t="s">
        <v>1316</v>
      </c>
      <c r="B519" s="1" t="s">
        <v>136</v>
      </c>
      <c r="C519" s="1" t="s">
        <v>1275</v>
      </c>
      <c r="D519" s="1" t="s">
        <v>136</v>
      </c>
      <c r="E519" s="1" t="str">
        <f>A519&amp;C519</f>
        <v>CHOCOWINITYSHELBY</v>
      </c>
      <c r="F519" s="1" t="str">
        <f>A519&amp;B519&amp;C519&amp;D519</f>
        <v>CHOCOWINITYNCSHELBYNC</v>
      </c>
      <c r="G519" s="1">
        <v>760</v>
      </c>
      <c r="H519" s="38">
        <f>G519*COSTS!$AA$27</f>
        <v>1140</v>
      </c>
      <c r="I519" s="1">
        <f>COSTS!$AA$28</f>
        <v>50</v>
      </c>
      <c r="J519" s="38">
        <f t="shared" si="26"/>
        <v>1190</v>
      </c>
      <c r="K519" s="38">
        <f t="shared" si="27"/>
        <v>270.4545454545455</v>
      </c>
      <c r="L519" s="151">
        <v>46023</v>
      </c>
      <c r="M519" s="1" t="e">
        <f>VLOOKUP(F:F,[1]Sheet1!$E:$F,2,FALSE)</f>
        <v>#N/A</v>
      </c>
    </row>
    <row r="520" spans="1:13" hidden="1">
      <c r="A520" s="1" t="s">
        <v>1317</v>
      </c>
      <c r="B520" s="1" t="s">
        <v>136</v>
      </c>
      <c r="C520" s="1" t="s">
        <v>847</v>
      </c>
      <c r="D520" s="1" t="s">
        <v>76</v>
      </c>
      <c r="E520" s="1" t="str">
        <f>A520&amp;(IF(C520="Garden City","Savannah",C520))</f>
        <v>CLARKTONSavannah</v>
      </c>
      <c r="F520" s="1" t="s">
        <v>877</v>
      </c>
      <c r="G520" s="1">
        <v>615.78</v>
      </c>
      <c r="H520" s="38">
        <f>G520*COSTS!$AA$27</f>
        <v>923.67</v>
      </c>
      <c r="I520" s="1">
        <f>COSTS!$AA$28</f>
        <v>50</v>
      </c>
      <c r="J520" s="38">
        <f t="shared" si="26"/>
        <v>973.67</v>
      </c>
      <c r="K520" s="38">
        <f t="shared" si="27"/>
        <v>221.28863636363636</v>
      </c>
      <c r="L520" s="151">
        <v>46023</v>
      </c>
      <c r="M520" s="1">
        <f>VLOOKUP(F:F,[1]Sheet1!$E:$F,2,FALSE)</f>
        <v>820</v>
      </c>
    </row>
    <row r="521" spans="1:13" hidden="1">
      <c r="A521" s="1" t="s">
        <v>1317</v>
      </c>
      <c r="B521" s="1" t="s">
        <v>136</v>
      </c>
      <c r="C521" s="1" t="s">
        <v>1033</v>
      </c>
      <c r="D521" s="1" t="s">
        <v>168</v>
      </c>
      <c r="E521" s="1" t="str">
        <f>A521&amp;C521</f>
        <v>CLARKTONMEMPHIS</v>
      </c>
      <c r="F521" s="1" t="s">
        <v>1077</v>
      </c>
      <c r="G521" s="1">
        <v>1383</v>
      </c>
      <c r="H521" s="38">
        <f>G521*COSTS!$AA$27</f>
        <v>2074.5</v>
      </c>
      <c r="I521" s="1">
        <f>COSTS!$AA$28</f>
        <v>50</v>
      </c>
      <c r="J521" s="38">
        <f t="shared" si="26"/>
        <v>2124.5</v>
      </c>
      <c r="K521" s="38">
        <f t="shared" si="27"/>
        <v>482.84090909090907</v>
      </c>
      <c r="L521" s="151">
        <v>46023</v>
      </c>
      <c r="M521" s="1">
        <f>VLOOKUP(F:F,[1]Sheet1!$E:$F,2,FALSE)</f>
        <v>1870</v>
      </c>
    </row>
    <row r="522" spans="1:13" hidden="1">
      <c r="A522" s="1" t="s">
        <v>1317</v>
      </c>
      <c r="B522" s="1" t="s">
        <v>136</v>
      </c>
      <c r="C522" s="1" t="s">
        <v>1275</v>
      </c>
      <c r="D522" s="1" t="s">
        <v>136</v>
      </c>
      <c r="E522" s="1" t="str">
        <f>A522&amp;C522</f>
        <v>CLARKTONSHELBY</v>
      </c>
      <c r="F522" s="1" t="str">
        <f>A522&amp;B522&amp;C522&amp;D522</f>
        <v>CLARKTONNCSHELBYNC</v>
      </c>
      <c r="G522" s="1">
        <v>600</v>
      </c>
      <c r="H522" s="38">
        <f>G522*COSTS!$AA$27</f>
        <v>900</v>
      </c>
      <c r="I522" s="1">
        <f>COSTS!$AA$28</f>
        <v>50</v>
      </c>
      <c r="J522" s="38">
        <f t="shared" si="26"/>
        <v>950</v>
      </c>
      <c r="K522" s="38">
        <f t="shared" si="27"/>
        <v>215.90909090909091</v>
      </c>
      <c r="L522" s="151">
        <v>46023</v>
      </c>
      <c r="M522" s="1">
        <f>VLOOKUP(F:F,[1]Sheet1!$E:$F,2,FALSE)</f>
        <v>630</v>
      </c>
    </row>
    <row r="523" spans="1:13" hidden="1">
      <c r="A523" s="1" t="s">
        <v>1338</v>
      </c>
      <c r="B523" s="1" t="s">
        <v>136</v>
      </c>
      <c r="C523" s="1" t="s">
        <v>847</v>
      </c>
      <c r="D523" s="1" t="s">
        <v>76</v>
      </c>
      <c r="E523" s="1" t="str">
        <f>A523&amp;(IF(C523="Garden City","Savannah",C523))</f>
        <v>DUNNSavannah</v>
      </c>
      <c r="F523" s="1" t="s">
        <v>898</v>
      </c>
      <c r="G523" s="1">
        <v>641.375</v>
      </c>
      <c r="H523" s="38">
        <f>G523*COSTS!$AA$27</f>
        <v>962.0625</v>
      </c>
      <c r="I523" s="1">
        <f>COSTS!$AA$28</f>
        <v>50</v>
      </c>
      <c r="J523" s="38">
        <f t="shared" si="26"/>
        <v>1012.0625</v>
      </c>
      <c r="K523" s="38">
        <f t="shared" si="27"/>
        <v>230.01420454545453</v>
      </c>
      <c r="L523" s="151">
        <v>46023</v>
      </c>
      <c r="M523" s="1">
        <f>VLOOKUP(F:F,[1]Sheet1!$E:$F,2,FALSE)</f>
        <v>890</v>
      </c>
    </row>
    <row r="524" spans="1:13" hidden="1">
      <c r="A524" s="1" t="s">
        <v>1338</v>
      </c>
      <c r="B524" s="1" t="s">
        <v>136</v>
      </c>
      <c r="C524" s="1" t="s">
        <v>1033</v>
      </c>
      <c r="D524" s="1" t="s">
        <v>168</v>
      </c>
      <c r="E524" s="1" t="str">
        <f>A524&amp;C524</f>
        <v>DUNNMEMPHIS</v>
      </c>
      <c r="F524" s="1" t="s">
        <v>1103</v>
      </c>
      <c r="G524" s="1">
        <v>1436</v>
      </c>
      <c r="H524" s="38">
        <f>G524*COSTS!$AA$27</f>
        <v>2154</v>
      </c>
      <c r="I524" s="1">
        <f>COSTS!$AA$28</f>
        <v>50</v>
      </c>
      <c r="J524" s="38">
        <f t="shared" si="26"/>
        <v>2204</v>
      </c>
      <c r="K524" s="38">
        <f t="shared" si="27"/>
        <v>500.90909090909093</v>
      </c>
      <c r="L524" s="151">
        <v>46023</v>
      </c>
      <c r="M524" s="1">
        <f>VLOOKUP(F:F,[1]Sheet1!$E:$F,2,FALSE)</f>
        <v>1900</v>
      </c>
    </row>
    <row r="525" spans="1:13" hidden="1">
      <c r="A525" s="1" t="s">
        <v>1338</v>
      </c>
      <c r="B525" s="1" t="s">
        <v>136</v>
      </c>
      <c r="C525" s="1" t="s">
        <v>1275</v>
      </c>
      <c r="D525" s="1" t="s">
        <v>136</v>
      </c>
      <c r="E525" s="1" t="str">
        <f>A525&amp;C525</f>
        <v>DUNNSHELBY</v>
      </c>
      <c r="F525" s="1" t="str">
        <f>A525&amp;B525&amp;C525&amp;D525</f>
        <v>DUNNNCSHELBYNC</v>
      </c>
      <c r="G525" s="1">
        <v>620</v>
      </c>
      <c r="H525" s="38">
        <f>G525*COSTS!$AA$27</f>
        <v>930</v>
      </c>
      <c r="I525" s="1">
        <f>COSTS!$AA$28</f>
        <v>50</v>
      </c>
      <c r="J525" s="38">
        <f t="shared" si="26"/>
        <v>980</v>
      </c>
      <c r="K525" s="38">
        <f t="shared" si="27"/>
        <v>222.72727272727275</v>
      </c>
      <c r="L525" s="151">
        <v>46023</v>
      </c>
      <c r="M525" s="1">
        <f>VLOOKUP(F:F,[1]Sheet1!$E:$F,2,FALSE)</f>
        <v>650</v>
      </c>
    </row>
    <row r="526" spans="1:13" hidden="1">
      <c r="A526" s="1" t="s">
        <v>1340</v>
      </c>
      <c r="B526" s="1" t="s">
        <v>136</v>
      </c>
      <c r="C526" s="1" t="s">
        <v>847</v>
      </c>
      <c r="D526" s="1" t="s">
        <v>76</v>
      </c>
      <c r="E526" s="1" t="str">
        <f>A526&amp;(IF(C526="Garden City","Savannah",C526))</f>
        <v>EDENTONSavannah</v>
      </c>
      <c r="F526" s="1" t="s">
        <v>900</v>
      </c>
      <c r="G526" s="1">
        <v>841.49</v>
      </c>
      <c r="H526" s="38">
        <f>G526*COSTS!$AA$27</f>
        <v>1262.2350000000001</v>
      </c>
      <c r="I526" s="1">
        <f>COSTS!$AA$28</f>
        <v>50</v>
      </c>
      <c r="J526" s="38">
        <f t="shared" si="26"/>
        <v>1312.2350000000001</v>
      </c>
      <c r="K526" s="38">
        <f t="shared" si="27"/>
        <v>298.23522727272734</v>
      </c>
      <c r="L526" s="151">
        <v>46023</v>
      </c>
      <c r="M526" s="1">
        <f>VLOOKUP(F:F,[1]Sheet1!$E:$F,2,FALSE)</f>
        <v>1240</v>
      </c>
    </row>
    <row r="527" spans="1:13" hidden="1">
      <c r="A527" s="1" t="s">
        <v>1340</v>
      </c>
      <c r="B527" s="1" t="s">
        <v>136</v>
      </c>
      <c r="C527" s="1" t="s">
        <v>1033</v>
      </c>
      <c r="D527" s="1" t="s">
        <v>168</v>
      </c>
      <c r="E527" s="1" t="str">
        <f>A527&amp;C527</f>
        <v>EDENTONMEMPHIS</v>
      </c>
      <c r="F527" s="1" t="s">
        <v>1107</v>
      </c>
      <c r="G527" s="1">
        <v>1566</v>
      </c>
      <c r="H527" s="38">
        <f>G527*COSTS!$AA$27</f>
        <v>2349</v>
      </c>
      <c r="I527" s="1">
        <f>COSTS!$AA$28</f>
        <v>50</v>
      </c>
      <c r="J527" s="38">
        <f t="shared" si="26"/>
        <v>2399</v>
      </c>
      <c r="K527" s="38">
        <f t="shared" si="27"/>
        <v>545.22727272727275</v>
      </c>
      <c r="L527" s="151">
        <v>46023</v>
      </c>
      <c r="M527" s="1">
        <f>VLOOKUP(F:F,[1]Sheet1!$E:$F,2,FALSE)</f>
        <v>2170</v>
      </c>
    </row>
    <row r="528" spans="1:13" hidden="1">
      <c r="A528" s="1" t="s">
        <v>1340</v>
      </c>
      <c r="B528" s="1" t="s">
        <v>136</v>
      </c>
      <c r="C528" s="1" t="s">
        <v>1275</v>
      </c>
      <c r="D528" s="1" t="s">
        <v>136</v>
      </c>
      <c r="E528" s="1" t="str">
        <f>A528&amp;C528</f>
        <v>EDENTONSHELBY</v>
      </c>
      <c r="F528" s="1" t="str">
        <f>A528&amp;B528&amp;C528&amp;D528</f>
        <v>EDENTONNCSHELBYNC</v>
      </c>
      <c r="G528" s="1">
        <v>795</v>
      </c>
      <c r="H528" s="38">
        <f>G528*COSTS!$AA$27</f>
        <v>1192.5</v>
      </c>
      <c r="I528" s="1">
        <f>COSTS!$AA$28</f>
        <v>50</v>
      </c>
      <c r="J528" s="38">
        <f t="shared" si="26"/>
        <v>1242.5</v>
      </c>
      <c r="K528" s="38">
        <f t="shared" si="27"/>
        <v>282.38636363636363</v>
      </c>
      <c r="L528" s="151">
        <v>46023</v>
      </c>
      <c r="M528" s="1">
        <f>VLOOKUP(F:F,[1]Sheet1!$E:$F,2,FALSE)</f>
        <v>930</v>
      </c>
    </row>
    <row r="529" spans="1:13" hidden="1">
      <c r="A529" s="1" t="s">
        <v>311</v>
      </c>
      <c r="B529" s="1" t="s">
        <v>136</v>
      </c>
      <c r="C529" s="1" t="s">
        <v>846</v>
      </c>
      <c r="D529" s="1" t="s">
        <v>76</v>
      </c>
      <c r="E529" s="1" t="str">
        <f>A529&amp;(IF(C529="Garden City","Savannah",C529))</f>
        <v>Elm CitySavannah</v>
      </c>
      <c r="F529" s="1" t="str">
        <f>A529&amp;B529&amp;C529&amp;D529</f>
        <v>Elm CityNCGarden CityGA</v>
      </c>
      <c r="G529" s="1">
        <v>1148</v>
      </c>
      <c r="H529" s="38">
        <f>G529*COSTS!$AA$27</f>
        <v>1722</v>
      </c>
      <c r="I529" s="1">
        <f>COSTS!$AA$28</f>
        <v>50</v>
      </c>
      <c r="J529" s="38">
        <f t="shared" si="26"/>
        <v>1772</v>
      </c>
      <c r="K529" s="38">
        <f t="shared" si="27"/>
        <v>402.72727272727275</v>
      </c>
      <c r="L529" s="151">
        <v>46023</v>
      </c>
      <c r="M529" s="1">
        <f>VLOOKUP(F:F,[1]Sheet1!$E:$F,2,FALSE)</f>
        <v>1020</v>
      </c>
    </row>
    <row r="530" spans="1:13" hidden="1">
      <c r="A530" s="1" t="s">
        <v>1343</v>
      </c>
      <c r="B530" s="1" t="s">
        <v>136</v>
      </c>
      <c r="C530" s="1" t="s">
        <v>847</v>
      </c>
      <c r="D530" s="1" t="s">
        <v>76</v>
      </c>
      <c r="E530" s="1" t="str">
        <f>A530&amp;(IF(C530="Garden City","Savannah",C530))</f>
        <v>ELM CITYSavannah</v>
      </c>
      <c r="F530" s="1" t="s">
        <v>903</v>
      </c>
      <c r="G530" s="1">
        <v>746.89499999999998</v>
      </c>
      <c r="H530" s="38">
        <f>G530*COSTS!$AA$27</f>
        <v>1120.3425</v>
      </c>
      <c r="I530" s="1">
        <f>COSTS!$AA$28</f>
        <v>50</v>
      </c>
      <c r="J530" s="38">
        <f t="shared" si="26"/>
        <v>1170.3425</v>
      </c>
      <c r="K530" s="38">
        <f t="shared" si="27"/>
        <v>265.9869318181818</v>
      </c>
      <c r="L530" s="151">
        <v>46023</v>
      </c>
      <c r="M530" s="1">
        <f>VLOOKUP(F:F,[1]Sheet1!$E:$F,2,FALSE)</f>
        <v>1020</v>
      </c>
    </row>
    <row r="531" spans="1:13" hidden="1">
      <c r="A531" s="1" t="s">
        <v>1343</v>
      </c>
      <c r="B531" s="1" t="s">
        <v>136</v>
      </c>
      <c r="C531" s="1" t="s">
        <v>1275</v>
      </c>
      <c r="D531" s="1" t="s">
        <v>136</v>
      </c>
      <c r="E531" s="1" t="str">
        <f>A531&amp;C531</f>
        <v>ELM CITYSHELBY</v>
      </c>
      <c r="F531" s="1" t="str">
        <f>A531&amp;B531&amp;C531&amp;D531</f>
        <v>ELM CITYNCSHELBYNC</v>
      </c>
      <c r="G531" s="1">
        <v>685</v>
      </c>
      <c r="H531" s="38">
        <f>G531*COSTS!$AA$27</f>
        <v>1027.5</v>
      </c>
      <c r="I531" s="1">
        <f>COSTS!$AA$28</f>
        <v>50</v>
      </c>
      <c r="J531" s="38">
        <f t="shared" si="26"/>
        <v>1077.5</v>
      </c>
      <c r="K531" s="38">
        <f t="shared" si="27"/>
        <v>244.88636363636363</v>
      </c>
      <c r="L531" s="151">
        <v>46023</v>
      </c>
      <c r="M531" s="1">
        <f>VLOOKUP(F:F,[1]Sheet1!$E:$F,2,FALSE)</f>
        <v>740</v>
      </c>
    </row>
    <row r="532" spans="1:13" hidden="1">
      <c r="A532" s="1" t="s">
        <v>1345</v>
      </c>
      <c r="B532" s="1" t="s">
        <v>136</v>
      </c>
      <c r="C532" s="1" t="s">
        <v>847</v>
      </c>
      <c r="D532" s="1" t="s">
        <v>76</v>
      </c>
      <c r="E532" s="1" t="str">
        <f>A532&amp;(IF(C532="Garden City","Savannah",C532))</f>
        <v>ENFIELDSavannah</v>
      </c>
      <c r="F532" s="1" t="s">
        <v>905</v>
      </c>
      <c r="G532" s="1">
        <v>754.375</v>
      </c>
      <c r="H532" s="38">
        <f>G532*COSTS!$AA$27</f>
        <v>1131.5625</v>
      </c>
      <c r="I532" s="1">
        <f>COSTS!$AA$28</f>
        <v>50</v>
      </c>
      <c r="J532" s="38">
        <f t="shared" si="26"/>
        <v>1181.5625</v>
      </c>
      <c r="K532" s="38">
        <f t="shared" si="27"/>
        <v>268.53693181818181</v>
      </c>
      <c r="L532" s="151">
        <v>46023</v>
      </c>
      <c r="M532" s="1">
        <f>VLOOKUP(F:F,[1]Sheet1!$E:$F,2,FALSE)</f>
        <v>1090</v>
      </c>
    </row>
    <row r="533" spans="1:13" hidden="1">
      <c r="A533" s="1" t="s">
        <v>1345</v>
      </c>
      <c r="B533" s="1" t="s">
        <v>136</v>
      </c>
      <c r="C533" s="1" t="s">
        <v>1033</v>
      </c>
      <c r="D533" s="1" t="s">
        <v>168</v>
      </c>
      <c r="E533" s="1" t="str">
        <f>A533&amp;C533</f>
        <v>ENFIELDMEMPHIS</v>
      </c>
      <c r="F533" s="1" t="s">
        <v>1112</v>
      </c>
      <c r="G533" s="1">
        <v>1406</v>
      </c>
      <c r="H533" s="38">
        <f>G533*COSTS!$AA$27</f>
        <v>2109</v>
      </c>
      <c r="I533" s="1">
        <f>COSTS!$AA$28</f>
        <v>50</v>
      </c>
      <c r="J533" s="38">
        <f t="shared" si="26"/>
        <v>2159</v>
      </c>
      <c r="K533" s="38">
        <f t="shared" si="27"/>
        <v>490.68181818181819</v>
      </c>
      <c r="L533" s="151">
        <v>46023</v>
      </c>
      <c r="M533" s="1">
        <f>VLOOKUP(F:F,[1]Sheet1!$E:$F,2,FALSE)</f>
        <v>2020</v>
      </c>
    </row>
    <row r="534" spans="1:13" hidden="1">
      <c r="A534" s="1" t="s">
        <v>1345</v>
      </c>
      <c r="B534" s="1" t="s">
        <v>136</v>
      </c>
      <c r="C534" s="1" t="s">
        <v>1275</v>
      </c>
      <c r="D534" s="1" t="s">
        <v>136</v>
      </c>
      <c r="E534" s="1" t="str">
        <f>A534&amp;C534</f>
        <v>ENFIELDSHELBY</v>
      </c>
      <c r="F534" s="1" t="str">
        <f>A534&amp;B534&amp;C534&amp;D534</f>
        <v>ENFIELDNCSHELBYNC</v>
      </c>
      <c r="G534" s="1">
        <v>689</v>
      </c>
      <c r="H534" s="38">
        <f>G534*COSTS!$AA$27</f>
        <v>1033.5</v>
      </c>
      <c r="I534" s="1">
        <f>COSTS!$AA$28</f>
        <v>50</v>
      </c>
      <c r="J534" s="38">
        <f t="shared" si="26"/>
        <v>1083.5</v>
      </c>
      <c r="K534" s="38">
        <f t="shared" si="27"/>
        <v>246.25</v>
      </c>
      <c r="L534" s="151">
        <v>46023</v>
      </c>
      <c r="M534" s="1">
        <f>VLOOKUP(F:F,[1]Sheet1!$E:$F,2,FALSE)</f>
        <v>780</v>
      </c>
    </row>
    <row r="535" spans="1:13" hidden="1">
      <c r="A535" s="1" t="s">
        <v>1348</v>
      </c>
      <c r="B535" s="1" t="s">
        <v>136</v>
      </c>
      <c r="C535" s="1" t="s">
        <v>847</v>
      </c>
      <c r="D535" s="1" t="s">
        <v>76</v>
      </c>
      <c r="E535" s="1" t="str">
        <f>A535&amp;(IF(C535="Garden City","Savannah",C535))</f>
        <v>ERWINSavannah</v>
      </c>
      <c r="F535" s="1" t="s">
        <v>908</v>
      </c>
      <c r="G535" s="1">
        <v>652.29999999999995</v>
      </c>
      <c r="H535" s="38">
        <f>G535*COSTS!$AA$27</f>
        <v>978.44999999999993</v>
      </c>
      <c r="I535" s="1">
        <f>COSTS!$AA$28</f>
        <v>50</v>
      </c>
      <c r="J535" s="38">
        <f t="shared" si="26"/>
        <v>1028.4499999999998</v>
      </c>
      <c r="K535" s="38">
        <f t="shared" si="27"/>
        <v>233.73863636363635</v>
      </c>
      <c r="L535" s="151">
        <v>46023</v>
      </c>
      <c r="M535" s="1">
        <f>VLOOKUP(F:F,[1]Sheet1!$E:$F,2,FALSE)</f>
        <v>900</v>
      </c>
    </row>
    <row r="536" spans="1:13" hidden="1">
      <c r="A536" s="1" t="s">
        <v>1348</v>
      </c>
      <c r="B536" s="1" t="s">
        <v>136</v>
      </c>
      <c r="C536" s="1" t="s">
        <v>1033</v>
      </c>
      <c r="D536" s="1" t="s">
        <v>168</v>
      </c>
      <c r="E536" s="1" t="str">
        <f>A536&amp;C536</f>
        <v>ERWINMEMPHIS</v>
      </c>
      <c r="F536" s="1" t="s">
        <v>1116</v>
      </c>
      <c r="G536" s="1">
        <v>1437</v>
      </c>
      <c r="H536" s="38">
        <f>G536*COSTS!$AA$27</f>
        <v>2155.5</v>
      </c>
      <c r="I536" s="1">
        <f>COSTS!$AA$28</f>
        <v>50</v>
      </c>
      <c r="J536" s="38">
        <f t="shared" si="26"/>
        <v>2205.5</v>
      </c>
      <c r="K536" s="38">
        <f t="shared" si="27"/>
        <v>501.25</v>
      </c>
      <c r="L536" s="151">
        <v>46023</v>
      </c>
      <c r="M536" s="1">
        <f>VLOOKUP(F:F,[1]Sheet1!$E:$F,2,FALSE)</f>
        <v>1890</v>
      </c>
    </row>
    <row r="537" spans="1:13" hidden="1">
      <c r="A537" s="1" t="s">
        <v>1348</v>
      </c>
      <c r="B537" s="1" t="s">
        <v>136</v>
      </c>
      <c r="C537" s="1" t="s">
        <v>1275</v>
      </c>
      <c r="D537" s="1" t="s">
        <v>136</v>
      </c>
      <c r="E537" s="1" t="str">
        <f>A537&amp;C537</f>
        <v>ERWINSHELBY</v>
      </c>
      <c r="F537" s="1" t="str">
        <f>A537&amp;B537&amp;C537&amp;D537</f>
        <v>ERWINNCSHELBYNC</v>
      </c>
      <c r="G537" s="1">
        <v>555</v>
      </c>
      <c r="H537" s="38">
        <f>G537*COSTS!$AA$27</f>
        <v>832.5</v>
      </c>
      <c r="I537" s="1">
        <f>COSTS!$AA$28</f>
        <v>50</v>
      </c>
      <c r="J537" s="38">
        <f t="shared" si="26"/>
        <v>882.5</v>
      </c>
      <c r="K537" s="38">
        <f t="shared" si="27"/>
        <v>200.56818181818184</v>
      </c>
      <c r="L537" s="151">
        <v>46023</v>
      </c>
      <c r="M537" s="1">
        <f>VLOOKUP(F:F,[1]Sheet1!$E:$F,2,FALSE)</f>
        <v>640</v>
      </c>
    </row>
    <row r="538" spans="1:13" hidden="1">
      <c r="A538" s="1" t="s">
        <v>1349</v>
      </c>
      <c r="B538" s="1" t="s">
        <v>136</v>
      </c>
      <c r="C538" s="1" t="s">
        <v>847</v>
      </c>
      <c r="D538" s="1" t="s">
        <v>76</v>
      </c>
      <c r="E538" s="1" t="str">
        <f>A538&amp;(IF(C538="Garden City","Savannah",C538))</f>
        <v>EVERETTSSavannah</v>
      </c>
      <c r="F538" s="1" t="s">
        <v>909</v>
      </c>
      <c r="G538" s="1">
        <v>754.375</v>
      </c>
      <c r="H538" s="38">
        <f>G538*COSTS!$AA$27</f>
        <v>1131.5625</v>
      </c>
      <c r="I538" s="1">
        <f>COSTS!$AA$28</f>
        <v>50</v>
      </c>
      <c r="J538" s="38">
        <f t="shared" si="26"/>
        <v>1181.5625</v>
      </c>
      <c r="K538" s="38">
        <f t="shared" si="27"/>
        <v>268.53693181818181</v>
      </c>
      <c r="L538" s="151">
        <v>46023</v>
      </c>
      <c r="M538" s="1">
        <f>VLOOKUP(F:F,[1]Sheet1!$E:$F,2,FALSE)</f>
        <v>1140</v>
      </c>
    </row>
    <row r="539" spans="1:13" hidden="1">
      <c r="A539" s="1" t="s">
        <v>1349</v>
      </c>
      <c r="B539" s="1" t="s">
        <v>136</v>
      </c>
      <c r="C539" s="1" t="s">
        <v>1033</v>
      </c>
      <c r="D539" s="1" t="s">
        <v>168</v>
      </c>
      <c r="E539" s="1" t="str">
        <f>A539&amp;C539</f>
        <v>EVERETTSMEMPHIS</v>
      </c>
      <c r="F539" s="1" t="s">
        <v>1119</v>
      </c>
      <c r="G539" s="1">
        <v>1539</v>
      </c>
      <c r="H539" s="38">
        <f>G539*COSTS!$AA$27</f>
        <v>2308.5</v>
      </c>
      <c r="I539" s="1">
        <f>COSTS!$AA$28</f>
        <v>50</v>
      </c>
      <c r="J539" s="38">
        <f t="shared" si="26"/>
        <v>2358.5</v>
      </c>
      <c r="K539" s="38">
        <f t="shared" si="27"/>
        <v>536.02272727272725</v>
      </c>
      <c r="L539" s="151">
        <v>46023</v>
      </c>
      <c r="M539" s="1">
        <f>VLOOKUP(F:F,[1]Sheet1!$E:$F,2,FALSE)</f>
        <v>2070</v>
      </c>
    </row>
    <row r="540" spans="1:13" hidden="1">
      <c r="A540" s="1" t="s">
        <v>1349</v>
      </c>
      <c r="B540" s="1" t="s">
        <v>136</v>
      </c>
      <c r="C540" s="1" t="s">
        <v>1275</v>
      </c>
      <c r="D540" s="1" t="s">
        <v>136</v>
      </c>
      <c r="E540" s="1" t="str">
        <f>A540&amp;C540</f>
        <v>EVERETTSSHELBY</v>
      </c>
      <c r="F540" s="1" t="str">
        <f>A540&amp;B540&amp;C540&amp;D540</f>
        <v>EVERETTSNCSHELBYNC</v>
      </c>
      <c r="G540" s="1">
        <v>719</v>
      </c>
      <c r="H540" s="38">
        <f>G540*COSTS!$AA$27</f>
        <v>1078.5</v>
      </c>
      <c r="I540" s="1">
        <f>COSTS!$AA$28</f>
        <v>50</v>
      </c>
      <c r="J540" s="38">
        <f t="shared" si="26"/>
        <v>1128.5</v>
      </c>
      <c r="K540" s="38">
        <f t="shared" si="27"/>
        <v>256.47727272727275</v>
      </c>
      <c r="L540" s="151">
        <v>46023</v>
      </c>
      <c r="M540" s="1">
        <f>VLOOKUP(F:F,[1]Sheet1!$E:$F,2,FALSE)</f>
        <v>830</v>
      </c>
    </row>
    <row r="541" spans="1:13" hidden="1">
      <c r="A541" s="1" t="s">
        <v>1353</v>
      </c>
      <c r="B541" s="1" t="s">
        <v>136</v>
      </c>
      <c r="C541" s="1" t="s">
        <v>847</v>
      </c>
      <c r="D541" s="1" t="s">
        <v>76</v>
      </c>
      <c r="E541" s="1" t="str">
        <f>A541&amp;(IF(C541="Garden City","Savannah",C541))</f>
        <v>GARYSBURGSavannah</v>
      </c>
      <c r="F541" s="1" t="s">
        <v>914</v>
      </c>
      <c r="G541" s="1">
        <v>833.22</v>
      </c>
      <c r="H541" s="38">
        <f>G541*COSTS!$AA$27</f>
        <v>1249.83</v>
      </c>
      <c r="I541" s="1">
        <f>COSTS!$AA$28</f>
        <v>50</v>
      </c>
      <c r="J541" s="38">
        <f t="shared" si="26"/>
        <v>1299.83</v>
      </c>
      <c r="K541" s="38">
        <f t="shared" si="27"/>
        <v>295.41590909090905</v>
      </c>
      <c r="L541" s="151">
        <v>46023</v>
      </c>
      <c r="M541" s="1">
        <f>VLOOKUP(F:F,[1]Sheet1!$E:$F,2,FALSE)</f>
        <v>1130</v>
      </c>
    </row>
    <row r="542" spans="1:13" hidden="1">
      <c r="A542" s="1" t="s">
        <v>1353</v>
      </c>
      <c r="B542" s="1" t="s">
        <v>136</v>
      </c>
      <c r="C542" s="1" t="s">
        <v>1033</v>
      </c>
      <c r="D542" s="1" t="s">
        <v>168</v>
      </c>
      <c r="E542" s="1" t="str">
        <f>A542&amp;C542</f>
        <v>GARYSBURGMEMPHIS</v>
      </c>
      <c r="F542" s="1" t="s">
        <v>1126</v>
      </c>
      <c r="G542" s="1">
        <v>1368</v>
      </c>
      <c r="H542" s="38">
        <f>G542*COSTS!$AA$27</f>
        <v>2052</v>
      </c>
      <c r="I542" s="1">
        <f>COSTS!$AA$28</f>
        <v>50</v>
      </c>
      <c r="J542" s="38">
        <f t="shared" si="26"/>
        <v>2102</v>
      </c>
      <c r="K542" s="38">
        <f t="shared" si="27"/>
        <v>477.72727272727275</v>
      </c>
      <c r="L542" s="151">
        <v>46023</v>
      </c>
      <c r="M542" s="1">
        <f>VLOOKUP(F:F,[1]Sheet1!$E:$F,2,FALSE)</f>
        <v>2020</v>
      </c>
    </row>
    <row r="543" spans="1:13" hidden="1">
      <c r="A543" s="1" t="s">
        <v>1353</v>
      </c>
      <c r="B543" s="1" t="s">
        <v>136</v>
      </c>
      <c r="C543" s="1" t="s">
        <v>1275</v>
      </c>
      <c r="D543" s="1" t="s">
        <v>136</v>
      </c>
      <c r="E543" s="1" t="str">
        <f>A543&amp;C543</f>
        <v>GARYSBURGSHELBY</v>
      </c>
      <c r="F543" s="1" t="str">
        <f>A543&amp;B543&amp;C543&amp;D543</f>
        <v>GARYSBURGNCSHELBYNC</v>
      </c>
      <c r="G543" s="1">
        <v>679</v>
      </c>
      <c r="H543" s="38">
        <f>G543*COSTS!$AA$27</f>
        <v>1018.5</v>
      </c>
      <c r="I543" s="1">
        <f>COSTS!$AA$28</f>
        <v>50</v>
      </c>
      <c r="J543" s="38">
        <f t="shared" si="26"/>
        <v>1068.5</v>
      </c>
      <c r="K543" s="38">
        <f t="shared" si="27"/>
        <v>242.84090909090909</v>
      </c>
      <c r="L543" s="151">
        <v>46023</v>
      </c>
      <c r="M543" s="1">
        <f>VLOOKUP(F:F,[1]Sheet1!$E:$F,2,FALSE)</f>
        <v>770</v>
      </c>
    </row>
    <row r="544" spans="1:13" hidden="1">
      <c r="A544" s="1" t="s">
        <v>1354</v>
      </c>
      <c r="B544" s="1" t="s">
        <v>136</v>
      </c>
      <c r="C544" s="1" t="s">
        <v>847</v>
      </c>
      <c r="D544" s="1" t="s">
        <v>76</v>
      </c>
      <c r="E544" s="1" t="str">
        <f>A544&amp;(IF(C544="Garden City","Savannah",C544))</f>
        <v>GASTONIASavannah</v>
      </c>
      <c r="F544" s="1" t="s">
        <v>915</v>
      </c>
      <c r="G544" s="1">
        <v>603.28</v>
      </c>
      <c r="H544" s="38">
        <f>G544*COSTS!$AA$27</f>
        <v>904.92</v>
      </c>
      <c r="I544" s="1">
        <f>COSTS!$AA$28</f>
        <v>50</v>
      </c>
      <c r="J544" s="38">
        <f t="shared" si="26"/>
        <v>954.92</v>
      </c>
      <c r="K544" s="38">
        <f t="shared" si="27"/>
        <v>217.02727272727273</v>
      </c>
      <c r="L544" s="151">
        <v>46023</v>
      </c>
      <c r="M544" s="1">
        <f>VLOOKUP(F:F,[1]Sheet1!$E:$F,2,FALSE)</f>
        <v>900</v>
      </c>
    </row>
    <row r="545" spans="1:13" hidden="1">
      <c r="A545" s="1" t="s">
        <v>1354</v>
      </c>
      <c r="B545" s="1" t="s">
        <v>136</v>
      </c>
      <c r="C545" s="1" t="s">
        <v>1033</v>
      </c>
      <c r="D545" s="1" t="s">
        <v>168</v>
      </c>
      <c r="E545" s="1" t="str">
        <f>A545&amp;C545</f>
        <v>GASTONIAMEMPHIS</v>
      </c>
      <c r="F545" s="1" t="s">
        <v>1127</v>
      </c>
      <c r="G545" s="1">
        <v>1061</v>
      </c>
      <c r="H545" s="38">
        <f>G545*COSTS!$AA$27</f>
        <v>1591.5</v>
      </c>
      <c r="I545" s="1">
        <f>COSTS!$AA$28</f>
        <v>50</v>
      </c>
      <c r="J545" s="38">
        <f t="shared" si="26"/>
        <v>1641.5</v>
      </c>
      <c r="K545" s="38">
        <f t="shared" si="27"/>
        <v>373.06818181818181</v>
      </c>
      <c r="L545" s="151">
        <v>46023</v>
      </c>
      <c r="M545" s="1">
        <f>VLOOKUP(F:F,[1]Sheet1!$E:$F,2,FALSE)</f>
        <v>1620</v>
      </c>
    </row>
    <row r="546" spans="1:13" hidden="1">
      <c r="A546" s="1" t="s">
        <v>1354</v>
      </c>
      <c r="B546" s="1" t="s">
        <v>136</v>
      </c>
      <c r="C546" s="1" t="s">
        <v>1275</v>
      </c>
      <c r="D546" s="1" t="s">
        <v>136</v>
      </c>
      <c r="E546" s="1" t="str">
        <f>A546&amp;C546</f>
        <v>GASTONIASHELBY</v>
      </c>
      <c r="F546" s="1" t="str">
        <f>A546&amp;B546&amp;C546&amp;D546</f>
        <v>GASTONIANCSHELBYNC</v>
      </c>
      <c r="G546" s="1">
        <v>300</v>
      </c>
      <c r="H546" s="38">
        <f>G546*COSTS!$AA$27</f>
        <v>450</v>
      </c>
      <c r="I546" s="1">
        <f>COSTS!$AA$28</f>
        <v>50</v>
      </c>
      <c r="J546" s="38">
        <f t="shared" si="26"/>
        <v>500</v>
      </c>
      <c r="K546" s="38">
        <f t="shared" si="27"/>
        <v>113.63636363636363</v>
      </c>
      <c r="L546" s="151">
        <v>46023</v>
      </c>
      <c r="M546" s="1">
        <f>VLOOKUP(F:F,[1]Sheet1!$E:$F,2,FALSE)</f>
        <v>360</v>
      </c>
    </row>
    <row r="547" spans="1:13" hidden="1">
      <c r="A547" s="1" t="s">
        <v>1355</v>
      </c>
      <c r="B547" s="1" t="s">
        <v>136</v>
      </c>
      <c r="C547" s="1" t="s">
        <v>847</v>
      </c>
      <c r="D547" s="1" t="s">
        <v>76</v>
      </c>
      <c r="E547" s="1" t="str">
        <f>A547&amp;(IF(C547="Garden City","Savannah",C547))</f>
        <v>GATESSavannah</v>
      </c>
      <c r="F547" s="1" t="s">
        <v>916</v>
      </c>
      <c r="G547" s="1">
        <v>850.94</v>
      </c>
      <c r="H547" s="38">
        <f>G547*COSTS!$AA$27</f>
        <v>1276.4100000000001</v>
      </c>
      <c r="I547" s="1">
        <f>COSTS!$AA$28</f>
        <v>50</v>
      </c>
      <c r="J547" s="38">
        <f t="shared" si="26"/>
        <v>1326.41</v>
      </c>
      <c r="K547" s="38">
        <f t="shared" si="27"/>
        <v>301.45681818181822</v>
      </c>
      <c r="L547" s="151">
        <v>46023</v>
      </c>
      <c r="M547" s="1">
        <f>VLOOKUP(F:F,[1]Sheet1!$E:$F,2,FALSE)</f>
        <v>1260</v>
      </c>
    </row>
    <row r="548" spans="1:13" hidden="1">
      <c r="A548" s="1" t="s">
        <v>1355</v>
      </c>
      <c r="B548" s="1" t="s">
        <v>136</v>
      </c>
      <c r="C548" s="1" t="s">
        <v>1033</v>
      </c>
      <c r="D548" s="1" t="s">
        <v>168</v>
      </c>
      <c r="E548" s="1" t="str">
        <f>A548&amp;C548</f>
        <v>GATESMEMPHIS</v>
      </c>
      <c r="F548" s="1" t="s">
        <v>1128</v>
      </c>
      <c r="G548" s="1">
        <v>1522</v>
      </c>
      <c r="H548" s="38">
        <f>G548*COSTS!$AA$27</f>
        <v>2283</v>
      </c>
      <c r="I548" s="1">
        <f>COSTS!$AA$28</f>
        <v>50</v>
      </c>
      <c r="J548" s="38">
        <f t="shared" si="26"/>
        <v>2333</v>
      </c>
      <c r="K548" s="38">
        <f t="shared" si="27"/>
        <v>530.22727272727275</v>
      </c>
      <c r="L548" s="151">
        <v>46023</v>
      </c>
      <c r="M548" s="1">
        <f>VLOOKUP(F:F,[1]Sheet1!$E:$F,2,FALSE)</f>
        <v>2140</v>
      </c>
    </row>
    <row r="549" spans="1:13" hidden="1">
      <c r="A549" s="1" t="s">
        <v>1355</v>
      </c>
      <c r="B549" s="1" t="s">
        <v>136</v>
      </c>
      <c r="C549" s="1" t="s">
        <v>1275</v>
      </c>
      <c r="D549" s="1" t="s">
        <v>136</v>
      </c>
      <c r="E549" s="1" t="str">
        <f>A549&amp;C549</f>
        <v>GATESSHELBY</v>
      </c>
      <c r="F549" s="1" t="str">
        <f>A549&amp;B549&amp;C549&amp;D549</f>
        <v>GATESNCSHELBYNC</v>
      </c>
      <c r="G549" s="1">
        <v>770</v>
      </c>
      <c r="H549" s="38">
        <f>G549*COSTS!$AA$27</f>
        <v>1155</v>
      </c>
      <c r="I549" s="1">
        <f>COSTS!$AA$28</f>
        <v>50</v>
      </c>
      <c r="J549" s="38">
        <f t="shared" si="26"/>
        <v>1205</v>
      </c>
      <c r="K549" s="38">
        <f t="shared" si="27"/>
        <v>273.86363636363637</v>
      </c>
      <c r="L549" s="151">
        <v>46023</v>
      </c>
      <c r="M549" s="1">
        <f>VLOOKUP(F:F,[1]Sheet1!$E:$F,2,FALSE)</f>
        <v>900</v>
      </c>
    </row>
    <row r="550" spans="1:13" hidden="1">
      <c r="A550" s="1" t="s">
        <v>1356</v>
      </c>
      <c r="B550" s="1" t="s">
        <v>136</v>
      </c>
      <c r="C550" s="1" t="s">
        <v>847</v>
      </c>
      <c r="D550" s="1" t="s">
        <v>76</v>
      </c>
      <c r="E550" s="1" t="str">
        <f>A550&amp;(IF(C550="Garden City","Savannah",C550))</f>
        <v>GATESVILLESavannah</v>
      </c>
      <c r="F550" s="1" t="s">
        <v>917</v>
      </c>
      <c r="G550" s="1">
        <v>850.94</v>
      </c>
      <c r="H550" s="38">
        <f>G550*COSTS!$AA$27</f>
        <v>1276.4100000000001</v>
      </c>
      <c r="I550" s="1">
        <f>COSTS!$AA$28</f>
        <v>50</v>
      </c>
      <c r="J550" s="38">
        <f t="shared" si="26"/>
        <v>1326.41</v>
      </c>
      <c r="K550" s="38">
        <f t="shared" si="27"/>
        <v>301.45681818181822</v>
      </c>
      <c r="L550" s="151">
        <v>46023</v>
      </c>
      <c r="M550" s="1">
        <f>VLOOKUP(F:F,[1]Sheet1!$E:$F,2,FALSE)</f>
        <v>1250</v>
      </c>
    </row>
    <row r="551" spans="1:13" hidden="1">
      <c r="A551" s="1" t="s">
        <v>1356</v>
      </c>
      <c r="B551" s="1" t="s">
        <v>136</v>
      </c>
      <c r="C551" s="1" t="s">
        <v>1033</v>
      </c>
      <c r="D551" s="1" t="s">
        <v>168</v>
      </c>
      <c r="E551" s="1" t="str">
        <f>A551&amp;C551</f>
        <v>GATESVILLEMEMPHIS</v>
      </c>
      <c r="F551" s="1" t="s">
        <v>1129</v>
      </c>
      <c r="G551" s="1">
        <v>1514</v>
      </c>
      <c r="H551" s="38">
        <f>G551*COSTS!$AA$27</f>
        <v>2271</v>
      </c>
      <c r="I551" s="1">
        <f>COSTS!$AA$28</f>
        <v>50</v>
      </c>
      <c r="J551" s="38">
        <f t="shared" si="26"/>
        <v>2321</v>
      </c>
      <c r="K551" s="38">
        <f t="shared" si="27"/>
        <v>527.5</v>
      </c>
      <c r="L551" s="151">
        <v>46023</v>
      </c>
      <c r="M551" s="1">
        <f>VLOOKUP(F:F,[1]Sheet1!$E:$F,2,FALSE)</f>
        <v>2130</v>
      </c>
    </row>
    <row r="552" spans="1:13" hidden="1">
      <c r="A552" s="1" t="s">
        <v>1356</v>
      </c>
      <c r="B552" s="1" t="s">
        <v>136</v>
      </c>
      <c r="C552" s="1" t="s">
        <v>1275</v>
      </c>
      <c r="D552" s="1" t="s">
        <v>136</v>
      </c>
      <c r="E552" s="1" t="str">
        <f>A552&amp;C552</f>
        <v>GATESVILLESHELBY</v>
      </c>
      <c r="F552" s="1" t="str">
        <f>A552&amp;B552&amp;C552&amp;D552</f>
        <v>GATESVILLENCSHELBYNC</v>
      </c>
      <c r="G552" s="1">
        <v>765</v>
      </c>
      <c r="H552" s="38">
        <f>G552*COSTS!$AA$27</f>
        <v>1147.5</v>
      </c>
      <c r="I552" s="1">
        <f>COSTS!$AA$28</f>
        <v>50</v>
      </c>
      <c r="J552" s="38">
        <f t="shared" si="26"/>
        <v>1197.5</v>
      </c>
      <c r="K552" s="38">
        <f t="shared" si="27"/>
        <v>272.15909090909088</v>
      </c>
      <c r="L552" s="151">
        <v>46023</v>
      </c>
      <c r="M552" s="1">
        <f>VLOOKUP(F:F,[1]Sheet1!$E:$F,2,FALSE)</f>
        <v>890</v>
      </c>
    </row>
    <row r="553" spans="1:13" hidden="1">
      <c r="A553" s="1" t="s">
        <v>1357</v>
      </c>
      <c r="B553" s="1" t="s">
        <v>136</v>
      </c>
      <c r="C553" s="1" t="s">
        <v>847</v>
      </c>
      <c r="D553" s="1" t="s">
        <v>76</v>
      </c>
      <c r="E553" s="1" t="str">
        <f>A553&amp;(IF(C553="Garden City","Savannah",C553))</f>
        <v>GOLDSBOROSavannah</v>
      </c>
      <c r="F553" s="1" t="s">
        <v>918</v>
      </c>
      <c r="G553" s="1">
        <v>667.65499999999997</v>
      </c>
      <c r="H553" s="38">
        <f>G553*COSTS!$AA$27</f>
        <v>1001.4825</v>
      </c>
      <c r="I553" s="1">
        <f>COSTS!$AA$28</f>
        <v>50</v>
      </c>
      <c r="J553" s="38">
        <f t="shared" si="26"/>
        <v>1051.4825000000001</v>
      </c>
      <c r="K553" s="38">
        <f t="shared" si="27"/>
        <v>238.97329545454545</v>
      </c>
      <c r="L553" s="151">
        <v>46023</v>
      </c>
      <c r="M553" s="1" t="e">
        <f>VLOOKUP(F:F,[1]Sheet1!$E:$F,2,FALSE)</f>
        <v>#N/A</v>
      </c>
    </row>
    <row r="554" spans="1:13" hidden="1">
      <c r="A554" s="1" t="s">
        <v>1367</v>
      </c>
      <c r="B554" s="1" t="s">
        <v>136</v>
      </c>
      <c r="C554" s="1" t="s">
        <v>847</v>
      </c>
      <c r="D554" s="1" t="s">
        <v>76</v>
      </c>
      <c r="E554" s="1" t="str">
        <f>A554&amp;(IF(C554="Garden City","Savannah",C554))</f>
        <v>HERTFORDSavannah</v>
      </c>
      <c r="F554" s="1" t="s">
        <v>927</v>
      </c>
      <c r="G554" s="1">
        <v>850.94</v>
      </c>
      <c r="H554" s="38">
        <f>G554*COSTS!$AA$27</f>
        <v>1276.4100000000001</v>
      </c>
      <c r="I554" s="1">
        <f>COSTS!$AA$28</f>
        <v>50</v>
      </c>
      <c r="J554" s="38">
        <f t="shared" si="26"/>
        <v>1326.41</v>
      </c>
      <c r="K554" s="38">
        <f t="shared" si="27"/>
        <v>301.45681818181822</v>
      </c>
      <c r="L554" s="151">
        <v>46023</v>
      </c>
      <c r="M554" s="1">
        <f>VLOOKUP(F:F,[1]Sheet1!$E:$F,2,FALSE)</f>
        <v>1270</v>
      </c>
    </row>
    <row r="555" spans="1:13" hidden="1">
      <c r="A555" s="1" t="s">
        <v>1369</v>
      </c>
      <c r="B555" s="1" t="s">
        <v>136</v>
      </c>
      <c r="C555" s="1" t="s">
        <v>847</v>
      </c>
      <c r="D555" s="1" t="s">
        <v>76</v>
      </c>
      <c r="E555" s="1" t="str">
        <f>A555&amp;(IF(C555="Garden City","Savannah",C555))</f>
        <v>HOBGOODSavannah</v>
      </c>
      <c r="F555" s="1" t="s">
        <v>929</v>
      </c>
      <c r="G555" s="1">
        <v>789.31999999999994</v>
      </c>
      <c r="H555" s="38">
        <f>G555*COSTS!$AA$27</f>
        <v>1183.98</v>
      </c>
      <c r="I555" s="1">
        <f>COSTS!$AA$28</f>
        <v>50</v>
      </c>
      <c r="J555" s="38">
        <f t="shared" si="26"/>
        <v>1233.98</v>
      </c>
      <c r="K555" s="38">
        <f t="shared" si="27"/>
        <v>280.45000000000005</v>
      </c>
      <c r="L555" s="151">
        <v>46023</v>
      </c>
      <c r="M555" s="1" t="e">
        <f>VLOOKUP(F:F,[1]Sheet1!$E:$F,2,FALSE)</f>
        <v>#N/A</v>
      </c>
    </row>
    <row r="556" spans="1:13" hidden="1">
      <c r="A556" s="1" t="s">
        <v>1369</v>
      </c>
      <c r="B556" s="1" t="s">
        <v>136</v>
      </c>
      <c r="C556" s="1" t="s">
        <v>1275</v>
      </c>
      <c r="D556" s="1" t="s">
        <v>136</v>
      </c>
      <c r="E556" s="1" t="str">
        <f>A556&amp;C556</f>
        <v>HOBGOODSHELBY</v>
      </c>
      <c r="F556" s="1" t="str">
        <f>A556&amp;B556&amp;C556&amp;D556</f>
        <v>HOBGOODNCSHELBYNC</v>
      </c>
      <c r="G556" s="1">
        <v>699</v>
      </c>
      <c r="H556" s="38">
        <f>G556*COSTS!$AA$27</f>
        <v>1048.5</v>
      </c>
      <c r="I556" s="1">
        <f>COSTS!$AA$28</f>
        <v>50</v>
      </c>
      <c r="J556" s="38">
        <f t="shared" si="26"/>
        <v>1098.5</v>
      </c>
      <c r="K556" s="38">
        <f t="shared" si="27"/>
        <v>249.65909090909091</v>
      </c>
      <c r="L556" s="151">
        <v>46023</v>
      </c>
      <c r="M556" s="1" t="e">
        <f>VLOOKUP(F:F,[1]Sheet1!$E:$F,2,FALSE)</f>
        <v>#N/A</v>
      </c>
    </row>
    <row r="557" spans="1:13" hidden="1">
      <c r="A557" s="1" t="s">
        <v>1373</v>
      </c>
      <c r="B557" s="1" t="s">
        <v>136</v>
      </c>
      <c r="C557" s="1" t="s">
        <v>847</v>
      </c>
      <c r="D557" s="1" t="s">
        <v>76</v>
      </c>
      <c r="E557" s="1" t="str">
        <f>A557&amp;(IF(C557="Garden City","Savannah",C557))</f>
        <v>JACKSONSavannah</v>
      </c>
      <c r="F557" s="1" t="s">
        <v>933</v>
      </c>
      <c r="G557" s="1">
        <v>834.005</v>
      </c>
      <c r="H557" s="38">
        <f>G557*COSTS!$AA$27</f>
        <v>1251.0074999999999</v>
      </c>
      <c r="I557" s="1">
        <f>COSTS!$AA$28</f>
        <v>50</v>
      </c>
      <c r="J557" s="38">
        <f t="shared" si="26"/>
        <v>1301.0074999999999</v>
      </c>
      <c r="K557" s="38">
        <f t="shared" si="27"/>
        <v>295.6835227272727</v>
      </c>
      <c r="L557" s="151">
        <v>46023</v>
      </c>
      <c r="M557" s="1" t="e">
        <f>VLOOKUP(F:F,[1]Sheet1!$E:$F,2,FALSE)</f>
        <v>#N/A</v>
      </c>
    </row>
    <row r="558" spans="1:13" hidden="1">
      <c r="A558" s="1" t="s">
        <v>1373</v>
      </c>
      <c r="B558" s="1" t="s">
        <v>136</v>
      </c>
      <c r="C558" s="1" t="s">
        <v>1275</v>
      </c>
      <c r="D558" s="1" t="s">
        <v>136</v>
      </c>
      <c r="E558" s="1" t="str">
        <f>A558&amp;C558</f>
        <v>JACKSONSHELBY</v>
      </c>
      <c r="F558" s="1" t="str">
        <f>A558&amp;B558&amp;C558&amp;D558</f>
        <v>JACKSONNCSHELBYNC</v>
      </c>
      <c r="G558" s="1">
        <v>718</v>
      </c>
      <c r="H558" s="38">
        <f>G558*COSTS!$AA$27</f>
        <v>1077</v>
      </c>
      <c r="I558" s="1">
        <f>COSTS!$AA$28</f>
        <v>50</v>
      </c>
      <c r="J558" s="38">
        <f t="shared" si="26"/>
        <v>1127</v>
      </c>
      <c r="K558" s="38">
        <f t="shared" si="27"/>
        <v>256.13636363636363</v>
      </c>
      <c r="L558" s="151">
        <v>46023</v>
      </c>
      <c r="M558" s="1" t="e">
        <f>VLOOKUP(F:F,[1]Sheet1!$E:$F,2,FALSE)</f>
        <v>#N/A</v>
      </c>
    </row>
    <row r="559" spans="1:13" hidden="1">
      <c r="A559" s="1" t="s">
        <v>1375</v>
      </c>
      <c r="B559" s="1" t="s">
        <v>136</v>
      </c>
      <c r="C559" s="1" t="s">
        <v>847</v>
      </c>
      <c r="D559" s="1" t="s">
        <v>76</v>
      </c>
      <c r="E559" s="1" t="str">
        <f>A559&amp;(IF(C559="Garden City","Savannah",C559))</f>
        <v>KINSTONSavannah</v>
      </c>
      <c r="F559" s="1" t="s">
        <v>936</v>
      </c>
      <c r="G559" s="1">
        <v>694.82500000000005</v>
      </c>
      <c r="H559" s="38">
        <f>G559*COSTS!$AA$27</f>
        <v>1042.2375000000002</v>
      </c>
      <c r="I559" s="1">
        <f>COSTS!$AA$28</f>
        <v>50</v>
      </c>
      <c r="J559" s="38">
        <f t="shared" si="26"/>
        <v>1092.2375000000002</v>
      </c>
      <c r="K559" s="38">
        <f t="shared" si="27"/>
        <v>248.2357954545455</v>
      </c>
      <c r="L559" s="151">
        <v>46023</v>
      </c>
      <c r="M559" s="1">
        <f>VLOOKUP(F:F,[1]Sheet1!$E:$F,2,FALSE)</f>
        <v>1060</v>
      </c>
    </row>
    <row r="560" spans="1:13" hidden="1">
      <c r="A560" s="1" t="s">
        <v>1376</v>
      </c>
      <c r="B560" s="1" t="s">
        <v>136</v>
      </c>
      <c r="C560" s="1" t="s">
        <v>847</v>
      </c>
      <c r="D560" s="1" t="s">
        <v>76</v>
      </c>
      <c r="E560" s="1" t="str">
        <f>A560&amp;(IF(C560="Garden City","Savannah",C560))</f>
        <v>LA GRANGESavannah</v>
      </c>
      <c r="F560" s="1" t="s">
        <v>937</v>
      </c>
      <c r="G560" s="1">
        <v>698.27</v>
      </c>
      <c r="H560" s="38">
        <f>G560*COSTS!$AA$27</f>
        <v>1047.405</v>
      </c>
      <c r="I560" s="1">
        <f>COSTS!$AA$28</f>
        <v>50</v>
      </c>
      <c r="J560" s="38">
        <f t="shared" si="26"/>
        <v>1097.405</v>
      </c>
      <c r="K560" s="38">
        <f t="shared" si="27"/>
        <v>249.41022727272727</v>
      </c>
      <c r="L560" s="151">
        <v>46023</v>
      </c>
      <c r="M560" s="1" t="e">
        <f>VLOOKUP(F:F,[1]Sheet1!$E:$F,2,FALSE)</f>
        <v>#N/A</v>
      </c>
    </row>
    <row r="561" spans="1:13" hidden="1">
      <c r="A561" s="1" t="s">
        <v>1376</v>
      </c>
      <c r="B561" s="1" t="s">
        <v>136</v>
      </c>
      <c r="C561" s="1" t="s">
        <v>1275</v>
      </c>
      <c r="D561" s="1" t="s">
        <v>136</v>
      </c>
      <c r="E561" s="1" t="str">
        <f>A561&amp;C561</f>
        <v>LA GRANGESHELBY</v>
      </c>
      <c r="F561" s="1" t="str">
        <f>A561&amp;B561&amp;C561&amp;D561</f>
        <v>LA GRANGENCSHELBYNC</v>
      </c>
      <c r="G561" s="1">
        <v>738</v>
      </c>
      <c r="H561" s="38">
        <f>G561*COSTS!$AA$27</f>
        <v>1107</v>
      </c>
      <c r="I561" s="1">
        <f>COSTS!$AA$28</f>
        <v>50</v>
      </c>
      <c r="J561" s="38">
        <f t="shared" si="26"/>
        <v>1157</v>
      </c>
      <c r="K561" s="38">
        <f t="shared" si="27"/>
        <v>262.9545454545455</v>
      </c>
      <c r="L561" s="151">
        <v>46023</v>
      </c>
      <c r="M561" s="1" t="e">
        <f>VLOOKUP(F:F,[1]Sheet1!$E:$F,2,FALSE)</f>
        <v>#N/A</v>
      </c>
    </row>
    <row r="562" spans="1:13" hidden="1">
      <c r="A562" s="1" t="s">
        <v>1381</v>
      </c>
      <c r="B562" s="1" t="s">
        <v>136</v>
      </c>
      <c r="C562" s="1" t="s">
        <v>847</v>
      </c>
      <c r="D562" s="1" t="s">
        <v>76</v>
      </c>
      <c r="E562" s="1" t="str">
        <f>A562&amp;(IF(C562="Garden City","Savannah",C562))</f>
        <v>LAUREL HILLSavannah</v>
      </c>
      <c r="F562" s="1" t="s">
        <v>942</v>
      </c>
      <c r="G562" s="1">
        <v>603.28</v>
      </c>
      <c r="H562" s="38">
        <f>G562*COSTS!$AA$27</f>
        <v>904.92</v>
      </c>
      <c r="I562" s="1">
        <f>COSTS!$AA$28</f>
        <v>50</v>
      </c>
      <c r="J562" s="38">
        <f t="shared" si="26"/>
        <v>954.92</v>
      </c>
      <c r="K562" s="38">
        <f t="shared" si="27"/>
        <v>217.02727272727273</v>
      </c>
      <c r="L562" s="151">
        <v>46023</v>
      </c>
      <c r="M562" s="1" t="e">
        <f>VLOOKUP(F:F,[1]Sheet1!$E:$F,2,FALSE)</f>
        <v>#N/A</v>
      </c>
    </row>
    <row r="563" spans="1:13" hidden="1">
      <c r="A563" s="1" t="s">
        <v>1382</v>
      </c>
      <c r="B563" s="1" t="s">
        <v>136</v>
      </c>
      <c r="C563" s="1" t="s">
        <v>847</v>
      </c>
      <c r="D563" s="1" t="s">
        <v>76</v>
      </c>
      <c r="E563" s="1" t="str">
        <f>A563&amp;(IF(C563="Garden City","Savannah",C563))</f>
        <v>LAURINBURGSavannah</v>
      </c>
      <c r="F563" s="1" t="s">
        <v>943</v>
      </c>
      <c r="G563" s="1">
        <v>603.28</v>
      </c>
      <c r="H563" s="38">
        <f>G563*COSTS!$AA$27</f>
        <v>904.92</v>
      </c>
      <c r="I563" s="1">
        <f>COSTS!$AA$28</f>
        <v>50</v>
      </c>
      <c r="J563" s="38">
        <f t="shared" si="26"/>
        <v>954.92</v>
      </c>
      <c r="K563" s="38">
        <f t="shared" si="27"/>
        <v>217.02727272727273</v>
      </c>
      <c r="L563" s="151">
        <v>46023</v>
      </c>
      <c r="M563" s="1" t="e">
        <f>VLOOKUP(F:F,[1]Sheet1!$E:$F,2,FALSE)</f>
        <v>#N/A</v>
      </c>
    </row>
    <row r="564" spans="1:13" hidden="1">
      <c r="A564" s="1" t="s">
        <v>1385</v>
      </c>
      <c r="B564" s="1" t="s">
        <v>136</v>
      </c>
      <c r="C564" s="1" t="s">
        <v>847</v>
      </c>
      <c r="D564" s="1" t="s">
        <v>76</v>
      </c>
      <c r="E564" s="1" t="str">
        <f>A564&amp;(IF(C564="Garden City","Savannah",C564))</f>
        <v>LOWELLSavannah</v>
      </c>
      <c r="F564" s="1" t="s">
        <v>946</v>
      </c>
      <c r="G564" s="1">
        <v>603.28</v>
      </c>
      <c r="H564" s="38">
        <f>G564*COSTS!$AA$27</f>
        <v>904.92</v>
      </c>
      <c r="I564" s="1">
        <f>COSTS!$AA$28</f>
        <v>50</v>
      </c>
      <c r="J564" s="38">
        <f t="shared" si="26"/>
        <v>954.92</v>
      </c>
      <c r="K564" s="38">
        <f t="shared" si="27"/>
        <v>217.02727272727273</v>
      </c>
      <c r="L564" s="151">
        <v>46023</v>
      </c>
      <c r="M564" s="1" t="e">
        <f>VLOOKUP(F:F,[1]Sheet1!$E:$F,2,FALSE)</f>
        <v>#N/A</v>
      </c>
    </row>
    <row r="565" spans="1:13" hidden="1">
      <c r="A565" s="1" t="s">
        <v>1385</v>
      </c>
      <c r="B565" s="1" t="s">
        <v>136</v>
      </c>
      <c r="C565" s="1" t="s">
        <v>1275</v>
      </c>
      <c r="D565" s="1" t="s">
        <v>136</v>
      </c>
      <c r="E565" s="1" t="str">
        <f>A565&amp;C565</f>
        <v>LOWELLSHELBY</v>
      </c>
      <c r="F565" s="1" t="str">
        <f>A565&amp;B565&amp;C565&amp;D565</f>
        <v>LOWELLNCSHELBYNC</v>
      </c>
      <c r="G565" s="1">
        <v>325</v>
      </c>
      <c r="H565" s="38">
        <f>G565*COSTS!$AA$27</f>
        <v>487.5</v>
      </c>
      <c r="I565" s="1">
        <f>COSTS!$AA$28</f>
        <v>50</v>
      </c>
      <c r="J565" s="38">
        <f t="shared" si="26"/>
        <v>537.5</v>
      </c>
      <c r="K565" s="38">
        <f t="shared" si="27"/>
        <v>122.15909090909092</v>
      </c>
      <c r="L565" s="151">
        <v>46023</v>
      </c>
      <c r="M565" s="1" t="e">
        <f>VLOOKUP(F:F,[1]Sheet1!$E:$F,2,FALSE)</f>
        <v>#N/A</v>
      </c>
    </row>
    <row r="566" spans="1:13" hidden="1">
      <c r="A566" s="1" t="s">
        <v>1387</v>
      </c>
      <c r="B566" s="1" t="s">
        <v>136</v>
      </c>
      <c r="C566" s="1" t="s">
        <v>847</v>
      </c>
      <c r="D566" s="1" t="s">
        <v>76</v>
      </c>
      <c r="E566" s="1" t="str">
        <f>A566&amp;(IF(C566="Garden City","Savannah",C566))</f>
        <v>LUMBERTONSavannah</v>
      </c>
      <c r="F566" s="1" t="s">
        <v>948</v>
      </c>
      <c r="G566" s="1">
        <v>615.78</v>
      </c>
      <c r="H566" s="38">
        <f>G566*COSTS!$AA$27</f>
        <v>923.67</v>
      </c>
      <c r="I566" s="1">
        <f>COSTS!$AA$28</f>
        <v>50</v>
      </c>
      <c r="J566" s="38">
        <f t="shared" si="26"/>
        <v>973.67</v>
      </c>
      <c r="K566" s="38">
        <f t="shared" si="27"/>
        <v>221.28863636363636</v>
      </c>
      <c r="L566" s="151">
        <v>46023</v>
      </c>
      <c r="M566" s="1" t="e">
        <f>VLOOKUP(F:F,[1]Sheet1!$E:$F,2,FALSE)</f>
        <v>#N/A</v>
      </c>
    </row>
    <row r="567" spans="1:13" hidden="1">
      <c r="A567" s="1" t="s">
        <v>1387</v>
      </c>
      <c r="B567" s="1" t="s">
        <v>136</v>
      </c>
      <c r="C567" s="1" t="s">
        <v>1275</v>
      </c>
      <c r="D567" s="1" t="s">
        <v>136</v>
      </c>
      <c r="E567" s="1" t="str">
        <f>A567&amp;C567</f>
        <v>LUMBERTONSHELBY</v>
      </c>
      <c r="F567" s="1" t="str">
        <f>A567&amp;B567&amp;C567&amp;D567</f>
        <v>LUMBERTONNCSHELBYNC</v>
      </c>
      <c r="G567" s="1">
        <v>525</v>
      </c>
      <c r="H567" s="38">
        <f>G567*COSTS!$AA$27</f>
        <v>787.5</v>
      </c>
      <c r="I567" s="1">
        <f>COSTS!$AA$28</f>
        <v>50</v>
      </c>
      <c r="J567" s="38">
        <f t="shared" si="26"/>
        <v>837.5</v>
      </c>
      <c r="K567" s="38">
        <f t="shared" si="27"/>
        <v>190.34090909090909</v>
      </c>
      <c r="L567" s="151">
        <v>46023</v>
      </c>
      <c r="M567" s="1" t="e">
        <f>VLOOKUP(F:F,[1]Sheet1!$E:$F,2,FALSE)</f>
        <v>#N/A</v>
      </c>
    </row>
    <row r="568" spans="1:13" hidden="1">
      <c r="A568" s="1" t="s">
        <v>1286</v>
      </c>
      <c r="B568" s="1" t="s">
        <v>136</v>
      </c>
      <c r="C568" s="1" t="s">
        <v>1275</v>
      </c>
      <c r="D568" s="1" t="s">
        <v>136</v>
      </c>
      <c r="E568" s="1" t="str">
        <f>A568&amp;C568</f>
        <v>MAYODANSHELBY</v>
      </c>
      <c r="F568" s="1" t="str">
        <f>A568&amp;B568&amp;C568&amp;D568</f>
        <v>MAYODANNCSHELBYNC</v>
      </c>
      <c r="G568" s="1">
        <v>525</v>
      </c>
      <c r="H568" s="38">
        <f>G568*COSTS!$AA$27</f>
        <v>787.5</v>
      </c>
      <c r="I568" s="1">
        <f>COSTS!$AA$28</f>
        <v>50</v>
      </c>
      <c r="J568" s="38">
        <f t="shared" si="26"/>
        <v>837.5</v>
      </c>
      <c r="K568" s="38">
        <f t="shared" si="27"/>
        <v>190.34090909090909</v>
      </c>
      <c r="L568" s="151">
        <v>46023</v>
      </c>
      <c r="M568" s="1" t="e">
        <f>VLOOKUP(F:F,[1]Sheet1!$E:$F,2,FALSE)</f>
        <v>#N/A</v>
      </c>
    </row>
    <row r="569" spans="1:13" hidden="1">
      <c r="A569" s="1" t="s">
        <v>1404</v>
      </c>
      <c r="B569" s="1" t="s">
        <v>136</v>
      </c>
      <c r="C569" s="1" t="s">
        <v>847</v>
      </c>
      <c r="D569" s="1" t="s">
        <v>76</v>
      </c>
      <c r="E569" s="1" t="str">
        <f>A569&amp;(IF(C569="Garden City","Savannah",C569))</f>
        <v>MURFREESBOROSavannah</v>
      </c>
      <c r="F569" s="1" t="s">
        <v>966</v>
      </c>
      <c r="G569" s="1">
        <v>848.57500000000005</v>
      </c>
      <c r="H569" s="38">
        <f>G569*COSTS!$AA$27</f>
        <v>1272.8625000000002</v>
      </c>
      <c r="I569" s="1">
        <f>COSTS!$AA$28</f>
        <v>50</v>
      </c>
      <c r="J569" s="38">
        <f t="shared" si="26"/>
        <v>1322.8625000000002</v>
      </c>
      <c r="K569" s="38">
        <f t="shared" si="27"/>
        <v>300.65056818181824</v>
      </c>
      <c r="L569" s="151">
        <v>46023</v>
      </c>
      <c r="M569" s="1">
        <f>VLOOKUP(F:F,[1]Sheet1!$E:$F,2,FALSE)</f>
        <v>1200</v>
      </c>
    </row>
    <row r="570" spans="1:13" hidden="1">
      <c r="A570" s="1" t="s">
        <v>1404</v>
      </c>
      <c r="B570" s="1" t="s">
        <v>136</v>
      </c>
      <c r="C570" s="1" t="s">
        <v>1033</v>
      </c>
      <c r="D570" s="1" t="s">
        <v>168</v>
      </c>
      <c r="E570" s="1" t="str">
        <f>A570&amp;C570</f>
        <v>MURFREESBOROMEMPHIS</v>
      </c>
      <c r="F570" s="1" t="s">
        <v>1196</v>
      </c>
      <c r="G570" s="1">
        <v>1484</v>
      </c>
      <c r="H570" s="38">
        <f>G570*COSTS!$AA$27</f>
        <v>2226</v>
      </c>
      <c r="I570" s="1">
        <f>COSTS!$AA$28</f>
        <v>50</v>
      </c>
      <c r="J570" s="38">
        <f t="shared" si="26"/>
        <v>2276</v>
      </c>
      <c r="K570" s="38">
        <f t="shared" si="27"/>
        <v>517.27272727272725</v>
      </c>
      <c r="L570" s="151">
        <v>46023</v>
      </c>
      <c r="M570" s="1">
        <f>VLOOKUP(F:F,[1]Sheet1!$E:$F,2,FALSE)</f>
        <v>2080</v>
      </c>
    </row>
    <row r="571" spans="1:13" hidden="1">
      <c r="A571" s="1" t="s">
        <v>1404</v>
      </c>
      <c r="B571" s="1" t="s">
        <v>136</v>
      </c>
      <c r="C571" s="1" t="s">
        <v>1275</v>
      </c>
      <c r="D571" s="1" t="s">
        <v>136</v>
      </c>
      <c r="E571" s="1" t="str">
        <f>A571&amp;C571</f>
        <v>MURFREESBOROSHELBY</v>
      </c>
      <c r="F571" s="1" t="str">
        <f>A571&amp;B571&amp;C571&amp;D571</f>
        <v>MURFREESBORONCSHELBYNC</v>
      </c>
      <c r="G571" s="1">
        <v>744</v>
      </c>
      <c r="H571" s="38">
        <f>G571*COSTS!$AA$27</f>
        <v>1116</v>
      </c>
      <c r="I571" s="1">
        <f>COSTS!$AA$28</f>
        <v>50</v>
      </c>
      <c r="J571" s="38">
        <f t="shared" si="26"/>
        <v>1166</v>
      </c>
      <c r="K571" s="38">
        <f t="shared" si="27"/>
        <v>265</v>
      </c>
      <c r="L571" s="151">
        <v>46023</v>
      </c>
      <c r="M571" s="1">
        <f>VLOOKUP(F:F,[1]Sheet1!$E:$F,2,FALSE)</f>
        <v>840</v>
      </c>
    </row>
    <row r="572" spans="1:13" hidden="1">
      <c r="A572" s="1" t="s">
        <v>1406</v>
      </c>
      <c r="B572" s="1" t="s">
        <v>136</v>
      </c>
      <c r="C572" s="1" t="s">
        <v>847</v>
      </c>
      <c r="D572" s="1" t="s">
        <v>76</v>
      </c>
      <c r="E572" s="1" t="str">
        <f>A572&amp;(IF(C572="Garden City","Savannah",C572))</f>
        <v>NEW LONDONSavannah</v>
      </c>
      <c r="F572" s="1" t="s">
        <v>968</v>
      </c>
      <c r="G572" s="1">
        <v>615.78</v>
      </c>
      <c r="H572" s="38">
        <f>G572*COSTS!$AA$27</f>
        <v>923.67</v>
      </c>
      <c r="I572" s="1">
        <f>COSTS!$AA$28</f>
        <v>50</v>
      </c>
      <c r="J572" s="38">
        <f t="shared" si="26"/>
        <v>973.67</v>
      </c>
      <c r="K572" s="38">
        <f t="shared" si="27"/>
        <v>221.28863636363636</v>
      </c>
      <c r="L572" s="151">
        <v>46023</v>
      </c>
      <c r="M572" s="1" t="e">
        <f>VLOOKUP(F:F,[1]Sheet1!$E:$F,2,FALSE)</f>
        <v>#N/A</v>
      </c>
    </row>
    <row r="573" spans="1:13" hidden="1">
      <c r="A573" s="1" t="s">
        <v>1408</v>
      </c>
      <c r="B573" s="1" t="s">
        <v>136</v>
      </c>
      <c r="C573" s="1" t="s">
        <v>847</v>
      </c>
      <c r="D573" s="1" t="s">
        <v>76</v>
      </c>
      <c r="E573" s="1" t="str">
        <f>A573&amp;(IF(C573="Garden City","Savannah",C573))</f>
        <v>NEWTON GROVESavannah</v>
      </c>
      <c r="F573" s="1" t="s">
        <v>970</v>
      </c>
      <c r="G573" s="1">
        <v>645.31500000000005</v>
      </c>
      <c r="H573" s="38">
        <f>G573*COSTS!$AA$27</f>
        <v>967.97250000000008</v>
      </c>
      <c r="I573" s="1">
        <f>COSTS!$AA$28</f>
        <v>50</v>
      </c>
      <c r="J573" s="38">
        <f t="shared" si="26"/>
        <v>1017.9725000000001</v>
      </c>
      <c r="K573" s="38">
        <f t="shared" si="27"/>
        <v>231.35738636363638</v>
      </c>
      <c r="L573" s="151">
        <v>46023</v>
      </c>
      <c r="M573" s="1">
        <f>VLOOKUP(F:F,[1]Sheet1!$E:$F,2,FALSE)</f>
        <v>910</v>
      </c>
    </row>
    <row r="574" spans="1:13" hidden="1">
      <c r="A574" s="1" t="s">
        <v>1408</v>
      </c>
      <c r="B574" s="1" t="s">
        <v>136</v>
      </c>
      <c r="C574" s="1" t="s">
        <v>1033</v>
      </c>
      <c r="D574" s="1" t="s">
        <v>168</v>
      </c>
      <c r="E574" s="1" t="str">
        <f>A574&amp;C574</f>
        <v>NEWTON GROVEMEMPHIS</v>
      </c>
      <c r="F574" s="1" t="s">
        <v>1201</v>
      </c>
      <c r="G574" s="1">
        <v>1406</v>
      </c>
      <c r="H574" s="38">
        <f>G574*COSTS!$AA$27</f>
        <v>2109</v>
      </c>
      <c r="I574" s="1">
        <f>COSTS!$AA$28</f>
        <v>50</v>
      </c>
      <c r="J574" s="38">
        <f t="shared" si="26"/>
        <v>2159</v>
      </c>
      <c r="K574" s="38">
        <f t="shared" si="27"/>
        <v>490.68181818181819</v>
      </c>
      <c r="L574" s="151">
        <v>46023</v>
      </c>
      <c r="M574" s="1">
        <f>VLOOKUP(F:F,[1]Sheet1!$E:$F,2,FALSE)</f>
        <v>1970</v>
      </c>
    </row>
    <row r="575" spans="1:13" hidden="1">
      <c r="A575" s="1" t="s">
        <v>1408</v>
      </c>
      <c r="B575" s="1" t="s">
        <v>136</v>
      </c>
      <c r="C575" s="1" t="s">
        <v>1275</v>
      </c>
      <c r="D575" s="1" t="s">
        <v>136</v>
      </c>
      <c r="E575" s="1" t="str">
        <f>A575&amp;C575</f>
        <v>NEWTON GROVESHELBY</v>
      </c>
      <c r="F575" s="1" t="str">
        <f>A575&amp;B575&amp;C575&amp;D575</f>
        <v>NEWTON GROVENCSHELBYNC</v>
      </c>
      <c r="G575" s="1">
        <v>695</v>
      </c>
      <c r="H575" s="38">
        <f>G575*COSTS!$AA$27</f>
        <v>1042.5</v>
      </c>
      <c r="I575" s="1">
        <f>COSTS!$AA$28</f>
        <v>50</v>
      </c>
      <c r="J575" s="38">
        <f t="shared" si="26"/>
        <v>1092.5</v>
      </c>
      <c r="K575" s="38">
        <f t="shared" si="27"/>
        <v>248.29545454545453</v>
      </c>
      <c r="L575" s="151">
        <v>46023</v>
      </c>
      <c r="M575" s="1">
        <f>VLOOKUP(F:F,[1]Sheet1!$E:$F,2,FALSE)</f>
        <v>670</v>
      </c>
    </row>
    <row r="576" spans="1:13" hidden="1">
      <c r="A576" s="1" t="s">
        <v>1414</v>
      </c>
      <c r="B576" s="1" t="s">
        <v>136</v>
      </c>
      <c r="C576" s="1" t="s">
        <v>847</v>
      </c>
      <c r="D576" s="1" t="s">
        <v>76</v>
      </c>
      <c r="E576" s="1" t="str">
        <f>A576&amp;(IF(C576="Garden City","Savannah",C576))</f>
        <v>PANTEGOSavannah</v>
      </c>
      <c r="F576" s="1" t="s">
        <v>975</v>
      </c>
      <c r="G576" s="1">
        <v>821.40499999999997</v>
      </c>
      <c r="H576" s="38">
        <f>G576*COSTS!$AA$27</f>
        <v>1232.1075000000001</v>
      </c>
      <c r="I576" s="1">
        <f>COSTS!$AA$28</f>
        <v>50</v>
      </c>
      <c r="J576" s="38">
        <f t="shared" si="26"/>
        <v>1282.1075000000001</v>
      </c>
      <c r="K576" s="38">
        <f t="shared" si="27"/>
        <v>291.3880681818182</v>
      </c>
      <c r="L576" s="151">
        <v>46023</v>
      </c>
      <c r="M576" s="1" t="e">
        <f>VLOOKUP(F:F,[1]Sheet1!$E:$F,2,FALSE)</f>
        <v>#N/A</v>
      </c>
    </row>
    <row r="577" spans="1:13" hidden="1">
      <c r="A577" s="1" t="s">
        <v>1414</v>
      </c>
      <c r="B577" s="1" t="s">
        <v>136</v>
      </c>
      <c r="C577" s="1" t="s">
        <v>1275</v>
      </c>
      <c r="D577" s="1" t="s">
        <v>136</v>
      </c>
      <c r="E577" s="1" t="str">
        <f>A577&amp;C577</f>
        <v>PANTEGOSHELBY</v>
      </c>
      <c r="F577" s="1" t="str">
        <f>A577&amp;B577&amp;C577&amp;D577</f>
        <v>PANTEGONCSHELBYNC</v>
      </c>
      <c r="G577" s="1">
        <v>805</v>
      </c>
      <c r="H577" s="38">
        <f>G577*COSTS!$AA$27</f>
        <v>1207.5</v>
      </c>
      <c r="I577" s="1">
        <f>COSTS!$AA$28</f>
        <v>50</v>
      </c>
      <c r="J577" s="38">
        <f t="shared" si="26"/>
        <v>1257.5</v>
      </c>
      <c r="K577" s="38">
        <f t="shared" si="27"/>
        <v>285.7954545454545</v>
      </c>
      <c r="L577" s="151">
        <v>46023</v>
      </c>
      <c r="M577" s="1" t="e">
        <f>VLOOKUP(F:F,[1]Sheet1!$E:$F,2,FALSE)</f>
        <v>#N/A</v>
      </c>
    </row>
    <row r="578" spans="1:13" hidden="1">
      <c r="A578" s="1" t="s">
        <v>1422</v>
      </c>
      <c r="B578" s="1" t="s">
        <v>136</v>
      </c>
      <c r="C578" s="1" t="s">
        <v>847</v>
      </c>
      <c r="D578" s="1" t="s">
        <v>76</v>
      </c>
      <c r="E578" s="1" t="str">
        <f>A578&amp;(IF(C578="Garden City","Savannah",C578))</f>
        <v>RAEFORDSavannah</v>
      </c>
      <c r="F578" s="1" t="s">
        <v>983</v>
      </c>
      <c r="G578" s="1">
        <v>615.78</v>
      </c>
      <c r="H578" s="38">
        <f>G578*COSTS!$AA$27</f>
        <v>923.67</v>
      </c>
      <c r="I578" s="1">
        <f>COSTS!$AA$28</f>
        <v>50</v>
      </c>
      <c r="J578" s="38">
        <f t="shared" ref="J578:J641" si="28">H578+I578</f>
        <v>973.67</v>
      </c>
      <c r="K578" s="38">
        <f t="shared" ref="K578:K641" si="29">(J578/88)*20</f>
        <v>221.28863636363636</v>
      </c>
      <c r="L578" s="151">
        <v>46023</v>
      </c>
      <c r="M578" s="1">
        <f>VLOOKUP(F:F,[1]Sheet1!$E:$F,2,FALSE)</f>
        <v>810</v>
      </c>
    </row>
    <row r="579" spans="1:13" hidden="1">
      <c r="A579" s="1" t="s">
        <v>1422</v>
      </c>
      <c r="B579" s="1" t="s">
        <v>136</v>
      </c>
      <c r="C579" s="1" t="s">
        <v>1033</v>
      </c>
      <c r="D579" s="1" t="s">
        <v>168</v>
      </c>
      <c r="E579" s="1" t="str">
        <f>A579&amp;C579</f>
        <v>RAEFORDMEMPHIS</v>
      </c>
      <c r="F579" s="1" t="s">
        <v>1218</v>
      </c>
      <c r="G579" s="1">
        <v>1416</v>
      </c>
      <c r="H579" s="38">
        <f>G579*COSTS!$AA$27</f>
        <v>2124</v>
      </c>
      <c r="I579" s="1">
        <f>COSTS!$AA$28</f>
        <v>50</v>
      </c>
      <c r="J579" s="38">
        <f t="shared" si="28"/>
        <v>2174</v>
      </c>
      <c r="K579" s="38">
        <f t="shared" si="29"/>
        <v>494.09090909090907</v>
      </c>
      <c r="L579" s="151">
        <v>46023</v>
      </c>
      <c r="M579" s="1">
        <f>VLOOKUP(F:F,[1]Sheet1!$E:$F,2,FALSE)</f>
        <v>1830</v>
      </c>
    </row>
    <row r="580" spans="1:13" hidden="1">
      <c r="A580" s="1" t="s">
        <v>1422</v>
      </c>
      <c r="B580" s="1" t="s">
        <v>136</v>
      </c>
      <c r="C580" s="1" t="s">
        <v>1275</v>
      </c>
      <c r="D580" s="1" t="s">
        <v>136</v>
      </c>
      <c r="E580" s="1" t="str">
        <f>A580&amp;C580</f>
        <v>RAEFORDSHELBY</v>
      </c>
      <c r="F580" s="1" t="str">
        <f>A580&amp;B580&amp;C580&amp;D580</f>
        <v>RAEFORDNCSHELBYNC</v>
      </c>
      <c r="G580" s="1">
        <v>500</v>
      </c>
      <c r="H580" s="38">
        <f>G580*COSTS!$AA$27</f>
        <v>750</v>
      </c>
      <c r="I580" s="1">
        <f>COSTS!$AA$28</f>
        <v>50</v>
      </c>
      <c r="J580" s="38">
        <f t="shared" si="28"/>
        <v>800</v>
      </c>
      <c r="K580" s="38">
        <f t="shared" si="29"/>
        <v>181.81818181818184</v>
      </c>
      <c r="L580" s="151">
        <v>46023</v>
      </c>
      <c r="M580" s="1">
        <f>VLOOKUP(F:F,[1]Sheet1!$E:$F,2,FALSE)</f>
        <v>580</v>
      </c>
    </row>
    <row r="581" spans="1:13" hidden="1">
      <c r="A581" s="1" t="s">
        <v>1424</v>
      </c>
      <c r="B581" s="1" t="s">
        <v>136</v>
      </c>
      <c r="C581" s="1" t="s">
        <v>847</v>
      </c>
      <c r="D581" s="1" t="s">
        <v>76</v>
      </c>
      <c r="E581" s="1" t="str">
        <f>A581&amp;(IF(C581="Garden City","Savannah",C581))</f>
        <v>ROANOKE RAPIDSSavannah</v>
      </c>
      <c r="F581" s="1" t="s">
        <v>985</v>
      </c>
      <c r="G581" s="1">
        <v>828.495</v>
      </c>
      <c r="H581" s="38">
        <f>G581*COSTS!$AA$27</f>
        <v>1242.7425000000001</v>
      </c>
      <c r="I581" s="1">
        <f>COSTS!$AA$28</f>
        <v>50</v>
      </c>
      <c r="J581" s="38">
        <f t="shared" si="28"/>
        <v>1292.7425000000001</v>
      </c>
      <c r="K581" s="38">
        <f t="shared" si="29"/>
        <v>293.80511363636367</v>
      </c>
      <c r="L581" s="151">
        <v>46023</v>
      </c>
      <c r="M581" s="1" t="e">
        <f>VLOOKUP(F:F,[1]Sheet1!$E:$F,2,FALSE)</f>
        <v>#N/A</v>
      </c>
    </row>
    <row r="582" spans="1:13" hidden="1">
      <c r="A582" s="1" t="s">
        <v>1424</v>
      </c>
      <c r="B582" s="1" t="s">
        <v>136</v>
      </c>
      <c r="C582" s="1" t="s">
        <v>1033</v>
      </c>
      <c r="D582" s="1" t="s">
        <v>168</v>
      </c>
      <c r="E582" s="1" t="str">
        <f>A582&amp;C582</f>
        <v>ROANOKE RAPIDSMEMPHIS</v>
      </c>
      <c r="F582" s="1" t="s">
        <v>1222</v>
      </c>
      <c r="G582" s="1">
        <v>1368</v>
      </c>
      <c r="H582" s="38">
        <f>G582*COSTS!$AA$27</f>
        <v>2052</v>
      </c>
      <c r="I582" s="1">
        <f>COSTS!$AA$28</f>
        <v>50</v>
      </c>
      <c r="J582" s="38">
        <f t="shared" si="28"/>
        <v>2102</v>
      </c>
      <c r="K582" s="38">
        <f t="shared" si="29"/>
        <v>477.72727272727275</v>
      </c>
      <c r="L582" s="151">
        <v>46023</v>
      </c>
      <c r="M582" s="1" t="e">
        <f>VLOOKUP(F:F,[1]Sheet1!$E:$F,2,FALSE)</f>
        <v>#N/A</v>
      </c>
    </row>
    <row r="583" spans="1:13" hidden="1">
      <c r="A583" s="1" t="s">
        <v>1424</v>
      </c>
      <c r="B583" s="1" t="s">
        <v>136</v>
      </c>
      <c r="C583" s="1" t="s">
        <v>1275</v>
      </c>
      <c r="D583" s="1" t="s">
        <v>136</v>
      </c>
      <c r="E583" s="1" t="str">
        <f>A583&amp;C583</f>
        <v>ROANOKE RAPIDSSHELBY</v>
      </c>
      <c r="F583" s="1" t="str">
        <f>A583&amp;B583&amp;C583&amp;D583</f>
        <v>ROANOKE RAPIDSNCSHELBYNC</v>
      </c>
      <c r="G583" s="1">
        <v>695</v>
      </c>
      <c r="H583" s="38">
        <f>G583*COSTS!$AA$27</f>
        <v>1042.5</v>
      </c>
      <c r="I583" s="1">
        <f>COSTS!$AA$28</f>
        <v>50</v>
      </c>
      <c r="J583" s="38">
        <f t="shared" si="28"/>
        <v>1092.5</v>
      </c>
      <c r="K583" s="38">
        <f t="shared" si="29"/>
        <v>248.29545454545453</v>
      </c>
      <c r="L583" s="151">
        <v>46023</v>
      </c>
      <c r="M583" s="1" t="e">
        <f>VLOOKUP(F:F,[1]Sheet1!$E:$F,2,FALSE)</f>
        <v>#N/A</v>
      </c>
    </row>
    <row r="584" spans="1:13" hidden="1">
      <c r="A584" s="1" t="s">
        <v>1279</v>
      </c>
      <c r="B584" s="1" t="s">
        <v>136</v>
      </c>
      <c r="C584" s="1" t="s">
        <v>847</v>
      </c>
      <c r="D584" s="1" t="s">
        <v>76</v>
      </c>
      <c r="E584" s="1" t="str">
        <f>A584&amp;(IF(C584="Garden City","Savannah",C584))</f>
        <v>SANFORDSavannah</v>
      </c>
      <c r="F584" s="1" t="s">
        <v>989</v>
      </c>
      <c r="G584" s="1">
        <v>629.56500000000005</v>
      </c>
      <c r="H584" s="38">
        <f>G584*COSTS!$AA$27</f>
        <v>944.34750000000008</v>
      </c>
      <c r="I584" s="1">
        <f>COSTS!$AA$28</f>
        <v>50</v>
      </c>
      <c r="J584" s="38">
        <f t="shared" si="28"/>
        <v>994.34750000000008</v>
      </c>
      <c r="K584" s="38">
        <f t="shared" si="29"/>
        <v>225.98806818181822</v>
      </c>
      <c r="L584" s="151">
        <v>46023</v>
      </c>
      <c r="M584" s="1" t="e">
        <f>VLOOKUP(F:F,[1]Sheet1!$E:$F,2,FALSE)</f>
        <v>#N/A</v>
      </c>
    </row>
    <row r="585" spans="1:13" hidden="1">
      <c r="A585" s="1" t="s">
        <v>1279</v>
      </c>
      <c r="B585" s="1" t="s">
        <v>136</v>
      </c>
      <c r="C585" s="1" t="s">
        <v>1275</v>
      </c>
      <c r="D585" s="1" t="s">
        <v>136</v>
      </c>
      <c r="E585" s="1" t="str">
        <f>A585&amp;C585</f>
        <v>SANFORDSHELBY</v>
      </c>
      <c r="F585" s="1" t="str">
        <f>A585&amp;B585&amp;C585&amp;D585</f>
        <v>SANFORDNCSHELBYNC</v>
      </c>
      <c r="G585" s="1">
        <v>575</v>
      </c>
      <c r="H585" s="38">
        <f>G585*COSTS!$AA$27</f>
        <v>862.5</v>
      </c>
      <c r="I585" s="1">
        <f>COSTS!$AA$28</f>
        <v>50</v>
      </c>
      <c r="J585" s="38">
        <f t="shared" si="28"/>
        <v>912.5</v>
      </c>
      <c r="K585" s="38">
        <f t="shared" si="29"/>
        <v>207.38636363636363</v>
      </c>
      <c r="L585" s="151">
        <v>46023</v>
      </c>
      <c r="M585" s="1" t="e">
        <f>VLOOKUP(F:F,[1]Sheet1!$E:$F,2,FALSE)</f>
        <v>#N/A</v>
      </c>
    </row>
    <row r="586" spans="1:13" hidden="1">
      <c r="A586" s="1" t="s">
        <v>1429</v>
      </c>
      <c r="B586" s="1" t="s">
        <v>136</v>
      </c>
      <c r="C586" s="1" t="s">
        <v>847</v>
      </c>
      <c r="D586" s="1" t="s">
        <v>76</v>
      </c>
      <c r="E586" s="1" t="str">
        <f>A586&amp;(IF(C586="Garden City","Savannah",C586))</f>
        <v>SCOTLAND NECKSavannah</v>
      </c>
      <c r="F586" s="1" t="s">
        <v>991</v>
      </c>
      <c r="G586" s="1">
        <v>819.44</v>
      </c>
      <c r="H586" s="38">
        <f>G586*COSTS!$AA$27</f>
        <v>1229.1600000000001</v>
      </c>
      <c r="I586" s="1">
        <f>COSTS!$AA$28</f>
        <v>50</v>
      </c>
      <c r="J586" s="38">
        <f t="shared" si="28"/>
        <v>1279.1600000000001</v>
      </c>
      <c r="K586" s="38">
        <f t="shared" si="29"/>
        <v>290.71818181818185</v>
      </c>
      <c r="L586" s="151">
        <v>46023</v>
      </c>
      <c r="M586" s="1" t="e">
        <f>VLOOKUP(F:F,[1]Sheet1!$E:$F,2,FALSE)</f>
        <v>#N/A</v>
      </c>
    </row>
    <row r="587" spans="1:13" hidden="1">
      <c r="A587" s="1" t="s">
        <v>1429</v>
      </c>
      <c r="B587" s="1" t="s">
        <v>136</v>
      </c>
      <c r="C587" s="1" t="s">
        <v>1275</v>
      </c>
      <c r="D587" s="1" t="s">
        <v>136</v>
      </c>
      <c r="E587" s="1" t="str">
        <f>A587&amp;C587</f>
        <v>SCOTLAND NECKSHELBY</v>
      </c>
      <c r="F587" s="1" t="str">
        <f>A587&amp;B587&amp;C587&amp;D587</f>
        <v>SCOTLAND NECKNCSHELBYNC</v>
      </c>
      <c r="G587" s="1">
        <v>719</v>
      </c>
      <c r="H587" s="38">
        <f>G587*COSTS!$AA$27</f>
        <v>1078.5</v>
      </c>
      <c r="I587" s="1">
        <f>COSTS!$AA$28</f>
        <v>50</v>
      </c>
      <c r="J587" s="38">
        <f t="shared" si="28"/>
        <v>1128.5</v>
      </c>
      <c r="K587" s="38">
        <f t="shared" si="29"/>
        <v>256.47727272727275</v>
      </c>
      <c r="L587" s="151">
        <v>46023</v>
      </c>
      <c r="M587" s="1" t="e">
        <f>VLOOKUP(F:F,[1]Sheet1!$E:$F,2,FALSE)</f>
        <v>#N/A</v>
      </c>
    </row>
    <row r="588" spans="1:13" hidden="1">
      <c r="A588" s="1" t="s">
        <v>1430</v>
      </c>
      <c r="B588" s="1" t="s">
        <v>136</v>
      </c>
      <c r="C588" s="1" t="s">
        <v>847</v>
      </c>
      <c r="D588" s="1" t="s">
        <v>76</v>
      </c>
      <c r="E588" s="1" t="str">
        <f>A588&amp;(IF(C588="Garden City","Savannah",C588))</f>
        <v>SEABOARDSavannah</v>
      </c>
      <c r="F588" s="1" t="s">
        <v>992</v>
      </c>
      <c r="G588" s="1">
        <v>840.30500000000006</v>
      </c>
      <c r="H588" s="38">
        <f>G588*COSTS!$AA$27</f>
        <v>1260.4575</v>
      </c>
      <c r="I588" s="1">
        <f>COSTS!$AA$28</f>
        <v>50</v>
      </c>
      <c r="J588" s="38">
        <f t="shared" si="28"/>
        <v>1310.4575</v>
      </c>
      <c r="K588" s="38">
        <f t="shared" si="29"/>
        <v>297.83124999999995</v>
      </c>
      <c r="L588" s="151">
        <v>46023</v>
      </c>
      <c r="M588" s="1">
        <f>VLOOKUP(F:F,[1]Sheet1!$E:$F,2,FALSE)</f>
        <v>1150</v>
      </c>
    </row>
    <row r="589" spans="1:13" hidden="1">
      <c r="A589" s="1" t="s">
        <v>1430</v>
      </c>
      <c r="B589" s="1" t="s">
        <v>136</v>
      </c>
      <c r="C589" s="1" t="s">
        <v>1033</v>
      </c>
      <c r="D589" s="1" t="s">
        <v>168</v>
      </c>
      <c r="E589" s="1" t="str">
        <f>A589&amp;C589</f>
        <v>SEABOARDMEMPHIS</v>
      </c>
      <c r="F589" s="1" t="s">
        <v>1227</v>
      </c>
      <c r="G589" s="1">
        <v>1388</v>
      </c>
      <c r="H589" s="38">
        <f>G589*COSTS!$AA$27</f>
        <v>2082</v>
      </c>
      <c r="I589" s="1">
        <f>COSTS!$AA$28</f>
        <v>50</v>
      </c>
      <c r="J589" s="38">
        <f t="shared" si="28"/>
        <v>2132</v>
      </c>
      <c r="K589" s="38">
        <f t="shared" si="29"/>
        <v>484.5454545454545</v>
      </c>
      <c r="L589" s="151">
        <v>46023</v>
      </c>
      <c r="M589" s="1">
        <f>VLOOKUP(F:F,[1]Sheet1!$E:$F,2,FALSE)</f>
        <v>2030</v>
      </c>
    </row>
    <row r="590" spans="1:13" hidden="1">
      <c r="A590" s="1" t="s">
        <v>1430</v>
      </c>
      <c r="B590" s="1" t="s">
        <v>136</v>
      </c>
      <c r="C590" s="1" t="s">
        <v>1275</v>
      </c>
      <c r="D590" s="1" t="s">
        <v>136</v>
      </c>
      <c r="E590" s="1" t="str">
        <f>A590&amp;C590</f>
        <v>SEABOARDSHELBY</v>
      </c>
      <c r="F590" s="1" t="str">
        <f>A590&amp;B590&amp;C590&amp;D590</f>
        <v>SEABOARDNCSHELBYNC</v>
      </c>
      <c r="G590" s="1">
        <v>718</v>
      </c>
      <c r="H590" s="38">
        <f>G590*COSTS!$AA$27</f>
        <v>1077</v>
      </c>
      <c r="I590" s="1">
        <f>COSTS!$AA$28</f>
        <v>50</v>
      </c>
      <c r="J590" s="38">
        <f t="shared" si="28"/>
        <v>1127</v>
      </c>
      <c r="K590" s="38">
        <f t="shared" si="29"/>
        <v>256.13636363636363</v>
      </c>
      <c r="L590" s="151">
        <v>46023</v>
      </c>
      <c r="M590" s="1">
        <f>VLOOKUP(F:F,[1]Sheet1!$E:$F,2,FALSE)</f>
        <v>790</v>
      </c>
    </row>
    <row r="591" spans="1:13" hidden="1">
      <c r="A591" s="1" t="s">
        <v>1275</v>
      </c>
      <c r="B591" s="1" t="s">
        <v>136</v>
      </c>
      <c r="C591" s="1" t="s">
        <v>847</v>
      </c>
      <c r="D591" s="1" t="s">
        <v>76</v>
      </c>
      <c r="E591" s="1" t="str">
        <f>A591&amp;(IF(C591="Garden City","Savannah",C591))</f>
        <v>SHELBYSavannah</v>
      </c>
      <c r="F591" s="1" t="s">
        <v>994</v>
      </c>
      <c r="G591" s="1">
        <v>615.78</v>
      </c>
      <c r="H591" s="38">
        <f>G591*COSTS!$AA$27</f>
        <v>923.67</v>
      </c>
      <c r="I591" s="1">
        <f>COSTS!$AA$28</f>
        <v>50</v>
      </c>
      <c r="J591" s="38">
        <f t="shared" si="28"/>
        <v>973.67</v>
      </c>
      <c r="K591" s="38">
        <f t="shared" si="29"/>
        <v>221.28863636363636</v>
      </c>
      <c r="L591" s="151">
        <v>46023</v>
      </c>
      <c r="M591" s="1">
        <f>VLOOKUP(F:F,[1]Sheet1!$E:$F,2,FALSE)</f>
        <v>900</v>
      </c>
    </row>
    <row r="592" spans="1:13" hidden="1">
      <c r="A592" s="1" t="s">
        <v>1275</v>
      </c>
      <c r="B592" s="1" t="s">
        <v>136</v>
      </c>
      <c r="C592" s="1" t="s">
        <v>1033</v>
      </c>
      <c r="D592" s="1" t="s">
        <v>168</v>
      </c>
      <c r="E592" s="1" t="str">
        <f>A592&amp;C592</f>
        <v>SHELBYMEMPHIS</v>
      </c>
      <c r="F592" s="1" t="s">
        <v>1232</v>
      </c>
      <c r="G592" s="1">
        <v>1028</v>
      </c>
      <c r="H592" s="38">
        <f>G592*COSTS!$AA$27</f>
        <v>1542</v>
      </c>
      <c r="I592" s="1">
        <f>COSTS!$AA$28</f>
        <v>50</v>
      </c>
      <c r="J592" s="38">
        <f t="shared" si="28"/>
        <v>1592</v>
      </c>
      <c r="K592" s="38">
        <f t="shared" si="29"/>
        <v>361.81818181818181</v>
      </c>
      <c r="L592" s="151">
        <v>46023</v>
      </c>
      <c r="M592" s="1">
        <f>VLOOKUP(F:F,[1]Sheet1!$E:$F,2,FALSE)</f>
        <v>1460</v>
      </c>
    </row>
    <row r="593" spans="1:13" hidden="1">
      <c r="A593" s="1" t="s">
        <v>1275</v>
      </c>
      <c r="B593" s="1" t="s">
        <v>136</v>
      </c>
      <c r="C593" s="1" t="s">
        <v>1275</v>
      </c>
      <c r="D593" s="1" t="s">
        <v>136</v>
      </c>
      <c r="E593" s="1" t="str">
        <f>A593&amp;C593</f>
        <v>SHELBYSHELBY</v>
      </c>
      <c r="F593" s="1" t="str">
        <f>A593&amp;B593&amp;C593&amp;D593</f>
        <v>SHELBYNCSHELBYNC</v>
      </c>
      <c r="G593" s="1">
        <v>275</v>
      </c>
      <c r="H593" s="38">
        <f>G593*COSTS!$AA$27</f>
        <v>412.5</v>
      </c>
      <c r="I593" s="1">
        <f>COSTS!$AA$28</f>
        <v>50</v>
      </c>
      <c r="J593" s="38">
        <f t="shared" si="28"/>
        <v>462.5</v>
      </c>
      <c r="K593" s="38">
        <f t="shared" si="29"/>
        <v>105.11363636363637</v>
      </c>
      <c r="L593" s="151">
        <v>46023</v>
      </c>
      <c r="M593" s="1" t="e">
        <f>VLOOKUP(F:F,[1]Sheet1!$E:$F,2,FALSE)</f>
        <v>#N/A</v>
      </c>
    </row>
    <row r="594" spans="1:13" hidden="1">
      <c r="A594" s="1" t="s">
        <v>1445</v>
      </c>
      <c r="B594" s="1" t="s">
        <v>136</v>
      </c>
      <c r="C594" s="1" t="s">
        <v>847</v>
      </c>
      <c r="D594" s="1" t="s">
        <v>76</v>
      </c>
      <c r="E594" s="1" t="str">
        <f>A594&amp;(IF(C594="Garden City","Savannah",C594))</f>
        <v>TARBOROSavannah</v>
      </c>
      <c r="F594" s="1" t="s">
        <v>1009</v>
      </c>
      <c r="G594" s="1">
        <v>745.71499999999992</v>
      </c>
      <c r="H594" s="38">
        <f>G594*COSTS!$AA$27</f>
        <v>1118.5724999999998</v>
      </c>
      <c r="I594" s="1">
        <f>COSTS!$AA$28</f>
        <v>50</v>
      </c>
      <c r="J594" s="38">
        <f t="shared" si="28"/>
        <v>1168.5724999999998</v>
      </c>
      <c r="K594" s="38">
        <f t="shared" si="29"/>
        <v>265.58465909090904</v>
      </c>
      <c r="L594" s="151">
        <v>46023</v>
      </c>
      <c r="M594" s="1" t="e">
        <f>VLOOKUP(F:F,[1]Sheet1!$E:$F,2,FALSE)</f>
        <v>#N/A</v>
      </c>
    </row>
    <row r="595" spans="1:13" hidden="1">
      <c r="A595" s="1" t="s">
        <v>1445</v>
      </c>
      <c r="B595" s="1" t="s">
        <v>136</v>
      </c>
      <c r="C595" s="1" t="s">
        <v>1033</v>
      </c>
      <c r="D595" s="1" t="s">
        <v>168</v>
      </c>
      <c r="E595" s="1" t="str">
        <f>A595&amp;C595</f>
        <v>TARBOROMEMPHIS</v>
      </c>
      <c r="F595" s="1" t="s">
        <v>1250</v>
      </c>
      <c r="G595" s="1">
        <v>1467</v>
      </c>
      <c r="H595" s="38">
        <f>G595*COSTS!$AA$27</f>
        <v>2200.5</v>
      </c>
      <c r="I595" s="1">
        <f>COSTS!$AA$28</f>
        <v>50</v>
      </c>
      <c r="J595" s="38">
        <f t="shared" si="28"/>
        <v>2250.5</v>
      </c>
      <c r="K595" s="38">
        <f t="shared" si="29"/>
        <v>511.47727272727275</v>
      </c>
      <c r="L595" s="151">
        <v>46023</v>
      </c>
      <c r="M595" s="1" t="e">
        <f>VLOOKUP(F:F,[1]Sheet1!$E:$F,2,FALSE)</f>
        <v>#N/A</v>
      </c>
    </row>
    <row r="596" spans="1:13" hidden="1">
      <c r="A596" s="1" t="s">
        <v>1445</v>
      </c>
      <c r="B596" s="1" t="s">
        <v>136</v>
      </c>
      <c r="C596" s="1" t="s">
        <v>1275</v>
      </c>
      <c r="D596" s="1" t="s">
        <v>136</v>
      </c>
      <c r="E596" s="1" t="str">
        <f>A596&amp;C596</f>
        <v>TARBOROSHELBY</v>
      </c>
      <c r="F596" s="1" t="str">
        <f>A596&amp;B596&amp;C596&amp;D596</f>
        <v>TARBORONCSHELBYNC</v>
      </c>
      <c r="G596" s="1">
        <v>704</v>
      </c>
      <c r="H596" s="38">
        <f>G596*COSTS!$AA$27</f>
        <v>1056</v>
      </c>
      <c r="I596" s="1">
        <f>COSTS!$AA$28</f>
        <v>50</v>
      </c>
      <c r="J596" s="38">
        <f t="shared" si="28"/>
        <v>1106</v>
      </c>
      <c r="K596" s="38">
        <f t="shared" si="29"/>
        <v>251.36363636363637</v>
      </c>
      <c r="L596" s="151">
        <v>46023</v>
      </c>
      <c r="M596" s="1" t="e">
        <f>VLOOKUP(F:F,[1]Sheet1!$E:$F,2,FALSE)</f>
        <v>#N/A</v>
      </c>
    </row>
    <row r="597" spans="1:13" hidden="1">
      <c r="A597" s="1" t="s">
        <v>1452</v>
      </c>
      <c r="B597" s="1" t="s">
        <v>136</v>
      </c>
      <c r="C597" s="1" t="s">
        <v>847</v>
      </c>
      <c r="D597" s="1" t="s">
        <v>76</v>
      </c>
      <c r="E597" s="1" t="str">
        <f>A597&amp;(IF(C597="Garden City","Savannah",C597))</f>
        <v>TRENTONSavannah</v>
      </c>
      <c r="F597" s="1" t="s">
        <v>1016</v>
      </c>
      <c r="G597" s="1">
        <v>712.34500000000003</v>
      </c>
      <c r="H597" s="38">
        <f>G597*COSTS!$AA$27</f>
        <v>1068.5174999999999</v>
      </c>
      <c r="I597" s="1">
        <f>COSTS!$AA$28</f>
        <v>50</v>
      </c>
      <c r="J597" s="38">
        <f t="shared" si="28"/>
        <v>1118.5174999999999</v>
      </c>
      <c r="K597" s="38">
        <f t="shared" si="29"/>
        <v>254.20852272727271</v>
      </c>
      <c r="L597" s="151">
        <v>46023</v>
      </c>
      <c r="M597" s="1">
        <f>VLOOKUP(F:F,[1]Sheet1!$E:$F,2,FALSE)</f>
        <v>1110</v>
      </c>
    </row>
    <row r="598" spans="1:13" hidden="1">
      <c r="A598" s="1" t="s">
        <v>1452</v>
      </c>
      <c r="B598" s="1" t="s">
        <v>136</v>
      </c>
      <c r="C598" s="1" t="s">
        <v>1033</v>
      </c>
      <c r="D598" s="1" t="s">
        <v>168</v>
      </c>
      <c r="E598" s="1" t="str">
        <f>A598&amp;C598</f>
        <v>TRENTONMEMPHIS</v>
      </c>
      <c r="F598" s="1" t="s">
        <v>1256</v>
      </c>
      <c r="G598" s="1">
        <v>1709</v>
      </c>
      <c r="H598" s="38">
        <f>G598*COSTS!$AA$27</f>
        <v>2563.5</v>
      </c>
      <c r="I598" s="1">
        <f>COSTS!$AA$28</f>
        <v>50</v>
      </c>
      <c r="J598" s="38">
        <f t="shared" si="28"/>
        <v>2613.5</v>
      </c>
      <c r="K598" s="38">
        <f t="shared" si="29"/>
        <v>593.97727272727275</v>
      </c>
      <c r="L598" s="151">
        <v>46023</v>
      </c>
      <c r="M598" s="1">
        <f>VLOOKUP(F:F,[1]Sheet1!$E:$F,2,FALSE)</f>
        <v>2100</v>
      </c>
    </row>
    <row r="599" spans="1:13" hidden="1">
      <c r="A599" s="1" t="s">
        <v>1452</v>
      </c>
      <c r="B599" s="1" t="s">
        <v>136</v>
      </c>
      <c r="C599" s="1" t="s">
        <v>1275</v>
      </c>
      <c r="D599" s="1" t="s">
        <v>136</v>
      </c>
      <c r="E599" s="1" t="str">
        <f>A599&amp;C599</f>
        <v>TRENTONSHELBY</v>
      </c>
      <c r="F599" s="1" t="str">
        <f>A599&amp;B599&amp;C599&amp;D599</f>
        <v>TRENTONNCSHELBYNC</v>
      </c>
      <c r="G599" s="1">
        <v>799</v>
      </c>
      <c r="H599" s="38">
        <f>G599*COSTS!$AA$27</f>
        <v>1198.5</v>
      </c>
      <c r="I599" s="1">
        <f>COSTS!$AA$28</f>
        <v>50</v>
      </c>
      <c r="J599" s="38">
        <f t="shared" si="28"/>
        <v>1248.5</v>
      </c>
      <c r="K599" s="38">
        <f t="shared" si="29"/>
        <v>283.75</v>
      </c>
      <c r="L599" s="151">
        <v>46023</v>
      </c>
      <c r="M599" s="1">
        <f>VLOOKUP(F:F,[1]Sheet1!$E:$F,2,FALSE)</f>
        <v>850</v>
      </c>
    </row>
    <row r="600" spans="1:13" hidden="1">
      <c r="A600" s="1" t="s">
        <v>1454</v>
      </c>
      <c r="B600" s="1" t="s">
        <v>136</v>
      </c>
      <c r="C600" s="1" t="s">
        <v>847</v>
      </c>
      <c r="D600" s="1" t="s">
        <v>76</v>
      </c>
      <c r="E600" s="1" t="str">
        <f>A600&amp;(IF(C600="Garden City","Savannah",C600))</f>
        <v>TYNERSavannah</v>
      </c>
      <c r="F600" s="1" t="s">
        <v>1017</v>
      </c>
      <c r="G600" s="1">
        <v>850.94</v>
      </c>
      <c r="H600" s="38">
        <f>G600*COSTS!$AA$27</f>
        <v>1276.4100000000001</v>
      </c>
      <c r="I600" s="1">
        <f>COSTS!$AA$28</f>
        <v>50</v>
      </c>
      <c r="J600" s="38">
        <f t="shared" si="28"/>
        <v>1326.41</v>
      </c>
      <c r="K600" s="38">
        <f t="shared" si="29"/>
        <v>301.45681818181822</v>
      </c>
      <c r="L600" s="151">
        <v>46023</v>
      </c>
      <c r="M600" s="1" t="e">
        <f>VLOOKUP(F:F,[1]Sheet1!$E:$F,2,FALSE)</f>
        <v>#N/A</v>
      </c>
    </row>
    <row r="601" spans="1:13" hidden="1">
      <c r="A601" s="1" t="s">
        <v>1454</v>
      </c>
      <c r="B601" s="1" t="s">
        <v>136</v>
      </c>
      <c r="C601" s="1" t="s">
        <v>1275</v>
      </c>
      <c r="D601" s="1" t="s">
        <v>136</v>
      </c>
      <c r="E601" s="1" t="str">
        <f>A601&amp;C601</f>
        <v>TYNERSHELBY</v>
      </c>
      <c r="F601" s="1" t="str">
        <f>A601&amp;B601&amp;C601&amp;D601</f>
        <v>TYNERNCSHELBYNC</v>
      </c>
      <c r="G601" s="1">
        <v>819</v>
      </c>
      <c r="H601" s="38">
        <f>G601*COSTS!$AA$27</f>
        <v>1228.5</v>
      </c>
      <c r="I601" s="1">
        <f>COSTS!$AA$28</f>
        <v>50</v>
      </c>
      <c r="J601" s="38">
        <f t="shared" si="28"/>
        <v>1278.5</v>
      </c>
      <c r="K601" s="38">
        <f t="shared" si="29"/>
        <v>290.56818181818181</v>
      </c>
      <c r="L601" s="151">
        <v>46023</v>
      </c>
      <c r="M601" s="1" t="e">
        <f>VLOOKUP(F:F,[1]Sheet1!$E:$F,2,FALSE)</f>
        <v>#N/A</v>
      </c>
    </row>
    <row r="602" spans="1:13" hidden="1">
      <c r="A602" s="1" t="s">
        <v>1459</v>
      </c>
      <c r="B602" s="1" t="s">
        <v>136</v>
      </c>
      <c r="C602" s="1" t="s">
        <v>847</v>
      </c>
      <c r="D602" s="1" t="s">
        <v>76</v>
      </c>
      <c r="E602" s="1" t="str">
        <f>A602&amp;(IF(C602="Garden City","Savannah",C602))</f>
        <v>WADESBOROSavannah</v>
      </c>
      <c r="F602" s="1" t="s">
        <v>1022</v>
      </c>
      <c r="G602" s="1">
        <v>603.28</v>
      </c>
      <c r="H602" s="38">
        <f>G602*COSTS!$AA$27</f>
        <v>904.92</v>
      </c>
      <c r="I602" s="1">
        <f>COSTS!$AA$28</f>
        <v>50</v>
      </c>
      <c r="J602" s="38">
        <f t="shared" si="28"/>
        <v>954.92</v>
      </c>
      <c r="K602" s="38">
        <f t="shared" si="29"/>
        <v>217.02727272727273</v>
      </c>
      <c r="L602" s="151">
        <v>46023</v>
      </c>
      <c r="M602" s="1" t="e">
        <f>VLOOKUP(F:F,[1]Sheet1!$E:$F,2,FALSE)</f>
        <v>#N/A</v>
      </c>
    </row>
    <row r="603" spans="1:13" hidden="1">
      <c r="A603" s="1" t="s">
        <v>1463</v>
      </c>
      <c r="B603" s="1" t="s">
        <v>136</v>
      </c>
      <c r="C603" s="1" t="s">
        <v>847</v>
      </c>
      <c r="D603" s="1" t="s">
        <v>76</v>
      </c>
      <c r="E603" s="1" t="str">
        <f>A603&amp;(IF(C603="Garden City","Savannah",C603))</f>
        <v>WELDONSavannah</v>
      </c>
      <c r="F603" s="1" t="s">
        <v>1026</v>
      </c>
      <c r="G603" s="1">
        <v>829.67499999999995</v>
      </c>
      <c r="H603" s="38">
        <f>G603*COSTS!$AA$27</f>
        <v>1244.5124999999998</v>
      </c>
      <c r="I603" s="1">
        <f>COSTS!$AA$28</f>
        <v>50</v>
      </c>
      <c r="J603" s="38">
        <f t="shared" si="28"/>
        <v>1294.5124999999998</v>
      </c>
      <c r="K603" s="38">
        <f t="shared" si="29"/>
        <v>294.20738636363632</v>
      </c>
      <c r="L603" s="151">
        <v>46023</v>
      </c>
      <c r="M603" s="1" t="e">
        <f>VLOOKUP(F:F,[1]Sheet1!$E:$F,2,FALSE)</f>
        <v>#N/A</v>
      </c>
    </row>
    <row r="604" spans="1:13" hidden="1">
      <c r="A604" s="1" t="s">
        <v>1463</v>
      </c>
      <c r="B604" s="1" t="s">
        <v>136</v>
      </c>
      <c r="C604" s="1" t="s">
        <v>1275</v>
      </c>
      <c r="D604" s="1" t="s">
        <v>136</v>
      </c>
      <c r="E604" s="1" t="str">
        <f>A604&amp;C604</f>
        <v>WELDONSHELBY</v>
      </c>
      <c r="F604" s="1" t="str">
        <f>A604&amp;B604&amp;C604&amp;D604</f>
        <v>WELDONNCSHELBYNC</v>
      </c>
      <c r="G604" s="1">
        <v>695</v>
      </c>
      <c r="H604" s="38">
        <f>G604*COSTS!$AA$27</f>
        <v>1042.5</v>
      </c>
      <c r="I604" s="1">
        <f>COSTS!$AA$28</f>
        <v>50</v>
      </c>
      <c r="J604" s="38">
        <f t="shared" si="28"/>
        <v>1092.5</v>
      </c>
      <c r="K604" s="38">
        <f t="shared" si="29"/>
        <v>248.29545454545453</v>
      </c>
      <c r="L604" s="151">
        <v>46023</v>
      </c>
      <c r="M604" s="1" t="e">
        <f>VLOOKUP(F:F,[1]Sheet1!$E:$F,2,FALSE)</f>
        <v>#N/A</v>
      </c>
    </row>
    <row r="605" spans="1:13" hidden="1">
      <c r="A605" s="1" t="s">
        <v>1465</v>
      </c>
      <c r="B605" s="1" t="s">
        <v>136</v>
      </c>
      <c r="C605" s="1" t="s">
        <v>847</v>
      </c>
      <c r="D605" s="1" t="s">
        <v>76</v>
      </c>
      <c r="E605" s="1" t="str">
        <f>A605&amp;(IF(C605="Garden City","Savannah",C605))</f>
        <v>WILLIAMSTONSavannah</v>
      </c>
      <c r="F605" s="1" t="s">
        <v>1028</v>
      </c>
      <c r="G605" s="1">
        <v>791.875</v>
      </c>
      <c r="H605" s="38">
        <f>G605*COSTS!$AA$27</f>
        <v>1187.8125</v>
      </c>
      <c r="I605" s="1">
        <f>COSTS!$AA$28</f>
        <v>50</v>
      </c>
      <c r="J605" s="38">
        <f t="shared" si="28"/>
        <v>1237.8125</v>
      </c>
      <c r="K605" s="38">
        <f t="shared" si="29"/>
        <v>281.32102272727275</v>
      </c>
      <c r="L605" s="151">
        <v>46023</v>
      </c>
      <c r="M605" s="1" t="e">
        <f>VLOOKUP(F:F,[1]Sheet1!$E:$F,2,FALSE)</f>
        <v>#N/A</v>
      </c>
    </row>
    <row r="606" spans="1:13" hidden="1">
      <c r="A606" s="1" t="s">
        <v>1466</v>
      </c>
      <c r="B606" s="1" t="s">
        <v>136</v>
      </c>
      <c r="C606" s="1" t="s">
        <v>847</v>
      </c>
      <c r="D606" s="1" t="s">
        <v>76</v>
      </c>
      <c r="E606" s="1" t="str">
        <f>A606&amp;(IF(C606="Garden City","Savannah",C606))</f>
        <v>WILSONSavannah</v>
      </c>
      <c r="F606" s="1" t="s">
        <v>1029</v>
      </c>
      <c r="G606" s="1">
        <v>674.745</v>
      </c>
      <c r="H606" s="38">
        <f>G606*COSTS!$AA$27</f>
        <v>1012.1175000000001</v>
      </c>
      <c r="I606" s="1">
        <f>COSTS!$AA$28</f>
        <v>50</v>
      </c>
      <c r="J606" s="38">
        <f t="shared" si="28"/>
        <v>1062.1175000000001</v>
      </c>
      <c r="K606" s="38">
        <f t="shared" si="29"/>
        <v>241.39034090909092</v>
      </c>
      <c r="L606" s="151">
        <v>46023</v>
      </c>
      <c r="M606" s="1">
        <f>VLOOKUP(F:F,[1]Sheet1!$E:$F,2,FALSE)</f>
        <v>1010</v>
      </c>
    </row>
    <row r="607" spans="1:13" hidden="1">
      <c r="A607" s="1" t="s">
        <v>1466</v>
      </c>
      <c r="B607" s="1" t="s">
        <v>136</v>
      </c>
      <c r="C607" s="1" t="s">
        <v>1033</v>
      </c>
      <c r="D607" s="1" t="s">
        <v>168</v>
      </c>
      <c r="E607" s="1" t="str">
        <f>A607&amp;C607</f>
        <v>WILSONMEMPHIS</v>
      </c>
      <c r="F607" s="1" t="s">
        <v>1271</v>
      </c>
      <c r="G607" s="1">
        <v>1365</v>
      </c>
      <c r="H607" s="38">
        <f>G607*COSTS!$AA$27</f>
        <v>2047.5</v>
      </c>
      <c r="I607" s="1">
        <f>COSTS!$AA$28</f>
        <v>50</v>
      </c>
      <c r="J607" s="38">
        <f t="shared" si="28"/>
        <v>2097.5</v>
      </c>
      <c r="K607" s="38">
        <f t="shared" si="29"/>
        <v>476.7045454545455</v>
      </c>
      <c r="L607" s="151">
        <v>46023</v>
      </c>
      <c r="M607" s="1">
        <f>VLOOKUP(F:F,[1]Sheet1!$E:$F,2,FALSE)</f>
        <v>1970</v>
      </c>
    </row>
    <row r="608" spans="1:13" hidden="1">
      <c r="A608" s="1" t="s">
        <v>1466</v>
      </c>
      <c r="B608" s="1" t="s">
        <v>136</v>
      </c>
      <c r="C608" s="1" t="s">
        <v>1275</v>
      </c>
      <c r="D608" s="1" t="s">
        <v>136</v>
      </c>
      <c r="E608" s="1" t="str">
        <f>A608&amp;C608</f>
        <v>WILSONSHELBY</v>
      </c>
      <c r="F608" s="1" t="str">
        <f>A608&amp;B608&amp;C608&amp;D608</f>
        <v>WILSONNCSHELBYNC</v>
      </c>
      <c r="G608" s="1">
        <v>625</v>
      </c>
      <c r="H608" s="38">
        <f>G608*COSTS!$AA$27</f>
        <v>937.5</v>
      </c>
      <c r="I608" s="1">
        <f>COSTS!$AA$28</f>
        <v>50</v>
      </c>
      <c r="J608" s="38">
        <f t="shared" si="28"/>
        <v>987.5</v>
      </c>
      <c r="K608" s="38">
        <f t="shared" si="29"/>
        <v>224.43181818181816</v>
      </c>
      <c r="L608" s="151">
        <v>46023</v>
      </c>
      <c r="M608" s="1">
        <f>VLOOKUP(F:F,[1]Sheet1!$E:$F,2,FALSE)</f>
        <v>720</v>
      </c>
    </row>
    <row r="609" spans="1:13" hidden="1">
      <c r="A609" s="1" t="s">
        <v>1468</v>
      </c>
      <c r="B609" s="1" t="s">
        <v>136</v>
      </c>
      <c r="C609" s="1" t="s">
        <v>847</v>
      </c>
      <c r="D609" s="1" t="s">
        <v>76</v>
      </c>
      <c r="E609" s="1" t="str">
        <f>A609&amp;(IF(C609="Garden City","Savannah",C609))</f>
        <v>WINSTON SALEMSavannah</v>
      </c>
      <c r="F609" s="1" t="s">
        <v>1031</v>
      </c>
      <c r="G609" s="1">
        <v>708.7</v>
      </c>
      <c r="H609" s="38">
        <f>G609*COSTS!$AA$27</f>
        <v>1063.0500000000002</v>
      </c>
      <c r="I609" s="1">
        <f>COSTS!$AA$28</f>
        <v>50</v>
      </c>
      <c r="J609" s="38">
        <f t="shared" si="28"/>
        <v>1113.0500000000002</v>
      </c>
      <c r="K609" s="38">
        <f t="shared" si="29"/>
        <v>252.96590909090912</v>
      </c>
      <c r="L609" s="151">
        <v>46023</v>
      </c>
      <c r="M609" s="1" t="e">
        <f>VLOOKUP(F:F,[1]Sheet1!$E:$F,2,FALSE)</f>
        <v>#N/A</v>
      </c>
    </row>
    <row r="610" spans="1:13" hidden="1">
      <c r="A610" s="1" t="s">
        <v>1597</v>
      </c>
      <c r="B610" s="1" t="s">
        <v>253</v>
      </c>
      <c r="C610" s="1" t="s">
        <v>241</v>
      </c>
      <c r="D610" s="1" t="s">
        <v>71</v>
      </c>
      <c r="E610" s="1" t="str">
        <f>A610&amp;C610</f>
        <v>LOVINGTONDallas</v>
      </c>
      <c r="F610" s="1" t="str">
        <f>A610&amp;B610&amp;C610&amp;D610</f>
        <v>LOVINGTONNMDallasTX</v>
      </c>
      <c r="G610" s="1">
        <v>605</v>
      </c>
      <c r="H610" s="38">
        <f>G610*COSTS!$AA$27</f>
        <v>907.5</v>
      </c>
      <c r="I610" s="1">
        <f>COSTS!$AA$28</f>
        <v>50</v>
      </c>
      <c r="J610" s="38">
        <f t="shared" si="28"/>
        <v>957.5</v>
      </c>
      <c r="K610" s="38">
        <f t="shared" si="29"/>
        <v>217.61363636363637</v>
      </c>
      <c r="L610" s="151">
        <v>46023</v>
      </c>
      <c r="M610" s="1">
        <f>VLOOKUP(F:F,[1]Sheet1!$E:$F,2,FALSE)</f>
        <v>0</v>
      </c>
    </row>
    <row r="611" spans="1:13" hidden="1">
      <c r="A611" s="1" t="s">
        <v>1473</v>
      </c>
      <c r="B611" s="1" t="s">
        <v>85</v>
      </c>
      <c r="C611" s="1" t="s">
        <v>1033</v>
      </c>
      <c r="D611" s="1" t="s">
        <v>168</v>
      </c>
      <c r="E611" s="1" t="str">
        <f>A611&amp;C611</f>
        <v>ALTUSMEMPHIS</v>
      </c>
      <c r="F611" s="1" t="s">
        <v>1040</v>
      </c>
      <c r="G611" s="1">
        <v>1175</v>
      </c>
      <c r="H611" s="38">
        <f>G611*COSTS!$AA$27</f>
        <v>1762.5</v>
      </c>
      <c r="I611" s="1">
        <f>COSTS!$AA$28</f>
        <v>50</v>
      </c>
      <c r="J611" s="38">
        <f t="shared" si="28"/>
        <v>1812.5</v>
      </c>
      <c r="K611" s="38">
        <f t="shared" si="29"/>
        <v>411.93181818181819</v>
      </c>
      <c r="L611" s="151">
        <v>46023</v>
      </c>
      <c r="M611" s="1" t="e">
        <f>VLOOKUP(F:F,[1]Sheet1!$E:$F,2,FALSE)</f>
        <v>#N/A</v>
      </c>
    </row>
    <row r="612" spans="1:13" hidden="1">
      <c r="A612" s="1" t="s">
        <v>1473</v>
      </c>
      <c r="B612" s="1" t="s">
        <v>85</v>
      </c>
      <c r="C612" s="1" t="s">
        <v>1274</v>
      </c>
      <c r="D612" s="1" t="s">
        <v>71</v>
      </c>
      <c r="E612" s="1" t="str">
        <f>A612&amp;C612</f>
        <v>ALTUSWESLACO</v>
      </c>
      <c r="F612" s="1" t="str">
        <f>A612&amp;B612&amp;C612&amp;D612</f>
        <v>ALTUSOKWESLACOTX</v>
      </c>
      <c r="G612" s="1">
        <v>1230.46</v>
      </c>
      <c r="H612" s="38">
        <f>G612*COSTS!$AA$27</f>
        <v>1845.69</v>
      </c>
      <c r="I612" s="1">
        <f>COSTS!$AA$28</f>
        <v>50</v>
      </c>
      <c r="J612" s="38">
        <f t="shared" si="28"/>
        <v>1895.69</v>
      </c>
      <c r="K612" s="38">
        <f t="shared" si="29"/>
        <v>430.8386363636364</v>
      </c>
      <c r="L612" s="151">
        <v>46023</v>
      </c>
      <c r="M612" s="1">
        <f>VLOOKUP(F:F,[1]Sheet1!$E:$F,2,FALSE)</f>
        <v>1336</v>
      </c>
    </row>
    <row r="613" spans="1:13" hidden="1">
      <c r="A613" s="1" t="s">
        <v>1473</v>
      </c>
      <c r="B613" s="1" t="s">
        <v>85</v>
      </c>
      <c r="C613" s="1" t="s">
        <v>241</v>
      </c>
      <c r="D613" s="1" t="s">
        <v>71</v>
      </c>
      <c r="E613" s="1" t="str">
        <f>A613&amp;C613</f>
        <v>ALTUSDallas</v>
      </c>
      <c r="F613" s="1" t="str">
        <f>A613&amp;B613&amp;C613&amp;D613</f>
        <v>ALTUSOKDallasTX</v>
      </c>
      <c r="G613" s="1">
        <v>455</v>
      </c>
      <c r="H613" s="38">
        <f>G613*COSTS!$AA$27</f>
        <v>682.5</v>
      </c>
      <c r="I613" s="1">
        <f>COSTS!$AA$28</f>
        <v>50</v>
      </c>
      <c r="J613" s="38">
        <f t="shared" si="28"/>
        <v>732.5</v>
      </c>
      <c r="K613" s="38">
        <f t="shared" si="29"/>
        <v>166.47727272727275</v>
      </c>
      <c r="L613" s="151">
        <v>46023</v>
      </c>
      <c r="M613" s="1">
        <f>VLOOKUP(F:F,[1]Sheet1!$E:$F,2,FALSE)</f>
        <v>489</v>
      </c>
    </row>
    <row r="614" spans="1:13" hidden="1">
      <c r="A614" s="1" t="s">
        <v>1473</v>
      </c>
      <c r="B614" s="1" t="s">
        <v>85</v>
      </c>
      <c r="C614" s="1" t="s">
        <v>439</v>
      </c>
      <c r="D614" s="1" t="s">
        <v>71</v>
      </c>
      <c r="E614" s="1" t="str">
        <f>A614&amp;C614</f>
        <v>ALTUSHouston</v>
      </c>
      <c r="F614" s="1" t="str">
        <f>A614&amp;B614&amp;C614&amp;D614</f>
        <v>ALTUSOKHoustonTX</v>
      </c>
      <c r="G614" s="1">
        <v>1000</v>
      </c>
      <c r="H614" s="38">
        <f>G614*COSTS!$AA$27</f>
        <v>1500</v>
      </c>
      <c r="I614" s="1">
        <f>COSTS!$AA$28</f>
        <v>50</v>
      </c>
      <c r="J614" s="38">
        <f t="shared" si="28"/>
        <v>1550</v>
      </c>
      <c r="K614" s="38">
        <f t="shared" si="29"/>
        <v>352.27272727272725</v>
      </c>
      <c r="L614" s="151">
        <v>46023</v>
      </c>
      <c r="M614" s="1">
        <f>VLOOKUP(F:F,[1]Sheet1!$E:$F,2,FALSE)</f>
        <v>1098</v>
      </c>
    </row>
    <row r="615" spans="1:13" hidden="1">
      <c r="A615" s="1" t="s">
        <v>1299</v>
      </c>
      <c r="B615" s="1" t="s">
        <v>132</v>
      </c>
      <c r="C615" s="1" t="s">
        <v>847</v>
      </c>
      <c r="D615" s="1" t="s">
        <v>76</v>
      </c>
      <c r="E615" s="1" t="str">
        <f>A615&amp;(IF(C615="Garden City","Savannah",C615))</f>
        <v>BENNETTSVILLESavannah</v>
      </c>
      <c r="F615" s="1" t="s">
        <v>859</v>
      </c>
      <c r="G615" s="1">
        <v>670.52</v>
      </c>
      <c r="H615" s="38">
        <f>G615*COSTS!$AA$27</f>
        <v>1005.78</v>
      </c>
      <c r="I615" s="1">
        <f>COSTS!$AA$28</f>
        <v>50</v>
      </c>
      <c r="J615" s="38">
        <f t="shared" si="28"/>
        <v>1055.78</v>
      </c>
      <c r="K615" s="38">
        <f t="shared" si="29"/>
        <v>239.95000000000002</v>
      </c>
      <c r="L615" s="151">
        <v>46023</v>
      </c>
      <c r="M615" s="1">
        <f>VLOOKUP(F:F,[1]Sheet1!$E:$F,2,FALSE)</f>
        <v>760</v>
      </c>
    </row>
    <row r="616" spans="1:13" hidden="1">
      <c r="A616" s="1" t="s">
        <v>1299</v>
      </c>
      <c r="B616" s="1" t="s">
        <v>132</v>
      </c>
      <c r="C616" s="1" t="s">
        <v>1033</v>
      </c>
      <c r="D616" s="1" t="s">
        <v>168</v>
      </c>
      <c r="E616" s="1" t="str">
        <f>A616&amp;C616</f>
        <v>BENNETTSVILLEMEMPHIS</v>
      </c>
      <c r="F616" s="1" t="s">
        <v>1057</v>
      </c>
      <c r="G616" s="1">
        <v>1291</v>
      </c>
      <c r="H616" s="38">
        <f>G616*COSTS!$AA$27</f>
        <v>1936.5</v>
      </c>
      <c r="I616" s="1">
        <f>COSTS!$AA$28</f>
        <v>50</v>
      </c>
      <c r="J616" s="38">
        <f t="shared" si="28"/>
        <v>1986.5</v>
      </c>
      <c r="K616" s="38">
        <f t="shared" si="29"/>
        <v>451.47727272727275</v>
      </c>
      <c r="L616" s="151">
        <v>46023</v>
      </c>
      <c r="M616" s="1">
        <f>VLOOKUP(F:F,[1]Sheet1!$E:$F,2,FALSE)</f>
        <v>1750</v>
      </c>
    </row>
    <row r="617" spans="1:13" hidden="1">
      <c r="A617" s="1" t="s">
        <v>1299</v>
      </c>
      <c r="B617" s="1" t="s">
        <v>132</v>
      </c>
      <c r="C617" s="1" t="s">
        <v>1275</v>
      </c>
      <c r="D617" s="1" t="s">
        <v>136</v>
      </c>
      <c r="E617" s="1" t="str">
        <f>A617&amp;C617</f>
        <v>BENNETTSVILLESHELBY</v>
      </c>
      <c r="F617" s="1" t="str">
        <f>A617&amp;B617&amp;C617&amp;D617</f>
        <v>BENNETTSVILLESCSHELBYNC</v>
      </c>
      <c r="G617" s="1">
        <v>500</v>
      </c>
      <c r="H617" s="38">
        <f>G617*COSTS!$AA$27</f>
        <v>750</v>
      </c>
      <c r="I617" s="1">
        <f>COSTS!$AA$28</f>
        <v>50</v>
      </c>
      <c r="J617" s="38">
        <f t="shared" si="28"/>
        <v>800</v>
      </c>
      <c r="K617" s="38">
        <f t="shared" si="29"/>
        <v>181.81818181818184</v>
      </c>
      <c r="L617" s="151">
        <v>46023</v>
      </c>
      <c r="M617" s="1">
        <f>VLOOKUP(F:F,[1]Sheet1!$E:$F,2,FALSE)</f>
        <v>540</v>
      </c>
    </row>
    <row r="618" spans="1:13" hidden="1">
      <c r="A618" s="1" t="s">
        <v>1301</v>
      </c>
      <c r="B618" s="1" t="s">
        <v>132</v>
      </c>
      <c r="C618" s="1" t="s">
        <v>847</v>
      </c>
      <c r="D618" s="1" t="s">
        <v>76</v>
      </c>
      <c r="E618" s="1" t="str">
        <f>A618&amp;(IF(C618="Garden City","Savannah",C618))</f>
        <v>BISHOPVILLESavannah</v>
      </c>
      <c r="F618" s="1" t="s">
        <v>861</v>
      </c>
      <c r="G618" s="1">
        <v>622.39666666666665</v>
      </c>
      <c r="H618" s="38">
        <f>G618*COSTS!$AA$27</f>
        <v>933.59500000000003</v>
      </c>
      <c r="I618" s="1">
        <f>COSTS!$AA$28</f>
        <v>50</v>
      </c>
      <c r="J618" s="38">
        <f t="shared" si="28"/>
        <v>983.59500000000003</v>
      </c>
      <c r="K618" s="38">
        <f t="shared" si="29"/>
        <v>223.5443181818182</v>
      </c>
      <c r="L618" s="151">
        <v>46023</v>
      </c>
      <c r="M618" s="1">
        <f>VLOOKUP(F:F,[1]Sheet1!$E:$F,2,FALSE)</f>
        <v>680</v>
      </c>
    </row>
    <row r="619" spans="1:13" hidden="1">
      <c r="A619" s="1" t="s">
        <v>1301</v>
      </c>
      <c r="B619" s="1" t="s">
        <v>132</v>
      </c>
      <c r="C619" s="1" t="s">
        <v>1033</v>
      </c>
      <c r="D619" s="1" t="s">
        <v>168</v>
      </c>
      <c r="E619" s="1" t="str">
        <f>A619&amp;C619</f>
        <v>BISHOPVILLEMEMPHIS</v>
      </c>
      <c r="F619" s="1" t="s">
        <v>1058</v>
      </c>
      <c r="G619" s="1">
        <v>1166</v>
      </c>
      <c r="H619" s="38">
        <f>G619*COSTS!$AA$27</f>
        <v>1749</v>
      </c>
      <c r="I619" s="1">
        <f>COSTS!$AA$28</f>
        <v>50</v>
      </c>
      <c r="J619" s="38">
        <f t="shared" si="28"/>
        <v>1799</v>
      </c>
      <c r="K619" s="38">
        <f t="shared" si="29"/>
        <v>408.86363636363632</v>
      </c>
      <c r="L619" s="151">
        <v>46023</v>
      </c>
      <c r="M619" s="1">
        <f>VLOOKUP(F:F,[1]Sheet1!$E:$F,2,FALSE)</f>
        <v>1630</v>
      </c>
    </row>
    <row r="620" spans="1:13" hidden="1">
      <c r="A620" s="1" t="s">
        <v>1301</v>
      </c>
      <c r="B620" s="1" t="s">
        <v>132</v>
      </c>
      <c r="C620" s="1" t="s">
        <v>1275</v>
      </c>
      <c r="D620" s="1" t="s">
        <v>136</v>
      </c>
      <c r="E620" s="1" t="str">
        <f>A620&amp;C620</f>
        <v>BISHOPVILLESHELBY</v>
      </c>
      <c r="F620" s="1" t="str">
        <f>A620&amp;B620&amp;C620&amp;D620</f>
        <v>BISHOPVILLESCSHELBYNC</v>
      </c>
      <c r="G620" s="1">
        <v>500</v>
      </c>
      <c r="H620" s="38">
        <f>G620*COSTS!$AA$27</f>
        <v>750</v>
      </c>
      <c r="I620" s="1">
        <f>COSTS!$AA$28</f>
        <v>50</v>
      </c>
      <c r="J620" s="38">
        <f t="shared" si="28"/>
        <v>800</v>
      </c>
      <c r="K620" s="38">
        <f t="shared" si="29"/>
        <v>181.81818181818184</v>
      </c>
      <c r="L620" s="151">
        <v>46023</v>
      </c>
      <c r="M620" s="1">
        <f>VLOOKUP(F:F,[1]Sheet1!$E:$F,2,FALSE)</f>
        <v>560</v>
      </c>
    </row>
    <row r="621" spans="1:13" hidden="1">
      <c r="A621" s="1" t="s">
        <v>1312</v>
      </c>
      <c r="B621" s="1" t="s">
        <v>132</v>
      </c>
      <c r="C621" s="1" t="s">
        <v>847</v>
      </c>
      <c r="D621" s="1" t="s">
        <v>76</v>
      </c>
      <c r="E621" s="1" t="str">
        <f>A621&amp;(IF(C621="Garden City","Savannah",C621))</f>
        <v>CAMERONSavannah</v>
      </c>
      <c r="F621" s="1" t="s">
        <v>872</v>
      </c>
      <c r="G621" s="1">
        <v>486.25</v>
      </c>
      <c r="H621" s="38">
        <f>G621*COSTS!$AA$27</f>
        <v>729.375</v>
      </c>
      <c r="I621" s="1">
        <f>COSTS!$AA$28</f>
        <v>50</v>
      </c>
      <c r="J621" s="38">
        <f t="shared" si="28"/>
        <v>779.375</v>
      </c>
      <c r="K621" s="38">
        <f t="shared" si="29"/>
        <v>177.13068181818184</v>
      </c>
      <c r="L621" s="151">
        <v>46023</v>
      </c>
      <c r="M621" s="1">
        <f>VLOOKUP(F:F,[1]Sheet1!$E:$F,2,FALSE)</f>
        <v>610</v>
      </c>
    </row>
    <row r="622" spans="1:13" hidden="1">
      <c r="A622" s="1" t="s">
        <v>1312</v>
      </c>
      <c r="B622" s="1" t="s">
        <v>132</v>
      </c>
      <c r="C622" s="1" t="s">
        <v>1033</v>
      </c>
      <c r="D622" s="1" t="s">
        <v>168</v>
      </c>
      <c r="E622" s="1" t="str">
        <f>A622&amp;C622</f>
        <v>CAMERONMEMPHIS</v>
      </c>
      <c r="F622" s="1" t="s">
        <v>1071</v>
      </c>
      <c r="G622" s="1">
        <v>1111.95</v>
      </c>
      <c r="H622" s="38">
        <f>G622*COSTS!$AA$27</f>
        <v>1667.9250000000002</v>
      </c>
      <c r="I622" s="1">
        <f>COSTS!$AA$28</f>
        <v>50</v>
      </c>
      <c r="J622" s="38">
        <f t="shared" si="28"/>
        <v>1717.9250000000002</v>
      </c>
      <c r="K622" s="38">
        <f t="shared" si="29"/>
        <v>390.4375</v>
      </c>
      <c r="L622" s="151">
        <v>46023</v>
      </c>
      <c r="M622" s="1">
        <f>VLOOKUP(F:F,[1]Sheet1!$E:$F,2,FALSE)</f>
        <v>1590</v>
      </c>
    </row>
    <row r="623" spans="1:13" hidden="1">
      <c r="A623" s="1" t="s">
        <v>1312</v>
      </c>
      <c r="B623" s="1" t="s">
        <v>132</v>
      </c>
      <c r="C623" s="1" t="s">
        <v>1275</v>
      </c>
      <c r="D623" s="1" t="s">
        <v>136</v>
      </c>
      <c r="E623" s="1" t="str">
        <f>A623&amp;C623</f>
        <v>CAMERONSHELBY</v>
      </c>
      <c r="F623" s="1" t="str">
        <f>A623&amp;B623&amp;C623&amp;D623</f>
        <v>CAMERONSCSHELBYNC</v>
      </c>
      <c r="G623" s="1">
        <v>540</v>
      </c>
      <c r="H623" s="38">
        <f>G623*COSTS!$AA$27</f>
        <v>810</v>
      </c>
      <c r="I623" s="1">
        <f>COSTS!$AA$28</f>
        <v>50</v>
      </c>
      <c r="J623" s="38">
        <f t="shared" si="28"/>
        <v>860</v>
      </c>
      <c r="K623" s="38">
        <f t="shared" si="29"/>
        <v>195.45454545454547</v>
      </c>
      <c r="L623" s="151">
        <v>46023</v>
      </c>
      <c r="M623" s="1">
        <f>VLOOKUP(F:F,[1]Sheet1!$E:$F,2,FALSE)</f>
        <v>590</v>
      </c>
    </row>
    <row r="624" spans="1:13" hidden="1">
      <c r="A624" s="1" t="s">
        <v>1315</v>
      </c>
      <c r="B624" s="1" t="s">
        <v>132</v>
      </c>
      <c r="C624" s="1" t="s">
        <v>847</v>
      </c>
      <c r="D624" s="1" t="s">
        <v>76</v>
      </c>
      <c r="E624" s="1" t="str">
        <f>A624&amp;(IF(C624="Garden City","Savannah",C624))</f>
        <v>CHARLESTONSavannah</v>
      </c>
      <c r="F624" s="1" t="s">
        <v>875</v>
      </c>
      <c r="G624" s="1">
        <v>494.37666666666672</v>
      </c>
      <c r="H624" s="38">
        <f>G624*COSTS!$AA$27</f>
        <v>741.56500000000005</v>
      </c>
      <c r="I624" s="1">
        <f>COSTS!$AA$28</f>
        <v>50</v>
      </c>
      <c r="J624" s="38">
        <f t="shared" si="28"/>
        <v>791.56500000000005</v>
      </c>
      <c r="K624" s="38">
        <f t="shared" si="29"/>
        <v>179.9011363636364</v>
      </c>
      <c r="L624" s="151">
        <v>46023</v>
      </c>
      <c r="M624" s="1" t="e">
        <f>VLOOKUP(F:F,[1]Sheet1!$E:$F,2,FALSE)</f>
        <v>#N/A</v>
      </c>
    </row>
    <row r="625" spans="1:13" hidden="1">
      <c r="A625" s="1" t="s">
        <v>1315</v>
      </c>
      <c r="B625" s="1" t="s">
        <v>132</v>
      </c>
      <c r="C625" s="1" t="s">
        <v>1275</v>
      </c>
      <c r="D625" s="1" t="s">
        <v>136</v>
      </c>
      <c r="E625" s="1" t="str">
        <f>A625&amp;C625</f>
        <v>CHARLESTONSHELBY</v>
      </c>
      <c r="F625" s="1" t="str">
        <f>A625&amp;B625&amp;C625&amp;D625</f>
        <v>CHARLESTONSCSHELBYNC</v>
      </c>
      <c r="G625" s="1">
        <v>625</v>
      </c>
      <c r="H625" s="38">
        <f>G625*COSTS!$AA$27</f>
        <v>937.5</v>
      </c>
      <c r="I625" s="1">
        <f>COSTS!$AA$28</f>
        <v>50</v>
      </c>
      <c r="J625" s="38">
        <f t="shared" si="28"/>
        <v>987.5</v>
      </c>
      <c r="K625" s="38">
        <f t="shared" si="29"/>
        <v>224.43181818181816</v>
      </c>
      <c r="L625" s="151">
        <v>46023</v>
      </c>
      <c r="M625" s="1" t="e">
        <f>VLOOKUP(F:F,[1]Sheet1!$E:$F,2,FALSE)</f>
        <v>#N/A</v>
      </c>
    </row>
    <row r="626" spans="1:13" hidden="1">
      <c r="A626" s="1" t="s">
        <v>1319</v>
      </c>
      <c r="B626" s="1" t="s">
        <v>132</v>
      </c>
      <c r="C626" s="1" t="s">
        <v>847</v>
      </c>
      <c r="D626" s="1" t="s">
        <v>76</v>
      </c>
      <c r="E626" s="1" t="str">
        <f>A626&amp;(IF(C626="Garden City","Savannah",C626))</f>
        <v>CLIOSavannah</v>
      </c>
      <c r="F626" s="1" t="s">
        <v>879</v>
      </c>
      <c r="G626" s="1">
        <v>677.18666666666661</v>
      </c>
      <c r="H626" s="38">
        <f>G626*COSTS!$AA$27</f>
        <v>1015.78</v>
      </c>
      <c r="I626" s="1">
        <f>COSTS!$AA$28</f>
        <v>50</v>
      </c>
      <c r="J626" s="38">
        <f t="shared" si="28"/>
        <v>1065.78</v>
      </c>
      <c r="K626" s="38">
        <f t="shared" si="29"/>
        <v>242.22272727272727</v>
      </c>
      <c r="L626" s="151">
        <v>46023</v>
      </c>
      <c r="M626" s="1" t="e">
        <f>VLOOKUP(F:F,[1]Sheet1!$E:$F,2,FALSE)</f>
        <v>#N/A</v>
      </c>
    </row>
    <row r="627" spans="1:13" hidden="1">
      <c r="A627" s="1" t="s">
        <v>1319</v>
      </c>
      <c r="B627" s="1" t="s">
        <v>132</v>
      </c>
      <c r="C627" s="1" t="s">
        <v>1033</v>
      </c>
      <c r="D627" s="1" t="s">
        <v>168</v>
      </c>
      <c r="E627" s="1" t="str">
        <f>A627&amp;C627</f>
        <v>CLIOMEMPHIS</v>
      </c>
      <c r="F627" s="1" t="s">
        <v>1080</v>
      </c>
      <c r="G627" s="1">
        <v>1338</v>
      </c>
      <c r="H627" s="38">
        <f>G627*COSTS!$AA$27</f>
        <v>2007</v>
      </c>
      <c r="I627" s="1">
        <f>COSTS!$AA$28</f>
        <v>50</v>
      </c>
      <c r="J627" s="38">
        <f t="shared" si="28"/>
        <v>2057</v>
      </c>
      <c r="K627" s="38">
        <f t="shared" si="29"/>
        <v>467.5</v>
      </c>
      <c r="L627" s="151">
        <v>46023</v>
      </c>
      <c r="M627" s="1" t="e">
        <f>VLOOKUP(F:F,[1]Sheet1!$E:$F,2,FALSE)</f>
        <v>#N/A</v>
      </c>
    </row>
    <row r="628" spans="1:13" hidden="1">
      <c r="A628" s="1" t="s">
        <v>1319</v>
      </c>
      <c r="B628" s="1" t="s">
        <v>132</v>
      </c>
      <c r="C628" s="1" t="s">
        <v>1275</v>
      </c>
      <c r="D628" s="1" t="s">
        <v>136</v>
      </c>
      <c r="E628" s="1" t="str">
        <f>A628&amp;C628</f>
        <v>CLIOSHELBY</v>
      </c>
      <c r="F628" s="1" t="str">
        <f>A628&amp;B628&amp;C628&amp;D628</f>
        <v>CLIOSCSHELBYNC</v>
      </c>
      <c r="G628" s="1">
        <v>505</v>
      </c>
      <c r="H628" s="38">
        <f>G628*COSTS!$AA$27</f>
        <v>757.5</v>
      </c>
      <c r="I628" s="1">
        <f>COSTS!$AA$28</f>
        <v>50</v>
      </c>
      <c r="J628" s="38">
        <f t="shared" si="28"/>
        <v>807.5</v>
      </c>
      <c r="K628" s="38">
        <f t="shared" si="29"/>
        <v>183.52272727272725</v>
      </c>
      <c r="L628" s="151">
        <v>46023</v>
      </c>
      <c r="M628" s="1" t="e">
        <f>VLOOKUP(F:F,[1]Sheet1!$E:$F,2,FALSE)</f>
        <v>#N/A</v>
      </c>
    </row>
    <row r="629" spans="1:13" hidden="1">
      <c r="A629" s="1" t="s">
        <v>1326</v>
      </c>
      <c r="B629" s="1" t="s">
        <v>132</v>
      </c>
      <c r="C629" s="1" t="s">
        <v>847</v>
      </c>
      <c r="D629" s="1" t="s">
        <v>76</v>
      </c>
      <c r="E629" s="1" t="str">
        <f>A629&amp;(IF(C629="Garden City","Savannah",C629))</f>
        <v>DARLINGTONSavannah</v>
      </c>
      <c r="F629" s="1" t="s">
        <v>886</v>
      </c>
      <c r="G629" s="1">
        <v>565.78</v>
      </c>
      <c r="H629" s="38">
        <f>G629*COSTS!$AA$27</f>
        <v>848.67</v>
      </c>
      <c r="I629" s="1">
        <f>COSTS!$AA$28</f>
        <v>50</v>
      </c>
      <c r="J629" s="38">
        <f t="shared" si="28"/>
        <v>898.67</v>
      </c>
      <c r="K629" s="38">
        <f t="shared" si="29"/>
        <v>204.2431818181818</v>
      </c>
      <c r="L629" s="151">
        <v>46023</v>
      </c>
      <c r="M629" s="1" t="e">
        <f>VLOOKUP(F:F,[1]Sheet1!$E:$F,2,FALSE)</f>
        <v>#N/A</v>
      </c>
    </row>
    <row r="630" spans="1:13" hidden="1">
      <c r="A630" s="1" t="s">
        <v>1326</v>
      </c>
      <c r="B630" s="1" t="s">
        <v>132</v>
      </c>
      <c r="C630" s="1" t="s">
        <v>1275</v>
      </c>
      <c r="D630" s="1" t="s">
        <v>136</v>
      </c>
      <c r="E630" s="1" t="str">
        <f>A630&amp;C630</f>
        <v>DARLINGTONSHELBY</v>
      </c>
      <c r="F630" s="1" t="str">
        <f>A630&amp;B630&amp;C630&amp;D630</f>
        <v>DARLINGTONSCSHELBYNC</v>
      </c>
      <c r="G630" s="1">
        <v>515</v>
      </c>
      <c r="H630" s="38">
        <f>G630*COSTS!$AA$27</f>
        <v>772.5</v>
      </c>
      <c r="I630" s="1">
        <f>COSTS!$AA$28</f>
        <v>50</v>
      </c>
      <c r="J630" s="38">
        <f t="shared" si="28"/>
        <v>822.5</v>
      </c>
      <c r="K630" s="38">
        <f t="shared" si="29"/>
        <v>186.93181818181816</v>
      </c>
      <c r="L630" s="151">
        <v>46023</v>
      </c>
      <c r="M630" s="1" t="e">
        <f>VLOOKUP(F:F,[1]Sheet1!$E:$F,2,FALSE)</f>
        <v>#N/A</v>
      </c>
    </row>
    <row r="631" spans="1:13" hidden="1">
      <c r="A631" s="1" t="s">
        <v>1330</v>
      </c>
      <c r="B631" s="1" t="s">
        <v>132</v>
      </c>
      <c r="C631" s="1" t="s">
        <v>847</v>
      </c>
      <c r="D631" s="1" t="s">
        <v>76</v>
      </c>
      <c r="E631" s="1" t="str">
        <f>A631&amp;(IF(C631="Garden City","Savannah",C631))</f>
        <v>DILLONSavannah</v>
      </c>
      <c r="F631" s="1" t="s">
        <v>890</v>
      </c>
      <c r="G631" s="1">
        <v>663.85333333333335</v>
      </c>
      <c r="H631" s="38">
        <f>G631*COSTS!$AA$27</f>
        <v>995.78</v>
      </c>
      <c r="I631" s="1">
        <f>COSTS!$AA$28</f>
        <v>50</v>
      </c>
      <c r="J631" s="38">
        <f t="shared" si="28"/>
        <v>1045.78</v>
      </c>
      <c r="K631" s="38">
        <f t="shared" si="29"/>
        <v>237.67727272727271</v>
      </c>
      <c r="L631" s="151">
        <v>46023</v>
      </c>
      <c r="M631" s="1" t="e">
        <f>VLOOKUP(F:F,[1]Sheet1!$E:$F,2,FALSE)</f>
        <v>#N/A</v>
      </c>
    </row>
    <row r="632" spans="1:13" hidden="1">
      <c r="A632" s="1" t="s">
        <v>1330</v>
      </c>
      <c r="B632" s="1" t="s">
        <v>132</v>
      </c>
      <c r="C632" s="1" t="s">
        <v>1033</v>
      </c>
      <c r="D632" s="1" t="s">
        <v>168</v>
      </c>
      <c r="E632" s="1" t="str">
        <f>A632&amp;C632</f>
        <v>DILLONMEMPHIS</v>
      </c>
      <c r="F632" s="1" t="s">
        <v>1094</v>
      </c>
      <c r="G632" s="1">
        <v>1336</v>
      </c>
      <c r="H632" s="38">
        <f>G632*COSTS!$AA$27</f>
        <v>2004</v>
      </c>
      <c r="I632" s="1">
        <f>COSTS!$AA$28</f>
        <v>50</v>
      </c>
      <c r="J632" s="38">
        <f t="shared" si="28"/>
        <v>2054</v>
      </c>
      <c r="K632" s="38">
        <f t="shared" si="29"/>
        <v>466.81818181818181</v>
      </c>
      <c r="L632" s="151">
        <v>46023</v>
      </c>
      <c r="M632" s="1" t="e">
        <f>VLOOKUP(F:F,[1]Sheet1!$E:$F,2,FALSE)</f>
        <v>#N/A</v>
      </c>
    </row>
    <row r="633" spans="1:13" hidden="1">
      <c r="A633" s="1" t="s">
        <v>1330</v>
      </c>
      <c r="B633" s="1" t="s">
        <v>132</v>
      </c>
      <c r="C633" s="1" t="s">
        <v>1275</v>
      </c>
      <c r="D633" s="1" t="s">
        <v>136</v>
      </c>
      <c r="E633" s="1" t="str">
        <f>A633&amp;C633</f>
        <v>DILLONSHELBY</v>
      </c>
      <c r="F633" s="1" t="str">
        <f>A633&amp;B633&amp;C633&amp;D633</f>
        <v>DILLONSCSHELBYNC</v>
      </c>
      <c r="G633" s="1">
        <v>555</v>
      </c>
      <c r="H633" s="38">
        <f>G633*COSTS!$AA$27</f>
        <v>832.5</v>
      </c>
      <c r="I633" s="1">
        <f>COSTS!$AA$28</f>
        <v>50</v>
      </c>
      <c r="J633" s="38">
        <f t="shared" si="28"/>
        <v>882.5</v>
      </c>
      <c r="K633" s="38">
        <f t="shared" si="29"/>
        <v>200.56818181818184</v>
      </c>
      <c r="L633" s="151">
        <v>46023</v>
      </c>
      <c r="M633" s="1" t="e">
        <f>VLOOKUP(F:F,[1]Sheet1!$E:$F,2,FALSE)</f>
        <v>#N/A</v>
      </c>
    </row>
    <row r="634" spans="1:13" hidden="1">
      <c r="A634" s="1" t="s">
        <v>1342</v>
      </c>
      <c r="B634" s="1" t="s">
        <v>132</v>
      </c>
      <c r="C634" s="1" t="s">
        <v>847</v>
      </c>
      <c r="D634" s="1" t="s">
        <v>76</v>
      </c>
      <c r="E634" s="1" t="str">
        <f>A634&amp;(IF(C634="Garden City","Savannah",C634))</f>
        <v>ELLOREESavannah</v>
      </c>
      <c r="F634" s="1" t="s">
        <v>902</v>
      </c>
      <c r="G634" s="1">
        <v>492.91666666666669</v>
      </c>
      <c r="H634" s="38">
        <f>G634*COSTS!$AA$27</f>
        <v>739.375</v>
      </c>
      <c r="I634" s="1">
        <f>COSTS!$AA$28</f>
        <v>50</v>
      </c>
      <c r="J634" s="38">
        <f t="shared" si="28"/>
        <v>789.375</v>
      </c>
      <c r="K634" s="38">
        <f t="shared" si="29"/>
        <v>179.40340909090909</v>
      </c>
      <c r="L634" s="151">
        <v>46023</v>
      </c>
      <c r="M634" s="1">
        <f>VLOOKUP(F:F,[1]Sheet1!$E:$F,2,FALSE)</f>
        <v>600</v>
      </c>
    </row>
    <row r="635" spans="1:13" hidden="1">
      <c r="A635" s="1" t="s">
        <v>1342</v>
      </c>
      <c r="B635" s="1" t="s">
        <v>132</v>
      </c>
      <c r="C635" s="1" t="s">
        <v>1033</v>
      </c>
      <c r="D635" s="1" t="s">
        <v>168</v>
      </c>
      <c r="E635" s="1" t="str">
        <f>A635&amp;C635</f>
        <v>ELLOREEMEMPHIS</v>
      </c>
      <c r="F635" s="1" t="s">
        <v>1109</v>
      </c>
      <c r="G635" s="1">
        <v>1146</v>
      </c>
      <c r="H635" s="38">
        <f>G635*COSTS!$AA$27</f>
        <v>1719</v>
      </c>
      <c r="I635" s="1">
        <f>COSTS!$AA$28</f>
        <v>50</v>
      </c>
      <c r="J635" s="38">
        <f t="shared" si="28"/>
        <v>1769</v>
      </c>
      <c r="K635" s="38">
        <f t="shared" si="29"/>
        <v>402.0454545454545</v>
      </c>
      <c r="L635" s="151">
        <v>46023</v>
      </c>
      <c r="M635" s="1">
        <f>VLOOKUP(F:F,[1]Sheet1!$E:$F,2,FALSE)</f>
        <v>1610</v>
      </c>
    </row>
    <row r="636" spans="1:13" hidden="1">
      <c r="A636" s="1" t="s">
        <v>1342</v>
      </c>
      <c r="B636" s="1" t="s">
        <v>132</v>
      </c>
      <c r="C636" s="1" t="s">
        <v>1275</v>
      </c>
      <c r="D636" s="1" t="s">
        <v>136</v>
      </c>
      <c r="E636" s="1" t="str">
        <f>A636&amp;C636</f>
        <v>ELLOREESHELBY</v>
      </c>
      <c r="F636" s="1" t="str">
        <f>A636&amp;B636&amp;C636&amp;D636</f>
        <v>ELLOREESCSHELBYNC</v>
      </c>
      <c r="G636" s="1">
        <v>615</v>
      </c>
      <c r="H636" s="38">
        <f>G636*COSTS!$AA$27</f>
        <v>922.5</v>
      </c>
      <c r="I636" s="1">
        <f>COSTS!$AA$28</f>
        <v>50</v>
      </c>
      <c r="J636" s="38">
        <f t="shared" si="28"/>
        <v>972.5</v>
      </c>
      <c r="K636" s="38">
        <f t="shared" si="29"/>
        <v>221.02272727272725</v>
      </c>
      <c r="L636" s="151">
        <v>46023</v>
      </c>
      <c r="M636" s="1">
        <f>VLOOKUP(F:F,[1]Sheet1!$E:$F,2,FALSE)</f>
        <v>610</v>
      </c>
    </row>
    <row r="637" spans="1:13" hidden="1">
      <c r="A637" s="1" t="s">
        <v>1358</v>
      </c>
      <c r="B637" s="1" t="s">
        <v>132</v>
      </c>
      <c r="C637" s="1" t="s">
        <v>847</v>
      </c>
      <c r="D637" s="1" t="s">
        <v>76</v>
      </c>
      <c r="E637" s="1" t="str">
        <f>A637&amp;(IF(C637="Garden City","Savannah",C637))</f>
        <v>GREENVILLESavannah</v>
      </c>
      <c r="F637" s="1" t="s">
        <v>919</v>
      </c>
      <c r="G637" s="1">
        <v>786.19333333333327</v>
      </c>
      <c r="H637" s="38">
        <f>G637*COSTS!$AA$27</f>
        <v>1179.29</v>
      </c>
      <c r="I637" s="1">
        <f>COSTS!$AA$28</f>
        <v>50</v>
      </c>
      <c r="J637" s="38">
        <f t="shared" si="28"/>
        <v>1229.29</v>
      </c>
      <c r="K637" s="38">
        <f t="shared" si="29"/>
        <v>279.3840909090909</v>
      </c>
      <c r="L637" s="151">
        <v>46023</v>
      </c>
      <c r="M637" s="1" t="e">
        <f>VLOOKUP(F:F,[1]Sheet1!$E:$F,2,FALSE)</f>
        <v>#N/A</v>
      </c>
    </row>
    <row r="638" spans="1:13" hidden="1">
      <c r="A638" s="1" t="s">
        <v>1358</v>
      </c>
      <c r="B638" s="1" t="s">
        <v>132</v>
      </c>
      <c r="C638" s="1" t="s">
        <v>1275</v>
      </c>
      <c r="D638" s="1" t="s">
        <v>136</v>
      </c>
      <c r="E638" s="1" t="str">
        <f>A638&amp;C638</f>
        <v>GREENVILLESHELBY</v>
      </c>
      <c r="F638" s="1" t="str">
        <f>A638&amp;B638&amp;C638&amp;D638</f>
        <v>GREENVILLESCSHELBYNC</v>
      </c>
      <c r="G638" s="1">
        <v>400</v>
      </c>
      <c r="H638" s="38">
        <f>G638*COSTS!$AA$27</f>
        <v>600</v>
      </c>
      <c r="I638" s="1">
        <f>COSTS!$AA$28</f>
        <v>50</v>
      </c>
      <c r="J638" s="38">
        <f t="shared" si="28"/>
        <v>650</v>
      </c>
      <c r="K638" s="38">
        <f t="shared" si="29"/>
        <v>147.72727272727275</v>
      </c>
      <c r="L638" s="151">
        <v>46023</v>
      </c>
      <c r="M638" s="1" t="e">
        <f>VLOOKUP(F:F,[1]Sheet1!$E:$F,2,FALSE)</f>
        <v>#N/A</v>
      </c>
    </row>
    <row r="639" spans="1:13" hidden="1">
      <c r="A639" s="1" t="s">
        <v>1360</v>
      </c>
      <c r="B639" s="1" t="s">
        <v>132</v>
      </c>
      <c r="C639" s="1" t="s">
        <v>847</v>
      </c>
      <c r="D639" s="1" t="s">
        <v>76</v>
      </c>
      <c r="E639" s="1" t="str">
        <f>A639&amp;(IF(C639="Garden City","Savannah",C639))</f>
        <v>GREERSavannah</v>
      </c>
      <c r="F639" s="1" t="s">
        <v>920</v>
      </c>
      <c r="G639" s="1">
        <v>761.41666666666663</v>
      </c>
      <c r="H639" s="38">
        <f>G639*COSTS!$AA$27</f>
        <v>1142.125</v>
      </c>
      <c r="I639" s="1">
        <f>COSTS!$AA$28</f>
        <v>50</v>
      </c>
      <c r="J639" s="38">
        <f t="shared" si="28"/>
        <v>1192.125</v>
      </c>
      <c r="K639" s="38">
        <f t="shared" si="29"/>
        <v>270.9375</v>
      </c>
      <c r="L639" s="151">
        <v>46023</v>
      </c>
      <c r="M639" s="1">
        <f>VLOOKUP(F:F,[1]Sheet1!$E:$F,2,FALSE)</f>
        <v>840</v>
      </c>
    </row>
    <row r="640" spans="1:13" hidden="1">
      <c r="A640" s="1" t="s">
        <v>1360</v>
      </c>
      <c r="B640" s="1" t="s">
        <v>132</v>
      </c>
      <c r="C640" s="1" t="s">
        <v>1033</v>
      </c>
      <c r="D640" s="1" t="s">
        <v>168</v>
      </c>
      <c r="E640" s="1" t="str">
        <f>A640&amp;C640</f>
        <v>GREERMEMPHIS</v>
      </c>
      <c r="F640" s="1" t="s">
        <v>1133</v>
      </c>
      <c r="G640" s="1">
        <v>1027</v>
      </c>
      <c r="H640" s="38">
        <f>G640*COSTS!$AA$27</f>
        <v>1540.5</v>
      </c>
      <c r="I640" s="1">
        <f>COSTS!$AA$28</f>
        <v>50</v>
      </c>
      <c r="J640" s="38">
        <f t="shared" si="28"/>
        <v>1590.5</v>
      </c>
      <c r="K640" s="38">
        <f t="shared" si="29"/>
        <v>361.47727272727275</v>
      </c>
      <c r="L640" s="151">
        <v>46023</v>
      </c>
      <c r="M640" s="1">
        <f>VLOOKUP(F:F,[1]Sheet1!$E:$F,2,FALSE)</f>
        <v>1370</v>
      </c>
    </row>
    <row r="641" spans="1:13" hidden="1">
      <c r="A641" s="1" t="s">
        <v>1360</v>
      </c>
      <c r="B641" s="1" t="s">
        <v>132</v>
      </c>
      <c r="C641" s="1" t="s">
        <v>1275</v>
      </c>
      <c r="D641" s="1" t="s">
        <v>136</v>
      </c>
      <c r="E641" s="1" t="str">
        <f>A641&amp;C641</f>
        <v>GREERSHELBY</v>
      </c>
      <c r="F641" s="1" t="str">
        <f>A641&amp;B641&amp;C641&amp;D641</f>
        <v>GREERSCSHELBYNC</v>
      </c>
      <c r="G641" s="1">
        <v>395</v>
      </c>
      <c r="H641" s="38">
        <f>G641*COSTS!$AA$27</f>
        <v>592.5</v>
      </c>
      <c r="I641" s="1">
        <f>COSTS!$AA$28</f>
        <v>50</v>
      </c>
      <c r="J641" s="38">
        <f t="shared" si="28"/>
        <v>642.5</v>
      </c>
      <c r="K641" s="38">
        <f t="shared" si="29"/>
        <v>146.02272727272725</v>
      </c>
      <c r="L641" s="151">
        <v>46023</v>
      </c>
      <c r="M641" s="1">
        <f>VLOOKUP(F:F,[1]Sheet1!$E:$F,2,FALSE)</f>
        <v>400</v>
      </c>
    </row>
    <row r="642" spans="1:13" hidden="1">
      <c r="A642" s="1" t="s">
        <v>1362</v>
      </c>
      <c r="B642" s="1" t="s">
        <v>132</v>
      </c>
      <c r="C642" s="1" t="s">
        <v>847</v>
      </c>
      <c r="D642" s="1" t="s">
        <v>76</v>
      </c>
      <c r="E642" s="1" t="str">
        <f>A642&amp;(IF(C642="Garden City","Savannah",C642))</f>
        <v>HARTSVILLESavannah</v>
      </c>
      <c r="F642" s="1" t="s">
        <v>922</v>
      </c>
      <c r="G642" s="1">
        <v>642.18666666666661</v>
      </c>
      <c r="H642" s="38">
        <f>G642*COSTS!$AA$27</f>
        <v>963.28</v>
      </c>
      <c r="I642" s="1">
        <f>COSTS!$AA$28</f>
        <v>50</v>
      </c>
      <c r="J642" s="38">
        <f t="shared" ref="J642:J705" si="30">H642+I642</f>
        <v>1013.28</v>
      </c>
      <c r="K642" s="38">
        <f t="shared" ref="K642:K705" si="31">(J642/88)*20</f>
        <v>230.29090909090908</v>
      </c>
      <c r="L642" s="151">
        <v>46023</v>
      </c>
      <c r="M642" s="1">
        <f>VLOOKUP(F:F,[1]Sheet1!$E:$F,2,FALSE)</f>
        <v>720</v>
      </c>
    </row>
    <row r="643" spans="1:13" hidden="1">
      <c r="A643" s="1" t="s">
        <v>1362</v>
      </c>
      <c r="B643" s="1" t="s">
        <v>132</v>
      </c>
      <c r="C643" s="1" t="s">
        <v>1033</v>
      </c>
      <c r="D643" s="1" t="s">
        <v>168</v>
      </c>
      <c r="E643" s="1" t="str">
        <f>A643&amp;C643</f>
        <v>HARTSVILLEMEMPHIS</v>
      </c>
      <c r="F643" s="1" t="s">
        <v>1137</v>
      </c>
      <c r="G643" s="1">
        <v>1129</v>
      </c>
      <c r="H643" s="38">
        <f>G643*COSTS!$AA$27</f>
        <v>1693.5</v>
      </c>
      <c r="I643" s="1">
        <f>COSTS!$AA$28</f>
        <v>50</v>
      </c>
      <c r="J643" s="38">
        <f t="shared" si="30"/>
        <v>1743.5</v>
      </c>
      <c r="K643" s="38">
        <f t="shared" si="31"/>
        <v>396.25</v>
      </c>
      <c r="L643" s="151">
        <v>46023</v>
      </c>
      <c r="M643" s="1">
        <f>VLOOKUP(F:F,[1]Sheet1!$E:$F,2,FALSE)</f>
        <v>1690</v>
      </c>
    </row>
    <row r="644" spans="1:13" hidden="1">
      <c r="A644" s="1" t="s">
        <v>1362</v>
      </c>
      <c r="B644" s="1" t="s">
        <v>132</v>
      </c>
      <c r="C644" s="1" t="s">
        <v>1275</v>
      </c>
      <c r="D644" s="1" t="s">
        <v>136</v>
      </c>
      <c r="E644" s="1" t="str">
        <f>A644&amp;C644</f>
        <v>HARTSVILLESHELBY</v>
      </c>
      <c r="F644" s="1" t="str">
        <f>A644&amp;B644&amp;C644&amp;D644</f>
        <v>HARTSVILLESCSHELBYNC</v>
      </c>
      <c r="G644" s="1">
        <v>505</v>
      </c>
      <c r="H644" s="38">
        <f>G644*COSTS!$AA$27</f>
        <v>757.5</v>
      </c>
      <c r="I644" s="1">
        <f>COSTS!$AA$28</f>
        <v>50</v>
      </c>
      <c r="J644" s="38">
        <f t="shared" si="30"/>
        <v>807.5</v>
      </c>
      <c r="K644" s="38">
        <f t="shared" si="31"/>
        <v>183.52272727272725</v>
      </c>
      <c r="L644" s="151">
        <v>46023</v>
      </c>
      <c r="M644" s="1">
        <f>VLOOKUP(F:F,[1]Sheet1!$E:$F,2,FALSE)</f>
        <v>530</v>
      </c>
    </row>
    <row r="645" spans="1:13" hidden="1">
      <c r="A645" s="1" t="s">
        <v>1377</v>
      </c>
      <c r="B645" s="1" t="s">
        <v>132</v>
      </c>
      <c r="C645" s="1" t="s">
        <v>847</v>
      </c>
      <c r="D645" s="1" t="s">
        <v>76</v>
      </c>
      <c r="E645" s="1" t="str">
        <f>A645&amp;(IF(C645="Garden City","Savannah",C645))</f>
        <v>LAKE CITYSavannah</v>
      </c>
      <c r="F645" s="1" t="s">
        <v>938</v>
      </c>
      <c r="G645" s="1">
        <v>546.09500000000003</v>
      </c>
      <c r="H645" s="38">
        <f>G645*COSTS!$AA$27</f>
        <v>819.14250000000004</v>
      </c>
      <c r="I645" s="1">
        <f>COSTS!$AA$28</f>
        <v>50</v>
      </c>
      <c r="J645" s="38">
        <f t="shared" si="30"/>
        <v>869.14250000000004</v>
      </c>
      <c r="K645" s="38">
        <f t="shared" si="31"/>
        <v>197.53238636363636</v>
      </c>
      <c r="L645" s="151">
        <v>46023</v>
      </c>
      <c r="M645" s="1" t="e">
        <f>VLOOKUP(F:F,[1]Sheet1!$E:$F,2,FALSE)</f>
        <v>#N/A</v>
      </c>
    </row>
    <row r="646" spans="1:13" hidden="1">
      <c r="A646" s="1" t="s">
        <v>1377</v>
      </c>
      <c r="B646" s="1" t="s">
        <v>132</v>
      </c>
      <c r="C646" s="1" t="s">
        <v>1275</v>
      </c>
      <c r="D646" s="1" t="s">
        <v>136</v>
      </c>
      <c r="E646" s="1" t="str">
        <f>A646&amp;C646</f>
        <v>LAKE CITYSHELBY</v>
      </c>
      <c r="F646" s="1" t="str">
        <f>A646&amp;B646&amp;C646&amp;D646</f>
        <v>LAKE CITYSCSHELBYNC</v>
      </c>
      <c r="G646" s="1">
        <v>530</v>
      </c>
      <c r="H646" s="38">
        <f>G646*COSTS!$AA$27</f>
        <v>795</v>
      </c>
      <c r="I646" s="1">
        <f>COSTS!$AA$28</f>
        <v>50</v>
      </c>
      <c r="J646" s="38">
        <f t="shared" si="30"/>
        <v>845</v>
      </c>
      <c r="K646" s="38">
        <f t="shared" si="31"/>
        <v>192.04545454545453</v>
      </c>
      <c r="L646" s="151">
        <v>46023</v>
      </c>
      <c r="M646" s="1" t="e">
        <f>VLOOKUP(F:F,[1]Sheet1!$E:$F,2,FALSE)</f>
        <v>#N/A</v>
      </c>
    </row>
    <row r="647" spans="1:13" hidden="1">
      <c r="A647" s="1" t="s">
        <v>1379</v>
      </c>
      <c r="B647" s="1" t="s">
        <v>132</v>
      </c>
      <c r="C647" s="1" t="s">
        <v>847</v>
      </c>
      <c r="D647" s="1" t="s">
        <v>76</v>
      </c>
      <c r="E647" s="1" t="str">
        <f>A647&amp;(IF(C647="Garden City","Savannah",C647))</f>
        <v>LAKECITYSavannah</v>
      </c>
      <c r="F647" s="1" t="s">
        <v>940</v>
      </c>
      <c r="G647" s="1">
        <v>546.09500000000003</v>
      </c>
      <c r="H647" s="38">
        <f>G647*COSTS!$AA$27</f>
        <v>819.14250000000004</v>
      </c>
      <c r="I647" s="1">
        <f>COSTS!$AA$28</f>
        <v>50</v>
      </c>
      <c r="J647" s="38">
        <f t="shared" si="30"/>
        <v>869.14250000000004</v>
      </c>
      <c r="K647" s="38">
        <f t="shared" si="31"/>
        <v>197.53238636363636</v>
      </c>
      <c r="L647" s="151">
        <v>46023</v>
      </c>
      <c r="M647" s="1" t="e">
        <f>VLOOKUP(F:F,[1]Sheet1!$E:$F,2,FALSE)</f>
        <v>#N/A</v>
      </c>
    </row>
    <row r="648" spans="1:13" hidden="1">
      <c r="A648" s="1" t="s">
        <v>1380</v>
      </c>
      <c r="B648" s="1" t="s">
        <v>132</v>
      </c>
      <c r="C648" s="1" t="s">
        <v>847</v>
      </c>
      <c r="D648" s="1" t="s">
        <v>76</v>
      </c>
      <c r="E648" s="1" t="str">
        <f>A648&amp;(IF(C648="Garden City","Savannah",C648))</f>
        <v>LAMARSavannah</v>
      </c>
      <c r="F648" s="1" t="s">
        <v>941</v>
      </c>
      <c r="G648" s="1">
        <v>619.06333333333339</v>
      </c>
      <c r="H648" s="38">
        <f>G648*COSTS!$AA$27</f>
        <v>928.59500000000003</v>
      </c>
      <c r="I648" s="1">
        <f>COSTS!$AA$28</f>
        <v>50</v>
      </c>
      <c r="J648" s="38">
        <f t="shared" si="30"/>
        <v>978.59500000000003</v>
      </c>
      <c r="K648" s="38">
        <f t="shared" si="31"/>
        <v>222.40795454545457</v>
      </c>
      <c r="L648" s="151">
        <v>46023</v>
      </c>
      <c r="M648" s="1" t="e">
        <f>VLOOKUP(F:F,[1]Sheet1!$E:$F,2,FALSE)</f>
        <v>#N/A</v>
      </c>
    </row>
    <row r="649" spans="1:13" hidden="1">
      <c r="A649" s="1" t="s">
        <v>1388</v>
      </c>
      <c r="B649" s="1" t="s">
        <v>132</v>
      </c>
      <c r="C649" s="1" t="s">
        <v>847</v>
      </c>
      <c r="D649" s="1" t="s">
        <v>76</v>
      </c>
      <c r="E649" s="1" t="str">
        <f>A649&amp;(IF(C649="Garden City","Savannah",C649))</f>
        <v>LYNCHBURGSavannah</v>
      </c>
      <c r="F649" s="1" t="s">
        <v>949</v>
      </c>
      <c r="G649" s="1">
        <v>599.06333333333339</v>
      </c>
      <c r="H649" s="38">
        <f>G649*COSTS!$AA$27</f>
        <v>898.59500000000003</v>
      </c>
      <c r="I649" s="1">
        <f>COSTS!$AA$28</f>
        <v>50</v>
      </c>
      <c r="J649" s="38">
        <f t="shared" si="30"/>
        <v>948.59500000000003</v>
      </c>
      <c r="K649" s="38">
        <f t="shared" si="31"/>
        <v>215.58977272727273</v>
      </c>
      <c r="L649" s="151">
        <v>46023</v>
      </c>
      <c r="M649" s="1">
        <f>VLOOKUP(F:F,[1]Sheet1!$E:$F,2,FALSE)</f>
        <v>670</v>
      </c>
    </row>
    <row r="650" spans="1:13" hidden="1">
      <c r="A650" s="1" t="s">
        <v>1388</v>
      </c>
      <c r="B650" s="1" t="s">
        <v>132</v>
      </c>
      <c r="C650" s="1" t="s">
        <v>1033</v>
      </c>
      <c r="D650" s="1" t="s">
        <v>168</v>
      </c>
      <c r="E650" s="1" t="str">
        <f>A650&amp;C650</f>
        <v>LYNCHBURGMEMPHIS</v>
      </c>
      <c r="F650" s="1" t="s">
        <v>1174</v>
      </c>
      <c r="G650" s="1">
        <v>1140</v>
      </c>
      <c r="H650" s="38">
        <f>G650*COSTS!$AA$27</f>
        <v>1710</v>
      </c>
      <c r="I650" s="1">
        <f>COSTS!$AA$28</f>
        <v>50</v>
      </c>
      <c r="J650" s="38">
        <f t="shared" si="30"/>
        <v>1760</v>
      </c>
      <c r="K650" s="38">
        <f t="shared" si="31"/>
        <v>400</v>
      </c>
      <c r="L650" s="151">
        <v>46023</v>
      </c>
      <c r="M650" s="1">
        <f>VLOOKUP(F:F,[1]Sheet1!$E:$F,2,FALSE)</f>
        <v>1660</v>
      </c>
    </row>
    <row r="651" spans="1:13" hidden="1">
      <c r="A651" s="1" t="s">
        <v>1388</v>
      </c>
      <c r="B651" s="1" t="s">
        <v>132</v>
      </c>
      <c r="C651" s="1" t="s">
        <v>1275</v>
      </c>
      <c r="D651" s="1" t="s">
        <v>136</v>
      </c>
      <c r="E651" s="1" t="str">
        <f>A651&amp;C651</f>
        <v>LYNCHBURGSHELBY</v>
      </c>
      <c r="F651" s="1" t="str">
        <f>A651&amp;B651&amp;C651&amp;D651</f>
        <v>LYNCHBURGSCSHELBYNC</v>
      </c>
      <c r="G651" s="1">
        <v>550</v>
      </c>
      <c r="H651" s="38">
        <f>G651*COSTS!$AA$27</f>
        <v>825</v>
      </c>
      <c r="I651" s="1">
        <f>COSTS!$AA$28</f>
        <v>50</v>
      </c>
      <c r="J651" s="38">
        <f t="shared" si="30"/>
        <v>875</v>
      </c>
      <c r="K651" s="38">
        <f t="shared" si="31"/>
        <v>198.86363636363637</v>
      </c>
      <c r="L651" s="151">
        <v>46023</v>
      </c>
      <c r="M651" s="1">
        <f>VLOOKUP(F:F,[1]Sheet1!$E:$F,2,FALSE)</f>
        <v>580</v>
      </c>
    </row>
    <row r="652" spans="1:13" hidden="1">
      <c r="A652" s="1" t="s">
        <v>1391</v>
      </c>
      <c r="B652" s="1" t="s">
        <v>132</v>
      </c>
      <c r="C652" s="1" t="s">
        <v>847</v>
      </c>
      <c r="D652" s="1" t="s">
        <v>76</v>
      </c>
      <c r="E652" s="1" t="str">
        <f>A652&amp;(IF(C652="Garden City","Savannah",C652))</f>
        <v>MANNINGSavannah</v>
      </c>
      <c r="F652" s="1" t="s">
        <v>952</v>
      </c>
      <c r="G652" s="1">
        <v>527.25</v>
      </c>
      <c r="H652" s="38">
        <f>G652*COSTS!$AA$27</f>
        <v>790.875</v>
      </c>
      <c r="I652" s="1">
        <f>COSTS!$AA$28</f>
        <v>50</v>
      </c>
      <c r="J652" s="38">
        <f t="shared" si="30"/>
        <v>840.875</v>
      </c>
      <c r="K652" s="38">
        <f t="shared" si="31"/>
        <v>191.10795454545453</v>
      </c>
      <c r="L652" s="151">
        <v>46023</v>
      </c>
      <c r="M652" s="1" t="e">
        <f>VLOOKUP(F:F,[1]Sheet1!$E:$F,2,FALSE)</f>
        <v>#N/A</v>
      </c>
    </row>
    <row r="653" spans="1:13" hidden="1">
      <c r="A653" s="1" t="s">
        <v>1391</v>
      </c>
      <c r="B653" s="1" t="s">
        <v>132</v>
      </c>
      <c r="C653" s="1" t="s">
        <v>1275</v>
      </c>
      <c r="D653" s="1" t="s">
        <v>136</v>
      </c>
      <c r="E653" s="1" t="str">
        <f>A653&amp;C653</f>
        <v>MANNINGSHELBY</v>
      </c>
      <c r="F653" s="1" t="str">
        <f>A653&amp;B653&amp;C653&amp;D653</f>
        <v>MANNINGSCSHELBYNC</v>
      </c>
      <c r="G653" s="1">
        <v>550</v>
      </c>
      <c r="H653" s="38">
        <f>G653*COSTS!$AA$27</f>
        <v>825</v>
      </c>
      <c r="I653" s="1">
        <f>COSTS!$AA$28</f>
        <v>50</v>
      </c>
      <c r="J653" s="38">
        <f t="shared" si="30"/>
        <v>875</v>
      </c>
      <c r="K653" s="38">
        <f t="shared" si="31"/>
        <v>198.86363636363637</v>
      </c>
      <c r="L653" s="151">
        <v>46023</v>
      </c>
      <c r="M653" s="1" t="e">
        <f>VLOOKUP(F:F,[1]Sheet1!$E:$F,2,FALSE)</f>
        <v>#N/A</v>
      </c>
    </row>
    <row r="654" spans="1:13" hidden="1">
      <c r="A654" s="1" t="s">
        <v>1399</v>
      </c>
      <c r="B654" s="1" t="s">
        <v>132</v>
      </c>
      <c r="C654" s="1" t="s">
        <v>847</v>
      </c>
      <c r="D654" s="1" t="s">
        <v>76</v>
      </c>
      <c r="E654" s="1" t="str">
        <f>A654&amp;(IF(C654="Garden City","Savannah",C654))</f>
        <v>MINTURNSavannah</v>
      </c>
      <c r="F654" s="1" t="s">
        <v>961</v>
      </c>
      <c r="G654" s="1">
        <v>578.28</v>
      </c>
      <c r="H654" s="38">
        <f>G654*COSTS!$AA$27</f>
        <v>867.42</v>
      </c>
      <c r="I654" s="1">
        <f>COSTS!$AA$28</f>
        <v>50</v>
      </c>
      <c r="J654" s="38">
        <f t="shared" si="30"/>
        <v>917.42</v>
      </c>
      <c r="K654" s="38">
        <f t="shared" si="31"/>
        <v>208.50454545454542</v>
      </c>
      <c r="L654" s="151">
        <v>46023</v>
      </c>
      <c r="M654" s="1" t="e">
        <f>VLOOKUP(F:F,[1]Sheet1!$E:$F,2,FALSE)</f>
        <v>#N/A</v>
      </c>
    </row>
    <row r="655" spans="1:13" hidden="1">
      <c r="A655" s="1" t="s">
        <v>1403</v>
      </c>
      <c r="B655" s="1" t="s">
        <v>132</v>
      </c>
      <c r="C655" s="1" t="s">
        <v>847</v>
      </c>
      <c r="D655" s="1" t="s">
        <v>76</v>
      </c>
      <c r="E655" s="1" t="str">
        <f>A655&amp;(IF(C655="Garden City","Savannah",C655))</f>
        <v>MOUNT PLEASANTSavannah</v>
      </c>
      <c r="F655" s="1" t="s">
        <v>965</v>
      </c>
      <c r="G655" s="1">
        <v>466.565</v>
      </c>
      <c r="H655" s="38">
        <f>G655*COSTS!$AA$27</f>
        <v>699.84749999999997</v>
      </c>
      <c r="I655" s="1">
        <f>COSTS!$AA$28</f>
        <v>50</v>
      </c>
      <c r="J655" s="38">
        <f t="shared" si="30"/>
        <v>749.84749999999997</v>
      </c>
      <c r="K655" s="38">
        <f t="shared" si="31"/>
        <v>170.41988636363638</v>
      </c>
      <c r="L655" s="151">
        <v>46023</v>
      </c>
      <c r="M655" s="1" t="e">
        <f>VLOOKUP(F:F,[1]Sheet1!$E:$F,2,FALSE)</f>
        <v>#N/A</v>
      </c>
    </row>
    <row r="656" spans="1:13" hidden="1">
      <c r="A656" s="1" t="s">
        <v>1410</v>
      </c>
      <c r="B656" s="1" t="s">
        <v>132</v>
      </c>
      <c r="C656" s="1" t="s">
        <v>847</v>
      </c>
      <c r="D656" s="1" t="s">
        <v>76</v>
      </c>
      <c r="E656" s="1" t="str">
        <f>A656&amp;(IF(C656="Garden City","Savannah",C656))</f>
        <v>NORTHSavannah</v>
      </c>
      <c r="F656" s="1" t="s">
        <v>972</v>
      </c>
      <c r="G656" s="1">
        <v>471.25</v>
      </c>
      <c r="H656" s="38">
        <f>G656*COSTS!$AA$27</f>
        <v>706.875</v>
      </c>
      <c r="I656" s="1">
        <f>COSTS!$AA$28</f>
        <v>50</v>
      </c>
      <c r="J656" s="38">
        <f t="shared" si="30"/>
        <v>756.875</v>
      </c>
      <c r="K656" s="38">
        <f t="shared" si="31"/>
        <v>172.01704545454547</v>
      </c>
      <c r="L656" s="151">
        <v>46023</v>
      </c>
      <c r="M656" s="1" t="e">
        <f>VLOOKUP(F:F,[1]Sheet1!$E:$F,2,FALSE)</f>
        <v>#N/A</v>
      </c>
    </row>
    <row r="657" spans="1:13" hidden="1">
      <c r="A657" s="1" t="s">
        <v>1410</v>
      </c>
      <c r="B657" s="1" t="s">
        <v>132</v>
      </c>
      <c r="C657" s="1" t="s">
        <v>1275</v>
      </c>
      <c r="D657" s="1" t="s">
        <v>136</v>
      </c>
      <c r="E657" s="1" t="str">
        <f>A657&amp;C657</f>
        <v>NORTHSHELBY</v>
      </c>
      <c r="F657" s="1" t="str">
        <f>A657&amp;B657&amp;C657&amp;D657</f>
        <v>NORTHSCSHELBYNC</v>
      </c>
      <c r="G657" s="1">
        <v>565</v>
      </c>
      <c r="H657" s="38">
        <f>G657*COSTS!$AA$27</f>
        <v>847.5</v>
      </c>
      <c r="I657" s="1">
        <f>COSTS!$AA$28</f>
        <v>50</v>
      </c>
      <c r="J657" s="38">
        <f t="shared" si="30"/>
        <v>897.5</v>
      </c>
      <c r="K657" s="38">
        <f t="shared" si="31"/>
        <v>203.97727272727275</v>
      </c>
      <c r="L657" s="151">
        <v>46023</v>
      </c>
      <c r="M657" s="1" t="e">
        <f>VLOOKUP(F:F,[1]Sheet1!$E:$F,2,FALSE)</f>
        <v>#N/A</v>
      </c>
    </row>
    <row r="658" spans="1:13" hidden="1">
      <c r="A658" s="1" t="s">
        <v>1413</v>
      </c>
      <c r="B658" s="1" t="s">
        <v>132</v>
      </c>
      <c r="C658" s="1" t="s">
        <v>1275</v>
      </c>
      <c r="D658" s="1" t="s">
        <v>136</v>
      </c>
      <c r="E658" s="1" t="str">
        <f>A658&amp;C658</f>
        <v>ORANGEBURGSHELBY</v>
      </c>
      <c r="F658" s="1" t="str">
        <f>A658&amp;B658&amp;C658&amp;D658</f>
        <v>ORANGEBURGSCSHELBYNC</v>
      </c>
      <c r="G658" s="1">
        <v>560</v>
      </c>
      <c r="H658" s="38">
        <f>G658*COSTS!$AA$27</f>
        <v>840</v>
      </c>
      <c r="I658" s="1">
        <f>COSTS!$AA$28</f>
        <v>50</v>
      </c>
      <c r="J658" s="38">
        <f t="shared" si="30"/>
        <v>890</v>
      </c>
      <c r="K658" s="38">
        <f t="shared" si="31"/>
        <v>202.27272727272725</v>
      </c>
      <c r="L658" s="151">
        <v>46023</v>
      </c>
      <c r="M658" s="1" t="e">
        <f>VLOOKUP(F:F,[1]Sheet1!$E:$F,2,FALSE)</f>
        <v>#N/A</v>
      </c>
    </row>
    <row r="659" spans="1:13" hidden="1">
      <c r="A659" s="1" t="s">
        <v>1426</v>
      </c>
      <c r="B659" s="1" t="s">
        <v>132</v>
      </c>
      <c r="C659" s="1" t="s">
        <v>847</v>
      </c>
      <c r="D659" s="1" t="s">
        <v>76</v>
      </c>
      <c r="E659" s="1" t="str">
        <f>A659&amp;(IF(C659="Garden City","Savannah",C659))</f>
        <v>SAINT MATTHEWSSavannah</v>
      </c>
      <c r="F659" s="1" t="s">
        <v>987</v>
      </c>
      <c r="G659" s="1">
        <v>454.75</v>
      </c>
      <c r="H659" s="38">
        <f>G659*COSTS!$AA$27</f>
        <v>682.125</v>
      </c>
      <c r="I659" s="1">
        <f>COSTS!$AA$28</f>
        <v>50</v>
      </c>
      <c r="J659" s="38">
        <f t="shared" si="30"/>
        <v>732.125</v>
      </c>
      <c r="K659" s="38">
        <f t="shared" si="31"/>
        <v>166.39204545454547</v>
      </c>
      <c r="L659" s="151">
        <v>46023</v>
      </c>
      <c r="M659" s="1" t="e">
        <f>VLOOKUP(F:F,[1]Sheet1!$E:$F,2,FALSE)</f>
        <v>#N/A</v>
      </c>
    </row>
    <row r="660" spans="1:13" hidden="1">
      <c r="A660" s="1" t="s">
        <v>1426</v>
      </c>
      <c r="B660" s="1" t="s">
        <v>132</v>
      </c>
      <c r="C660" s="1" t="s">
        <v>1033</v>
      </c>
      <c r="D660" s="1" t="s">
        <v>168</v>
      </c>
      <c r="E660" s="1" t="str">
        <f>A660&amp;C660</f>
        <v>SAINT MATTHEWSMEMPHIS</v>
      </c>
      <c r="F660" s="1" t="s">
        <v>1224</v>
      </c>
      <c r="G660" s="1">
        <v>989.08</v>
      </c>
      <c r="H660" s="38">
        <f>G660*COSTS!$AA$27</f>
        <v>1483.6200000000001</v>
      </c>
      <c r="I660" s="1">
        <f>COSTS!$AA$28</f>
        <v>50</v>
      </c>
      <c r="J660" s="38">
        <f t="shared" si="30"/>
        <v>1533.6200000000001</v>
      </c>
      <c r="K660" s="38">
        <f t="shared" si="31"/>
        <v>348.55000000000007</v>
      </c>
      <c r="L660" s="151">
        <v>46023</v>
      </c>
      <c r="M660" s="1" t="e">
        <f>VLOOKUP(F:F,[1]Sheet1!$E:$F,2,FALSE)</f>
        <v>#N/A</v>
      </c>
    </row>
    <row r="661" spans="1:13" hidden="1">
      <c r="A661" s="1" t="s">
        <v>1433</v>
      </c>
      <c r="B661" s="1" t="s">
        <v>132</v>
      </c>
      <c r="C661" s="1" t="s">
        <v>847</v>
      </c>
      <c r="D661" s="1" t="s">
        <v>76</v>
      </c>
      <c r="E661" s="1" t="str">
        <f>A661&amp;(IF(C661="Garden City","Savannah",C661))</f>
        <v>SPARTANBURGSavannah</v>
      </c>
      <c r="F661" s="1" t="s">
        <v>997</v>
      </c>
      <c r="G661" s="1">
        <v>777.07</v>
      </c>
      <c r="H661" s="38">
        <f>G661*COSTS!$AA$27</f>
        <v>1165.605</v>
      </c>
      <c r="I661" s="1">
        <f>COSTS!$AA$28</f>
        <v>50</v>
      </c>
      <c r="J661" s="38">
        <f t="shared" si="30"/>
        <v>1215.605</v>
      </c>
      <c r="K661" s="38">
        <f t="shared" si="31"/>
        <v>276.27386363636367</v>
      </c>
      <c r="L661" s="151">
        <v>46023</v>
      </c>
      <c r="M661" s="1" t="e">
        <f>VLOOKUP(F:F,[1]Sheet1!$E:$F,2,FALSE)</f>
        <v>#N/A</v>
      </c>
    </row>
    <row r="662" spans="1:13" hidden="1">
      <c r="A662" s="1" t="s">
        <v>1433</v>
      </c>
      <c r="B662" s="1" t="s">
        <v>132</v>
      </c>
      <c r="C662" s="1" t="s">
        <v>1275</v>
      </c>
      <c r="D662" s="1" t="s">
        <v>136</v>
      </c>
      <c r="E662" s="1" t="str">
        <f>A662&amp;C662</f>
        <v>SPARTANBURGSHELBY</v>
      </c>
      <c r="F662" s="1" t="str">
        <f>A662&amp;B662&amp;C662&amp;D662</f>
        <v>SPARTANBURGSCSHELBYNC</v>
      </c>
      <c r="G662" s="1">
        <v>325</v>
      </c>
      <c r="H662" s="38">
        <f>G662*COSTS!$AA$27</f>
        <v>487.5</v>
      </c>
      <c r="I662" s="1">
        <f>COSTS!$AA$28</f>
        <v>50</v>
      </c>
      <c r="J662" s="38">
        <f t="shared" si="30"/>
        <v>537.5</v>
      </c>
      <c r="K662" s="38">
        <f t="shared" si="31"/>
        <v>122.15909090909092</v>
      </c>
      <c r="L662" s="151">
        <v>46023</v>
      </c>
      <c r="M662" s="1" t="e">
        <f>VLOOKUP(F:F,[1]Sheet1!$E:$F,2,FALSE)</f>
        <v>#N/A</v>
      </c>
    </row>
    <row r="663" spans="1:13" hidden="1">
      <c r="A663" s="1" t="s">
        <v>1551</v>
      </c>
      <c r="B663" s="1" t="s">
        <v>132</v>
      </c>
      <c r="C663" s="1" t="s">
        <v>1033</v>
      </c>
      <c r="D663" s="1" t="s">
        <v>168</v>
      </c>
      <c r="E663" s="1" t="str">
        <f>A663&amp;C663</f>
        <v>ST MATTHEWSMEMPHIS</v>
      </c>
      <c r="F663" s="1" t="s">
        <v>1236</v>
      </c>
      <c r="G663" s="1">
        <v>1133</v>
      </c>
      <c r="H663" s="38">
        <f>G663*COSTS!$AA$27</f>
        <v>1699.5</v>
      </c>
      <c r="I663" s="1">
        <f>COSTS!$AA$28</f>
        <v>50</v>
      </c>
      <c r="J663" s="38">
        <f t="shared" si="30"/>
        <v>1749.5</v>
      </c>
      <c r="K663" s="38">
        <f t="shared" si="31"/>
        <v>397.61363636363632</v>
      </c>
      <c r="L663" s="151">
        <v>46023</v>
      </c>
      <c r="M663" s="1">
        <f>VLOOKUP(F:F,[1]Sheet1!$E:$F,2,FALSE)</f>
        <v>1580</v>
      </c>
    </row>
    <row r="664" spans="1:13" hidden="1">
      <c r="A664" s="1" t="s">
        <v>1551</v>
      </c>
      <c r="B664" s="1" t="s">
        <v>132</v>
      </c>
      <c r="C664" s="1" t="s">
        <v>1275</v>
      </c>
      <c r="D664" s="1" t="s">
        <v>136</v>
      </c>
      <c r="E664" s="1" t="str">
        <f>A664&amp;C664</f>
        <v>ST MATTHEWSSHELBY</v>
      </c>
      <c r="F664" s="1" t="str">
        <f>A664&amp;B664&amp;C664&amp;D664</f>
        <v>ST MATTHEWSSCSHELBYNC</v>
      </c>
      <c r="G664" s="1">
        <v>565</v>
      </c>
      <c r="H664" s="38">
        <f>G664*COSTS!$AA$27</f>
        <v>847.5</v>
      </c>
      <c r="I664" s="1">
        <f>COSTS!$AA$28</f>
        <v>50</v>
      </c>
      <c r="J664" s="38">
        <f t="shared" si="30"/>
        <v>897.5</v>
      </c>
      <c r="K664" s="38">
        <f t="shared" si="31"/>
        <v>203.97727272727275</v>
      </c>
      <c r="L664" s="151">
        <v>46023</v>
      </c>
      <c r="M664" s="1">
        <f>VLOOKUP(F:F,[1]Sheet1!$E:$F,2,FALSE)</f>
        <v>580</v>
      </c>
    </row>
    <row r="665" spans="1:13" hidden="1">
      <c r="A665" s="1" t="s">
        <v>1434</v>
      </c>
      <c r="B665" s="1" t="s">
        <v>132</v>
      </c>
      <c r="C665" s="1" t="s">
        <v>847</v>
      </c>
      <c r="D665" s="1" t="s">
        <v>76</v>
      </c>
      <c r="E665" s="1" t="str">
        <f>A665&amp;(IF(C665="Garden City","Savannah",C665))</f>
        <v>ST. MATTHEWSSavannah</v>
      </c>
      <c r="F665" s="1" t="s">
        <v>998</v>
      </c>
      <c r="G665" s="1">
        <v>454.75</v>
      </c>
      <c r="H665" s="38">
        <f>G665*COSTS!$AA$27</f>
        <v>682.125</v>
      </c>
      <c r="I665" s="1">
        <f>COSTS!$AA$28</f>
        <v>50</v>
      </c>
      <c r="J665" s="38">
        <f t="shared" si="30"/>
        <v>732.125</v>
      </c>
      <c r="K665" s="38">
        <f t="shared" si="31"/>
        <v>166.39204545454547</v>
      </c>
      <c r="L665" s="151">
        <v>46023</v>
      </c>
      <c r="M665" s="1" t="e">
        <f>VLOOKUP(F:F,[1]Sheet1!$E:$F,2,FALSE)</f>
        <v>#N/A</v>
      </c>
    </row>
    <row r="666" spans="1:13" hidden="1">
      <c r="A666" s="1" t="s">
        <v>1435</v>
      </c>
      <c r="B666" s="1" t="s">
        <v>132</v>
      </c>
      <c r="C666" s="1" t="s">
        <v>847</v>
      </c>
      <c r="D666" s="1" t="s">
        <v>76</v>
      </c>
      <c r="E666" s="1" t="str">
        <f>A666&amp;(IF(C666="Garden City","Savannah",C666))</f>
        <v>ST.MATTHEWSSavannah</v>
      </c>
      <c r="F666" s="1" t="s">
        <v>999</v>
      </c>
      <c r="G666" s="1">
        <v>454.75</v>
      </c>
      <c r="H666" s="38">
        <f>G666*COSTS!$AA$27</f>
        <v>682.125</v>
      </c>
      <c r="I666" s="1">
        <f>COSTS!$AA$28</f>
        <v>50</v>
      </c>
      <c r="J666" s="38">
        <f t="shared" si="30"/>
        <v>732.125</v>
      </c>
      <c r="K666" s="38">
        <f t="shared" si="31"/>
        <v>166.39204545454547</v>
      </c>
      <c r="L666" s="151">
        <v>46023</v>
      </c>
      <c r="M666" s="1" t="e">
        <f>VLOOKUP(F:F,[1]Sheet1!$E:$F,2,FALSE)</f>
        <v>#N/A</v>
      </c>
    </row>
    <row r="667" spans="1:13" hidden="1">
      <c r="A667" s="1" t="s">
        <v>1438</v>
      </c>
      <c r="B667" s="1" t="s">
        <v>132</v>
      </c>
      <c r="C667" s="1" t="s">
        <v>847</v>
      </c>
      <c r="D667" s="1" t="s">
        <v>76</v>
      </c>
      <c r="E667" s="1" t="str">
        <f>A667&amp;(IF(C667="Garden City","Savannah",C667))</f>
        <v>SUMTERSavannah</v>
      </c>
      <c r="F667" s="1" t="s">
        <v>1002</v>
      </c>
      <c r="G667" s="1">
        <v>553.91666666666663</v>
      </c>
      <c r="H667" s="38">
        <f>G667*COSTS!$AA$27</f>
        <v>830.875</v>
      </c>
      <c r="I667" s="1">
        <f>COSTS!$AA$28</f>
        <v>50</v>
      </c>
      <c r="J667" s="38">
        <f t="shared" si="30"/>
        <v>880.875</v>
      </c>
      <c r="K667" s="38">
        <f t="shared" si="31"/>
        <v>200.19886363636363</v>
      </c>
      <c r="L667" s="151">
        <v>46023</v>
      </c>
      <c r="M667" s="1" t="e">
        <f>VLOOKUP(F:F,[1]Sheet1!$E:$F,2,FALSE)</f>
        <v>#N/A</v>
      </c>
    </row>
    <row r="668" spans="1:13" hidden="1">
      <c r="A668" s="1" t="s">
        <v>1446</v>
      </c>
      <c r="B668" s="1" t="s">
        <v>132</v>
      </c>
      <c r="C668" s="1" t="s">
        <v>847</v>
      </c>
      <c r="D668" s="1" t="s">
        <v>76</v>
      </c>
      <c r="E668" s="1" t="str">
        <f>A668&amp;(IF(C668="Garden City","Savannah",C668))</f>
        <v>TAYLORSSavannah</v>
      </c>
      <c r="F668" s="1" t="s">
        <v>1010</v>
      </c>
      <c r="G668" s="1">
        <v>602.29999999999995</v>
      </c>
      <c r="H668" s="38">
        <f>G668*COSTS!$AA$27</f>
        <v>903.44999999999993</v>
      </c>
      <c r="I668" s="1">
        <f>COSTS!$AA$28</f>
        <v>50</v>
      </c>
      <c r="J668" s="38">
        <f t="shared" si="30"/>
        <v>953.44999999999993</v>
      </c>
      <c r="K668" s="38">
        <f t="shared" si="31"/>
        <v>216.69318181818181</v>
      </c>
      <c r="L668" s="151">
        <v>46023</v>
      </c>
      <c r="M668" s="1" t="e">
        <f>VLOOKUP(F:F,[1]Sheet1!$E:$F,2,FALSE)</f>
        <v>#N/A</v>
      </c>
    </row>
    <row r="669" spans="1:13" hidden="1">
      <c r="A669" s="1" t="s">
        <v>1446</v>
      </c>
      <c r="B669" s="1" t="s">
        <v>132</v>
      </c>
      <c r="C669" s="1" t="s">
        <v>1275</v>
      </c>
      <c r="D669" s="1" t="s">
        <v>136</v>
      </c>
      <c r="E669" s="1" t="str">
        <f>A669&amp;C669</f>
        <v>TAYLORSSHELBY</v>
      </c>
      <c r="F669" s="1" t="str">
        <f>A669&amp;B669&amp;C669&amp;D669</f>
        <v>TAYLORSSCSHELBYNC</v>
      </c>
      <c r="G669" s="1">
        <v>400</v>
      </c>
      <c r="H669" s="38">
        <f>G669*COSTS!$AA$27</f>
        <v>600</v>
      </c>
      <c r="I669" s="1">
        <f>COSTS!$AA$28</f>
        <v>50</v>
      </c>
      <c r="J669" s="38">
        <f t="shared" si="30"/>
        <v>650</v>
      </c>
      <c r="K669" s="38">
        <f t="shared" si="31"/>
        <v>147.72727272727275</v>
      </c>
      <c r="L669" s="151">
        <v>46023</v>
      </c>
      <c r="M669" s="1" t="e">
        <f>VLOOKUP(F:F,[1]Sheet1!$E:$F,2,FALSE)</f>
        <v>#N/A</v>
      </c>
    </row>
    <row r="670" spans="1:13" hidden="1">
      <c r="A670" s="1" t="s">
        <v>1480</v>
      </c>
      <c r="B670" s="1" t="s">
        <v>168</v>
      </c>
      <c r="C670" s="1" t="s">
        <v>1033</v>
      </c>
      <c r="D670" s="1" t="s">
        <v>168</v>
      </c>
      <c r="E670" s="1" t="str">
        <f>A670&amp;C670</f>
        <v>BEMISMEMPHIS</v>
      </c>
      <c r="F670" s="1" t="s">
        <v>1056</v>
      </c>
      <c r="G670" s="1">
        <v>455</v>
      </c>
      <c r="H670" s="38">
        <f>G670*COSTS!$AA$27</f>
        <v>682.5</v>
      </c>
      <c r="I670" s="1">
        <f>COSTS!$AA$28</f>
        <v>50</v>
      </c>
      <c r="J670" s="38">
        <f t="shared" si="30"/>
        <v>732.5</v>
      </c>
      <c r="K670" s="38">
        <f t="shared" si="31"/>
        <v>166.47727272727275</v>
      </c>
      <c r="L670" s="151">
        <v>46023</v>
      </c>
      <c r="M670" s="1" t="e">
        <f>VLOOKUP(F:F,[1]Sheet1!$E:$F,2,FALSE)</f>
        <v>#N/A</v>
      </c>
    </row>
    <row r="671" spans="1:13" hidden="1">
      <c r="A671" s="1" t="s">
        <v>1309</v>
      </c>
      <c r="B671" s="1" t="s">
        <v>168</v>
      </c>
      <c r="C671" s="1" t="s">
        <v>847</v>
      </c>
      <c r="D671" s="1" t="s">
        <v>76</v>
      </c>
      <c r="E671" s="1" t="str">
        <f>A671&amp;(IF(C671="Garden City","Savannah",C671))</f>
        <v>BROWNSVILLESavannah</v>
      </c>
      <c r="F671" s="1" t="s">
        <v>869</v>
      </c>
      <c r="G671" s="1">
        <v>1319.06</v>
      </c>
      <c r="H671" s="38">
        <f>G671*COSTS!$AA$27</f>
        <v>1978.59</v>
      </c>
      <c r="I671" s="1">
        <f>COSTS!$AA$28</f>
        <v>50</v>
      </c>
      <c r="J671" s="38">
        <f t="shared" si="30"/>
        <v>2028.59</v>
      </c>
      <c r="K671" s="38">
        <f t="shared" si="31"/>
        <v>461.04318181818178</v>
      </c>
      <c r="L671" s="151">
        <v>46023</v>
      </c>
      <c r="M671" s="1">
        <f>VLOOKUP(F:F,[1]Sheet1!$E:$F,2,FALSE)</f>
        <v>1700</v>
      </c>
    </row>
    <row r="672" spans="1:13" hidden="1">
      <c r="A672" s="1" t="s">
        <v>1309</v>
      </c>
      <c r="B672" s="1" t="s">
        <v>168</v>
      </c>
      <c r="C672" s="1" t="s">
        <v>1033</v>
      </c>
      <c r="D672" s="1" t="s">
        <v>168</v>
      </c>
      <c r="E672" s="1" t="str">
        <f t="shared" ref="E672:E685" si="32">A672&amp;C672</f>
        <v>BROWNSVILLEMEMPHIS</v>
      </c>
      <c r="F672" s="1" t="s">
        <v>1066</v>
      </c>
      <c r="G672" s="1">
        <v>465</v>
      </c>
      <c r="H672" s="38">
        <f>G672*COSTS!$AA$27</f>
        <v>697.5</v>
      </c>
      <c r="I672" s="1">
        <f>COSTS!$AA$28</f>
        <v>50</v>
      </c>
      <c r="J672" s="38">
        <f t="shared" si="30"/>
        <v>747.5</v>
      </c>
      <c r="K672" s="38">
        <f t="shared" si="31"/>
        <v>169.88636363636363</v>
      </c>
      <c r="L672" s="151">
        <v>46023</v>
      </c>
      <c r="M672" s="1">
        <f>VLOOKUP(F:F,[1]Sheet1!$E:$F,2,FALSE)</f>
        <v>430</v>
      </c>
    </row>
    <row r="673" spans="1:13" hidden="1">
      <c r="A673" s="1" t="s">
        <v>1309</v>
      </c>
      <c r="B673" s="1" t="s">
        <v>168</v>
      </c>
      <c r="C673" s="1" t="s">
        <v>1274</v>
      </c>
      <c r="D673" s="1" t="s">
        <v>71</v>
      </c>
      <c r="E673" s="1" t="str">
        <f t="shared" si="32"/>
        <v>BROWNSVILLEWESLACO</v>
      </c>
      <c r="F673" s="1" t="str">
        <f>A673&amp;B673&amp;C673&amp;D673</f>
        <v>BROWNSVILLETNWESLACOTX</v>
      </c>
      <c r="G673" s="1">
        <v>1553.82</v>
      </c>
      <c r="H673" s="38">
        <f>G673*COSTS!$AA$27</f>
        <v>2330.73</v>
      </c>
      <c r="I673" s="1">
        <f>COSTS!$AA$28</f>
        <v>50</v>
      </c>
      <c r="J673" s="38">
        <f t="shared" si="30"/>
        <v>2380.73</v>
      </c>
      <c r="K673" s="38">
        <f t="shared" si="31"/>
        <v>541.07500000000005</v>
      </c>
      <c r="L673" s="151">
        <v>46023</v>
      </c>
      <c r="M673" s="1">
        <f>VLOOKUP(F:F,[1]Sheet1!$E:$F,2,FALSE)</f>
        <v>1679</v>
      </c>
    </row>
    <row r="674" spans="1:13" hidden="1">
      <c r="A674" s="1" t="s">
        <v>1309</v>
      </c>
      <c r="B674" s="1" t="s">
        <v>168</v>
      </c>
      <c r="C674" s="1" t="s">
        <v>1275</v>
      </c>
      <c r="D674" s="1" t="s">
        <v>136</v>
      </c>
      <c r="E674" s="1" t="str">
        <f t="shared" si="32"/>
        <v>BROWNSVILLESHELBY</v>
      </c>
      <c r="F674" s="1" t="str">
        <f>A674&amp;B674&amp;C674&amp;D674</f>
        <v>BROWNSVILLETNSHELBYNC</v>
      </c>
      <c r="G674" s="1">
        <v>1190</v>
      </c>
      <c r="H674" s="38">
        <f>G674*COSTS!$AA$27</f>
        <v>1785</v>
      </c>
      <c r="I674" s="1">
        <f>COSTS!$AA$28</f>
        <v>50</v>
      </c>
      <c r="J674" s="38">
        <f t="shared" si="30"/>
        <v>1835</v>
      </c>
      <c r="K674" s="38">
        <f t="shared" si="31"/>
        <v>417.0454545454545</v>
      </c>
      <c r="L674" s="151">
        <v>46023</v>
      </c>
      <c r="M674" s="1">
        <f>VLOOKUP(F:F,[1]Sheet1!$E:$F,2,FALSE)</f>
        <v>1320</v>
      </c>
    </row>
    <row r="675" spans="1:13" hidden="1">
      <c r="A675" s="1" t="s">
        <v>1483</v>
      </c>
      <c r="B675" s="1" t="s">
        <v>168</v>
      </c>
      <c r="C675" s="1" t="s">
        <v>1033</v>
      </c>
      <c r="D675" s="1" t="s">
        <v>168</v>
      </c>
      <c r="E675" s="1" t="str">
        <f t="shared" si="32"/>
        <v>BURLISONMEMPHIS</v>
      </c>
      <c r="F675" s="1" t="s">
        <v>1068</v>
      </c>
      <c r="G675" s="1">
        <v>524</v>
      </c>
      <c r="H675" s="38">
        <f>G675*COSTS!$AA$27</f>
        <v>786</v>
      </c>
      <c r="I675" s="1">
        <f>COSTS!$AA$28</f>
        <v>50</v>
      </c>
      <c r="J675" s="38">
        <f t="shared" si="30"/>
        <v>836</v>
      </c>
      <c r="K675" s="38">
        <f t="shared" si="31"/>
        <v>190</v>
      </c>
      <c r="L675" s="151">
        <v>46023</v>
      </c>
      <c r="M675" s="1" t="e">
        <f>VLOOKUP(F:F,[1]Sheet1!$E:$F,2,FALSE)</f>
        <v>#N/A</v>
      </c>
    </row>
    <row r="676" spans="1:13" hidden="1">
      <c r="A676" s="1" t="s">
        <v>1490</v>
      </c>
      <c r="B676" s="1" t="s">
        <v>168</v>
      </c>
      <c r="C676" s="1" t="s">
        <v>1033</v>
      </c>
      <c r="D676" s="1" t="s">
        <v>168</v>
      </c>
      <c r="E676" s="1" t="str">
        <f t="shared" si="32"/>
        <v>COVINGTONMEMPHIS</v>
      </c>
      <c r="F676" s="1" t="s">
        <v>1086</v>
      </c>
      <c r="G676" s="1">
        <v>524</v>
      </c>
      <c r="H676" s="38">
        <f>G676*COSTS!$AA$27</f>
        <v>786</v>
      </c>
      <c r="I676" s="1">
        <f>COSTS!$AA$28</f>
        <v>50</v>
      </c>
      <c r="J676" s="38">
        <f t="shared" si="30"/>
        <v>836</v>
      </c>
      <c r="K676" s="38">
        <f t="shared" si="31"/>
        <v>190</v>
      </c>
      <c r="L676" s="151">
        <v>46023</v>
      </c>
      <c r="M676" s="1">
        <f>VLOOKUP(F:F,[1]Sheet1!$E:$F,2,FALSE)</f>
        <v>390</v>
      </c>
    </row>
    <row r="677" spans="1:13" hidden="1">
      <c r="A677" s="1" t="s">
        <v>1490</v>
      </c>
      <c r="B677" s="1" t="s">
        <v>168</v>
      </c>
      <c r="C677" s="1" t="s">
        <v>1274</v>
      </c>
      <c r="D677" s="1" t="s">
        <v>71</v>
      </c>
      <c r="E677" s="1" t="str">
        <f t="shared" si="32"/>
        <v>COVINGTONWESLACO</v>
      </c>
      <c r="F677" s="1" t="str">
        <f>A677&amp;B677&amp;C677&amp;D677</f>
        <v>COVINGTONTNWESLACOTX</v>
      </c>
      <c r="G677" s="1">
        <v>1552.8799999999999</v>
      </c>
      <c r="H677" s="38">
        <f>G677*COSTS!$AA$27</f>
        <v>2329.3199999999997</v>
      </c>
      <c r="I677" s="1">
        <f>COSTS!$AA$28</f>
        <v>50</v>
      </c>
      <c r="J677" s="38">
        <f t="shared" si="30"/>
        <v>2379.3199999999997</v>
      </c>
      <c r="K677" s="38">
        <f t="shared" si="31"/>
        <v>540.75454545454545</v>
      </c>
      <c r="L677" s="151">
        <v>46023</v>
      </c>
      <c r="M677" s="1">
        <f>VLOOKUP(F:F,[1]Sheet1!$E:$F,2,FALSE)</f>
        <v>1479</v>
      </c>
    </row>
    <row r="678" spans="1:13" hidden="1">
      <c r="A678" s="1" t="s">
        <v>1490</v>
      </c>
      <c r="B678" s="1" t="s">
        <v>168</v>
      </c>
      <c r="C678" s="1" t="s">
        <v>1275</v>
      </c>
      <c r="D678" s="1" t="s">
        <v>136</v>
      </c>
      <c r="E678" s="1" t="str">
        <f t="shared" si="32"/>
        <v>COVINGTONSHELBY</v>
      </c>
      <c r="F678" s="1" t="str">
        <f>A678&amp;B678&amp;C678&amp;D678</f>
        <v>COVINGTONTNSHELBYNC</v>
      </c>
      <c r="G678" s="1">
        <v>1199</v>
      </c>
      <c r="H678" s="38">
        <f>G678*COSTS!$AA$27</f>
        <v>1798.5</v>
      </c>
      <c r="I678" s="1">
        <f>COSTS!$AA$28</f>
        <v>50</v>
      </c>
      <c r="J678" s="38">
        <f t="shared" si="30"/>
        <v>1848.5</v>
      </c>
      <c r="K678" s="38">
        <f t="shared" si="31"/>
        <v>420.11363636363632</v>
      </c>
      <c r="L678" s="151">
        <v>46023</v>
      </c>
      <c r="M678" s="1">
        <f>VLOOKUP(F:F,[1]Sheet1!$E:$F,2,FALSE)</f>
        <v>1370</v>
      </c>
    </row>
    <row r="679" spans="1:13" hidden="1">
      <c r="A679" s="1" t="s">
        <v>1496</v>
      </c>
      <c r="B679" s="1" t="s">
        <v>168</v>
      </c>
      <c r="C679" s="1" t="s">
        <v>1033</v>
      </c>
      <c r="D679" s="1" t="s">
        <v>168</v>
      </c>
      <c r="E679" s="1" t="str">
        <f t="shared" si="32"/>
        <v>DYERSBURGMEMPHIS</v>
      </c>
      <c r="F679" s="1" t="s">
        <v>1104</v>
      </c>
      <c r="G679" s="1">
        <v>439</v>
      </c>
      <c r="H679" s="38">
        <f>G679*COSTS!$AA$27</f>
        <v>658.5</v>
      </c>
      <c r="I679" s="1">
        <f>COSTS!$AA$28</f>
        <v>50</v>
      </c>
      <c r="J679" s="38">
        <f t="shared" si="30"/>
        <v>708.5</v>
      </c>
      <c r="K679" s="38">
        <f t="shared" si="31"/>
        <v>161.02272727272725</v>
      </c>
      <c r="L679" s="151">
        <v>46023</v>
      </c>
      <c r="M679" s="1" t="e">
        <f>VLOOKUP(F:F,[1]Sheet1!$E:$F,2,FALSE)</f>
        <v>#N/A</v>
      </c>
    </row>
    <row r="680" spans="1:13" hidden="1">
      <c r="A680" s="1" t="s">
        <v>1499</v>
      </c>
      <c r="B680" s="1" t="s">
        <v>168</v>
      </c>
      <c r="C680" s="1" t="s">
        <v>1033</v>
      </c>
      <c r="D680" s="1" t="s">
        <v>168</v>
      </c>
      <c r="E680" s="1" t="str">
        <f t="shared" si="32"/>
        <v>ELORAMEMPHIS</v>
      </c>
      <c r="F680" s="1" t="s">
        <v>1110</v>
      </c>
      <c r="G680" s="1">
        <v>1275</v>
      </c>
      <c r="H680" s="38">
        <f>G680*COSTS!$AA$27</f>
        <v>1912.5</v>
      </c>
      <c r="I680" s="1">
        <f>COSTS!$AA$28</f>
        <v>50</v>
      </c>
      <c r="J680" s="38">
        <f t="shared" si="30"/>
        <v>1962.5</v>
      </c>
      <c r="K680" s="38">
        <f t="shared" si="31"/>
        <v>446.02272727272725</v>
      </c>
      <c r="L680" s="151">
        <v>46023</v>
      </c>
      <c r="M680" s="1">
        <f>VLOOKUP(F:F,[1]Sheet1!$E:$F,2,FALSE)</f>
        <v>700</v>
      </c>
    </row>
    <row r="681" spans="1:13" hidden="1">
      <c r="A681" s="1" t="s">
        <v>1499</v>
      </c>
      <c r="B681" s="1" t="s">
        <v>168</v>
      </c>
      <c r="C681" s="1" t="s">
        <v>1274</v>
      </c>
      <c r="D681" s="1" t="s">
        <v>71</v>
      </c>
      <c r="E681" s="1" t="str">
        <f t="shared" si="32"/>
        <v>ELORAWESLACO</v>
      </c>
      <c r="F681" s="1" t="str">
        <f>A681&amp;B681&amp;C681&amp;D681</f>
        <v>ELORATNWESLACOTX</v>
      </c>
      <c r="G681" s="1">
        <v>1458.8799999999999</v>
      </c>
      <c r="H681" s="38">
        <f>G681*COSTS!$AA$27</f>
        <v>2188.3199999999997</v>
      </c>
      <c r="I681" s="1">
        <f>COSTS!$AA$28</f>
        <v>50</v>
      </c>
      <c r="J681" s="38">
        <f t="shared" si="30"/>
        <v>2238.3199999999997</v>
      </c>
      <c r="K681" s="38">
        <f t="shared" si="31"/>
        <v>508.70909090909089</v>
      </c>
      <c r="L681" s="151">
        <v>46023</v>
      </c>
      <c r="M681" s="1">
        <f>VLOOKUP(F:F,[1]Sheet1!$E:$F,2,FALSE)</f>
        <v>1615</v>
      </c>
    </row>
    <row r="682" spans="1:13" hidden="1">
      <c r="A682" s="1" t="s">
        <v>1499</v>
      </c>
      <c r="B682" s="1" t="s">
        <v>168</v>
      </c>
      <c r="C682" s="1" t="s">
        <v>1275</v>
      </c>
      <c r="D682" s="1" t="s">
        <v>136</v>
      </c>
      <c r="E682" s="1" t="str">
        <f t="shared" si="32"/>
        <v>ELORASHELBY</v>
      </c>
      <c r="F682" s="1" t="str">
        <f>A682&amp;B682&amp;C682&amp;D682</f>
        <v>ELORATNSHELBYNC</v>
      </c>
      <c r="G682" s="1">
        <v>1050</v>
      </c>
      <c r="H682" s="38">
        <f>G682*COSTS!$AA$27</f>
        <v>1575</v>
      </c>
      <c r="I682" s="1">
        <f>COSTS!$AA$28</f>
        <v>50</v>
      </c>
      <c r="J682" s="38">
        <f t="shared" si="30"/>
        <v>1625</v>
      </c>
      <c r="K682" s="38">
        <f t="shared" si="31"/>
        <v>369.31818181818181</v>
      </c>
      <c r="L682" s="151">
        <v>46023</v>
      </c>
      <c r="M682" s="1">
        <f>VLOOKUP(F:F,[1]Sheet1!$E:$F,2,FALSE)</f>
        <v>1000</v>
      </c>
    </row>
    <row r="683" spans="1:13" hidden="1">
      <c r="A683" s="1" t="s">
        <v>1508</v>
      </c>
      <c r="B683" s="1" t="s">
        <v>168</v>
      </c>
      <c r="C683" s="1" t="s">
        <v>1033</v>
      </c>
      <c r="D683" s="1" t="s">
        <v>168</v>
      </c>
      <c r="E683" s="1" t="str">
        <f t="shared" si="32"/>
        <v>HALLSMEMPHIS</v>
      </c>
      <c r="F683" s="1" t="s">
        <v>1135</v>
      </c>
      <c r="G683" s="1">
        <v>495</v>
      </c>
      <c r="H683" s="38">
        <f>G683*COSTS!$AA$27</f>
        <v>742.5</v>
      </c>
      <c r="I683" s="1">
        <f>COSTS!$AA$28</f>
        <v>50</v>
      </c>
      <c r="J683" s="38">
        <f t="shared" si="30"/>
        <v>792.5</v>
      </c>
      <c r="K683" s="38">
        <f t="shared" si="31"/>
        <v>180.11363636363637</v>
      </c>
      <c r="L683" s="151">
        <v>46023</v>
      </c>
      <c r="M683" s="1">
        <f>VLOOKUP(F:F,[1]Sheet1!$E:$F,2,FALSE)</f>
        <v>440</v>
      </c>
    </row>
    <row r="684" spans="1:13" hidden="1">
      <c r="A684" s="1" t="s">
        <v>1508</v>
      </c>
      <c r="B684" s="1" t="s">
        <v>168</v>
      </c>
      <c r="C684" s="1" t="s">
        <v>1274</v>
      </c>
      <c r="D684" s="1" t="s">
        <v>71</v>
      </c>
      <c r="E684" s="1" t="str">
        <f t="shared" si="32"/>
        <v>HALLSWESLACO</v>
      </c>
      <c r="F684" s="1" t="str">
        <f>A684&amp;B684&amp;C684&amp;D684</f>
        <v>HALLSTNWESLACOTX</v>
      </c>
      <c r="G684" s="1">
        <v>1550.06</v>
      </c>
      <c r="H684" s="38">
        <f>G684*COSTS!$AA$27</f>
        <v>2325.09</v>
      </c>
      <c r="I684" s="1">
        <f>COSTS!$AA$28</f>
        <v>50</v>
      </c>
      <c r="J684" s="38">
        <f t="shared" si="30"/>
        <v>2375.09</v>
      </c>
      <c r="K684" s="38">
        <f t="shared" si="31"/>
        <v>539.79318181818189</v>
      </c>
      <c r="L684" s="151">
        <v>46023</v>
      </c>
      <c r="M684" s="1">
        <f>VLOOKUP(F:F,[1]Sheet1!$E:$F,2,FALSE)</f>
        <v>1577</v>
      </c>
    </row>
    <row r="685" spans="1:13" hidden="1">
      <c r="A685" s="1" t="s">
        <v>1508</v>
      </c>
      <c r="B685" s="1" t="s">
        <v>168</v>
      </c>
      <c r="C685" s="1" t="s">
        <v>1275</v>
      </c>
      <c r="D685" s="1" t="s">
        <v>136</v>
      </c>
      <c r="E685" s="1" t="str">
        <f t="shared" si="32"/>
        <v>HALLSSHELBY</v>
      </c>
      <c r="F685" s="1" t="str">
        <f>A685&amp;B685&amp;C685&amp;D685</f>
        <v>HALLSTNSHELBYNC</v>
      </c>
      <c r="G685" s="1">
        <v>1195</v>
      </c>
      <c r="H685" s="38">
        <f>G685*COSTS!$AA$27</f>
        <v>1792.5</v>
      </c>
      <c r="I685" s="1">
        <f>COSTS!$AA$28</f>
        <v>50</v>
      </c>
      <c r="J685" s="38">
        <f t="shared" si="30"/>
        <v>1842.5</v>
      </c>
      <c r="K685" s="38">
        <f t="shared" si="31"/>
        <v>418.75</v>
      </c>
      <c r="L685" s="151">
        <v>46023</v>
      </c>
      <c r="M685" s="1">
        <f>VLOOKUP(F:F,[1]Sheet1!$E:$F,2,FALSE)</f>
        <v>1350</v>
      </c>
    </row>
    <row r="686" spans="1:13" hidden="1">
      <c r="A686" s="1" t="s">
        <v>1370</v>
      </c>
      <c r="B686" s="1" t="s">
        <v>168</v>
      </c>
      <c r="C686" s="1" t="s">
        <v>847</v>
      </c>
      <c r="D686" s="1" t="s">
        <v>76</v>
      </c>
      <c r="E686" s="1" t="str">
        <f>A686&amp;(IF(C686="Garden City","Savannah",C686))</f>
        <v>HUMBOLDTSavannah</v>
      </c>
      <c r="F686" s="1" t="s">
        <v>930</v>
      </c>
      <c r="G686" s="1">
        <v>1319.06</v>
      </c>
      <c r="H686" s="38">
        <f>G686*COSTS!$AA$27</f>
        <v>1978.59</v>
      </c>
      <c r="I686" s="1">
        <f>COSTS!$AA$28</f>
        <v>50</v>
      </c>
      <c r="J686" s="38">
        <f t="shared" si="30"/>
        <v>2028.59</v>
      </c>
      <c r="K686" s="38">
        <f t="shared" si="31"/>
        <v>461.04318181818178</v>
      </c>
      <c r="L686" s="151">
        <v>46023</v>
      </c>
      <c r="M686" s="1">
        <f>VLOOKUP(F:F,[1]Sheet1!$E:$F,2,FALSE)</f>
        <v>1670</v>
      </c>
    </row>
    <row r="687" spans="1:13" hidden="1">
      <c r="A687" s="1" t="s">
        <v>1370</v>
      </c>
      <c r="B687" s="1" t="s">
        <v>168</v>
      </c>
      <c r="C687" s="1" t="s">
        <v>1033</v>
      </c>
      <c r="D687" s="1" t="s">
        <v>149</v>
      </c>
      <c r="E687" s="1" t="str">
        <f>A687&amp;C687</f>
        <v>HUMBOLDTMEMPHIS</v>
      </c>
      <c r="F687" s="1" t="s">
        <v>1151</v>
      </c>
      <c r="G687" s="1">
        <v>420.16</v>
      </c>
      <c r="H687" s="38">
        <f>G687*COSTS!$AA$27</f>
        <v>630.24</v>
      </c>
      <c r="I687" s="1">
        <f>COSTS!$AA$28</f>
        <v>50</v>
      </c>
      <c r="J687" s="38">
        <f t="shared" si="30"/>
        <v>680.24</v>
      </c>
      <c r="K687" s="38">
        <f t="shared" si="31"/>
        <v>154.60000000000002</v>
      </c>
      <c r="L687" s="151">
        <v>46023</v>
      </c>
      <c r="M687" s="1" t="e">
        <f>VLOOKUP(F:F,[1]Sheet1!$E:$F,2,FALSE)</f>
        <v>#N/A</v>
      </c>
    </row>
    <row r="688" spans="1:13" hidden="1">
      <c r="A688" s="1" t="s">
        <v>1370</v>
      </c>
      <c r="B688" s="1" t="s">
        <v>168</v>
      </c>
      <c r="C688" s="1" t="s">
        <v>1033</v>
      </c>
      <c r="D688" s="1" t="s">
        <v>168</v>
      </c>
      <c r="E688" s="1" t="str">
        <f>A688&amp;C688</f>
        <v>HUMBOLDTMEMPHIS</v>
      </c>
      <c r="F688" s="1" t="s">
        <v>1152</v>
      </c>
      <c r="G688" s="1">
        <v>545</v>
      </c>
      <c r="H688" s="38">
        <f>G688*COSTS!$AA$27</f>
        <v>817.5</v>
      </c>
      <c r="I688" s="1">
        <f>COSTS!$AA$28</f>
        <v>50</v>
      </c>
      <c r="J688" s="38">
        <f t="shared" si="30"/>
        <v>867.5</v>
      </c>
      <c r="K688" s="38">
        <f t="shared" si="31"/>
        <v>197.15909090909091</v>
      </c>
      <c r="L688" s="151">
        <v>46023</v>
      </c>
      <c r="M688" s="1">
        <f>VLOOKUP(F:F,[1]Sheet1!$E:$F,2,FALSE)</f>
        <v>480</v>
      </c>
    </row>
    <row r="689" spans="1:13" hidden="1">
      <c r="A689" s="1" t="s">
        <v>1370</v>
      </c>
      <c r="B689" s="1" t="s">
        <v>168</v>
      </c>
      <c r="C689" s="1" t="s">
        <v>1274</v>
      </c>
      <c r="D689" s="1" t="s">
        <v>71</v>
      </c>
      <c r="E689" s="1" t="str">
        <f>A689&amp;C689</f>
        <v>HUMBOLDTWESLACO</v>
      </c>
      <c r="F689" s="1" t="str">
        <f>A689&amp;B689&amp;C689&amp;D689</f>
        <v>HUMBOLDTTNWESLACOTX</v>
      </c>
      <c r="G689" s="1">
        <v>1591.4199999999998</v>
      </c>
      <c r="H689" s="38">
        <f>G689*COSTS!$AA$27</f>
        <v>2387.1299999999997</v>
      </c>
      <c r="I689" s="1">
        <f>COSTS!$AA$28</f>
        <v>50</v>
      </c>
      <c r="J689" s="38">
        <f t="shared" si="30"/>
        <v>2437.1299999999997</v>
      </c>
      <c r="K689" s="38">
        <f t="shared" si="31"/>
        <v>553.8931818181818</v>
      </c>
      <c r="L689" s="151">
        <v>46023</v>
      </c>
      <c r="M689" s="1">
        <f>VLOOKUP(F:F,[1]Sheet1!$E:$F,2,FALSE)</f>
        <v>1866</v>
      </c>
    </row>
    <row r="690" spans="1:13" hidden="1">
      <c r="A690" s="1" t="s">
        <v>1370</v>
      </c>
      <c r="B690" s="1" t="s">
        <v>168</v>
      </c>
      <c r="C690" s="1" t="s">
        <v>1275</v>
      </c>
      <c r="D690" s="1" t="s">
        <v>136</v>
      </c>
      <c r="E690" s="1" t="str">
        <f>A690&amp;C690</f>
        <v>HUMBOLDTSHELBY</v>
      </c>
      <c r="F690" s="1" t="str">
        <f>A690&amp;B690&amp;C690&amp;D690</f>
        <v>HUMBOLDTTNSHELBYNC</v>
      </c>
      <c r="G690" s="1">
        <v>1155</v>
      </c>
      <c r="H690" s="38">
        <f>G690*COSTS!$AA$27</f>
        <v>1732.5</v>
      </c>
      <c r="I690" s="1">
        <f>COSTS!$AA$28</f>
        <v>50</v>
      </c>
      <c r="J690" s="38">
        <f t="shared" si="30"/>
        <v>1782.5</v>
      </c>
      <c r="K690" s="38">
        <f t="shared" si="31"/>
        <v>405.11363636363632</v>
      </c>
      <c r="L690" s="151">
        <v>46023</v>
      </c>
      <c r="M690" s="1">
        <f>VLOOKUP(F:F,[1]Sheet1!$E:$F,2,FALSE)</f>
        <v>1290</v>
      </c>
    </row>
    <row r="691" spans="1:13" hidden="1">
      <c r="A691" s="1" t="s">
        <v>445</v>
      </c>
      <c r="B691" s="1" t="s">
        <v>168</v>
      </c>
      <c r="C691" s="1" t="s">
        <v>537</v>
      </c>
      <c r="D691" s="1" t="s">
        <v>168</v>
      </c>
      <c r="E691" s="1" t="str">
        <f>A691&amp;C691</f>
        <v>Humboldt Memphis</v>
      </c>
      <c r="F691" s="1" t="str">
        <f>A691&amp;B691&amp;C691&amp;D691</f>
        <v>Humboldt TNMemphisTN</v>
      </c>
      <c r="G691" s="1">
        <v>395</v>
      </c>
      <c r="H691" s="38">
        <f>G691*COSTS!$AA$27</f>
        <v>592.5</v>
      </c>
      <c r="I691" s="1">
        <f>COSTS!$AA$28</f>
        <v>50</v>
      </c>
      <c r="J691" s="38">
        <f t="shared" si="30"/>
        <v>642.5</v>
      </c>
      <c r="K691" s="38">
        <f t="shared" si="31"/>
        <v>146.02272727272725</v>
      </c>
      <c r="L691" s="151">
        <v>46023</v>
      </c>
      <c r="M691" s="1" t="e">
        <f>VLOOKUP(F:F,[1]Sheet1!$E:$F,2,FALSE)</f>
        <v>#N/A</v>
      </c>
    </row>
    <row r="692" spans="1:13" hidden="1">
      <c r="A692" s="1" t="s">
        <v>1373</v>
      </c>
      <c r="B692" s="1" t="s">
        <v>168</v>
      </c>
      <c r="C692" s="1" t="s">
        <v>847</v>
      </c>
      <c r="D692" s="1" t="s">
        <v>76</v>
      </c>
      <c r="E692" s="1" t="str">
        <f>A692&amp;(IF(C692="Garden City","Savannah",C692))</f>
        <v>JACKSONSavannah</v>
      </c>
      <c r="F692" s="1" t="s">
        <v>934</v>
      </c>
      <c r="G692" s="1">
        <v>1260</v>
      </c>
      <c r="H692" s="38">
        <f>G692*COSTS!$AA$27</f>
        <v>1890</v>
      </c>
      <c r="I692" s="1">
        <f>COSTS!$AA$28</f>
        <v>50</v>
      </c>
      <c r="J692" s="38">
        <f t="shared" si="30"/>
        <v>1940</v>
      </c>
      <c r="K692" s="38">
        <f t="shared" si="31"/>
        <v>440.90909090909093</v>
      </c>
      <c r="L692" s="151">
        <v>46023</v>
      </c>
      <c r="M692" s="1">
        <f>VLOOKUP(F:F,[1]Sheet1!$E:$F,2,FALSE)</f>
        <v>1650</v>
      </c>
    </row>
    <row r="693" spans="1:13" hidden="1">
      <c r="A693" s="1" t="s">
        <v>1373</v>
      </c>
      <c r="B693" s="1" t="s">
        <v>168</v>
      </c>
      <c r="C693" s="1" t="s">
        <v>1033</v>
      </c>
      <c r="D693" s="1" t="s">
        <v>168</v>
      </c>
      <c r="E693" s="1" t="str">
        <f t="shared" ref="E693:E698" si="33">A693&amp;C693</f>
        <v>JACKSONMEMPHIS</v>
      </c>
      <c r="F693" s="1" t="s">
        <v>1159</v>
      </c>
      <c r="G693" s="1">
        <v>515</v>
      </c>
      <c r="H693" s="38">
        <f>G693*COSTS!$AA$27</f>
        <v>772.5</v>
      </c>
      <c r="I693" s="1">
        <f>COSTS!$AA$28</f>
        <v>50</v>
      </c>
      <c r="J693" s="38">
        <f t="shared" si="30"/>
        <v>822.5</v>
      </c>
      <c r="K693" s="38">
        <f t="shared" si="31"/>
        <v>186.93181818181816</v>
      </c>
      <c r="L693" s="151">
        <v>46023</v>
      </c>
      <c r="M693" s="1">
        <f>VLOOKUP(F:F,[1]Sheet1!$E:$F,2,FALSE)</f>
        <v>460</v>
      </c>
    </row>
    <row r="694" spans="1:13" hidden="1">
      <c r="A694" s="1" t="s">
        <v>1373</v>
      </c>
      <c r="B694" s="1" t="s">
        <v>168</v>
      </c>
      <c r="C694" s="1" t="s">
        <v>1274</v>
      </c>
      <c r="D694" s="1" t="s">
        <v>71</v>
      </c>
      <c r="E694" s="1" t="str">
        <f t="shared" si="33"/>
        <v>JACKSONWESLACO</v>
      </c>
      <c r="F694" s="1" t="str">
        <f>A694&amp;B694&amp;C694&amp;D694</f>
        <v>JACKSONTNWESLACOTX</v>
      </c>
      <c r="G694" s="1">
        <v>1596.12</v>
      </c>
      <c r="H694" s="38">
        <f>G694*COSTS!$AA$27</f>
        <v>2394.1799999999998</v>
      </c>
      <c r="I694" s="1">
        <f>COSTS!$AA$28</f>
        <v>50</v>
      </c>
      <c r="J694" s="38">
        <f t="shared" si="30"/>
        <v>2444.1799999999998</v>
      </c>
      <c r="K694" s="38">
        <f t="shared" si="31"/>
        <v>555.49545454545455</v>
      </c>
      <c r="L694" s="151">
        <v>46023</v>
      </c>
      <c r="M694" s="1">
        <f>VLOOKUP(F:F,[1]Sheet1!$E:$F,2,FALSE)</f>
        <v>1693</v>
      </c>
    </row>
    <row r="695" spans="1:13" hidden="1">
      <c r="A695" s="1" t="s">
        <v>1373</v>
      </c>
      <c r="B695" s="1" t="s">
        <v>168</v>
      </c>
      <c r="C695" s="1" t="s">
        <v>1275</v>
      </c>
      <c r="D695" s="1" t="s">
        <v>136</v>
      </c>
      <c r="E695" s="1" t="str">
        <f t="shared" si="33"/>
        <v>JACKSONSHELBY</v>
      </c>
      <c r="F695" s="1" t="str">
        <f>A695&amp;B695&amp;C695&amp;D695</f>
        <v>JACKSONTNSHELBYNC</v>
      </c>
      <c r="G695" s="1">
        <v>1125</v>
      </c>
      <c r="H695" s="38">
        <f>G695*COSTS!$AA$27</f>
        <v>1687.5</v>
      </c>
      <c r="I695" s="1">
        <f>COSTS!$AA$28</f>
        <v>50</v>
      </c>
      <c r="J695" s="38">
        <f t="shared" si="30"/>
        <v>1737.5</v>
      </c>
      <c r="K695" s="38">
        <f t="shared" si="31"/>
        <v>394.88636363636368</v>
      </c>
      <c r="L695" s="151">
        <v>46023</v>
      </c>
      <c r="M695" s="1">
        <f>VLOOKUP(F:F,[1]Sheet1!$E:$F,2,FALSE)</f>
        <v>1270</v>
      </c>
    </row>
    <row r="696" spans="1:13" hidden="1">
      <c r="A696" s="1" t="s">
        <v>1532</v>
      </c>
      <c r="B696" s="1" t="s">
        <v>168</v>
      </c>
      <c r="C696" s="1" t="s">
        <v>1033</v>
      </c>
      <c r="D696" s="1" t="s">
        <v>168</v>
      </c>
      <c r="E696" s="1" t="str">
        <f t="shared" si="33"/>
        <v>MASONMEMPHIS</v>
      </c>
      <c r="F696" s="1" t="s">
        <v>1180</v>
      </c>
      <c r="G696" s="1">
        <v>524</v>
      </c>
      <c r="H696" s="38">
        <f>G696*COSTS!$AA$27</f>
        <v>786</v>
      </c>
      <c r="I696" s="1">
        <f>COSTS!$AA$28</f>
        <v>50</v>
      </c>
      <c r="J696" s="38">
        <f t="shared" si="30"/>
        <v>836</v>
      </c>
      <c r="K696" s="38">
        <f t="shared" si="31"/>
        <v>190</v>
      </c>
      <c r="L696" s="151">
        <v>46023</v>
      </c>
      <c r="M696" s="1">
        <f>VLOOKUP(F:F,[1]Sheet1!$E:$F,2,FALSE)</f>
        <v>390</v>
      </c>
    </row>
    <row r="697" spans="1:13" hidden="1">
      <c r="A697" s="1" t="s">
        <v>1532</v>
      </c>
      <c r="B697" s="1" t="s">
        <v>168</v>
      </c>
      <c r="C697" s="1" t="s">
        <v>1274</v>
      </c>
      <c r="D697" s="1" t="s">
        <v>71</v>
      </c>
      <c r="E697" s="1" t="str">
        <f t="shared" si="33"/>
        <v>MASONWESLACO</v>
      </c>
      <c r="F697" s="1" t="str">
        <f>A697&amp;B697&amp;C697&amp;D697</f>
        <v>MASONTNWESLACOTX</v>
      </c>
      <c r="G697" s="1">
        <v>1516.22</v>
      </c>
      <c r="H697" s="38">
        <f>G697*COSTS!$AA$27</f>
        <v>2274.33</v>
      </c>
      <c r="I697" s="1">
        <f>COSTS!$AA$28</f>
        <v>50</v>
      </c>
      <c r="J697" s="38">
        <f t="shared" si="30"/>
        <v>2324.33</v>
      </c>
      <c r="K697" s="38">
        <f t="shared" si="31"/>
        <v>528.25681818181818</v>
      </c>
      <c r="L697" s="151">
        <v>46023</v>
      </c>
      <c r="M697" s="1">
        <f>VLOOKUP(F:F,[1]Sheet1!$E:$F,2,FALSE)</f>
        <v>1550</v>
      </c>
    </row>
    <row r="698" spans="1:13" hidden="1">
      <c r="A698" s="1" t="s">
        <v>1532</v>
      </c>
      <c r="B698" s="1" t="s">
        <v>168</v>
      </c>
      <c r="C698" s="1" t="s">
        <v>1275</v>
      </c>
      <c r="D698" s="1" t="s">
        <v>136</v>
      </c>
      <c r="E698" s="1" t="str">
        <f t="shared" si="33"/>
        <v>MASONSHELBY</v>
      </c>
      <c r="F698" s="1" t="str">
        <f>A698&amp;B698&amp;C698&amp;D698</f>
        <v>MASONTNSHELBYNC</v>
      </c>
      <c r="G698" s="1">
        <v>1190</v>
      </c>
      <c r="H698" s="38">
        <f>G698*COSTS!$AA$27</f>
        <v>1785</v>
      </c>
      <c r="I698" s="1">
        <f>COSTS!$AA$28</f>
        <v>50</v>
      </c>
      <c r="J698" s="38">
        <f t="shared" si="30"/>
        <v>1835</v>
      </c>
      <c r="K698" s="38">
        <f t="shared" si="31"/>
        <v>417.0454545454545</v>
      </c>
      <c r="L698" s="151">
        <v>46023</v>
      </c>
      <c r="M698" s="1">
        <f>VLOOKUP(F:F,[1]Sheet1!$E:$F,2,FALSE)</f>
        <v>1380</v>
      </c>
    </row>
    <row r="699" spans="1:13" hidden="1">
      <c r="A699" s="1" t="s">
        <v>1033</v>
      </c>
      <c r="B699" s="1" t="s">
        <v>168</v>
      </c>
      <c r="C699" s="1" t="s">
        <v>847</v>
      </c>
      <c r="D699" s="1" t="s">
        <v>76</v>
      </c>
      <c r="E699" s="1" t="str">
        <f>A699&amp;(IF(C699="Garden City","Savannah",C699))</f>
        <v>MEMPHISSavannah</v>
      </c>
      <c r="F699" s="1" t="s">
        <v>956</v>
      </c>
      <c r="G699" s="1">
        <v>1319.06</v>
      </c>
      <c r="H699" s="38">
        <f>G699*COSTS!$AA$27</f>
        <v>1978.59</v>
      </c>
      <c r="I699" s="1">
        <f>COSTS!$AA$28</f>
        <v>50</v>
      </c>
      <c r="J699" s="38">
        <f t="shared" si="30"/>
        <v>2028.59</v>
      </c>
      <c r="K699" s="38">
        <f t="shared" si="31"/>
        <v>461.04318181818178</v>
      </c>
      <c r="L699" s="151">
        <v>46023</v>
      </c>
      <c r="M699" s="1">
        <f>VLOOKUP(F:F,[1]Sheet1!$E:$F,2,FALSE)</f>
        <v>1660</v>
      </c>
    </row>
    <row r="700" spans="1:13" hidden="1">
      <c r="A700" s="1" t="s">
        <v>1033</v>
      </c>
      <c r="B700" s="1" t="s">
        <v>168</v>
      </c>
      <c r="C700" s="1" t="s">
        <v>1033</v>
      </c>
      <c r="D700" s="1" t="s">
        <v>168</v>
      </c>
      <c r="E700" s="1" t="str">
        <f t="shared" ref="E700:E707" si="34">A700&amp;C700</f>
        <v>MEMPHISMEMPHIS</v>
      </c>
      <c r="F700" s="1" t="s">
        <v>1184</v>
      </c>
      <c r="G700" s="1">
        <v>322</v>
      </c>
      <c r="H700" s="38">
        <f>G700*COSTS!$AA$27</f>
        <v>483</v>
      </c>
      <c r="I700" s="1">
        <f>COSTS!$AA$28</f>
        <v>50</v>
      </c>
      <c r="J700" s="38">
        <f t="shared" si="30"/>
        <v>533</v>
      </c>
      <c r="K700" s="38">
        <f t="shared" si="31"/>
        <v>121.13636363636363</v>
      </c>
      <c r="L700" s="151">
        <v>46023</v>
      </c>
      <c r="M700" s="1" t="e">
        <f>VLOOKUP(F:F,[1]Sheet1!$E:$F,2,FALSE)</f>
        <v>#N/A</v>
      </c>
    </row>
    <row r="701" spans="1:13" hidden="1">
      <c r="A701" s="1" t="s">
        <v>1033</v>
      </c>
      <c r="B701" s="1" t="s">
        <v>168</v>
      </c>
      <c r="C701" s="1" t="s">
        <v>1274</v>
      </c>
      <c r="D701" s="1" t="s">
        <v>71</v>
      </c>
      <c r="E701" s="1" t="str">
        <f t="shared" si="34"/>
        <v>MEMPHISWESLACO</v>
      </c>
      <c r="F701" s="1" t="str">
        <f t="shared" ref="F701:F707" si="35">A701&amp;B701&amp;C701&amp;D701</f>
        <v>MEMPHISTNWESLACOTX</v>
      </c>
      <c r="G701" s="1">
        <v>1493.6599999999999</v>
      </c>
      <c r="H701" s="38">
        <f>G701*COSTS!$AA$27</f>
        <v>2240.4899999999998</v>
      </c>
      <c r="I701" s="1">
        <f>COSTS!$AA$28</f>
        <v>50</v>
      </c>
      <c r="J701" s="38">
        <f t="shared" si="30"/>
        <v>2290.4899999999998</v>
      </c>
      <c r="K701" s="38">
        <f t="shared" si="31"/>
        <v>520.56590909090903</v>
      </c>
      <c r="L701" s="151">
        <v>46023</v>
      </c>
      <c r="M701" s="1">
        <f>VLOOKUP(F:F,[1]Sheet1!$E:$F,2,FALSE)</f>
        <v>1517</v>
      </c>
    </row>
    <row r="702" spans="1:13" hidden="1">
      <c r="A702" s="1" t="s">
        <v>1033</v>
      </c>
      <c r="B702" s="1" t="s">
        <v>168</v>
      </c>
      <c r="C702" s="1" t="s">
        <v>1275</v>
      </c>
      <c r="D702" s="1" t="s">
        <v>136</v>
      </c>
      <c r="E702" s="1" t="str">
        <f t="shared" si="34"/>
        <v>MEMPHISSHELBY</v>
      </c>
      <c r="F702" s="1" t="str">
        <f t="shared" si="35"/>
        <v>MEMPHISTNSHELBYNC</v>
      </c>
      <c r="G702" s="1">
        <v>1250</v>
      </c>
      <c r="H702" s="38">
        <f>G702*COSTS!$AA$27</f>
        <v>1875</v>
      </c>
      <c r="I702" s="1">
        <f>COSTS!$AA$28</f>
        <v>50</v>
      </c>
      <c r="J702" s="38">
        <f t="shared" si="30"/>
        <v>1925</v>
      </c>
      <c r="K702" s="38">
        <f t="shared" si="31"/>
        <v>437.5</v>
      </c>
      <c r="L702" s="151">
        <v>46023</v>
      </c>
      <c r="M702" s="1">
        <f>VLOOKUP(F:F,[1]Sheet1!$E:$F,2,FALSE)</f>
        <v>1460</v>
      </c>
    </row>
    <row r="703" spans="1:13" hidden="1">
      <c r="A703" s="1" t="s">
        <v>1033</v>
      </c>
      <c r="B703" s="1" t="s">
        <v>168</v>
      </c>
      <c r="C703" s="1" t="s">
        <v>439</v>
      </c>
      <c r="D703" s="1" t="s">
        <v>71</v>
      </c>
      <c r="E703" s="1" t="str">
        <f t="shared" si="34"/>
        <v>MEMPHISHouston</v>
      </c>
      <c r="F703" s="1" t="str">
        <f t="shared" si="35"/>
        <v>MEMPHISTNHoustonTX</v>
      </c>
      <c r="G703" s="1">
        <v>1250</v>
      </c>
      <c r="H703" s="38">
        <f>G703*COSTS!$AA$27</f>
        <v>1875</v>
      </c>
      <c r="I703" s="1">
        <f>COSTS!$AA$28</f>
        <v>50</v>
      </c>
      <c r="J703" s="38">
        <f t="shared" si="30"/>
        <v>1925</v>
      </c>
      <c r="K703" s="38">
        <f t="shared" si="31"/>
        <v>437.5</v>
      </c>
      <c r="L703" s="151">
        <v>46023</v>
      </c>
      <c r="M703" s="1" t="e">
        <f>VLOOKUP(F:F,[1]Sheet1!$E:$F,2,FALSE)</f>
        <v>#N/A</v>
      </c>
    </row>
    <row r="704" spans="1:13" hidden="1">
      <c r="A704" s="40" t="s">
        <v>1033</v>
      </c>
      <c r="B704" s="40" t="s">
        <v>168</v>
      </c>
      <c r="C704" s="40" t="s">
        <v>1284</v>
      </c>
      <c r="D704" s="40" t="s">
        <v>136</v>
      </c>
      <c r="E704" s="40" t="str">
        <f t="shared" si="34"/>
        <v>MEMPHISSALISBURY</v>
      </c>
      <c r="F704" s="40" t="str">
        <f t="shared" si="35"/>
        <v>MEMPHISTNSALISBURYNC</v>
      </c>
      <c r="G704" s="40">
        <v>1267.2</v>
      </c>
      <c r="H704" s="38">
        <f>G704*COSTS!$AA$27</f>
        <v>1900.8000000000002</v>
      </c>
      <c r="I704" s="1">
        <f>COSTS!$AA$28</f>
        <v>50</v>
      </c>
      <c r="J704" s="38">
        <f t="shared" si="30"/>
        <v>1950.8000000000002</v>
      </c>
      <c r="K704" s="38">
        <f t="shared" si="31"/>
        <v>443.36363636363643</v>
      </c>
      <c r="L704" s="151">
        <v>46023</v>
      </c>
      <c r="M704" s="1">
        <f>VLOOKUP(F:F,[1]Sheet1!$E:$F,2,FALSE)</f>
        <v>1590</v>
      </c>
    </row>
    <row r="705" spans="1:13" hidden="1">
      <c r="A705" s="40" t="s">
        <v>1033</v>
      </c>
      <c r="B705" s="40" t="s">
        <v>168</v>
      </c>
      <c r="C705" s="40" t="s">
        <v>1279</v>
      </c>
      <c r="D705" s="40" t="s">
        <v>136</v>
      </c>
      <c r="E705" s="40" t="str">
        <f t="shared" si="34"/>
        <v>MEMPHISSANFORD</v>
      </c>
      <c r="F705" s="40" t="str">
        <f t="shared" si="35"/>
        <v>MEMPHISTNSANFORDNC</v>
      </c>
      <c r="G705" s="40">
        <v>1694.3999999999999</v>
      </c>
      <c r="H705" s="38">
        <f>G705*COSTS!$AA$27</f>
        <v>2541.6</v>
      </c>
      <c r="I705" s="1">
        <f>COSTS!$AA$28</f>
        <v>50</v>
      </c>
      <c r="J705" s="38">
        <f t="shared" si="30"/>
        <v>2591.6</v>
      </c>
      <c r="K705" s="38">
        <f t="shared" si="31"/>
        <v>589</v>
      </c>
      <c r="L705" s="151">
        <v>46023</v>
      </c>
      <c r="M705" s="1">
        <f>VLOOKUP(F:F,[1]Sheet1!$E:$F,2,FALSE)</f>
        <v>1810</v>
      </c>
    </row>
    <row r="706" spans="1:13" hidden="1">
      <c r="A706" s="40" t="s">
        <v>1033</v>
      </c>
      <c r="B706" s="40" t="s">
        <v>168</v>
      </c>
      <c r="C706" s="40" t="s">
        <v>1285</v>
      </c>
      <c r="D706" s="40" t="s">
        <v>136</v>
      </c>
      <c r="E706" s="40" t="str">
        <f t="shared" si="34"/>
        <v>MEMPHISEDEN</v>
      </c>
      <c r="F706" s="40" t="str">
        <f t="shared" si="35"/>
        <v>MEMPHISTNEDENNC</v>
      </c>
      <c r="G706" s="40">
        <v>1445.6999999999998</v>
      </c>
      <c r="H706" s="38">
        <f>G706*COSTS!$AA$27</f>
        <v>2168.5499999999997</v>
      </c>
      <c r="I706" s="1">
        <f>COSTS!$AA$28</f>
        <v>50</v>
      </c>
      <c r="J706" s="38">
        <f t="shared" ref="J706:J769" si="36">H706+I706</f>
        <v>2218.5499999999997</v>
      </c>
      <c r="K706" s="38">
        <f t="shared" ref="K706:K769" si="37">(J706/88)*20</f>
        <v>504.21590909090901</v>
      </c>
      <c r="L706" s="151">
        <v>46023</v>
      </c>
      <c r="M706" s="1" t="e">
        <f>VLOOKUP(F:F,[1]Sheet1!$E:$F,2,FALSE)</f>
        <v>#N/A</v>
      </c>
    </row>
    <row r="707" spans="1:13" hidden="1">
      <c r="A707" s="40" t="s">
        <v>1033</v>
      </c>
      <c r="B707" s="40" t="s">
        <v>168</v>
      </c>
      <c r="C707" s="40" t="s">
        <v>1286</v>
      </c>
      <c r="D707" s="40" t="s">
        <v>136</v>
      </c>
      <c r="E707" s="40" t="str">
        <f t="shared" si="34"/>
        <v>MEMPHISMAYODAN</v>
      </c>
      <c r="F707" s="40" t="str">
        <f t="shared" si="35"/>
        <v>MEMPHISTNMAYODANNC</v>
      </c>
      <c r="G707" s="40">
        <v>1445.6999999999998</v>
      </c>
      <c r="H707" s="38">
        <f>G707*COSTS!$AA$27</f>
        <v>2168.5499999999997</v>
      </c>
      <c r="I707" s="1">
        <f>COSTS!$AA$28</f>
        <v>50</v>
      </c>
      <c r="J707" s="38">
        <f t="shared" si="36"/>
        <v>2218.5499999999997</v>
      </c>
      <c r="K707" s="38">
        <f t="shared" si="37"/>
        <v>504.21590909090901</v>
      </c>
      <c r="L707" s="151">
        <v>46023</v>
      </c>
      <c r="M707" s="1">
        <f>VLOOKUP(F:F,[1]Sheet1!$E:$F,2,FALSE)</f>
        <v>1700</v>
      </c>
    </row>
    <row r="708" spans="1:13" hidden="1">
      <c r="A708" s="1" t="s">
        <v>1397</v>
      </c>
      <c r="B708" s="1" t="s">
        <v>168</v>
      </c>
      <c r="C708" s="1" t="s">
        <v>847</v>
      </c>
      <c r="D708" s="1" t="s">
        <v>76</v>
      </c>
      <c r="E708" s="1" t="str">
        <f>A708&amp;(IF(C708="Garden City","Savannah",C708))</f>
        <v>MILANSavannah</v>
      </c>
      <c r="F708" s="1" t="s">
        <v>959</v>
      </c>
      <c r="G708" s="1">
        <v>1260</v>
      </c>
      <c r="H708" s="38">
        <f>G708*COSTS!$AA$27</f>
        <v>1890</v>
      </c>
      <c r="I708" s="1">
        <f>COSTS!$AA$28</f>
        <v>50</v>
      </c>
      <c r="J708" s="38">
        <f t="shared" si="36"/>
        <v>1940</v>
      </c>
      <c r="K708" s="38">
        <f t="shared" si="37"/>
        <v>440.90909090909093</v>
      </c>
      <c r="L708" s="151">
        <v>46023</v>
      </c>
      <c r="M708" s="1">
        <f>VLOOKUP(F:F,[1]Sheet1!$E:$F,2,FALSE)</f>
        <v>1650</v>
      </c>
    </row>
    <row r="709" spans="1:13" hidden="1">
      <c r="A709" s="1" t="s">
        <v>1397</v>
      </c>
      <c r="B709" s="1" t="s">
        <v>168</v>
      </c>
      <c r="C709" s="1" t="s">
        <v>1033</v>
      </c>
      <c r="D709" s="1" t="s">
        <v>168</v>
      </c>
      <c r="E709" s="1" t="str">
        <f>A709&amp;C709</f>
        <v>MILANMEMPHIS</v>
      </c>
      <c r="F709" s="1" t="s">
        <v>1188</v>
      </c>
      <c r="G709" s="1">
        <v>555</v>
      </c>
      <c r="H709" s="38">
        <f>G709*COSTS!$AA$27</f>
        <v>832.5</v>
      </c>
      <c r="I709" s="1">
        <f>COSTS!$AA$28</f>
        <v>50</v>
      </c>
      <c r="J709" s="38">
        <f t="shared" si="36"/>
        <v>882.5</v>
      </c>
      <c r="K709" s="38">
        <f t="shared" si="37"/>
        <v>200.56818181818184</v>
      </c>
      <c r="L709" s="151">
        <v>46023</v>
      </c>
      <c r="M709" s="1">
        <f>VLOOKUP(F:F,[1]Sheet1!$E:$F,2,FALSE)</f>
        <v>490</v>
      </c>
    </row>
    <row r="710" spans="1:13" hidden="1">
      <c r="A710" s="1" t="s">
        <v>1397</v>
      </c>
      <c r="B710" s="1" t="s">
        <v>168</v>
      </c>
      <c r="C710" s="1" t="s">
        <v>1274</v>
      </c>
      <c r="D710" s="1" t="s">
        <v>71</v>
      </c>
      <c r="E710" s="1" t="str">
        <f>A710&amp;C710</f>
        <v>MILANWESLACO</v>
      </c>
      <c r="F710" s="1" t="str">
        <f>A710&amp;B710&amp;C710&amp;D710</f>
        <v>MILANTNWESLACOTX</v>
      </c>
      <c r="G710" s="1">
        <v>1625.26</v>
      </c>
      <c r="H710" s="38">
        <f>G710*COSTS!$AA$27</f>
        <v>2437.89</v>
      </c>
      <c r="I710" s="1">
        <f>COSTS!$AA$28</f>
        <v>50</v>
      </c>
      <c r="J710" s="38">
        <f t="shared" si="36"/>
        <v>2487.89</v>
      </c>
      <c r="K710" s="38">
        <f t="shared" si="37"/>
        <v>565.4295454545454</v>
      </c>
      <c r="L710" s="151">
        <v>46023</v>
      </c>
      <c r="M710" s="1">
        <f>VLOOKUP(F:F,[1]Sheet1!$E:$F,2,FALSE)</f>
        <v>1746</v>
      </c>
    </row>
    <row r="711" spans="1:13" hidden="1">
      <c r="A711" s="1" t="s">
        <v>1397</v>
      </c>
      <c r="B711" s="1" t="s">
        <v>168</v>
      </c>
      <c r="C711" s="1" t="s">
        <v>1275</v>
      </c>
      <c r="D711" s="1" t="s">
        <v>136</v>
      </c>
      <c r="E711" s="1" t="str">
        <f>A711&amp;C711</f>
        <v>MILANSHELBY</v>
      </c>
      <c r="F711" s="1" t="str">
        <f>A711&amp;B711&amp;C711&amp;D711</f>
        <v>MILANTNSHELBYNC</v>
      </c>
      <c r="G711" s="1">
        <v>1150</v>
      </c>
      <c r="H711" s="38">
        <f>G711*COSTS!$AA$27</f>
        <v>1725</v>
      </c>
      <c r="I711" s="1">
        <f>COSTS!$AA$28</f>
        <v>50</v>
      </c>
      <c r="J711" s="38">
        <f t="shared" si="36"/>
        <v>1775</v>
      </c>
      <c r="K711" s="38">
        <f t="shared" si="37"/>
        <v>403.40909090909093</v>
      </c>
      <c r="L711" s="151">
        <v>46023</v>
      </c>
      <c r="M711" s="1">
        <f>VLOOKUP(F:F,[1]Sheet1!$E:$F,2,FALSE)</f>
        <v>1270</v>
      </c>
    </row>
    <row r="712" spans="1:13" hidden="1">
      <c r="A712" s="1" t="s">
        <v>1534</v>
      </c>
      <c r="B712" s="1" t="s">
        <v>168</v>
      </c>
      <c r="C712" s="1" t="s">
        <v>1033</v>
      </c>
      <c r="D712" s="1" t="s">
        <v>168</v>
      </c>
      <c r="E712" s="1" t="str">
        <f>A712&amp;C712</f>
        <v>MILLINGTONMEMPHIS</v>
      </c>
      <c r="F712" s="1" t="s">
        <v>1190</v>
      </c>
      <c r="G712" s="1">
        <v>517</v>
      </c>
      <c r="H712" s="38">
        <f>G712*COSTS!$AA$27</f>
        <v>775.5</v>
      </c>
      <c r="I712" s="1">
        <f>COSTS!$AA$28</f>
        <v>50</v>
      </c>
      <c r="J712" s="38">
        <f t="shared" si="36"/>
        <v>825.5</v>
      </c>
      <c r="K712" s="38">
        <f t="shared" si="37"/>
        <v>187.61363636363637</v>
      </c>
      <c r="L712" s="151">
        <v>46023</v>
      </c>
      <c r="M712" s="1" t="e">
        <f>VLOOKUP(F:F,[1]Sheet1!$E:$F,2,FALSE)</f>
        <v>#N/A</v>
      </c>
    </row>
    <row r="713" spans="1:13" hidden="1">
      <c r="A713" s="1" t="s">
        <v>1546</v>
      </c>
      <c r="B713" s="1" t="s">
        <v>168</v>
      </c>
      <c r="C713" s="1" t="s">
        <v>1033</v>
      </c>
      <c r="D713" s="1" t="s">
        <v>168</v>
      </c>
      <c r="E713" s="1" t="str">
        <f>A713&amp;C713</f>
        <v>RIPLEYMEMPHIS</v>
      </c>
      <c r="F713" s="1" t="s">
        <v>1221</v>
      </c>
      <c r="G713" s="1">
        <v>408.91</v>
      </c>
      <c r="H713" s="38">
        <f>G713*COSTS!$AA$27</f>
        <v>613.36500000000001</v>
      </c>
      <c r="I713" s="1">
        <f>COSTS!$AA$28</f>
        <v>50</v>
      </c>
      <c r="J713" s="38">
        <f t="shared" si="36"/>
        <v>663.36500000000001</v>
      </c>
      <c r="K713" s="38">
        <f t="shared" si="37"/>
        <v>150.76477272727271</v>
      </c>
      <c r="L713" s="151">
        <v>46023</v>
      </c>
      <c r="M713" s="1" t="e">
        <f>VLOOKUP(F:F,[1]Sheet1!$E:$F,2,FALSE)</f>
        <v>#N/A</v>
      </c>
    </row>
    <row r="714" spans="1:13" hidden="1">
      <c r="A714" s="1" t="s">
        <v>1432</v>
      </c>
      <c r="B714" s="1" t="s">
        <v>168</v>
      </c>
      <c r="C714" s="1" t="s">
        <v>847</v>
      </c>
      <c r="D714" s="1" t="s">
        <v>76</v>
      </c>
      <c r="E714" s="1" t="str">
        <f>A714&amp;(IF(C714="Garden City","Savannah",C714))</f>
        <v>SOMERVILLESavannah</v>
      </c>
      <c r="F714" s="1" t="s">
        <v>996</v>
      </c>
      <c r="G714" s="1">
        <v>1260</v>
      </c>
      <c r="H714" s="38">
        <f>G714*COSTS!$AA$27</f>
        <v>1890</v>
      </c>
      <c r="I714" s="1">
        <f>COSTS!$AA$28</f>
        <v>50</v>
      </c>
      <c r="J714" s="38">
        <f t="shared" si="36"/>
        <v>1940</v>
      </c>
      <c r="K714" s="38">
        <f t="shared" si="37"/>
        <v>440.90909090909093</v>
      </c>
      <c r="L714" s="151">
        <v>46023</v>
      </c>
      <c r="M714" s="1">
        <f>VLOOKUP(F:F,[1]Sheet1!$E:$F,2,FALSE)</f>
        <v>1700</v>
      </c>
    </row>
    <row r="715" spans="1:13" hidden="1">
      <c r="A715" s="1" t="s">
        <v>1432</v>
      </c>
      <c r="B715" s="1" t="s">
        <v>168</v>
      </c>
      <c r="C715" s="1" t="s">
        <v>1033</v>
      </c>
      <c r="D715" s="1" t="s">
        <v>168</v>
      </c>
      <c r="E715" s="1" t="str">
        <f t="shared" ref="E715:E746" si="38">A715&amp;C715</f>
        <v>SOMERVILLEMEMPHIS</v>
      </c>
      <c r="F715" s="1" t="s">
        <v>1234</v>
      </c>
      <c r="G715" s="1">
        <v>525</v>
      </c>
      <c r="H715" s="38">
        <f>G715*COSTS!$AA$27</f>
        <v>787.5</v>
      </c>
      <c r="I715" s="1">
        <f>COSTS!$AA$28</f>
        <v>50</v>
      </c>
      <c r="J715" s="38">
        <f t="shared" si="36"/>
        <v>837.5</v>
      </c>
      <c r="K715" s="38">
        <f t="shared" si="37"/>
        <v>190.34090909090909</v>
      </c>
      <c r="L715" s="151">
        <v>46023</v>
      </c>
      <c r="M715" s="1">
        <f>VLOOKUP(F:F,[1]Sheet1!$E:$F,2,FALSE)</f>
        <v>400</v>
      </c>
    </row>
    <row r="716" spans="1:13" hidden="1">
      <c r="A716" s="1" t="s">
        <v>1432</v>
      </c>
      <c r="B716" s="1" t="s">
        <v>168</v>
      </c>
      <c r="C716" s="1" t="s">
        <v>1274</v>
      </c>
      <c r="D716" s="1" t="s">
        <v>71</v>
      </c>
      <c r="E716" s="1" t="str">
        <f t="shared" si="38"/>
        <v>SOMERVILLEWESLACO</v>
      </c>
      <c r="F716" s="1" t="str">
        <f>A716&amp;B716&amp;C716&amp;D716</f>
        <v>SOMERVILLETNWESLACOTX</v>
      </c>
      <c r="G716" s="1">
        <v>1545.36</v>
      </c>
      <c r="H716" s="38">
        <f>G716*COSTS!$AA$27</f>
        <v>2318.04</v>
      </c>
      <c r="I716" s="1">
        <f>COSTS!$AA$28</f>
        <v>50</v>
      </c>
      <c r="J716" s="38">
        <f t="shared" si="36"/>
        <v>2368.04</v>
      </c>
      <c r="K716" s="38">
        <f t="shared" si="37"/>
        <v>538.19090909090914</v>
      </c>
      <c r="L716" s="151">
        <v>46023</v>
      </c>
      <c r="M716" s="1">
        <f>VLOOKUP(F:F,[1]Sheet1!$E:$F,2,FALSE)</f>
        <v>1727</v>
      </c>
    </row>
    <row r="717" spans="1:13" hidden="1">
      <c r="A717" s="1" t="s">
        <v>1432</v>
      </c>
      <c r="B717" s="1" t="s">
        <v>168</v>
      </c>
      <c r="C717" s="1" t="s">
        <v>1275</v>
      </c>
      <c r="D717" s="1" t="s">
        <v>136</v>
      </c>
      <c r="E717" s="1" t="str">
        <f t="shared" si="38"/>
        <v>SOMERVILLESHELBY</v>
      </c>
      <c r="F717" s="1" t="str">
        <f>A717&amp;B717&amp;C717&amp;D717</f>
        <v>SOMERVILLETNSHELBYNC</v>
      </c>
      <c r="G717" s="1">
        <v>1190</v>
      </c>
      <c r="H717" s="38">
        <f>G717*COSTS!$AA$27</f>
        <v>1785</v>
      </c>
      <c r="I717" s="1">
        <f>COSTS!$AA$28</f>
        <v>50</v>
      </c>
      <c r="J717" s="38">
        <f t="shared" si="36"/>
        <v>1835</v>
      </c>
      <c r="K717" s="38">
        <f t="shared" si="37"/>
        <v>417.0454545454545</v>
      </c>
      <c r="L717" s="151">
        <v>46023</v>
      </c>
      <c r="M717" s="1">
        <f>VLOOKUP(F:F,[1]Sheet1!$E:$F,2,FALSE)</f>
        <v>1370</v>
      </c>
    </row>
    <row r="718" spans="1:13" hidden="1">
      <c r="A718" s="1" t="s">
        <v>1471</v>
      </c>
      <c r="B718" s="1" t="s">
        <v>71</v>
      </c>
      <c r="C718" s="1" t="s">
        <v>1033</v>
      </c>
      <c r="D718" s="1" t="s">
        <v>168</v>
      </c>
      <c r="E718" s="1" t="str">
        <f t="shared" si="38"/>
        <v>ABERNATHYMEMPHIS</v>
      </c>
      <c r="F718" s="1" t="s">
        <v>1036</v>
      </c>
      <c r="G718" s="1">
        <v>1725</v>
      </c>
      <c r="H718" s="38">
        <f>G718*COSTS!$AA$27</f>
        <v>2587.5</v>
      </c>
      <c r="I718" s="1">
        <f>COSTS!$AA$28</f>
        <v>50</v>
      </c>
      <c r="J718" s="38">
        <f t="shared" si="36"/>
        <v>2637.5</v>
      </c>
      <c r="K718" s="38">
        <f t="shared" si="37"/>
        <v>599.43181818181824</v>
      </c>
      <c r="L718" s="151">
        <v>46023</v>
      </c>
      <c r="M718" s="1" t="e">
        <f>VLOOKUP(F:F,[1]Sheet1!$E:$F,2,FALSE)</f>
        <v>#N/A</v>
      </c>
    </row>
    <row r="719" spans="1:13" hidden="1">
      <c r="A719" s="1" t="s">
        <v>1471</v>
      </c>
      <c r="B719" s="1" t="s">
        <v>71</v>
      </c>
      <c r="C719" s="1" t="s">
        <v>1274</v>
      </c>
      <c r="D719" s="1" t="s">
        <v>71</v>
      </c>
      <c r="E719" s="1" t="str">
        <f t="shared" si="38"/>
        <v>ABERNATHYWESLACO</v>
      </c>
      <c r="F719" s="1" t="str">
        <f>A719&amp;B719&amp;C719&amp;D719</f>
        <v>ABERNATHYTXWESLACOTX</v>
      </c>
      <c r="G719" s="1">
        <v>1024.5999999999999</v>
      </c>
      <c r="H719" s="38">
        <f>G719*COSTS!$AA$27</f>
        <v>1536.8999999999999</v>
      </c>
      <c r="I719" s="1">
        <f>COSTS!$AA$28</f>
        <v>50</v>
      </c>
      <c r="J719" s="38">
        <f t="shared" si="36"/>
        <v>1586.8999999999999</v>
      </c>
      <c r="K719" s="38">
        <f t="shared" si="37"/>
        <v>360.65909090909088</v>
      </c>
      <c r="L719" s="151">
        <v>46023</v>
      </c>
      <c r="M719" s="1">
        <f>VLOOKUP(F:F,[1]Sheet1!$E:$F,2,FALSE)</f>
        <v>1311</v>
      </c>
    </row>
    <row r="720" spans="1:13" hidden="1">
      <c r="A720" s="1" t="s">
        <v>1471</v>
      </c>
      <c r="B720" s="1" t="s">
        <v>71</v>
      </c>
      <c r="C720" s="1" t="s">
        <v>241</v>
      </c>
      <c r="D720" s="1" t="s">
        <v>71</v>
      </c>
      <c r="E720" s="1" t="str">
        <f t="shared" si="38"/>
        <v>ABERNATHYDallas</v>
      </c>
      <c r="F720" s="1" t="str">
        <f>A720&amp;B720&amp;C720&amp;D720</f>
        <v>ABERNATHYTXDallasTX</v>
      </c>
      <c r="G720" s="1">
        <v>540</v>
      </c>
      <c r="H720" s="38">
        <f>G720*COSTS!$AA$27</f>
        <v>810</v>
      </c>
      <c r="I720" s="1">
        <f>COSTS!$AA$28</f>
        <v>50</v>
      </c>
      <c r="J720" s="38">
        <f t="shared" si="36"/>
        <v>860</v>
      </c>
      <c r="K720" s="38">
        <f t="shared" si="37"/>
        <v>195.45454545454547</v>
      </c>
      <c r="L720" s="151">
        <v>46023</v>
      </c>
      <c r="M720" s="1">
        <f>VLOOKUP(F:F,[1]Sheet1!$E:$F,2,FALSE)</f>
        <v>659</v>
      </c>
    </row>
    <row r="721" spans="1:13" hidden="1">
      <c r="A721" s="1" t="s">
        <v>1471</v>
      </c>
      <c r="B721" s="1" t="s">
        <v>71</v>
      </c>
      <c r="C721" s="1" t="s">
        <v>439</v>
      </c>
      <c r="D721" s="1" t="s">
        <v>71</v>
      </c>
      <c r="E721" s="1" t="str">
        <f t="shared" si="38"/>
        <v>ABERNATHYHouston</v>
      </c>
      <c r="F721" s="1" t="str">
        <f>A721&amp;B721&amp;C721&amp;D721</f>
        <v>ABERNATHYTXHoustonTX</v>
      </c>
      <c r="G721" s="1">
        <v>850</v>
      </c>
      <c r="H721" s="38">
        <f>G721*COSTS!$AA$27</f>
        <v>1275</v>
      </c>
      <c r="I721" s="1">
        <f>COSTS!$AA$28</f>
        <v>50</v>
      </c>
      <c r="J721" s="38">
        <f t="shared" si="36"/>
        <v>1325</v>
      </c>
      <c r="K721" s="38">
        <f t="shared" si="37"/>
        <v>301.13636363636363</v>
      </c>
      <c r="L721" s="151">
        <v>46023</v>
      </c>
      <c r="M721" s="1">
        <f>VLOOKUP(F:F,[1]Sheet1!$E:$F,2,FALSE)</f>
        <v>1160</v>
      </c>
    </row>
    <row r="722" spans="1:13" hidden="1">
      <c r="A722" s="1" t="s">
        <v>1568</v>
      </c>
      <c r="B722" s="1" t="s">
        <v>71</v>
      </c>
      <c r="C722" s="1" t="s">
        <v>1274</v>
      </c>
      <c r="D722" s="1" t="s">
        <v>71</v>
      </c>
      <c r="E722" s="1" t="str">
        <f t="shared" si="38"/>
        <v>ABILENEWESLACO</v>
      </c>
      <c r="F722" s="1" t="str">
        <f>A722&amp;B722&amp;C722&amp;D722</f>
        <v>ABILENETXWESLACOTX</v>
      </c>
      <c r="G722" s="1">
        <v>944.69999999999993</v>
      </c>
      <c r="H722" s="38">
        <f>G722*COSTS!$AA$27</f>
        <v>1417.05</v>
      </c>
      <c r="I722" s="1">
        <f>COSTS!$AA$28</f>
        <v>50</v>
      </c>
      <c r="J722" s="38">
        <f t="shared" si="36"/>
        <v>1467.05</v>
      </c>
      <c r="K722" s="38">
        <f t="shared" si="37"/>
        <v>333.42045454545456</v>
      </c>
      <c r="L722" s="151">
        <v>46023</v>
      </c>
      <c r="M722" s="1" t="e">
        <f>VLOOKUP(F:F,[1]Sheet1!$E:$F,2,FALSE)</f>
        <v>#N/A</v>
      </c>
    </row>
    <row r="723" spans="1:13" hidden="1">
      <c r="A723" s="1" t="s">
        <v>1474</v>
      </c>
      <c r="B723" s="1" t="s">
        <v>71</v>
      </c>
      <c r="C723" s="1" t="s">
        <v>1033</v>
      </c>
      <c r="D723" s="1" t="s">
        <v>168</v>
      </c>
      <c r="E723" s="1" t="str">
        <f t="shared" si="38"/>
        <v>AMARILLOMEMPHIS</v>
      </c>
      <c r="F723" s="1" t="s">
        <v>1041</v>
      </c>
      <c r="G723" s="1">
        <v>1500</v>
      </c>
      <c r="H723" s="38">
        <f>G723*COSTS!$AA$27</f>
        <v>2250</v>
      </c>
      <c r="I723" s="1">
        <f>COSTS!$AA$28</f>
        <v>50</v>
      </c>
      <c r="J723" s="38">
        <f t="shared" si="36"/>
        <v>2300</v>
      </c>
      <c r="K723" s="38">
        <f t="shared" si="37"/>
        <v>522.72727272727275</v>
      </c>
      <c r="L723" s="151">
        <v>46023</v>
      </c>
      <c r="M723" s="1" t="e">
        <f>VLOOKUP(F:F,[1]Sheet1!$E:$F,2,FALSE)</f>
        <v>#N/A</v>
      </c>
    </row>
    <row r="724" spans="1:13" hidden="1">
      <c r="A724" s="1" t="s">
        <v>1474</v>
      </c>
      <c r="B724" s="1" t="s">
        <v>71</v>
      </c>
      <c r="C724" s="1" t="s">
        <v>1274</v>
      </c>
      <c r="D724" s="1" t="s">
        <v>71</v>
      </c>
      <c r="E724" s="1" t="str">
        <f t="shared" si="38"/>
        <v>AMARILLOWESLACO</v>
      </c>
      <c r="F724" s="1" t="str">
        <f t="shared" ref="F724:F729" si="39">A724&amp;B724&amp;C724&amp;D724</f>
        <v>AMARILLOTXWESLACOTX</v>
      </c>
      <c r="G724" s="1">
        <v>1203.1999999999998</v>
      </c>
      <c r="H724" s="38">
        <f>G724*COSTS!$AA$27</f>
        <v>1804.7999999999997</v>
      </c>
      <c r="I724" s="1">
        <f>COSTS!$AA$28</f>
        <v>50</v>
      </c>
      <c r="J724" s="38">
        <f t="shared" si="36"/>
        <v>1854.7999999999997</v>
      </c>
      <c r="K724" s="38">
        <f t="shared" si="37"/>
        <v>421.5454545454545</v>
      </c>
      <c r="L724" s="151">
        <v>46023</v>
      </c>
      <c r="M724" s="1">
        <f>VLOOKUP(F:F,[1]Sheet1!$E:$F,2,FALSE)</f>
        <v>1568</v>
      </c>
    </row>
    <row r="725" spans="1:13" hidden="1">
      <c r="A725" s="1" t="s">
        <v>1474</v>
      </c>
      <c r="B725" s="1" t="s">
        <v>71</v>
      </c>
      <c r="C725" s="1" t="s">
        <v>241</v>
      </c>
      <c r="D725" s="1" t="s">
        <v>71</v>
      </c>
      <c r="E725" s="1" t="str">
        <f t="shared" si="38"/>
        <v>AMARILLODallas</v>
      </c>
      <c r="F725" s="1" t="str">
        <f t="shared" si="39"/>
        <v>AMARILLOTXDallasTX</v>
      </c>
      <c r="G725" s="1">
        <v>560</v>
      </c>
      <c r="H725" s="38">
        <f>G725*COSTS!$AA$27</f>
        <v>840</v>
      </c>
      <c r="I725" s="1">
        <f>COSTS!$AA$28</f>
        <v>50</v>
      </c>
      <c r="J725" s="38">
        <f t="shared" si="36"/>
        <v>890</v>
      </c>
      <c r="K725" s="38">
        <f t="shared" si="37"/>
        <v>202.27272727272725</v>
      </c>
      <c r="L725" s="151">
        <v>46023</v>
      </c>
      <c r="M725" s="1">
        <f>VLOOKUP(F:F,[1]Sheet1!$E:$F,2,FALSE)</f>
        <v>589</v>
      </c>
    </row>
    <row r="726" spans="1:13" hidden="1">
      <c r="A726" s="1" t="s">
        <v>1474</v>
      </c>
      <c r="B726" s="1" t="s">
        <v>71</v>
      </c>
      <c r="C726" s="1" t="s">
        <v>439</v>
      </c>
      <c r="D726" s="1" t="s">
        <v>71</v>
      </c>
      <c r="E726" s="1" t="str">
        <f t="shared" si="38"/>
        <v>AMARILLOHouston</v>
      </c>
      <c r="F726" s="1" t="str">
        <f t="shared" si="39"/>
        <v>AMARILLOTXHoustonTX</v>
      </c>
      <c r="G726" s="1">
        <v>900</v>
      </c>
      <c r="H726" s="38">
        <f>G726*COSTS!$AA$27</f>
        <v>1350</v>
      </c>
      <c r="I726" s="1">
        <f>COSTS!$AA$28</f>
        <v>50</v>
      </c>
      <c r="J726" s="38">
        <f t="shared" si="36"/>
        <v>1400</v>
      </c>
      <c r="K726" s="38">
        <f t="shared" si="37"/>
        <v>318.18181818181819</v>
      </c>
      <c r="L726" s="151">
        <v>46023</v>
      </c>
      <c r="M726" s="1">
        <f>VLOOKUP(F:F,[1]Sheet1!$E:$F,2,FALSE)</f>
        <v>1210</v>
      </c>
    </row>
    <row r="727" spans="1:13" hidden="1">
      <c r="A727" s="1" t="s">
        <v>1293</v>
      </c>
      <c r="B727" s="1" t="s">
        <v>71</v>
      </c>
      <c r="C727" s="1" t="s">
        <v>1274</v>
      </c>
      <c r="D727" s="1" t="s">
        <v>71</v>
      </c>
      <c r="E727" s="1" t="str">
        <f t="shared" si="38"/>
        <v>ARLINGTONWESLACO</v>
      </c>
      <c r="F727" s="1" t="str">
        <f t="shared" si="39"/>
        <v>ARLINGTONTXWESLACOTX</v>
      </c>
      <c r="G727" s="1">
        <v>775.5</v>
      </c>
      <c r="H727" s="38">
        <f>G727*COSTS!$AA$27</f>
        <v>1163.25</v>
      </c>
      <c r="I727" s="1">
        <f>COSTS!$AA$28</f>
        <v>50</v>
      </c>
      <c r="J727" s="38">
        <f t="shared" si="36"/>
        <v>1213.25</v>
      </c>
      <c r="K727" s="38">
        <f t="shared" si="37"/>
        <v>275.73863636363637</v>
      </c>
      <c r="L727" s="151">
        <v>46023</v>
      </c>
      <c r="M727" s="1">
        <f>VLOOKUP(F:F,[1]Sheet1!$E:$F,2,FALSE)</f>
        <v>739</v>
      </c>
    </row>
    <row r="728" spans="1:13" hidden="1">
      <c r="A728" s="1" t="s">
        <v>1293</v>
      </c>
      <c r="B728" s="1" t="s">
        <v>71</v>
      </c>
      <c r="C728" s="1" t="s">
        <v>241</v>
      </c>
      <c r="D728" s="1" t="s">
        <v>71</v>
      </c>
      <c r="E728" s="1" t="str">
        <f t="shared" si="38"/>
        <v>ARLINGTONDallas</v>
      </c>
      <c r="F728" s="1" t="str">
        <f t="shared" si="39"/>
        <v>ARLINGTONTXDallasTX</v>
      </c>
      <c r="G728" s="1">
        <v>115</v>
      </c>
      <c r="H728" s="38">
        <f>G728*COSTS!$AA$27</f>
        <v>172.5</v>
      </c>
      <c r="I728" s="1">
        <f>COSTS!$AA$28</f>
        <v>50</v>
      </c>
      <c r="J728" s="38">
        <f t="shared" si="36"/>
        <v>222.5</v>
      </c>
      <c r="K728" s="38">
        <f t="shared" si="37"/>
        <v>50.568181818181813</v>
      </c>
      <c r="L728" s="151">
        <v>46023</v>
      </c>
      <c r="M728" s="1">
        <f>VLOOKUP(F:F,[1]Sheet1!$E:$F,2,FALSE)</f>
        <v>315</v>
      </c>
    </row>
    <row r="729" spans="1:13" hidden="1">
      <c r="A729" s="1" t="s">
        <v>1293</v>
      </c>
      <c r="B729" s="1" t="s">
        <v>71</v>
      </c>
      <c r="C729" s="1" t="s">
        <v>439</v>
      </c>
      <c r="D729" s="1" t="s">
        <v>71</v>
      </c>
      <c r="E729" s="1" t="str">
        <f t="shared" si="38"/>
        <v>ARLINGTONHouston</v>
      </c>
      <c r="F729" s="1" t="str">
        <f t="shared" si="39"/>
        <v>ARLINGTONTXHoustonTX</v>
      </c>
      <c r="G729" s="1">
        <v>500</v>
      </c>
      <c r="H729" s="38">
        <f>G729*COSTS!$AA$27</f>
        <v>750</v>
      </c>
      <c r="I729" s="1">
        <f>COSTS!$AA$28</f>
        <v>50</v>
      </c>
      <c r="J729" s="38">
        <f t="shared" si="36"/>
        <v>800</v>
      </c>
      <c r="K729" s="38">
        <f t="shared" si="37"/>
        <v>181.81818181818184</v>
      </c>
      <c r="L729" s="151">
        <v>46023</v>
      </c>
      <c r="M729" s="1">
        <f>VLOOKUP(F:F,[1]Sheet1!$E:$F,2,FALSE)</f>
        <v>688</v>
      </c>
    </row>
    <row r="730" spans="1:13" hidden="1">
      <c r="A730" s="1" t="s">
        <v>1476</v>
      </c>
      <c r="B730" s="1" t="s">
        <v>71</v>
      </c>
      <c r="C730" s="1" t="s">
        <v>1033</v>
      </c>
      <c r="D730" s="1" t="s">
        <v>168</v>
      </c>
      <c r="E730" s="1" t="str">
        <f t="shared" si="38"/>
        <v>BALLINGERMEMPHIS</v>
      </c>
      <c r="F730" s="1" t="s">
        <v>1048</v>
      </c>
      <c r="G730" s="1">
        <v>1557.76</v>
      </c>
      <c r="H730" s="38">
        <f>G730*COSTS!$AA$27</f>
        <v>2336.64</v>
      </c>
      <c r="I730" s="1">
        <f>COSTS!$AA$28</f>
        <v>50</v>
      </c>
      <c r="J730" s="38">
        <f t="shared" si="36"/>
        <v>2386.64</v>
      </c>
      <c r="K730" s="38">
        <f t="shared" si="37"/>
        <v>542.41818181818178</v>
      </c>
      <c r="L730" s="151">
        <v>46023</v>
      </c>
      <c r="M730" s="1" t="e">
        <f>VLOOKUP(F:F,[1]Sheet1!$E:$F,2,FALSE)</f>
        <v>#N/A</v>
      </c>
    </row>
    <row r="731" spans="1:13" hidden="1">
      <c r="A731" s="1" t="s">
        <v>1476</v>
      </c>
      <c r="B731" s="1" t="s">
        <v>71</v>
      </c>
      <c r="C731" s="1" t="s">
        <v>1274</v>
      </c>
      <c r="D731" s="1" t="s">
        <v>71</v>
      </c>
      <c r="E731" s="1" t="str">
        <f t="shared" si="38"/>
        <v>BALLINGERWESLACO</v>
      </c>
      <c r="F731" s="1" t="str">
        <f t="shared" ref="F731:F762" si="40">A731&amp;B731&amp;C731&amp;D731</f>
        <v>BALLINGERTXWESLACOTX</v>
      </c>
      <c r="G731" s="1">
        <v>754.81999999999994</v>
      </c>
      <c r="H731" s="38">
        <f>G731*COSTS!$AA$27</f>
        <v>1132.23</v>
      </c>
      <c r="I731" s="1">
        <f>COSTS!$AA$28</f>
        <v>50</v>
      </c>
      <c r="J731" s="38">
        <f t="shared" si="36"/>
        <v>1182.23</v>
      </c>
      <c r="K731" s="38">
        <f t="shared" si="37"/>
        <v>268.68863636363636</v>
      </c>
      <c r="L731" s="151">
        <v>46023</v>
      </c>
      <c r="M731" s="1">
        <f>VLOOKUP(F:F,[1]Sheet1!$E:$F,2,FALSE)</f>
        <v>856</v>
      </c>
    </row>
    <row r="732" spans="1:13" hidden="1">
      <c r="A732" s="1" t="s">
        <v>1476</v>
      </c>
      <c r="B732" s="1" t="s">
        <v>71</v>
      </c>
      <c r="C732" s="1" t="s">
        <v>241</v>
      </c>
      <c r="D732" s="1" t="s">
        <v>71</v>
      </c>
      <c r="E732" s="1" t="str">
        <f t="shared" si="38"/>
        <v>BALLINGERDallas</v>
      </c>
      <c r="F732" s="1" t="str">
        <f t="shared" si="40"/>
        <v>BALLINGERTXDallasTX</v>
      </c>
      <c r="G732" s="1">
        <v>485</v>
      </c>
      <c r="H732" s="38">
        <f>G732*COSTS!$AA$27</f>
        <v>727.5</v>
      </c>
      <c r="I732" s="1">
        <f>COSTS!$AA$28</f>
        <v>50</v>
      </c>
      <c r="J732" s="38">
        <f t="shared" si="36"/>
        <v>777.5</v>
      </c>
      <c r="K732" s="38">
        <f t="shared" si="37"/>
        <v>176.70454545454547</v>
      </c>
      <c r="L732" s="151">
        <v>46023</v>
      </c>
      <c r="M732" s="1">
        <f>VLOOKUP(F:F,[1]Sheet1!$E:$F,2,FALSE)</f>
        <v>512</v>
      </c>
    </row>
    <row r="733" spans="1:13" hidden="1">
      <c r="A733" s="1" t="s">
        <v>1476</v>
      </c>
      <c r="B733" s="1" t="s">
        <v>71</v>
      </c>
      <c r="C733" s="1" t="s">
        <v>439</v>
      </c>
      <c r="D733" s="1" t="s">
        <v>71</v>
      </c>
      <c r="E733" s="1" t="str">
        <f t="shared" si="38"/>
        <v>BALLINGERHouston</v>
      </c>
      <c r="F733" s="1" t="str">
        <f t="shared" si="40"/>
        <v>BALLINGERTXHoustonTX</v>
      </c>
      <c r="G733" s="1">
        <v>850</v>
      </c>
      <c r="H733" s="38">
        <f>G733*COSTS!$AA$27</f>
        <v>1275</v>
      </c>
      <c r="I733" s="1">
        <f>COSTS!$AA$28</f>
        <v>50</v>
      </c>
      <c r="J733" s="38">
        <f t="shared" si="36"/>
        <v>1325</v>
      </c>
      <c r="K733" s="38">
        <f t="shared" si="37"/>
        <v>301.13636363636363</v>
      </c>
      <c r="L733" s="151">
        <v>46023</v>
      </c>
      <c r="M733" s="1">
        <f>VLOOKUP(F:F,[1]Sheet1!$E:$F,2,FALSE)</f>
        <v>725</v>
      </c>
    </row>
    <row r="734" spans="1:13" hidden="1">
      <c r="A734" s="1" t="s">
        <v>1569</v>
      </c>
      <c r="B734" s="1" t="s">
        <v>71</v>
      </c>
      <c r="C734" s="1" t="s">
        <v>1274</v>
      </c>
      <c r="D734" s="1" t="s">
        <v>71</v>
      </c>
      <c r="E734" s="1" t="str">
        <f t="shared" si="38"/>
        <v>BAYTOWNWESLACO</v>
      </c>
      <c r="F734" s="1" t="str">
        <f t="shared" si="40"/>
        <v>BAYTOWNTXWESLACOTX</v>
      </c>
      <c r="G734" s="1">
        <v>653.29999999999995</v>
      </c>
      <c r="H734" s="38">
        <f>G734*COSTS!$AA$27</f>
        <v>979.94999999999993</v>
      </c>
      <c r="I734" s="1">
        <f>COSTS!$AA$28</f>
        <v>50</v>
      </c>
      <c r="J734" s="38">
        <f t="shared" si="36"/>
        <v>1029.9499999999998</v>
      </c>
      <c r="K734" s="38">
        <f t="shared" si="37"/>
        <v>234.07954545454541</v>
      </c>
      <c r="L734" s="151">
        <v>46023</v>
      </c>
      <c r="M734" s="1">
        <f>VLOOKUP(F:F,[1]Sheet1!$E:$F,2,FALSE)</f>
        <v>701</v>
      </c>
    </row>
    <row r="735" spans="1:13" hidden="1">
      <c r="A735" s="1" t="s">
        <v>1598</v>
      </c>
      <c r="B735" s="1" t="s">
        <v>71</v>
      </c>
      <c r="C735" s="1" t="s">
        <v>241</v>
      </c>
      <c r="D735" s="1" t="s">
        <v>71</v>
      </c>
      <c r="E735" s="1" t="str">
        <f t="shared" si="38"/>
        <v>BIG SPRINGDallas</v>
      </c>
      <c r="F735" s="1" t="str">
        <f t="shared" si="40"/>
        <v>BIG SPRINGTXDallasTX</v>
      </c>
      <c r="G735" s="1">
        <v>460</v>
      </c>
      <c r="H735" s="38">
        <f>G735*COSTS!$AA$27</f>
        <v>690</v>
      </c>
      <c r="I735" s="1">
        <f>COSTS!$AA$28</f>
        <v>50</v>
      </c>
      <c r="J735" s="38">
        <f t="shared" si="36"/>
        <v>740</v>
      </c>
      <c r="K735" s="38">
        <f t="shared" si="37"/>
        <v>168.18181818181816</v>
      </c>
      <c r="L735" s="151">
        <v>46023</v>
      </c>
      <c r="M735" s="1">
        <f>VLOOKUP(F:F,[1]Sheet1!$E:$F,2,FALSE)</f>
        <v>509</v>
      </c>
    </row>
    <row r="736" spans="1:13" hidden="1">
      <c r="A736" s="1" t="s">
        <v>1598</v>
      </c>
      <c r="B736" s="1" t="s">
        <v>71</v>
      </c>
      <c r="C736" s="1" t="s">
        <v>439</v>
      </c>
      <c r="D736" s="1" t="s">
        <v>71</v>
      </c>
      <c r="E736" s="1" t="str">
        <f t="shared" si="38"/>
        <v>BIG SPRINGHouston</v>
      </c>
      <c r="F736" s="1" t="str">
        <f t="shared" si="40"/>
        <v>BIG SPRINGTXHoustonTX</v>
      </c>
      <c r="G736" s="1">
        <v>725</v>
      </c>
      <c r="H736" s="38">
        <f>G736*COSTS!$AA$27</f>
        <v>1087.5</v>
      </c>
      <c r="I736" s="1">
        <f>COSTS!$AA$28</f>
        <v>50</v>
      </c>
      <c r="J736" s="38">
        <f t="shared" si="36"/>
        <v>1137.5</v>
      </c>
      <c r="K736" s="38">
        <f t="shared" si="37"/>
        <v>258.52272727272725</v>
      </c>
      <c r="L736" s="151">
        <v>46023</v>
      </c>
      <c r="M736" s="1">
        <f>VLOOKUP(F:F,[1]Sheet1!$E:$F,2,FALSE)</f>
        <v>968</v>
      </c>
    </row>
    <row r="737" spans="1:13" hidden="1">
      <c r="A737" s="1" t="s">
        <v>1570</v>
      </c>
      <c r="B737" s="1" t="s">
        <v>71</v>
      </c>
      <c r="C737" s="1" t="s">
        <v>1274</v>
      </c>
      <c r="D737" s="1" t="s">
        <v>71</v>
      </c>
      <c r="E737" s="1" t="str">
        <f t="shared" si="38"/>
        <v>BROWNFIELDWESLACO</v>
      </c>
      <c r="F737" s="1" t="str">
        <f t="shared" si="40"/>
        <v>BROWNFIELDTXWESLACOTX</v>
      </c>
      <c r="G737" s="1">
        <v>987</v>
      </c>
      <c r="H737" s="38">
        <f>G737*COSTS!$AA$27</f>
        <v>1480.5</v>
      </c>
      <c r="I737" s="1">
        <f>COSTS!$AA$28</f>
        <v>50</v>
      </c>
      <c r="J737" s="38">
        <f t="shared" si="36"/>
        <v>1530.5</v>
      </c>
      <c r="K737" s="38">
        <f t="shared" si="37"/>
        <v>347.84090909090907</v>
      </c>
      <c r="L737" s="151">
        <v>46023</v>
      </c>
      <c r="M737" s="1">
        <f>VLOOKUP(F:F,[1]Sheet1!$E:$F,2,FALSE)</f>
        <v>1218</v>
      </c>
    </row>
    <row r="738" spans="1:13" hidden="1">
      <c r="A738" s="1" t="s">
        <v>1570</v>
      </c>
      <c r="B738" s="1" t="s">
        <v>71</v>
      </c>
      <c r="C738" s="1" t="s">
        <v>241</v>
      </c>
      <c r="D738" s="1" t="s">
        <v>71</v>
      </c>
      <c r="E738" s="1" t="str">
        <f t="shared" si="38"/>
        <v>BROWNFIELDDallas</v>
      </c>
      <c r="F738" s="1" t="str">
        <f t="shared" si="40"/>
        <v>BROWNFIELDTXDallasTX</v>
      </c>
      <c r="G738" s="1">
        <v>530</v>
      </c>
      <c r="H738" s="38">
        <f>G738*COSTS!$AA$27</f>
        <v>795</v>
      </c>
      <c r="I738" s="1">
        <f>COSTS!$AA$28</f>
        <v>50</v>
      </c>
      <c r="J738" s="38">
        <f t="shared" si="36"/>
        <v>845</v>
      </c>
      <c r="K738" s="38">
        <f t="shared" si="37"/>
        <v>192.04545454545453</v>
      </c>
      <c r="L738" s="151">
        <v>46023</v>
      </c>
      <c r="M738" s="1">
        <f>VLOOKUP(F:F,[1]Sheet1!$E:$F,2,FALSE)</f>
        <v>644</v>
      </c>
    </row>
    <row r="739" spans="1:13" hidden="1">
      <c r="A739" s="1" t="s">
        <v>1570</v>
      </c>
      <c r="B739" s="1" t="s">
        <v>71</v>
      </c>
      <c r="C739" s="1" t="s">
        <v>439</v>
      </c>
      <c r="D739" s="1" t="s">
        <v>71</v>
      </c>
      <c r="E739" s="1" t="str">
        <f t="shared" si="38"/>
        <v>BROWNFIELDHouston</v>
      </c>
      <c r="F739" s="1" t="str">
        <f t="shared" si="40"/>
        <v>BROWNFIELDTXHoustonTX</v>
      </c>
      <c r="G739" s="1">
        <v>750</v>
      </c>
      <c r="H739" s="38">
        <f>G739*COSTS!$AA$27</f>
        <v>1125</v>
      </c>
      <c r="I739" s="1">
        <f>COSTS!$AA$28</f>
        <v>50</v>
      </c>
      <c r="J739" s="38">
        <f t="shared" si="36"/>
        <v>1175</v>
      </c>
      <c r="K739" s="38">
        <f t="shared" si="37"/>
        <v>267.0454545454545</v>
      </c>
      <c r="L739" s="151">
        <v>46023</v>
      </c>
      <c r="M739" s="1">
        <f>VLOOKUP(F:F,[1]Sheet1!$E:$F,2,FALSE)</f>
        <v>1061</v>
      </c>
    </row>
    <row r="740" spans="1:13" hidden="1">
      <c r="A740" s="1" t="s">
        <v>1571</v>
      </c>
      <c r="B740" s="1" t="s">
        <v>71</v>
      </c>
      <c r="C740" s="1" t="s">
        <v>1274</v>
      </c>
      <c r="D740" s="1" t="s">
        <v>71</v>
      </c>
      <c r="E740" s="1" t="str">
        <f t="shared" si="38"/>
        <v>BRYANWESLACO</v>
      </c>
      <c r="F740" s="1" t="str">
        <f t="shared" si="40"/>
        <v>BRYANTXWESLACOTX</v>
      </c>
      <c r="G740" s="1">
        <v>648.59999999999991</v>
      </c>
      <c r="H740" s="38">
        <f>G740*COSTS!$AA$27</f>
        <v>972.89999999999986</v>
      </c>
      <c r="I740" s="1">
        <f>COSTS!$AA$28</f>
        <v>50</v>
      </c>
      <c r="J740" s="38">
        <f t="shared" si="36"/>
        <v>1022.8999999999999</v>
      </c>
      <c r="K740" s="38">
        <f t="shared" si="37"/>
        <v>232.47727272727272</v>
      </c>
      <c r="L740" s="151">
        <v>46023</v>
      </c>
      <c r="M740" s="1">
        <f>VLOOKUP(F:F,[1]Sheet1!$E:$F,2,FALSE)</f>
        <v>658</v>
      </c>
    </row>
    <row r="741" spans="1:13" hidden="1">
      <c r="A741" s="1" t="s">
        <v>1571</v>
      </c>
      <c r="B741" s="1" t="s">
        <v>71</v>
      </c>
      <c r="C741" s="1" t="s">
        <v>241</v>
      </c>
      <c r="D741" s="1" t="s">
        <v>71</v>
      </c>
      <c r="E741" s="1" t="str">
        <f t="shared" si="38"/>
        <v>BRYANDallas</v>
      </c>
      <c r="F741" s="1" t="str">
        <f t="shared" si="40"/>
        <v>BRYANTXDallasTX</v>
      </c>
      <c r="G741" s="1">
        <v>495</v>
      </c>
      <c r="H741" s="38">
        <f>G741*COSTS!$AA$27</f>
        <v>742.5</v>
      </c>
      <c r="I741" s="1">
        <f>COSTS!$AA$28</f>
        <v>50</v>
      </c>
      <c r="J741" s="38">
        <f t="shared" si="36"/>
        <v>792.5</v>
      </c>
      <c r="K741" s="38">
        <f t="shared" si="37"/>
        <v>180.11363636363637</v>
      </c>
      <c r="L741" s="151">
        <v>46023</v>
      </c>
      <c r="M741" s="1">
        <f>VLOOKUP(F:F,[1]Sheet1!$E:$F,2,FALSE)</f>
        <v>0</v>
      </c>
    </row>
    <row r="742" spans="1:13" hidden="1">
      <c r="A742" s="1" t="s">
        <v>1571</v>
      </c>
      <c r="B742" s="1" t="s">
        <v>71</v>
      </c>
      <c r="C742" s="1" t="s">
        <v>439</v>
      </c>
      <c r="D742" s="1" t="s">
        <v>71</v>
      </c>
      <c r="E742" s="1" t="str">
        <f t="shared" si="38"/>
        <v>BRYANHouston</v>
      </c>
      <c r="F742" s="1" t="str">
        <f t="shared" si="40"/>
        <v>BRYANTXHoustonTX</v>
      </c>
      <c r="G742" s="1">
        <v>575</v>
      </c>
      <c r="H742" s="38">
        <f>G742*COSTS!$AA$27</f>
        <v>862.5</v>
      </c>
      <c r="I742" s="1">
        <f>COSTS!$AA$28</f>
        <v>50</v>
      </c>
      <c r="J742" s="38">
        <f t="shared" si="36"/>
        <v>912.5</v>
      </c>
      <c r="K742" s="38">
        <f t="shared" si="37"/>
        <v>207.38636363636363</v>
      </c>
      <c r="L742" s="151">
        <v>46023</v>
      </c>
      <c r="M742" s="1">
        <f>VLOOKUP(F:F,[1]Sheet1!$E:$F,2,FALSE)</f>
        <v>483</v>
      </c>
    </row>
    <row r="743" spans="1:13" hidden="1">
      <c r="A743" s="1" t="s">
        <v>1599</v>
      </c>
      <c r="B743" s="1" t="s">
        <v>71</v>
      </c>
      <c r="C743" s="1" t="s">
        <v>241</v>
      </c>
      <c r="D743" s="1" t="s">
        <v>71</v>
      </c>
      <c r="E743" s="1" t="str">
        <f t="shared" si="38"/>
        <v>COOPERDallas</v>
      </c>
      <c r="F743" s="1" t="str">
        <f t="shared" si="40"/>
        <v>COOPERTXDallasTX</v>
      </c>
      <c r="G743" s="1">
        <v>350</v>
      </c>
      <c r="H743" s="38">
        <f>G743*COSTS!$AA$27</f>
        <v>525</v>
      </c>
      <c r="I743" s="1">
        <f>COSTS!$AA$28</f>
        <v>50</v>
      </c>
      <c r="J743" s="38">
        <f t="shared" si="36"/>
        <v>575</v>
      </c>
      <c r="K743" s="38">
        <f t="shared" si="37"/>
        <v>130.68181818181819</v>
      </c>
      <c r="L743" s="151">
        <v>46023</v>
      </c>
      <c r="M743" s="1" t="e">
        <f>VLOOKUP(F:F,[1]Sheet1!$E:$F,2,FALSE)</f>
        <v>#N/A</v>
      </c>
    </row>
    <row r="744" spans="1:13" hidden="1">
      <c r="A744" s="1" t="s">
        <v>1572</v>
      </c>
      <c r="B744" s="1" t="s">
        <v>71</v>
      </c>
      <c r="C744" s="1" t="s">
        <v>1274</v>
      </c>
      <c r="D744" s="1" t="s">
        <v>71</v>
      </c>
      <c r="E744" s="1" t="str">
        <f t="shared" si="38"/>
        <v>CORPUS CHRISTIWESLACO</v>
      </c>
      <c r="F744" s="1" t="str">
        <f t="shared" si="40"/>
        <v>CORPUS CHRISTITXWESLACOTX</v>
      </c>
      <c r="G744" s="1">
        <v>662.69999999999993</v>
      </c>
      <c r="H744" s="38">
        <f>G744*COSTS!$AA$27</f>
        <v>994.05</v>
      </c>
      <c r="I744" s="1">
        <f>COSTS!$AA$28</f>
        <v>50</v>
      </c>
      <c r="J744" s="38">
        <f t="shared" si="36"/>
        <v>1044.05</v>
      </c>
      <c r="K744" s="38">
        <f t="shared" si="37"/>
        <v>237.28409090909088</v>
      </c>
      <c r="L744" s="151">
        <v>46023</v>
      </c>
      <c r="M744" s="1">
        <f>VLOOKUP(F:F,[1]Sheet1!$E:$F,2,FALSE)</f>
        <v>542</v>
      </c>
    </row>
    <row r="745" spans="1:13" hidden="1">
      <c r="A745" s="1" t="s">
        <v>1572</v>
      </c>
      <c r="B745" s="1" t="s">
        <v>71</v>
      </c>
      <c r="C745" s="1" t="s">
        <v>241</v>
      </c>
      <c r="D745" s="1" t="s">
        <v>71</v>
      </c>
      <c r="E745" s="1" t="str">
        <f t="shared" si="38"/>
        <v>CORPUS CHRISTIDallas</v>
      </c>
      <c r="F745" s="1" t="str">
        <f t="shared" si="40"/>
        <v>CORPUS CHRISTITXDallasTX</v>
      </c>
      <c r="G745" s="1">
        <v>825</v>
      </c>
      <c r="H745" s="38">
        <f>G745*COSTS!$AA$27</f>
        <v>1237.5</v>
      </c>
      <c r="I745" s="1">
        <f>COSTS!$AA$28</f>
        <v>50</v>
      </c>
      <c r="J745" s="38">
        <f t="shared" si="36"/>
        <v>1287.5</v>
      </c>
      <c r="K745" s="38">
        <f t="shared" si="37"/>
        <v>292.61363636363637</v>
      </c>
      <c r="L745" s="151">
        <v>46023</v>
      </c>
      <c r="M745" s="1">
        <f>VLOOKUP(F:F,[1]Sheet1!$E:$F,2,FALSE)</f>
        <v>0</v>
      </c>
    </row>
    <row r="746" spans="1:13" hidden="1">
      <c r="A746" s="1" t="s">
        <v>1572</v>
      </c>
      <c r="B746" s="1" t="s">
        <v>71</v>
      </c>
      <c r="C746" s="1" t="s">
        <v>439</v>
      </c>
      <c r="D746" s="1" t="s">
        <v>71</v>
      </c>
      <c r="E746" s="1" t="str">
        <f t="shared" si="38"/>
        <v>CORPUS CHRISTIHouston</v>
      </c>
      <c r="F746" s="1" t="str">
        <f t="shared" si="40"/>
        <v>CORPUS CHRISTITXHoustonTX</v>
      </c>
      <c r="G746" s="1">
        <v>575</v>
      </c>
      <c r="H746" s="38">
        <f>G746*COSTS!$AA$27</f>
        <v>862.5</v>
      </c>
      <c r="I746" s="1">
        <f>COSTS!$AA$28</f>
        <v>50</v>
      </c>
      <c r="J746" s="38">
        <f t="shared" si="36"/>
        <v>912.5</v>
      </c>
      <c r="K746" s="38">
        <f t="shared" si="37"/>
        <v>207.38636363636363</v>
      </c>
      <c r="L746" s="151">
        <v>46023</v>
      </c>
      <c r="M746" s="1">
        <f>VLOOKUP(F:F,[1]Sheet1!$E:$F,2,FALSE)</f>
        <v>724</v>
      </c>
    </row>
    <row r="747" spans="1:13" hidden="1">
      <c r="A747" s="1" t="s">
        <v>1573</v>
      </c>
      <c r="B747" s="1" t="s">
        <v>71</v>
      </c>
      <c r="C747" s="1" t="s">
        <v>1274</v>
      </c>
      <c r="D747" s="1" t="s">
        <v>71</v>
      </c>
      <c r="E747" s="1" t="str">
        <f t="shared" ref="E747:E778" si="41">A747&amp;C747</f>
        <v>DALLASWESLACO</v>
      </c>
      <c r="F747" s="1" t="str">
        <f t="shared" si="40"/>
        <v>DALLASTXWESLACOTX</v>
      </c>
      <c r="G747" s="1">
        <v>845.06</v>
      </c>
      <c r="H747" s="38">
        <f>G747*COSTS!$AA$27</f>
        <v>1267.5899999999999</v>
      </c>
      <c r="I747" s="1">
        <f>COSTS!$AA$28</f>
        <v>50</v>
      </c>
      <c r="J747" s="38">
        <f t="shared" si="36"/>
        <v>1317.59</v>
      </c>
      <c r="K747" s="38">
        <f t="shared" si="37"/>
        <v>299.45227272727271</v>
      </c>
      <c r="L747" s="151">
        <v>46023</v>
      </c>
      <c r="M747" s="1">
        <f>VLOOKUP(F:F,[1]Sheet1!$E:$F,2,FALSE)</f>
        <v>827</v>
      </c>
    </row>
    <row r="748" spans="1:13" hidden="1">
      <c r="A748" s="1" t="s">
        <v>1573</v>
      </c>
      <c r="B748" s="1" t="s">
        <v>71</v>
      </c>
      <c r="C748" s="1" t="s">
        <v>241</v>
      </c>
      <c r="D748" s="1" t="s">
        <v>71</v>
      </c>
      <c r="E748" s="1" t="str">
        <f t="shared" si="41"/>
        <v>DALLASDallas</v>
      </c>
      <c r="F748" s="1" t="str">
        <f t="shared" si="40"/>
        <v>DALLASTXDallasTX</v>
      </c>
      <c r="G748" s="1">
        <v>255</v>
      </c>
      <c r="H748" s="38">
        <f>G748*COSTS!$AA$27</f>
        <v>382.5</v>
      </c>
      <c r="I748" s="1">
        <f>COSTS!$AA$28</f>
        <v>50</v>
      </c>
      <c r="J748" s="38">
        <f t="shared" si="36"/>
        <v>432.5</v>
      </c>
      <c r="K748" s="38">
        <f t="shared" si="37"/>
        <v>98.295454545454547</v>
      </c>
      <c r="L748" s="151">
        <v>46023</v>
      </c>
      <c r="M748" s="1">
        <f>VLOOKUP(F:F,[1]Sheet1!$E:$F,2,FALSE)</f>
        <v>315</v>
      </c>
    </row>
    <row r="749" spans="1:13" hidden="1">
      <c r="A749" s="1" t="s">
        <v>1573</v>
      </c>
      <c r="B749" s="1" t="s">
        <v>71</v>
      </c>
      <c r="C749" s="1" t="s">
        <v>439</v>
      </c>
      <c r="D749" s="1" t="s">
        <v>71</v>
      </c>
      <c r="E749" s="1" t="str">
        <f t="shared" si="41"/>
        <v>DALLASHouston</v>
      </c>
      <c r="F749" s="1" t="str">
        <f t="shared" si="40"/>
        <v>DALLASTXHoustonTX</v>
      </c>
      <c r="G749" s="1">
        <v>575</v>
      </c>
      <c r="H749" s="38">
        <f>G749*COSTS!$AA$27</f>
        <v>862.5</v>
      </c>
      <c r="I749" s="1">
        <f>COSTS!$AA$28</f>
        <v>50</v>
      </c>
      <c r="J749" s="38">
        <f t="shared" si="36"/>
        <v>912.5</v>
      </c>
      <c r="K749" s="38">
        <f t="shared" si="37"/>
        <v>207.38636363636363</v>
      </c>
      <c r="L749" s="151">
        <v>46023</v>
      </c>
      <c r="M749" s="1">
        <f>VLOOKUP(F:F,[1]Sheet1!$E:$F,2,FALSE)</f>
        <v>633</v>
      </c>
    </row>
    <row r="750" spans="1:13" hidden="1">
      <c r="A750" s="1" t="s">
        <v>256</v>
      </c>
      <c r="B750" s="1" t="s">
        <v>71</v>
      </c>
      <c r="C750" s="1" t="s">
        <v>241</v>
      </c>
      <c r="D750" s="1" t="s">
        <v>71</v>
      </c>
      <c r="E750" s="1" t="str">
        <f t="shared" si="41"/>
        <v>Denver CityDallas</v>
      </c>
      <c r="F750" s="1" t="str">
        <f t="shared" si="40"/>
        <v>Denver CityTXDallasTX</v>
      </c>
      <c r="G750" s="1">
        <v>634</v>
      </c>
      <c r="H750" s="38">
        <f>G750*COSTS!$AA$27</f>
        <v>951</v>
      </c>
      <c r="I750" s="1">
        <f>COSTS!$AA$28</f>
        <v>50</v>
      </c>
      <c r="J750" s="38">
        <f t="shared" si="36"/>
        <v>1001</v>
      </c>
      <c r="K750" s="38">
        <f t="shared" si="37"/>
        <v>227.5</v>
      </c>
      <c r="L750" s="151">
        <v>46023</v>
      </c>
      <c r="M750" s="1">
        <f>VLOOKUP(F:F,[1]Sheet1!$E:$F,2,FALSE)</f>
        <v>634</v>
      </c>
    </row>
    <row r="751" spans="1:13" hidden="1">
      <c r="A751" s="1" t="s">
        <v>256</v>
      </c>
      <c r="B751" s="1" t="s">
        <v>71</v>
      </c>
      <c r="C751" s="1" t="s">
        <v>439</v>
      </c>
      <c r="D751" s="1" t="s">
        <v>71</v>
      </c>
      <c r="E751" s="1" t="str">
        <f t="shared" si="41"/>
        <v>Denver CityHouston</v>
      </c>
      <c r="F751" s="1" t="str">
        <f t="shared" si="40"/>
        <v>Denver CityTXHoustonTX</v>
      </c>
      <c r="G751" s="1">
        <v>1126</v>
      </c>
      <c r="H751" s="38">
        <f>G751*COSTS!$AA$27</f>
        <v>1689</v>
      </c>
      <c r="I751" s="1">
        <f>COSTS!$AA$28</f>
        <v>50</v>
      </c>
      <c r="J751" s="38">
        <f t="shared" si="36"/>
        <v>1739</v>
      </c>
      <c r="K751" s="38">
        <f t="shared" si="37"/>
        <v>395.22727272727275</v>
      </c>
      <c r="L751" s="151">
        <v>46023</v>
      </c>
      <c r="M751" s="1">
        <f>VLOOKUP(F:F,[1]Sheet1!$E:$F,2,FALSE)</f>
        <v>1126</v>
      </c>
    </row>
    <row r="752" spans="1:13" hidden="1">
      <c r="A752" s="1" t="s">
        <v>1600</v>
      </c>
      <c r="B752" s="1" t="s">
        <v>71</v>
      </c>
      <c r="C752" s="1" t="s">
        <v>241</v>
      </c>
      <c r="D752" s="1" t="s">
        <v>71</v>
      </c>
      <c r="E752" s="1" t="str">
        <f t="shared" si="41"/>
        <v>DEPORTDallas</v>
      </c>
      <c r="F752" s="1" t="str">
        <f t="shared" si="40"/>
        <v>DEPORTTXDallasTX</v>
      </c>
      <c r="G752" s="1">
        <v>350</v>
      </c>
      <c r="H752" s="38">
        <f>G752*COSTS!$AA$27</f>
        <v>525</v>
      </c>
      <c r="I752" s="1">
        <f>COSTS!$AA$28</f>
        <v>50</v>
      </c>
      <c r="J752" s="38">
        <f t="shared" si="36"/>
        <v>575</v>
      </c>
      <c r="K752" s="38">
        <f t="shared" si="37"/>
        <v>130.68181818181819</v>
      </c>
      <c r="L752" s="151">
        <v>46023</v>
      </c>
      <c r="M752" s="1">
        <f>VLOOKUP(F:F,[1]Sheet1!$E:$F,2,FALSE)</f>
        <v>427</v>
      </c>
    </row>
    <row r="753" spans="1:13" hidden="1">
      <c r="A753" s="1" t="s">
        <v>1612</v>
      </c>
      <c r="B753" s="1" t="s">
        <v>71</v>
      </c>
      <c r="C753" s="1" t="s">
        <v>439</v>
      </c>
      <c r="D753" s="1" t="s">
        <v>71</v>
      </c>
      <c r="E753" s="1" t="str">
        <f t="shared" si="41"/>
        <v>DESOTOHouston</v>
      </c>
      <c r="F753" s="1" t="str">
        <f t="shared" si="40"/>
        <v>DESOTOTXHoustonTX</v>
      </c>
      <c r="G753" s="1">
        <v>575</v>
      </c>
      <c r="H753" s="38">
        <f>G753*COSTS!$AA$27</f>
        <v>862.5</v>
      </c>
      <c r="I753" s="1">
        <f>COSTS!$AA$28</f>
        <v>50</v>
      </c>
      <c r="J753" s="38">
        <f t="shared" si="36"/>
        <v>912.5</v>
      </c>
      <c r="K753" s="38">
        <f t="shared" si="37"/>
        <v>207.38636363636363</v>
      </c>
      <c r="L753" s="151">
        <v>46023</v>
      </c>
      <c r="M753" s="1">
        <f>VLOOKUP(F:F,[1]Sheet1!$E:$F,2,FALSE)</f>
        <v>524</v>
      </c>
    </row>
    <row r="754" spans="1:13" hidden="1">
      <c r="A754" s="1" t="s">
        <v>1574</v>
      </c>
      <c r="B754" s="1" t="s">
        <v>71</v>
      </c>
      <c r="C754" s="1" t="s">
        <v>1274</v>
      </c>
      <c r="D754" s="1" t="s">
        <v>71</v>
      </c>
      <c r="E754" s="1" t="str">
        <f t="shared" si="41"/>
        <v>EL CAMPOWESLACO</v>
      </c>
      <c r="F754" s="1" t="str">
        <f t="shared" si="40"/>
        <v>EL CAMPOTXWESLACOTX</v>
      </c>
      <c r="G754" s="1">
        <v>620.4</v>
      </c>
      <c r="H754" s="38">
        <f>G754*COSTS!$AA$27</f>
        <v>930.59999999999991</v>
      </c>
      <c r="I754" s="1">
        <f>COSTS!$AA$28</f>
        <v>50</v>
      </c>
      <c r="J754" s="38">
        <f t="shared" si="36"/>
        <v>980.59999999999991</v>
      </c>
      <c r="K754" s="38">
        <f t="shared" si="37"/>
        <v>222.86363636363635</v>
      </c>
      <c r="L754" s="151">
        <v>46023</v>
      </c>
      <c r="M754" s="1">
        <f>VLOOKUP(F:F,[1]Sheet1!$E:$F,2,FALSE)</f>
        <v>519</v>
      </c>
    </row>
    <row r="755" spans="1:13" hidden="1">
      <c r="A755" s="1" t="s">
        <v>1574</v>
      </c>
      <c r="B755" s="1" t="s">
        <v>71</v>
      </c>
      <c r="C755" s="1" t="s">
        <v>241</v>
      </c>
      <c r="D755" s="1" t="s">
        <v>71</v>
      </c>
      <c r="E755" s="1" t="str">
        <f t="shared" si="41"/>
        <v>EL CAMPODallas</v>
      </c>
      <c r="F755" s="1" t="str">
        <f t="shared" si="40"/>
        <v>EL CAMPOTXDallasTX</v>
      </c>
      <c r="G755" s="1">
        <v>560</v>
      </c>
      <c r="H755" s="38">
        <f>G755*COSTS!$AA$27</f>
        <v>840</v>
      </c>
      <c r="I755" s="1">
        <f>COSTS!$AA$28</f>
        <v>50</v>
      </c>
      <c r="J755" s="38">
        <f t="shared" si="36"/>
        <v>890</v>
      </c>
      <c r="K755" s="38">
        <f t="shared" si="37"/>
        <v>202.27272727272725</v>
      </c>
      <c r="L755" s="151">
        <v>46023</v>
      </c>
      <c r="M755" s="1">
        <f>VLOOKUP(F:F,[1]Sheet1!$E:$F,2,FALSE)</f>
        <v>0</v>
      </c>
    </row>
    <row r="756" spans="1:13" hidden="1">
      <c r="A756" s="1" t="s">
        <v>1574</v>
      </c>
      <c r="B756" s="1" t="s">
        <v>71</v>
      </c>
      <c r="C756" s="1" t="s">
        <v>439</v>
      </c>
      <c r="D756" s="1" t="s">
        <v>71</v>
      </c>
      <c r="E756" s="1" t="str">
        <f t="shared" si="41"/>
        <v>EL CAMPOHouston</v>
      </c>
      <c r="F756" s="1" t="str">
        <f t="shared" si="40"/>
        <v>EL CAMPOTXHoustonTX</v>
      </c>
      <c r="G756" s="1">
        <v>450</v>
      </c>
      <c r="H756" s="38">
        <f>G756*COSTS!$AA$27</f>
        <v>675</v>
      </c>
      <c r="I756" s="1">
        <f>COSTS!$AA$28</f>
        <v>50</v>
      </c>
      <c r="J756" s="38">
        <f t="shared" si="36"/>
        <v>725</v>
      </c>
      <c r="K756" s="38">
        <f t="shared" si="37"/>
        <v>164.77272727272725</v>
      </c>
      <c r="L756" s="151">
        <v>46023</v>
      </c>
      <c r="M756" s="1">
        <f>VLOOKUP(F:F,[1]Sheet1!$E:$F,2,FALSE)</f>
        <v>648</v>
      </c>
    </row>
    <row r="757" spans="1:13" hidden="1">
      <c r="A757" s="1" t="s">
        <v>1575</v>
      </c>
      <c r="B757" s="1" t="s">
        <v>71</v>
      </c>
      <c r="C757" s="1" t="s">
        <v>1274</v>
      </c>
      <c r="D757" s="1" t="s">
        <v>71</v>
      </c>
      <c r="E757" s="1" t="str">
        <f t="shared" si="41"/>
        <v>EL PASOWESLACO</v>
      </c>
      <c r="F757" s="1" t="str">
        <f t="shared" si="40"/>
        <v>EL PASOTXWESLACOTX</v>
      </c>
      <c r="G757" s="1">
        <v>1334.8</v>
      </c>
      <c r="H757" s="38">
        <f>G757*COSTS!$AA$27</f>
        <v>2002.1999999999998</v>
      </c>
      <c r="I757" s="1">
        <f>COSTS!$AA$28</f>
        <v>50</v>
      </c>
      <c r="J757" s="38">
        <f t="shared" si="36"/>
        <v>2052.1999999999998</v>
      </c>
      <c r="K757" s="38">
        <f t="shared" si="37"/>
        <v>466.40909090909082</v>
      </c>
      <c r="L757" s="151">
        <v>46023</v>
      </c>
      <c r="M757" s="1" t="e">
        <f>VLOOKUP(F:F,[1]Sheet1!$E:$F,2,FALSE)</f>
        <v>#N/A</v>
      </c>
    </row>
    <row r="758" spans="1:13" hidden="1">
      <c r="A758" s="1" t="s">
        <v>1601</v>
      </c>
      <c r="B758" s="1" t="s">
        <v>71</v>
      </c>
      <c r="C758" s="1" t="s">
        <v>241</v>
      </c>
      <c r="D758" s="1" t="s">
        <v>71</v>
      </c>
      <c r="E758" s="1" t="str">
        <f t="shared" si="41"/>
        <v>FORT WORTHDallas</v>
      </c>
      <c r="F758" s="1" t="str">
        <f t="shared" si="40"/>
        <v>FORT WORTHTXDallasTX</v>
      </c>
      <c r="G758" s="1">
        <v>285</v>
      </c>
      <c r="H758" s="38">
        <f>G758*COSTS!$AA$27</f>
        <v>427.5</v>
      </c>
      <c r="I758" s="1">
        <f>COSTS!$AA$28</f>
        <v>50</v>
      </c>
      <c r="J758" s="38">
        <f t="shared" si="36"/>
        <v>477.5</v>
      </c>
      <c r="K758" s="38">
        <f t="shared" si="37"/>
        <v>108.52272727272727</v>
      </c>
      <c r="L758" s="151">
        <v>46023</v>
      </c>
      <c r="M758" s="1">
        <f>VLOOKUP(F:F,[1]Sheet1!$E:$F,2,FALSE)</f>
        <v>315</v>
      </c>
    </row>
    <row r="759" spans="1:13" hidden="1">
      <c r="A759" s="1" t="s">
        <v>1576</v>
      </c>
      <c r="B759" s="1" t="s">
        <v>71</v>
      </c>
      <c r="C759" s="1" t="s">
        <v>1274</v>
      </c>
      <c r="D759" s="1" t="s">
        <v>71</v>
      </c>
      <c r="E759" s="1" t="str">
        <f t="shared" si="41"/>
        <v>FT WORTHWESLACO</v>
      </c>
      <c r="F759" s="1" t="str">
        <f t="shared" si="40"/>
        <v>FT WORTHTXWESLACOTX</v>
      </c>
      <c r="G759" s="1">
        <v>835.66</v>
      </c>
      <c r="H759" s="38">
        <f>G759*COSTS!$AA$27</f>
        <v>1253.49</v>
      </c>
      <c r="I759" s="1">
        <f>COSTS!$AA$28</f>
        <v>50</v>
      </c>
      <c r="J759" s="38">
        <f t="shared" si="36"/>
        <v>1303.49</v>
      </c>
      <c r="K759" s="38">
        <f t="shared" si="37"/>
        <v>296.24772727272727</v>
      </c>
      <c r="L759" s="151">
        <v>46023</v>
      </c>
      <c r="M759" s="1" t="e">
        <f>VLOOKUP(F:F,[1]Sheet1!$E:$F,2,FALSE)</f>
        <v>#N/A</v>
      </c>
    </row>
    <row r="760" spans="1:13" hidden="1">
      <c r="A760" s="1" t="s">
        <v>1576</v>
      </c>
      <c r="B760" s="1" t="s">
        <v>71</v>
      </c>
      <c r="C760" s="1" t="s">
        <v>241</v>
      </c>
      <c r="D760" s="1" t="s">
        <v>71</v>
      </c>
      <c r="E760" s="1" t="str">
        <f t="shared" si="41"/>
        <v>FT WORTHDallas</v>
      </c>
      <c r="F760" s="1" t="str">
        <f t="shared" si="40"/>
        <v>FT WORTHTXDallasTX</v>
      </c>
      <c r="G760" s="1">
        <v>285</v>
      </c>
      <c r="H760" s="38">
        <f>G760*COSTS!$AA$27</f>
        <v>427.5</v>
      </c>
      <c r="I760" s="1">
        <f>COSTS!$AA$28</f>
        <v>50</v>
      </c>
      <c r="J760" s="38">
        <f t="shared" si="36"/>
        <v>477.5</v>
      </c>
      <c r="K760" s="38">
        <f t="shared" si="37"/>
        <v>108.52272727272727</v>
      </c>
      <c r="L760" s="151">
        <v>46023</v>
      </c>
      <c r="M760" s="1" t="e">
        <f>VLOOKUP(F:F,[1]Sheet1!$E:$F,2,FALSE)</f>
        <v>#N/A</v>
      </c>
    </row>
    <row r="761" spans="1:13" hidden="1">
      <c r="A761" s="1" t="s">
        <v>2210</v>
      </c>
      <c r="B761" s="1" t="s">
        <v>71</v>
      </c>
      <c r="C761" s="1" t="s">
        <v>439</v>
      </c>
      <c r="D761" s="1" t="s">
        <v>71</v>
      </c>
      <c r="E761" s="1" t="str">
        <f t="shared" si="41"/>
        <v>Ft WorthHouston</v>
      </c>
      <c r="F761" s="1" t="str">
        <f t="shared" si="40"/>
        <v>Ft WorthTXHoustonTX</v>
      </c>
      <c r="G761" s="1">
        <v>524</v>
      </c>
      <c r="H761" s="38">
        <f>G761*COSTS!$AA$27</f>
        <v>786</v>
      </c>
      <c r="I761" s="1">
        <f>COSTS!$AA$28</f>
        <v>50</v>
      </c>
      <c r="J761" s="38">
        <f t="shared" si="36"/>
        <v>836</v>
      </c>
      <c r="K761" s="38">
        <f t="shared" si="37"/>
        <v>190</v>
      </c>
      <c r="L761" s="151">
        <v>46023</v>
      </c>
      <c r="M761" s="1" t="e">
        <f>VLOOKUP(F:F,[1]Sheet1!$E:$F,2,FALSE)</f>
        <v>#N/A</v>
      </c>
    </row>
    <row r="762" spans="1:13" hidden="1">
      <c r="A762" s="1" t="s">
        <v>1602</v>
      </c>
      <c r="B762" s="1" t="s">
        <v>71</v>
      </c>
      <c r="C762" s="1" t="s">
        <v>241</v>
      </c>
      <c r="D762" s="1" t="s">
        <v>71</v>
      </c>
      <c r="E762" s="1" t="str">
        <f t="shared" si="41"/>
        <v>GALVESTONDallas</v>
      </c>
      <c r="F762" s="1" t="str">
        <f t="shared" si="40"/>
        <v>GALVESTONTXDallasTX</v>
      </c>
      <c r="G762" s="1">
        <v>540</v>
      </c>
      <c r="H762" s="38">
        <f>G762*COSTS!$AA$27</f>
        <v>810</v>
      </c>
      <c r="I762" s="1">
        <f>COSTS!$AA$28</f>
        <v>50</v>
      </c>
      <c r="J762" s="38">
        <f t="shared" si="36"/>
        <v>860</v>
      </c>
      <c r="K762" s="38">
        <f t="shared" si="37"/>
        <v>195.45454545454547</v>
      </c>
      <c r="L762" s="151">
        <v>46023</v>
      </c>
      <c r="M762" s="1">
        <f>VLOOKUP(F:F,[1]Sheet1!$E:$F,2,FALSE)</f>
        <v>0</v>
      </c>
    </row>
    <row r="763" spans="1:13" hidden="1">
      <c r="A763" s="1" t="s">
        <v>1602</v>
      </c>
      <c r="B763" s="1" t="s">
        <v>71</v>
      </c>
      <c r="C763" s="1" t="s">
        <v>439</v>
      </c>
      <c r="D763" s="1" t="s">
        <v>71</v>
      </c>
      <c r="E763" s="1" t="str">
        <f t="shared" si="41"/>
        <v>GALVESTONHouston</v>
      </c>
      <c r="F763" s="1" t="str">
        <f t="shared" ref="F763:F784" si="42">A763&amp;B763&amp;C763&amp;D763</f>
        <v>GALVESTONTXHoustonTX</v>
      </c>
      <c r="G763" s="1">
        <v>350</v>
      </c>
      <c r="H763" s="38">
        <f>G763*COSTS!$AA$27</f>
        <v>525</v>
      </c>
      <c r="I763" s="1">
        <f>COSTS!$AA$28</f>
        <v>50</v>
      </c>
      <c r="J763" s="38">
        <f t="shared" si="36"/>
        <v>575</v>
      </c>
      <c r="K763" s="38">
        <f t="shared" si="37"/>
        <v>130.68181818181819</v>
      </c>
      <c r="L763" s="151">
        <v>46023</v>
      </c>
      <c r="M763" s="1">
        <f>VLOOKUP(F:F,[1]Sheet1!$E:$F,2,FALSE)</f>
        <v>414</v>
      </c>
    </row>
    <row r="764" spans="1:13" hidden="1">
      <c r="A764" s="1" t="s">
        <v>847</v>
      </c>
      <c r="B764" s="1" t="s">
        <v>71</v>
      </c>
      <c r="C764" s="1" t="s">
        <v>241</v>
      </c>
      <c r="D764" s="1" t="s">
        <v>71</v>
      </c>
      <c r="E764" s="1" t="str">
        <f t="shared" si="41"/>
        <v>GARDEN CITYDallas</v>
      </c>
      <c r="F764" s="1" t="str">
        <f t="shared" si="42"/>
        <v>GARDEN CITYTXDallasTX</v>
      </c>
      <c r="G764" s="1">
        <v>495</v>
      </c>
      <c r="H764" s="38">
        <f>G764*COSTS!$AA$27</f>
        <v>742.5</v>
      </c>
      <c r="I764" s="1">
        <f>COSTS!$AA$28</f>
        <v>50</v>
      </c>
      <c r="J764" s="38">
        <f t="shared" si="36"/>
        <v>792.5</v>
      </c>
      <c r="K764" s="38">
        <f t="shared" si="37"/>
        <v>180.11363636363637</v>
      </c>
      <c r="L764" s="151">
        <v>46023</v>
      </c>
      <c r="M764" s="1">
        <f>VLOOKUP(F:F,[1]Sheet1!$E:$F,2,FALSE)</f>
        <v>549</v>
      </c>
    </row>
    <row r="765" spans="1:13" hidden="1">
      <c r="A765" s="1" t="s">
        <v>847</v>
      </c>
      <c r="B765" s="1" t="s">
        <v>71</v>
      </c>
      <c r="C765" s="1" t="s">
        <v>439</v>
      </c>
      <c r="D765" s="1" t="s">
        <v>71</v>
      </c>
      <c r="E765" s="1" t="str">
        <f t="shared" si="41"/>
        <v>GARDEN CITYHouston</v>
      </c>
      <c r="F765" s="1" t="str">
        <f t="shared" si="42"/>
        <v>GARDEN CITYTXHoustonTX</v>
      </c>
      <c r="G765" s="1">
        <v>750</v>
      </c>
      <c r="H765" s="38">
        <f>G765*COSTS!$AA$27</f>
        <v>1125</v>
      </c>
      <c r="I765" s="1">
        <f>COSTS!$AA$28</f>
        <v>50</v>
      </c>
      <c r="J765" s="38">
        <f t="shared" si="36"/>
        <v>1175</v>
      </c>
      <c r="K765" s="38">
        <f t="shared" si="37"/>
        <v>267.0454545454545</v>
      </c>
      <c r="L765" s="151">
        <v>46023</v>
      </c>
      <c r="M765" s="1">
        <f>VLOOKUP(F:F,[1]Sheet1!$E:$F,2,FALSE)</f>
        <v>945</v>
      </c>
    </row>
    <row r="766" spans="1:13" hidden="1">
      <c r="A766" s="1" t="s">
        <v>1577</v>
      </c>
      <c r="B766" s="1" t="s">
        <v>71</v>
      </c>
      <c r="C766" s="1" t="s">
        <v>1274</v>
      </c>
      <c r="D766" s="1" t="s">
        <v>71</v>
      </c>
      <c r="E766" s="1" t="str">
        <f t="shared" si="41"/>
        <v>GRAND PRAIRIEWESLACO</v>
      </c>
      <c r="F766" s="1" t="str">
        <f t="shared" si="42"/>
        <v>GRAND PRAIRIETXWESLACOTX</v>
      </c>
      <c r="G766" s="1">
        <v>841.3</v>
      </c>
      <c r="H766" s="38">
        <f>G766*COSTS!$AA$27</f>
        <v>1261.9499999999998</v>
      </c>
      <c r="I766" s="1">
        <f>COSTS!$AA$28</f>
        <v>50</v>
      </c>
      <c r="J766" s="38">
        <f t="shared" si="36"/>
        <v>1311.9499999999998</v>
      </c>
      <c r="K766" s="38">
        <f t="shared" si="37"/>
        <v>298.1704545454545</v>
      </c>
      <c r="L766" s="151">
        <v>46023</v>
      </c>
      <c r="M766" s="1">
        <f>VLOOKUP(F:F,[1]Sheet1!$E:$F,2,FALSE)</f>
        <v>760</v>
      </c>
    </row>
    <row r="767" spans="1:13" hidden="1">
      <c r="A767" s="1" t="s">
        <v>1577</v>
      </c>
      <c r="B767" s="1" t="s">
        <v>71</v>
      </c>
      <c r="C767" s="1" t="s">
        <v>241</v>
      </c>
      <c r="D767" s="1" t="s">
        <v>71</v>
      </c>
      <c r="E767" s="1" t="str">
        <f t="shared" si="41"/>
        <v>GRAND PRAIRIEDallas</v>
      </c>
      <c r="F767" s="1" t="str">
        <f t="shared" si="42"/>
        <v>GRAND PRAIRIETXDallasTX</v>
      </c>
      <c r="G767" s="1">
        <v>270</v>
      </c>
      <c r="H767" s="38">
        <f>G767*COSTS!$AA$27</f>
        <v>405</v>
      </c>
      <c r="I767" s="1">
        <f>COSTS!$AA$28</f>
        <v>50</v>
      </c>
      <c r="J767" s="38">
        <f t="shared" si="36"/>
        <v>455</v>
      </c>
      <c r="K767" s="38">
        <f t="shared" si="37"/>
        <v>103.40909090909092</v>
      </c>
      <c r="L767" s="151">
        <v>46023</v>
      </c>
      <c r="M767" s="1">
        <f>VLOOKUP(F:F,[1]Sheet1!$E:$F,2,FALSE)</f>
        <v>315</v>
      </c>
    </row>
    <row r="768" spans="1:13" hidden="1">
      <c r="A768" s="1" t="s">
        <v>1577</v>
      </c>
      <c r="B768" s="1" t="s">
        <v>71</v>
      </c>
      <c r="C768" s="1" t="s">
        <v>439</v>
      </c>
      <c r="D768" s="1" t="s">
        <v>71</v>
      </c>
      <c r="E768" s="1" t="str">
        <f t="shared" si="41"/>
        <v>GRAND PRAIRIEHouston</v>
      </c>
      <c r="F768" s="1" t="str">
        <f t="shared" si="42"/>
        <v>GRAND PRAIRIETXHoustonTX</v>
      </c>
      <c r="G768" s="1">
        <v>661</v>
      </c>
      <c r="H768" s="38">
        <f>G768*COSTS!$AA$27</f>
        <v>991.5</v>
      </c>
      <c r="I768" s="1">
        <f>COSTS!$AA$28</f>
        <v>50</v>
      </c>
      <c r="J768" s="38">
        <f t="shared" si="36"/>
        <v>1041.5</v>
      </c>
      <c r="K768" s="38">
        <f t="shared" si="37"/>
        <v>236.70454545454547</v>
      </c>
      <c r="L768" s="151">
        <v>46023</v>
      </c>
      <c r="M768" s="1">
        <f>VLOOKUP(F:F,[1]Sheet1!$E:$F,2,FALSE)</f>
        <v>661</v>
      </c>
    </row>
    <row r="769" spans="1:13" hidden="1">
      <c r="A769" s="1" t="s">
        <v>1358</v>
      </c>
      <c r="B769" s="1" t="s">
        <v>71</v>
      </c>
      <c r="C769" s="1" t="s">
        <v>1274</v>
      </c>
      <c r="D769" s="1" t="s">
        <v>71</v>
      </c>
      <c r="E769" s="1" t="str">
        <f t="shared" si="41"/>
        <v>GREENVILLEWESLACO</v>
      </c>
      <c r="F769" s="1" t="str">
        <f t="shared" si="42"/>
        <v>GREENVILLETXWESLACOTX</v>
      </c>
      <c r="G769" s="1">
        <v>831.9</v>
      </c>
      <c r="H769" s="38">
        <f>G769*COSTS!$AA$27</f>
        <v>1247.8499999999999</v>
      </c>
      <c r="I769" s="1">
        <f>COSTS!$AA$28</f>
        <v>50</v>
      </c>
      <c r="J769" s="38">
        <f t="shared" si="36"/>
        <v>1297.8499999999999</v>
      </c>
      <c r="K769" s="38">
        <f t="shared" si="37"/>
        <v>294.96590909090907</v>
      </c>
      <c r="L769" s="151">
        <v>46023</v>
      </c>
      <c r="M769" s="1" t="e">
        <f>VLOOKUP(F:F,[1]Sheet1!$E:$F,2,FALSE)</f>
        <v>#N/A</v>
      </c>
    </row>
    <row r="770" spans="1:13" hidden="1">
      <c r="A770" s="1" t="s">
        <v>1603</v>
      </c>
      <c r="B770" s="1" t="s">
        <v>71</v>
      </c>
      <c r="C770" s="1" t="s">
        <v>241</v>
      </c>
      <c r="D770" s="1" t="s">
        <v>71</v>
      </c>
      <c r="E770" s="1" t="str">
        <f t="shared" si="41"/>
        <v>HARLINGENDallas</v>
      </c>
      <c r="F770" s="1" t="str">
        <f t="shared" si="42"/>
        <v>HARLINGENTXDallasTX</v>
      </c>
      <c r="G770" s="1">
        <v>905</v>
      </c>
      <c r="H770" s="38">
        <f>G770*COSTS!$AA$27</f>
        <v>1357.5</v>
      </c>
      <c r="I770" s="1">
        <f>COSTS!$AA$28</f>
        <v>50</v>
      </c>
      <c r="J770" s="38">
        <f t="shared" ref="J770:J833" si="43">H770+I770</f>
        <v>1407.5</v>
      </c>
      <c r="K770" s="38">
        <f t="shared" ref="K770:K833" si="44">(J770/88)*20</f>
        <v>319.88636363636363</v>
      </c>
      <c r="L770" s="151">
        <v>46023</v>
      </c>
      <c r="M770" s="1">
        <f>VLOOKUP(F:F,[1]Sheet1!$E:$F,2,FALSE)</f>
        <v>0</v>
      </c>
    </row>
    <row r="771" spans="1:13" hidden="1">
      <c r="A771" s="1" t="s">
        <v>1603</v>
      </c>
      <c r="B771" s="1" t="s">
        <v>71</v>
      </c>
      <c r="C771" s="1" t="s">
        <v>439</v>
      </c>
      <c r="D771" s="1" t="s">
        <v>71</v>
      </c>
      <c r="E771" s="1" t="str">
        <f t="shared" si="41"/>
        <v>HARLINGENHouston</v>
      </c>
      <c r="F771" s="1" t="str">
        <f t="shared" si="42"/>
        <v>HARLINGENTXHoustonTX</v>
      </c>
      <c r="G771" s="1">
        <v>900</v>
      </c>
      <c r="H771" s="38">
        <f>G771*COSTS!$AA$27</f>
        <v>1350</v>
      </c>
      <c r="I771" s="1">
        <f>COSTS!$AA$28</f>
        <v>50</v>
      </c>
      <c r="J771" s="38">
        <f t="shared" si="43"/>
        <v>1400</v>
      </c>
      <c r="K771" s="38">
        <f t="shared" si="44"/>
        <v>318.18181818181819</v>
      </c>
      <c r="L771" s="151">
        <v>46023</v>
      </c>
      <c r="M771" s="1">
        <f>VLOOKUP(F:F,[1]Sheet1!$E:$F,2,FALSE)</f>
        <v>1098</v>
      </c>
    </row>
    <row r="772" spans="1:13" hidden="1">
      <c r="A772" s="1" t="s">
        <v>1578</v>
      </c>
      <c r="B772" s="1" t="s">
        <v>71</v>
      </c>
      <c r="C772" s="1" t="s">
        <v>1274</v>
      </c>
      <c r="D772" s="1" t="s">
        <v>71</v>
      </c>
      <c r="E772" s="1" t="str">
        <f t="shared" si="41"/>
        <v>HASKELLWESLACO</v>
      </c>
      <c r="F772" s="1" t="str">
        <f t="shared" si="42"/>
        <v>HASKELLTXWESLACOTX</v>
      </c>
      <c r="G772" s="1">
        <v>842.24</v>
      </c>
      <c r="H772" s="38">
        <f>G772*COSTS!$AA$27</f>
        <v>1263.3600000000001</v>
      </c>
      <c r="I772" s="1">
        <f>COSTS!$AA$28</f>
        <v>50</v>
      </c>
      <c r="J772" s="38">
        <f t="shared" si="43"/>
        <v>1313.3600000000001</v>
      </c>
      <c r="K772" s="38">
        <f t="shared" si="44"/>
        <v>298.4909090909091</v>
      </c>
      <c r="L772" s="151">
        <v>46023</v>
      </c>
      <c r="M772" s="1" t="e">
        <f>VLOOKUP(F:F,[1]Sheet1!$E:$F,2,FALSE)</f>
        <v>#N/A</v>
      </c>
    </row>
    <row r="773" spans="1:13" hidden="1">
      <c r="A773" s="1" t="s">
        <v>1604</v>
      </c>
      <c r="B773" s="1" t="s">
        <v>71</v>
      </c>
      <c r="C773" s="1" t="s">
        <v>241</v>
      </c>
      <c r="D773" s="1" t="s">
        <v>71</v>
      </c>
      <c r="E773" s="1" t="str">
        <f t="shared" si="41"/>
        <v>HASLETDallas</v>
      </c>
      <c r="F773" s="1" t="str">
        <f t="shared" si="42"/>
        <v>HASLETTXDallasTX</v>
      </c>
      <c r="G773" s="1">
        <v>285</v>
      </c>
      <c r="H773" s="38">
        <f>G773*COSTS!$AA$27</f>
        <v>427.5</v>
      </c>
      <c r="I773" s="1">
        <f>COSTS!$AA$28</f>
        <v>50</v>
      </c>
      <c r="J773" s="38">
        <f t="shared" si="43"/>
        <v>477.5</v>
      </c>
      <c r="K773" s="38">
        <f t="shared" si="44"/>
        <v>108.52272727272727</v>
      </c>
      <c r="L773" s="151">
        <v>46023</v>
      </c>
      <c r="M773" s="1">
        <f>VLOOKUP(F:F,[1]Sheet1!$E:$F,2,FALSE)</f>
        <v>315</v>
      </c>
    </row>
    <row r="774" spans="1:13" hidden="1">
      <c r="A774" s="1" t="s">
        <v>1517</v>
      </c>
      <c r="B774" s="1" t="s">
        <v>71</v>
      </c>
      <c r="C774" s="1" t="s">
        <v>241</v>
      </c>
      <c r="D774" s="1" t="s">
        <v>71</v>
      </c>
      <c r="E774" s="1" t="str">
        <f t="shared" si="41"/>
        <v>HOUSTONDallas</v>
      </c>
      <c r="F774" s="1" t="str">
        <f t="shared" si="42"/>
        <v>HOUSTONTXDallasTX</v>
      </c>
      <c r="G774" s="1">
        <v>485</v>
      </c>
      <c r="H774" s="38">
        <f>G774*COSTS!$AA$27</f>
        <v>727.5</v>
      </c>
      <c r="I774" s="1">
        <f>COSTS!$AA$28</f>
        <v>50</v>
      </c>
      <c r="J774" s="38">
        <f t="shared" si="43"/>
        <v>777.5</v>
      </c>
      <c r="K774" s="38">
        <f t="shared" si="44"/>
        <v>176.70454545454547</v>
      </c>
      <c r="L774" s="151">
        <v>46023</v>
      </c>
      <c r="M774" s="1">
        <f>VLOOKUP(F:F,[1]Sheet1!$E:$F,2,FALSE)</f>
        <v>549</v>
      </c>
    </row>
    <row r="775" spans="1:13" hidden="1">
      <c r="A775" s="1" t="s">
        <v>1517</v>
      </c>
      <c r="B775" s="1" t="s">
        <v>71</v>
      </c>
      <c r="C775" s="1" t="s">
        <v>439</v>
      </c>
      <c r="D775" s="1" t="s">
        <v>71</v>
      </c>
      <c r="E775" s="1" t="str">
        <f t="shared" si="41"/>
        <v>HOUSTONHouston</v>
      </c>
      <c r="F775" s="1" t="str">
        <f t="shared" si="42"/>
        <v>HOUSTONTXHoustonTX</v>
      </c>
      <c r="G775" s="1">
        <v>350</v>
      </c>
      <c r="H775" s="38">
        <f>G775*COSTS!$AA$27</f>
        <v>525</v>
      </c>
      <c r="I775" s="1">
        <f>COSTS!$AA$28</f>
        <v>50</v>
      </c>
      <c r="J775" s="38">
        <f t="shared" si="43"/>
        <v>575</v>
      </c>
      <c r="K775" s="38">
        <f t="shared" si="44"/>
        <v>130.68181818181819</v>
      </c>
      <c r="L775" s="151">
        <v>46023</v>
      </c>
      <c r="M775" s="1">
        <f>VLOOKUP(F:F,[1]Sheet1!$E:$F,2,FALSE)</f>
        <v>368</v>
      </c>
    </row>
    <row r="776" spans="1:13" hidden="1">
      <c r="A776" s="1" t="s">
        <v>1579</v>
      </c>
      <c r="B776" s="1" t="s">
        <v>71</v>
      </c>
      <c r="C776" s="1" t="s">
        <v>1274</v>
      </c>
      <c r="D776" s="1" t="s">
        <v>71</v>
      </c>
      <c r="E776" s="1" t="str">
        <f t="shared" si="41"/>
        <v>LAMESAWESLACO</v>
      </c>
      <c r="F776" s="1" t="str">
        <f t="shared" si="42"/>
        <v>LAMESATXWESLACOTX</v>
      </c>
      <c r="G776" s="1">
        <v>957.8599999999999</v>
      </c>
      <c r="H776" s="38">
        <f>G776*COSTS!$AA$27</f>
        <v>1436.79</v>
      </c>
      <c r="I776" s="1">
        <f>COSTS!$AA$28</f>
        <v>50</v>
      </c>
      <c r="J776" s="38">
        <f t="shared" si="43"/>
        <v>1486.79</v>
      </c>
      <c r="K776" s="38">
        <f t="shared" si="44"/>
        <v>337.90681818181815</v>
      </c>
      <c r="L776" s="151">
        <v>46023</v>
      </c>
      <c r="M776" s="1">
        <f>VLOOKUP(F:F,[1]Sheet1!$E:$F,2,FALSE)</f>
        <v>1144</v>
      </c>
    </row>
    <row r="777" spans="1:13" hidden="1">
      <c r="A777" s="1" t="s">
        <v>1579</v>
      </c>
      <c r="B777" s="1" t="s">
        <v>71</v>
      </c>
      <c r="C777" s="1" t="s">
        <v>241</v>
      </c>
      <c r="D777" s="1" t="s">
        <v>71</v>
      </c>
      <c r="E777" s="1" t="str">
        <f t="shared" si="41"/>
        <v>LAMESADallas</v>
      </c>
      <c r="F777" s="1" t="str">
        <f t="shared" si="42"/>
        <v>LAMESATXDallasTX</v>
      </c>
      <c r="G777" s="1">
        <v>540</v>
      </c>
      <c r="H777" s="38">
        <f>G777*COSTS!$AA$27</f>
        <v>810</v>
      </c>
      <c r="I777" s="1">
        <f>COSTS!$AA$28</f>
        <v>50</v>
      </c>
      <c r="J777" s="38">
        <f t="shared" si="43"/>
        <v>860</v>
      </c>
      <c r="K777" s="38">
        <f t="shared" si="44"/>
        <v>195.45454545454547</v>
      </c>
      <c r="L777" s="151">
        <v>46023</v>
      </c>
      <c r="M777" s="1">
        <f>VLOOKUP(F:F,[1]Sheet1!$E:$F,2,FALSE)</f>
        <v>549</v>
      </c>
    </row>
    <row r="778" spans="1:13" hidden="1">
      <c r="A778" s="1" t="s">
        <v>1579</v>
      </c>
      <c r="B778" s="1" t="s">
        <v>71</v>
      </c>
      <c r="C778" s="1" t="s">
        <v>439</v>
      </c>
      <c r="D778" s="1" t="s">
        <v>71</v>
      </c>
      <c r="E778" s="1" t="str">
        <f t="shared" si="41"/>
        <v>LAMESAHouston</v>
      </c>
      <c r="F778" s="1" t="str">
        <f t="shared" si="42"/>
        <v>LAMESATXHoustonTX</v>
      </c>
      <c r="G778" s="1">
        <v>750</v>
      </c>
      <c r="H778" s="38">
        <f>G778*COSTS!$AA$27</f>
        <v>1125</v>
      </c>
      <c r="I778" s="1">
        <f>COSTS!$AA$28</f>
        <v>50</v>
      </c>
      <c r="J778" s="38">
        <f t="shared" si="43"/>
        <v>1175</v>
      </c>
      <c r="K778" s="38">
        <f t="shared" si="44"/>
        <v>267.0454545454545</v>
      </c>
      <c r="L778" s="151">
        <v>46023</v>
      </c>
      <c r="M778" s="1">
        <f>VLOOKUP(F:F,[1]Sheet1!$E:$F,2,FALSE)</f>
        <v>1018</v>
      </c>
    </row>
    <row r="779" spans="1:13" hidden="1">
      <c r="A779" s="1" t="s">
        <v>1613</v>
      </c>
      <c r="B779" s="1" t="s">
        <v>71</v>
      </c>
      <c r="C779" s="1" t="s">
        <v>439</v>
      </c>
      <c r="D779" s="1" t="s">
        <v>71</v>
      </c>
      <c r="E779" s="1" t="str">
        <f t="shared" ref="E779:E810" si="45">A779&amp;C779</f>
        <v>LANCASTERHouston</v>
      </c>
      <c r="F779" s="1" t="str">
        <f t="shared" si="42"/>
        <v>LANCASTERTXHoustonTX</v>
      </c>
      <c r="G779" s="1">
        <v>575</v>
      </c>
      <c r="H779" s="38">
        <f>G779*COSTS!$AA$27</f>
        <v>862.5</v>
      </c>
      <c r="I779" s="1">
        <f>COSTS!$AA$28</f>
        <v>50</v>
      </c>
      <c r="J779" s="38">
        <f t="shared" si="43"/>
        <v>912.5</v>
      </c>
      <c r="K779" s="38">
        <f t="shared" si="44"/>
        <v>207.38636363636363</v>
      </c>
      <c r="L779" s="151">
        <v>46023</v>
      </c>
      <c r="M779" s="1" t="e">
        <f>VLOOKUP(F:F,[1]Sheet1!$E:$F,2,FALSE)</f>
        <v>#N/A</v>
      </c>
    </row>
    <row r="780" spans="1:13" hidden="1">
      <c r="A780" s="1" t="s">
        <v>1605</v>
      </c>
      <c r="B780" s="1" t="s">
        <v>71</v>
      </c>
      <c r="C780" s="1" t="s">
        <v>241</v>
      </c>
      <c r="D780" s="1" t="s">
        <v>71</v>
      </c>
      <c r="E780" s="1" t="str">
        <f t="shared" si="45"/>
        <v>LAREDODallas</v>
      </c>
      <c r="F780" s="1" t="str">
        <f t="shared" si="42"/>
        <v>LAREDOTXDallasTX</v>
      </c>
      <c r="G780" s="1">
        <v>830</v>
      </c>
      <c r="H780" s="38">
        <f>G780*COSTS!$AA$27</f>
        <v>1245</v>
      </c>
      <c r="I780" s="1">
        <f>COSTS!$AA$28</f>
        <v>50</v>
      </c>
      <c r="J780" s="38">
        <f t="shared" si="43"/>
        <v>1295</v>
      </c>
      <c r="K780" s="38">
        <f t="shared" si="44"/>
        <v>294.31818181818181</v>
      </c>
      <c r="L780" s="151">
        <v>46023</v>
      </c>
      <c r="M780" s="1">
        <f>VLOOKUP(F:F,[1]Sheet1!$E:$F,2,FALSE)</f>
        <v>899</v>
      </c>
    </row>
    <row r="781" spans="1:13" hidden="1">
      <c r="A781" s="1" t="s">
        <v>1605</v>
      </c>
      <c r="B781" s="1" t="s">
        <v>71</v>
      </c>
      <c r="C781" s="1" t="s">
        <v>439</v>
      </c>
      <c r="D781" s="1" t="s">
        <v>71</v>
      </c>
      <c r="E781" s="1" t="str">
        <f t="shared" si="45"/>
        <v>LAREDOHouston</v>
      </c>
      <c r="F781" s="1" t="str">
        <f t="shared" si="42"/>
        <v>LAREDOTXHoustonTX</v>
      </c>
      <c r="G781" s="1">
        <v>900</v>
      </c>
      <c r="H781" s="38">
        <f>G781*COSTS!$AA$27</f>
        <v>1350</v>
      </c>
      <c r="I781" s="1">
        <f>COSTS!$AA$28</f>
        <v>50</v>
      </c>
      <c r="J781" s="38">
        <f t="shared" si="43"/>
        <v>1400</v>
      </c>
      <c r="K781" s="38">
        <f t="shared" si="44"/>
        <v>318.18181818181819</v>
      </c>
      <c r="L781" s="151">
        <v>46023</v>
      </c>
      <c r="M781" s="1">
        <f>VLOOKUP(F:F,[1]Sheet1!$E:$F,2,FALSE)</f>
        <v>1124</v>
      </c>
    </row>
    <row r="782" spans="1:13" hidden="1">
      <c r="A782" s="1" t="s">
        <v>1606</v>
      </c>
      <c r="B782" s="1" t="s">
        <v>71</v>
      </c>
      <c r="C782" s="1" t="s">
        <v>241</v>
      </c>
      <c r="D782" s="1" t="s">
        <v>71</v>
      </c>
      <c r="E782" s="1" t="str">
        <f t="shared" si="45"/>
        <v>LEVELLANDDallas</v>
      </c>
      <c r="F782" s="1" t="str">
        <f t="shared" si="42"/>
        <v>LEVELLANDTXDallasTX</v>
      </c>
      <c r="G782" s="1">
        <v>550</v>
      </c>
      <c r="H782" s="38">
        <f>G782*COSTS!$AA$27</f>
        <v>825</v>
      </c>
      <c r="I782" s="1">
        <f>COSTS!$AA$28</f>
        <v>50</v>
      </c>
      <c r="J782" s="38">
        <f t="shared" si="43"/>
        <v>875</v>
      </c>
      <c r="K782" s="38">
        <f t="shared" si="44"/>
        <v>198.86363636363637</v>
      </c>
      <c r="L782" s="151">
        <v>46023</v>
      </c>
      <c r="M782" s="1">
        <f>VLOOKUP(F:F,[1]Sheet1!$E:$F,2,FALSE)</f>
        <v>574</v>
      </c>
    </row>
    <row r="783" spans="1:13" hidden="1">
      <c r="A783" s="1" t="s">
        <v>1606</v>
      </c>
      <c r="B783" s="1" t="s">
        <v>71</v>
      </c>
      <c r="C783" s="1" t="s">
        <v>439</v>
      </c>
      <c r="D783" s="1" t="s">
        <v>71</v>
      </c>
      <c r="E783" s="1" t="str">
        <f t="shared" si="45"/>
        <v>LEVELLANDHouston</v>
      </c>
      <c r="F783" s="1" t="str">
        <f t="shared" si="42"/>
        <v>LEVELLANDTXHoustonTX</v>
      </c>
      <c r="G783" s="1">
        <v>800</v>
      </c>
      <c r="H783" s="38">
        <f>G783*COSTS!$AA$27</f>
        <v>1200</v>
      </c>
      <c r="I783" s="1">
        <f>COSTS!$AA$28</f>
        <v>50</v>
      </c>
      <c r="J783" s="38">
        <f t="shared" si="43"/>
        <v>1250</v>
      </c>
      <c r="K783" s="38">
        <f t="shared" si="44"/>
        <v>284.09090909090912</v>
      </c>
      <c r="L783" s="151">
        <v>46023</v>
      </c>
      <c r="M783" s="1">
        <f>VLOOKUP(F:F,[1]Sheet1!$E:$F,2,FALSE)</f>
        <v>1091</v>
      </c>
    </row>
    <row r="784" spans="1:13" hidden="1">
      <c r="A784" s="1" t="s">
        <v>1526</v>
      </c>
      <c r="B784" s="1" t="s">
        <v>71</v>
      </c>
      <c r="C784" s="1" t="s">
        <v>439</v>
      </c>
      <c r="D784" s="1" t="s">
        <v>71</v>
      </c>
      <c r="E784" s="1" t="str">
        <f t="shared" si="45"/>
        <v>LIBERALHouston</v>
      </c>
      <c r="F784" s="1" t="str">
        <f t="shared" si="42"/>
        <v>LIBERALTXHoustonTX</v>
      </c>
      <c r="G784" s="1">
        <v>350</v>
      </c>
      <c r="H784" s="38">
        <f>G784*COSTS!$AA$27</f>
        <v>525</v>
      </c>
      <c r="I784" s="1">
        <f>COSTS!$AA$28</f>
        <v>50</v>
      </c>
      <c r="J784" s="38">
        <f t="shared" si="43"/>
        <v>575</v>
      </c>
      <c r="K784" s="38">
        <f t="shared" si="44"/>
        <v>130.68181818181819</v>
      </c>
      <c r="L784" s="151">
        <v>46023</v>
      </c>
      <c r="M784" s="1" t="e">
        <f>VLOOKUP(F:F,[1]Sheet1!$E:$F,2,FALSE)</f>
        <v>#N/A</v>
      </c>
    </row>
    <row r="785" spans="1:13" hidden="1">
      <c r="A785" s="1" t="s">
        <v>1527</v>
      </c>
      <c r="B785" s="1" t="s">
        <v>71</v>
      </c>
      <c r="C785" s="1" t="s">
        <v>1033</v>
      </c>
      <c r="D785" s="1" t="s">
        <v>168</v>
      </c>
      <c r="E785" s="1" t="str">
        <f t="shared" si="45"/>
        <v>LOCKNEYMEMPHIS</v>
      </c>
      <c r="F785" s="1" t="s">
        <v>1170</v>
      </c>
      <c r="G785" s="1">
        <v>1602</v>
      </c>
      <c r="H785" s="38">
        <f>G785*COSTS!$AA$27</f>
        <v>2403</v>
      </c>
      <c r="I785" s="1">
        <f>COSTS!$AA$28</f>
        <v>50</v>
      </c>
      <c r="J785" s="38">
        <f t="shared" si="43"/>
        <v>2453</v>
      </c>
      <c r="K785" s="38">
        <f t="shared" si="44"/>
        <v>557.5</v>
      </c>
      <c r="L785" s="151">
        <v>46023</v>
      </c>
      <c r="M785" s="1" t="e">
        <f>VLOOKUP(F:F,[1]Sheet1!$E:$F,2,FALSE)</f>
        <v>#N/A</v>
      </c>
    </row>
    <row r="786" spans="1:13" hidden="1">
      <c r="A786" s="1" t="s">
        <v>1527</v>
      </c>
      <c r="B786" s="1" t="s">
        <v>71</v>
      </c>
      <c r="C786" s="1" t="s">
        <v>1274</v>
      </c>
      <c r="D786" s="1" t="s">
        <v>71</v>
      </c>
      <c r="E786" s="1" t="str">
        <f t="shared" si="45"/>
        <v>LOCKNEYWESLACO</v>
      </c>
      <c r="F786" s="1" t="str">
        <f>A786&amp;B786&amp;C786&amp;D786</f>
        <v>LOCKNEYTXWESLACOTX</v>
      </c>
      <c r="G786" s="1">
        <v>1005.8</v>
      </c>
      <c r="H786" s="38">
        <f>G786*COSTS!$AA$27</f>
        <v>1508.6999999999998</v>
      </c>
      <c r="I786" s="1">
        <f>COSTS!$AA$28</f>
        <v>50</v>
      </c>
      <c r="J786" s="38">
        <f t="shared" si="43"/>
        <v>1558.6999999999998</v>
      </c>
      <c r="K786" s="38">
        <f t="shared" si="44"/>
        <v>354.25</v>
      </c>
      <c r="L786" s="151">
        <v>46023</v>
      </c>
      <c r="M786" s="1">
        <f>VLOOKUP(F:F,[1]Sheet1!$E:$F,2,FALSE)</f>
        <v>1286</v>
      </c>
    </row>
    <row r="787" spans="1:13" hidden="1">
      <c r="A787" s="1" t="s">
        <v>1527</v>
      </c>
      <c r="B787" s="1" t="s">
        <v>71</v>
      </c>
      <c r="C787" s="1" t="s">
        <v>241</v>
      </c>
      <c r="D787" s="1" t="s">
        <v>71</v>
      </c>
      <c r="E787" s="1" t="str">
        <f t="shared" si="45"/>
        <v>LOCKNEYDallas</v>
      </c>
      <c r="F787" s="1" t="str">
        <f>A787&amp;B787&amp;C787&amp;D787</f>
        <v>LOCKNEYTXDallasTX</v>
      </c>
      <c r="G787" s="1">
        <v>520</v>
      </c>
      <c r="H787" s="38">
        <f>G787*COSTS!$AA$27</f>
        <v>780</v>
      </c>
      <c r="I787" s="1">
        <f>COSTS!$AA$28</f>
        <v>50</v>
      </c>
      <c r="J787" s="38">
        <f t="shared" si="43"/>
        <v>830</v>
      </c>
      <c r="K787" s="38">
        <f t="shared" si="44"/>
        <v>188.63636363636363</v>
      </c>
      <c r="L787" s="151">
        <v>46023</v>
      </c>
      <c r="M787" s="1">
        <f>VLOOKUP(F:F,[1]Sheet1!$E:$F,2,FALSE)</f>
        <v>599</v>
      </c>
    </row>
    <row r="788" spans="1:13" hidden="1">
      <c r="A788" s="1" t="s">
        <v>1527</v>
      </c>
      <c r="B788" s="1" t="s">
        <v>71</v>
      </c>
      <c r="C788" s="1" t="s">
        <v>439</v>
      </c>
      <c r="D788" s="1" t="s">
        <v>71</v>
      </c>
      <c r="E788" s="1" t="str">
        <f t="shared" si="45"/>
        <v>LOCKNEYHouston</v>
      </c>
      <c r="F788" s="1" t="str">
        <f>A788&amp;B788&amp;C788&amp;D788</f>
        <v>LOCKNEYTXHoustonTX</v>
      </c>
      <c r="G788" s="1">
        <v>750</v>
      </c>
      <c r="H788" s="38">
        <f>G788*COSTS!$AA$27</f>
        <v>1125</v>
      </c>
      <c r="I788" s="1">
        <f>COSTS!$AA$28</f>
        <v>50</v>
      </c>
      <c r="J788" s="38">
        <f t="shared" si="43"/>
        <v>1175</v>
      </c>
      <c r="K788" s="38">
        <f t="shared" si="44"/>
        <v>267.0454545454545</v>
      </c>
      <c r="L788" s="151">
        <v>46023</v>
      </c>
      <c r="M788" s="1">
        <f>VLOOKUP(F:F,[1]Sheet1!$E:$F,2,FALSE)</f>
        <v>974</v>
      </c>
    </row>
    <row r="789" spans="1:13" hidden="1">
      <c r="A789" s="1" t="s">
        <v>1528</v>
      </c>
      <c r="B789" s="1" t="s">
        <v>71</v>
      </c>
      <c r="C789" s="1" t="s">
        <v>1033</v>
      </c>
      <c r="D789" s="1" t="s">
        <v>168</v>
      </c>
      <c r="E789" s="1" t="str">
        <f t="shared" si="45"/>
        <v>LUBBOCKMEMPHIS</v>
      </c>
      <c r="F789" s="1" t="s">
        <v>1172</v>
      </c>
      <c r="G789" s="1">
        <v>1634</v>
      </c>
      <c r="H789" s="38">
        <f>G789*COSTS!$AA$27</f>
        <v>2451</v>
      </c>
      <c r="I789" s="1">
        <f>COSTS!$AA$28</f>
        <v>50</v>
      </c>
      <c r="J789" s="38">
        <f t="shared" si="43"/>
        <v>2501</v>
      </c>
      <c r="K789" s="38">
        <f t="shared" si="44"/>
        <v>568.40909090909099</v>
      </c>
      <c r="L789" s="151">
        <v>46023</v>
      </c>
      <c r="M789" s="1" t="e">
        <f>VLOOKUP(F:F,[1]Sheet1!$E:$F,2,FALSE)</f>
        <v>#N/A</v>
      </c>
    </row>
    <row r="790" spans="1:13" hidden="1">
      <c r="A790" s="1" t="s">
        <v>1528</v>
      </c>
      <c r="B790" s="1" t="s">
        <v>71</v>
      </c>
      <c r="C790" s="1" t="s">
        <v>1274</v>
      </c>
      <c r="D790" s="1" t="s">
        <v>71</v>
      </c>
      <c r="E790" s="1" t="str">
        <f t="shared" si="45"/>
        <v>LUBBOCKWESLACO</v>
      </c>
      <c r="F790" s="1" t="str">
        <f>A790&amp;B790&amp;C790&amp;D790</f>
        <v>LUBBOCKTXWESLACOTX</v>
      </c>
      <c r="G790" s="1">
        <v>995.45999999999992</v>
      </c>
      <c r="H790" s="38">
        <f>G790*COSTS!$AA$27</f>
        <v>1493.1899999999998</v>
      </c>
      <c r="I790" s="1">
        <f>COSTS!$AA$28</f>
        <v>50</v>
      </c>
      <c r="J790" s="38">
        <f t="shared" si="43"/>
        <v>1543.1899999999998</v>
      </c>
      <c r="K790" s="38">
        <f t="shared" si="44"/>
        <v>350.72499999999997</v>
      </c>
      <c r="L790" s="151">
        <v>46023</v>
      </c>
      <c r="M790" s="1">
        <f>VLOOKUP(F:F,[1]Sheet1!$E:$F,2,FALSE)</f>
        <v>1233</v>
      </c>
    </row>
    <row r="791" spans="1:13" hidden="1">
      <c r="A791" s="1" t="s">
        <v>1528</v>
      </c>
      <c r="B791" s="1" t="s">
        <v>71</v>
      </c>
      <c r="C791" s="1" t="s">
        <v>241</v>
      </c>
      <c r="D791" s="1" t="s">
        <v>71</v>
      </c>
      <c r="E791" s="1" t="str">
        <f t="shared" si="45"/>
        <v>LUBBOCKDallas</v>
      </c>
      <c r="F791" s="1" t="str">
        <f>A791&amp;B791&amp;C791&amp;D791</f>
        <v>LUBBOCKTXDallasTX</v>
      </c>
      <c r="G791" s="1">
        <v>510</v>
      </c>
      <c r="H791" s="38">
        <f>G791*COSTS!$AA$27</f>
        <v>765</v>
      </c>
      <c r="I791" s="1">
        <f>COSTS!$AA$28</f>
        <v>50</v>
      </c>
      <c r="J791" s="38">
        <f t="shared" si="43"/>
        <v>815</v>
      </c>
      <c r="K791" s="38">
        <f t="shared" si="44"/>
        <v>185.22727272727275</v>
      </c>
      <c r="L791" s="151">
        <v>46023</v>
      </c>
      <c r="M791" s="1">
        <f>VLOOKUP(F:F,[1]Sheet1!$E:$F,2,FALSE)</f>
        <v>694</v>
      </c>
    </row>
    <row r="792" spans="1:13" hidden="1">
      <c r="A792" s="1" t="s">
        <v>1528</v>
      </c>
      <c r="B792" s="1" t="s">
        <v>71</v>
      </c>
      <c r="C792" s="1" t="s">
        <v>439</v>
      </c>
      <c r="D792" s="1" t="s">
        <v>71</v>
      </c>
      <c r="E792" s="1" t="str">
        <f t="shared" si="45"/>
        <v>LUBBOCKHouston</v>
      </c>
      <c r="F792" s="1" t="str">
        <f>A792&amp;B792&amp;C792&amp;D792</f>
        <v>LUBBOCKTXHoustonTX</v>
      </c>
      <c r="G792" s="1">
        <v>750</v>
      </c>
      <c r="H792" s="38">
        <f>G792*COSTS!$AA$27</f>
        <v>1125</v>
      </c>
      <c r="I792" s="1">
        <f>COSTS!$AA$28</f>
        <v>50</v>
      </c>
      <c r="J792" s="38">
        <f t="shared" si="43"/>
        <v>1175</v>
      </c>
      <c r="K792" s="38">
        <f t="shared" si="44"/>
        <v>267.0454545454545</v>
      </c>
      <c r="L792" s="151">
        <v>46023</v>
      </c>
      <c r="M792" s="1">
        <f>VLOOKUP(F:F,[1]Sheet1!$E:$F,2,FALSE)</f>
        <v>986</v>
      </c>
    </row>
    <row r="793" spans="1:13" hidden="1">
      <c r="A793" s="1" t="s">
        <v>1033</v>
      </c>
      <c r="B793" s="1" t="s">
        <v>71</v>
      </c>
      <c r="C793" s="1" t="s">
        <v>1033</v>
      </c>
      <c r="D793" s="1" t="s">
        <v>168</v>
      </c>
      <c r="E793" s="1" t="str">
        <f t="shared" si="45"/>
        <v>MEMPHISMEMPHIS</v>
      </c>
      <c r="F793" s="1" t="s">
        <v>1185</v>
      </c>
      <c r="G793" s="1">
        <v>1348</v>
      </c>
      <c r="H793" s="38">
        <f>G793*COSTS!$AA$27</f>
        <v>2022</v>
      </c>
      <c r="I793" s="1">
        <f>COSTS!$AA$28</f>
        <v>50</v>
      </c>
      <c r="J793" s="38">
        <f t="shared" si="43"/>
        <v>2072</v>
      </c>
      <c r="K793" s="38">
        <f t="shared" si="44"/>
        <v>470.90909090909093</v>
      </c>
      <c r="L793" s="151">
        <v>46023</v>
      </c>
      <c r="M793" s="1" t="e">
        <f>VLOOKUP(F:F,[1]Sheet1!$E:$F,2,FALSE)</f>
        <v>#N/A</v>
      </c>
    </row>
    <row r="794" spans="1:13" hidden="1">
      <c r="A794" s="1" t="s">
        <v>1033</v>
      </c>
      <c r="B794" s="1" t="s">
        <v>71</v>
      </c>
      <c r="C794" s="1" t="s">
        <v>1274</v>
      </c>
      <c r="D794" s="1" t="s">
        <v>71</v>
      </c>
      <c r="E794" s="1" t="str">
        <f t="shared" si="45"/>
        <v>MEMPHISWESLACO</v>
      </c>
      <c r="F794" s="1" t="str">
        <f>A794&amp;B794&amp;C794&amp;D794</f>
        <v>MEMPHISTXWESLACOTX</v>
      </c>
      <c r="G794" s="1">
        <v>1041.52</v>
      </c>
      <c r="H794" s="38">
        <f>G794*COSTS!$AA$27</f>
        <v>1562.28</v>
      </c>
      <c r="I794" s="1">
        <f>COSTS!$AA$28</f>
        <v>50</v>
      </c>
      <c r="J794" s="38">
        <f t="shared" si="43"/>
        <v>1612.28</v>
      </c>
      <c r="K794" s="38">
        <f t="shared" si="44"/>
        <v>366.42727272727268</v>
      </c>
      <c r="L794" s="151">
        <v>46023</v>
      </c>
      <c r="M794" s="1" t="e">
        <f>VLOOKUP(F:F,[1]Sheet1!$E:$F,2,FALSE)</f>
        <v>#N/A</v>
      </c>
    </row>
    <row r="795" spans="1:13" hidden="1">
      <c r="A795" s="1" t="s">
        <v>1033</v>
      </c>
      <c r="B795" s="1" t="s">
        <v>71</v>
      </c>
      <c r="C795" s="1" t="s">
        <v>241</v>
      </c>
      <c r="D795" s="1" t="s">
        <v>71</v>
      </c>
      <c r="E795" s="1" t="str">
        <f t="shared" si="45"/>
        <v>MEMPHISDallas</v>
      </c>
      <c r="F795" s="1" t="str">
        <f>A795&amp;B795&amp;C795&amp;D795</f>
        <v>MEMPHISTXDallasTX</v>
      </c>
      <c r="G795" s="1">
        <v>485</v>
      </c>
      <c r="H795" s="38">
        <f>G795*COSTS!$AA$27</f>
        <v>727.5</v>
      </c>
      <c r="I795" s="1">
        <f>COSTS!$AA$28</f>
        <v>50</v>
      </c>
      <c r="J795" s="38">
        <f t="shared" si="43"/>
        <v>777.5</v>
      </c>
      <c r="K795" s="38">
        <f t="shared" si="44"/>
        <v>176.70454545454547</v>
      </c>
      <c r="L795" s="151">
        <v>46023</v>
      </c>
      <c r="M795" s="1">
        <f>VLOOKUP(F:F,[1]Sheet1!$E:$F,2,FALSE)</f>
        <v>479</v>
      </c>
    </row>
    <row r="796" spans="1:13" hidden="1">
      <c r="A796" s="1" t="s">
        <v>1535</v>
      </c>
      <c r="B796" s="1" t="s">
        <v>71</v>
      </c>
      <c r="C796" s="1" t="s">
        <v>1033</v>
      </c>
      <c r="D796" s="1" t="s">
        <v>168</v>
      </c>
      <c r="E796" s="1" t="str">
        <f t="shared" si="45"/>
        <v>MISSIONMEMPHIS</v>
      </c>
      <c r="F796" s="1" t="s">
        <v>1191</v>
      </c>
      <c r="G796" s="1">
        <v>2102</v>
      </c>
      <c r="H796" s="38">
        <f>G796*COSTS!$AA$27</f>
        <v>3153</v>
      </c>
      <c r="I796" s="1">
        <f>COSTS!$AA$28</f>
        <v>50</v>
      </c>
      <c r="J796" s="38">
        <f t="shared" si="43"/>
        <v>3203</v>
      </c>
      <c r="K796" s="38">
        <f t="shared" si="44"/>
        <v>727.9545454545455</v>
      </c>
      <c r="L796" s="151">
        <v>46023</v>
      </c>
      <c r="M796" s="1" t="e">
        <f>VLOOKUP(F:F,[1]Sheet1!$E:$F,2,FALSE)</f>
        <v>#N/A</v>
      </c>
    </row>
    <row r="797" spans="1:13" hidden="1">
      <c r="A797" s="1" t="s">
        <v>1535</v>
      </c>
      <c r="B797" s="1" t="s">
        <v>71</v>
      </c>
      <c r="C797" s="1" t="s">
        <v>241</v>
      </c>
      <c r="D797" s="1" t="s">
        <v>71</v>
      </c>
      <c r="E797" s="1" t="str">
        <f t="shared" si="45"/>
        <v>MISSIONDallas</v>
      </c>
      <c r="F797" s="1" t="str">
        <f t="shared" ref="F797:F806" si="46">A797&amp;B797&amp;C797&amp;D797</f>
        <v>MISSIONTXDallasTX</v>
      </c>
      <c r="G797" s="1">
        <v>905</v>
      </c>
      <c r="H797" s="38">
        <f>G797*COSTS!$AA$27</f>
        <v>1357.5</v>
      </c>
      <c r="I797" s="1">
        <f>COSTS!$AA$28</f>
        <v>50</v>
      </c>
      <c r="J797" s="38">
        <f t="shared" si="43"/>
        <v>1407.5</v>
      </c>
      <c r="K797" s="38">
        <f t="shared" si="44"/>
        <v>319.88636363636363</v>
      </c>
      <c r="L797" s="151">
        <v>46023</v>
      </c>
      <c r="M797" s="1" t="e">
        <f>VLOOKUP(F:F,[1]Sheet1!$E:$F,2,FALSE)</f>
        <v>#N/A</v>
      </c>
    </row>
    <row r="798" spans="1:13" hidden="1">
      <c r="A798" s="1" t="s">
        <v>1580</v>
      </c>
      <c r="B798" s="1" t="s">
        <v>71</v>
      </c>
      <c r="C798" s="1" t="s">
        <v>1274</v>
      </c>
      <c r="D798" s="1" t="s">
        <v>71</v>
      </c>
      <c r="E798" s="1" t="str">
        <f t="shared" si="45"/>
        <v>ODEMWESLACO</v>
      </c>
      <c r="F798" s="1" t="str">
        <f t="shared" si="46"/>
        <v>ODEMTXWESLACOTX</v>
      </c>
      <c r="G798" s="1">
        <v>615.69999999999993</v>
      </c>
      <c r="H798" s="38">
        <f>G798*COSTS!$AA$27</f>
        <v>923.55</v>
      </c>
      <c r="I798" s="1">
        <f>COSTS!$AA$28</f>
        <v>50</v>
      </c>
      <c r="J798" s="38">
        <f t="shared" si="43"/>
        <v>973.55</v>
      </c>
      <c r="K798" s="38">
        <f t="shared" si="44"/>
        <v>221.26136363636363</v>
      </c>
      <c r="L798" s="151">
        <v>46023</v>
      </c>
      <c r="M798" s="1" t="e">
        <f>VLOOKUP(F:F,[1]Sheet1!$E:$F,2,FALSE)</f>
        <v>#N/A</v>
      </c>
    </row>
    <row r="799" spans="1:13" hidden="1">
      <c r="A799" s="1" t="s">
        <v>1607</v>
      </c>
      <c r="B799" s="1" t="s">
        <v>71</v>
      </c>
      <c r="C799" s="1" t="s">
        <v>241</v>
      </c>
      <c r="D799" s="1" t="s">
        <v>71</v>
      </c>
      <c r="E799" s="1" t="str">
        <f t="shared" si="45"/>
        <v>ODONNELLDallas</v>
      </c>
      <c r="F799" s="1" t="str">
        <f t="shared" si="46"/>
        <v>ODONNELLTXDallasTX</v>
      </c>
      <c r="G799" s="1">
        <v>495</v>
      </c>
      <c r="H799" s="38">
        <f>G799*COSTS!$AA$27</f>
        <v>742.5</v>
      </c>
      <c r="I799" s="1">
        <f>COSTS!$AA$28</f>
        <v>50</v>
      </c>
      <c r="J799" s="38">
        <f t="shared" si="43"/>
        <v>792.5</v>
      </c>
      <c r="K799" s="38">
        <f t="shared" si="44"/>
        <v>180.11363636363637</v>
      </c>
      <c r="L799" s="151">
        <v>46023</v>
      </c>
      <c r="M799" s="1">
        <f>VLOOKUP(F:F,[1]Sheet1!$E:$F,2,FALSE)</f>
        <v>0</v>
      </c>
    </row>
    <row r="800" spans="1:13" hidden="1">
      <c r="A800" s="1" t="s">
        <v>1607</v>
      </c>
      <c r="B800" s="1" t="s">
        <v>71</v>
      </c>
      <c r="C800" s="1" t="s">
        <v>439</v>
      </c>
      <c r="D800" s="1" t="s">
        <v>71</v>
      </c>
      <c r="E800" s="1" t="str">
        <f t="shared" si="45"/>
        <v>ODONNELLHouston</v>
      </c>
      <c r="F800" s="1" t="str">
        <f t="shared" si="46"/>
        <v>ODONNELLTXHoustonTX</v>
      </c>
      <c r="G800" s="1">
        <v>750</v>
      </c>
      <c r="H800" s="38">
        <f>G800*COSTS!$AA$27</f>
        <v>1125</v>
      </c>
      <c r="I800" s="1">
        <f>COSTS!$AA$28</f>
        <v>50</v>
      </c>
      <c r="J800" s="38">
        <f t="shared" si="43"/>
        <v>1175</v>
      </c>
      <c r="K800" s="38">
        <f t="shared" si="44"/>
        <v>267.0454545454545</v>
      </c>
      <c r="L800" s="151">
        <v>46023</v>
      </c>
      <c r="M800" s="1">
        <f>VLOOKUP(F:F,[1]Sheet1!$E:$F,2,FALSE)</f>
        <v>0</v>
      </c>
    </row>
    <row r="801" spans="1:13" hidden="1">
      <c r="A801" s="1" t="s">
        <v>1581</v>
      </c>
      <c r="B801" s="1" t="s">
        <v>71</v>
      </c>
      <c r="C801" s="1" t="s">
        <v>1274</v>
      </c>
      <c r="D801" s="1" t="s">
        <v>71</v>
      </c>
      <c r="E801" s="1" t="str">
        <f t="shared" si="45"/>
        <v>PADUCAHWESLACO</v>
      </c>
      <c r="F801" s="1" t="str">
        <f t="shared" si="46"/>
        <v>PADUCAHTXWESLACOTX</v>
      </c>
      <c r="G801" s="1">
        <v>968.19999999999993</v>
      </c>
      <c r="H801" s="38">
        <f>G801*COSTS!$AA$27</f>
        <v>1452.3</v>
      </c>
      <c r="I801" s="1">
        <f>COSTS!$AA$28</f>
        <v>50</v>
      </c>
      <c r="J801" s="38">
        <f t="shared" si="43"/>
        <v>1502.3</v>
      </c>
      <c r="K801" s="38">
        <f t="shared" si="44"/>
        <v>341.43181818181813</v>
      </c>
      <c r="L801" s="151">
        <v>46023</v>
      </c>
      <c r="M801" s="1">
        <f>VLOOKUP(F:F,[1]Sheet1!$E:$F,2,FALSE)</f>
        <v>1222</v>
      </c>
    </row>
    <row r="802" spans="1:13" hidden="1">
      <c r="A802" s="1" t="s">
        <v>1581</v>
      </c>
      <c r="B802" s="1" t="s">
        <v>71</v>
      </c>
      <c r="C802" s="1" t="s">
        <v>241</v>
      </c>
      <c r="D802" s="1" t="s">
        <v>71</v>
      </c>
      <c r="E802" s="1" t="str">
        <f t="shared" si="45"/>
        <v>PADUCAHDallas</v>
      </c>
      <c r="F802" s="1" t="str">
        <f t="shared" si="46"/>
        <v>PADUCAHTXDallasTX</v>
      </c>
      <c r="G802" s="1">
        <v>485</v>
      </c>
      <c r="H802" s="38">
        <f>G802*COSTS!$AA$27</f>
        <v>727.5</v>
      </c>
      <c r="I802" s="1">
        <f>COSTS!$AA$28</f>
        <v>50</v>
      </c>
      <c r="J802" s="38">
        <f t="shared" si="43"/>
        <v>777.5</v>
      </c>
      <c r="K802" s="38">
        <f t="shared" si="44"/>
        <v>176.70454545454547</v>
      </c>
      <c r="L802" s="151">
        <v>46023</v>
      </c>
      <c r="M802" s="1">
        <f>VLOOKUP(F:F,[1]Sheet1!$E:$F,2,FALSE)</f>
        <v>519</v>
      </c>
    </row>
    <row r="803" spans="1:13" hidden="1">
      <c r="A803" s="1" t="s">
        <v>1581</v>
      </c>
      <c r="B803" s="1" t="s">
        <v>71</v>
      </c>
      <c r="C803" s="1" t="s">
        <v>439</v>
      </c>
      <c r="D803" s="1" t="s">
        <v>71</v>
      </c>
      <c r="E803" s="1" t="str">
        <f t="shared" si="45"/>
        <v>PADUCAHHouston</v>
      </c>
      <c r="F803" s="1" t="str">
        <f t="shared" si="46"/>
        <v>PADUCAHTXHoustonTX</v>
      </c>
      <c r="G803" s="1">
        <v>850</v>
      </c>
      <c r="H803" s="38">
        <f>G803*COSTS!$AA$27</f>
        <v>1275</v>
      </c>
      <c r="I803" s="1">
        <f>COSTS!$AA$28</f>
        <v>50</v>
      </c>
      <c r="J803" s="38">
        <f t="shared" si="43"/>
        <v>1325</v>
      </c>
      <c r="K803" s="38">
        <f t="shared" si="44"/>
        <v>301.13636363636363</v>
      </c>
      <c r="L803" s="151">
        <v>46023</v>
      </c>
      <c r="M803" s="1">
        <f>VLOOKUP(F:F,[1]Sheet1!$E:$F,2,FALSE)</f>
        <v>854</v>
      </c>
    </row>
    <row r="804" spans="1:13" hidden="1">
      <c r="A804" s="1" t="s">
        <v>1582</v>
      </c>
      <c r="B804" s="1" t="s">
        <v>71</v>
      </c>
      <c r="C804" s="1" t="s">
        <v>1274</v>
      </c>
      <c r="D804" s="1" t="s">
        <v>71</v>
      </c>
      <c r="E804" s="1" t="str">
        <f t="shared" si="45"/>
        <v>PASADENAWESLACO</v>
      </c>
      <c r="F804" s="1" t="str">
        <f t="shared" si="46"/>
        <v>PASADENATXWESLACOTX</v>
      </c>
      <c r="G804" s="1">
        <v>705</v>
      </c>
      <c r="H804" s="38">
        <f>G804*COSTS!$AA$27</f>
        <v>1057.5</v>
      </c>
      <c r="I804" s="1">
        <f>COSTS!$AA$28</f>
        <v>50</v>
      </c>
      <c r="J804" s="38">
        <f t="shared" si="43"/>
        <v>1107.5</v>
      </c>
      <c r="K804" s="38">
        <f t="shared" si="44"/>
        <v>251.70454545454547</v>
      </c>
      <c r="L804" s="151">
        <v>46023</v>
      </c>
      <c r="M804" s="1">
        <f>VLOOKUP(F:F,[1]Sheet1!$E:$F,2,FALSE)</f>
        <v>671</v>
      </c>
    </row>
    <row r="805" spans="1:13" hidden="1">
      <c r="A805" s="1" t="s">
        <v>1582</v>
      </c>
      <c r="B805" s="1" t="s">
        <v>71</v>
      </c>
      <c r="C805" s="1" t="s">
        <v>241</v>
      </c>
      <c r="D805" s="1" t="s">
        <v>71</v>
      </c>
      <c r="E805" s="1" t="str">
        <f t="shared" si="45"/>
        <v>PASADENADallas</v>
      </c>
      <c r="F805" s="1" t="str">
        <f t="shared" si="46"/>
        <v>PASADENATXDallasTX</v>
      </c>
      <c r="G805" s="1">
        <v>485</v>
      </c>
      <c r="H805" s="38">
        <f>G805*COSTS!$AA$27</f>
        <v>727.5</v>
      </c>
      <c r="I805" s="1">
        <f>COSTS!$AA$28</f>
        <v>50</v>
      </c>
      <c r="J805" s="38">
        <f t="shared" si="43"/>
        <v>777.5</v>
      </c>
      <c r="K805" s="38">
        <f t="shared" si="44"/>
        <v>176.70454545454547</v>
      </c>
      <c r="L805" s="151">
        <v>46023</v>
      </c>
      <c r="M805" s="1">
        <f>VLOOKUP(F:F,[1]Sheet1!$E:$F,2,FALSE)</f>
        <v>549</v>
      </c>
    </row>
    <row r="806" spans="1:13" hidden="1">
      <c r="A806" s="1" t="s">
        <v>1582</v>
      </c>
      <c r="B806" s="1" t="s">
        <v>71</v>
      </c>
      <c r="C806" s="1" t="s">
        <v>439</v>
      </c>
      <c r="D806" s="1" t="s">
        <v>71</v>
      </c>
      <c r="E806" s="1" t="str">
        <f t="shared" si="45"/>
        <v>PASADENAHouston</v>
      </c>
      <c r="F806" s="1" t="str">
        <f t="shared" si="46"/>
        <v>PASADENATXHoustonTX</v>
      </c>
      <c r="G806" s="1">
        <v>350</v>
      </c>
      <c r="H806" s="38">
        <f>G806*COSTS!$AA$27</f>
        <v>525</v>
      </c>
      <c r="I806" s="1">
        <f>COSTS!$AA$28</f>
        <v>50</v>
      </c>
      <c r="J806" s="38">
        <f t="shared" si="43"/>
        <v>575</v>
      </c>
      <c r="K806" s="38">
        <f t="shared" si="44"/>
        <v>130.68181818181819</v>
      </c>
      <c r="L806" s="151">
        <v>46023</v>
      </c>
      <c r="M806" s="1">
        <f>VLOOKUP(F:F,[1]Sheet1!$E:$F,2,FALSE)</f>
        <v>368</v>
      </c>
    </row>
    <row r="807" spans="1:13" hidden="1">
      <c r="A807" s="1" t="s">
        <v>1542</v>
      </c>
      <c r="B807" s="1" t="s">
        <v>71</v>
      </c>
      <c r="C807" s="1" t="s">
        <v>1033</v>
      </c>
      <c r="D807" s="1" t="s">
        <v>168</v>
      </c>
      <c r="E807" s="1" t="str">
        <f t="shared" si="45"/>
        <v>PLAINVIEWMEMPHIS</v>
      </c>
      <c r="F807" s="1" t="s">
        <v>1211</v>
      </c>
      <c r="G807" s="1">
        <v>1653</v>
      </c>
      <c r="H807" s="38">
        <f>G807*COSTS!$AA$27</f>
        <v>2479.5</v>
      </c>
      <c r="I807" s="1">
        <f>COSTS!$AA$28</f>
        <v>50</v>
      </c>
      <c r="J807" s="38">
        <f t="shared" si="43"/>
        <v>2529.5</v>
      </c>
      <c r="K807" s="38">
        <f t="shared" si="44"/>
        <v>574.88636363636363</v>
      </c>
      <c r="L807" s="151">
        <v>46023</v>
      </c>
      <c r="M807" s="1" t="e">
        <f>VLOOKUP(F:F,[1]Sheet1!$E:$F,2,FALSE)</f>
        <v>#N/A</v>
      </c>
    </row>
    <row r="808" spans="1:13" hidden="1">
      <c r="A808" s="1" t="s">
        <v>1542</v>
      </c>
      <c r="B808" s="1" t="s">
        <v>71</v>
      </c>
      <c r="C808" s="1" t="s">
        <v>1274</v>
      </c>
      <c r="D808" s="1" t="s">
        <v>71</v>
      </c>
      <c r="E808" s="1" t="str">
        <f t="shared" si="45"/>
        <v>PLAINVIEWWESLACO</v>
      </c>
      <c r="F808" s="1" t="str">
        <f t="shared" ref="F808:F845" si="47">A808&amp;B808&amp;C808&amp;D808</f>
        <v>PLAINVIEWTXWESLACOTX</v>
      </c>
      <c r="G808" s="1">
        <v>1059.3799999999999</v>
      </c>
      <c r="H808" s="38">
        <f>G808*COSTS!$AA$27</f>
        <v>1589.0699999999997</v>
      </c>
      <c r="I808" s="1">
        <f>COSTS!$AA$28</f>
        <v>50</v>
      </c>
      <c r="J808" s="38">
        <f t="shared" si="43"/>
        <v>1639.0699999999997</v>
      </c>
      <c r="K808" s="38">
        <f t="shared" si="44"/>
        <v>372.51590909090902</v>
      </c>
      <c r="L808" s="151">
        <v>46023</v>
      </c>
      <c r="M808" s="1">
        <f>VLOOKUP(F:F,[1]Sheet1!$E:$F,2,FALSE)</f>
        <v>1433</v>
      </c>
    </row>
    <row r="809" spans="1:13" hidden="1">
      <c r="A809" s="1" t="s">
        <v>1542</v>
      </c>
      <c r="B809" s="1" t="s">
        <v>71</v>
      </c>
      <c r="C809" s="1" t="s">
        <v>241</v>
      </c>
      <c r="D809" s="1" t="s">
        <v>71</v>
      </c>
      <c r="E809" s="1" t="str">
        <f t="shared" si="45"/>
        <v>PLAINVIEWDallas</v>
      </c>
      <c r="F809" s="1" t="str">
        <f t="shared" si="47"/>
        <v>PLAINVIEWTXDallasTX</v>
      </c>
      <c r="G809" s="1">
        <v>550</v>
      </c>
      <c r="H809" s="38">
        <f>G809*COSTS!$AA$27</f>
        <v>825</v>
      </c>
      <c r="I809" s="1">
        <f>COSTS!$AA$28</f>
        <v>50</v>
      </c>
      <c r="J809" s="38">
        <f t="shared" si="43"/>
        <v>875</v>
      </c>
      <c r="K809" s="38">
        <f t="shared" si="44"/>
        <v>198.86363636363637</v>
      </c>
      <c r="L809" s="151">
        <v>46023</v>
      </c>
      <c r="M809" s="1">
        <f>VLOOKUP(F:F,[1]Sheet1!$E:$F,2,FALSE)</f>
        <v>549</v>
      </c>
    </row>
    <row r="810" spans="1:13" hidden="1">
      <c r="A810" s="1" t="s">
        <v>1542</v>
      </c>
      <c r="B810" s="1" t="s">
        <v>71</v>
      </c>
      <c r="C810" s="1" t="s">
        <v>439</v>
      </c>
      <c r="D810" s="1" t="s">
        <v>71</v>
      </c>
      <c r="E810" s="1" t="str">
        <f t="shared" si="45"/>
        <v>PLAINVIEWHouston</v>
      </c>
      <c r="F810" s="1" t="str">
        <f t="shared" si="47"/>
        <v>PLAINVIEWTXHoustonTX</v>
      </c>
      <c r="G810" s="1">
        <v>800</v>
      </c>
      <c r="H810" s="38">
        <f>G810*COSTS!$AA$27</f>
        <v>1200</v>
      </c>
      <c r="I810" s="1">
        <f>COSTS!$AA$28</f>
        <v>50</v>
      </c>
      <c r="J810" s="38">
        <f t="shared" si="43"/>
        <v>1250</v>
      </c>
      <c r="K810" s="38">
        <f t="shared" si="44"/>
        <v>284.09090909090912</v>
      </c>
      <c r="L810" s="151">
        <v>46023</v>
      </c>
      <c r="M810" s="1">
        <f>VLOOKUP(F:F,[1]Sheet1!$E:$F,2,FALSE)</f>
        <v>1170</v>
      </c>
    </row>
    <row r="811" spans="1:13" hidden="1">
      <c r="A811" s="1" t="s">
        <v>1420</v>
      </c>
      <c r="B811" s="1" t="s">
        <v>71</v>
      </c>
      <c r="C811" s="1" t="s">
        <v>1274</v>
      </c>
      <c r="D811" s="1" t="s">
        <v>71</v>
      </c>
      <c r="E811" s="1" t="str">
        <f t="shared" ref="E811:E842" si="48">A811&amp;C811</f>
        <v>PORTLANDWESLACO</v>
      </c>
      <c r="F811" s="1" t="str">
        <f t="shared" si="47"/>
        <v>PORTLANDTXWESLACOTX</v>
      </c>
      <c r="G811" s="1">
        <v>587.5</v>
      </c>
      <c r="H811" s="38">
        <f>G811*COSTS!$AA$27</f>
        <v>881.25</v>
      </c>
      <c r="I811" s="1">
        <f>COSTS!$AA$28</f>
        <v>50</v>
      </c>
      <c r="J811" s="38">
        <f t="shared" si="43"/>
        <v>931.25</v>
      </c>
      <c r="K811" s="38">
        <f t="shared" si="44"/>
        <v>211.64772727272725</v>
      </c>
      <c r="L811" s="151">
        <v>46023</v>
      </c>
      <c r="M811" s="1">
        <f>VLOOKUP(F:F,[1]Sheet1!$E:$F,2,FALSE)</f>
        <v>570</v>
      </c>
    </row>
    <row r="812" spans="1:13" hidden="1">
      <c r="A812" s="1" t="s">
        <v>1420</v>
      </c>
      <c r="B812" s="1" t="s">
        <v>71</v>
      </c>
      <c r="C812" s="1" t="s">
        <v>241</v>
      </c>
      <c r="D812" s="1" t="s">
        <v>71</v>
      </c>
      <c r="E812" s="1" t="str">
        <f t="shared" si="48"/>
        <v>PORTLANDDallas</v>
      </c>
      <c r="F812" s="1" t="str">
        <f t="shared" si="47"/>
        <v>PORTLANDTXDallasTX</v>
      </c>
      <c r="G812" s="1">
        <v>760</v>
      </c>
      <c r="H812" s="38">
        <f>G812*COSTS!$AA$27</f>
        <v>1140</v>
      </c>
      <c r="I812" s="1">
        <f>COSTS!$AA$28</f>
        <v>50</v>
      </c>
      <c r="J812" s="38">
        <f t="shared" si="43"/>
        <v>1190</v>
      </c>
      <c r="K812" s="38">
        <f t="shared" si="44"/>
        <v>270.4545454545455</v>
      </c>
      <c r="L812" s="151">
        <v>46023</v>
      </c>
      <c r="M812" s="1">
        <f>VLOOKUP(F:F,[1]Sheet1!$E:$F,2,FALSE)</f>
        <v>919</v>
      </c>
    </row>
    <row r="813" spans="1:13" hidden="1">
      <c r="A813" s="1" t="s">
        <v>1420</v>
      </c>
      <c r="B813" s="1" t="s">
        <v>71</v>
      </c>
      <c r="C813" s="1" t="s">
        <v>439</v>
      </c>
      <c r="D813" s="1" t="s">
        <v>71</v>
      </c>
      <c r="E813" s="1" t="str">
        <f t="shared" si="48"/>
        <v>PORTLANDHouston</v>
      </c>
      <c r="F813" s="1" t="str">
        <f t="shared" si="47"/>
        <v>PORTLANDTXHoustonTX</v>
      </c>
      <c r="G813" s="1">
        <v>575</v>
      </c>
      <c r="H813" s="38">
        <f>G813*COSTS!$AA$27</f>
        <v>862.5</v>
      </c>
      <c r="I813" s="1">
        <f>COSTS!$AA$28</f>
        <v>50</v>
      </c>
      <c r="J813" s="38">
        <f t="shared" si="43"/>
        <v>912.5</v>
      </c>
      <c r="K813" s="38">
        <f t="shared" si="44"/>
        <v>207.38636363636363</v>
      </c>
      <c r="L813" s="151">
        <v>46023</v>
      </c>
      <c r="M813" s="1">
        <f>VLOOKUP(F:F,[1]Sheet1!$E:$F,2,FALSE)</f>
        <v>672</v>
      </c>
    </row>
    <row r="814" spans="1:13" hidden="1">
      <c r="A814" s="1" t="s">
        <v>1583</v>
      </c>
      <c r="B814" s="1" t="s">
        <v>71</v>
      </c>
      <c r="C814" s="1" t="s">
        <v>1274</v>
      </c>
      <c r="D814" s="1" t="s">
        <v>71</v>
      </c>
      <c r="E814" s="1" t="str">
        <f t="shared" si="48"/>
        <v>POSTWESLACO</v>
      </c>
      <c r="F814" s="1" t="str">
        <f t="shared" si="47"/>
        <v>POSTTXWESLACOTX</v>
      </c>
      <c r="G814" s="1">
        <v>966.31999999999994</v>
      </c>
      <c r="H814" s="38">
        <f>G814*COSTS!$AA$27</f>
        <v>1449.48</v>
      </c>
      <c r="I814" s="1">
        <f>COSTS!$AA$28</f>
        <v>50</v>
      </c>
      <c r="J814" s="38">
        <f t="shared" si="43"/>
        <v>1499.48</v>
      </c>
      <c r="K814" s="38">
        <f t="shared" si="44"/>
        <v>340.79090909090905</v>
      </c>
      <c r="L814" s="151">
        <v>46023</v>
      </c>
      <c r="M814" s="1">
        <f>VLOOKUP(F:F,[1]Sheet1!$E:$F,2,FALSE)</f>
        <v>1154</v>
      </c>
    </row>
    <row r="815" spans="1:13" hidden="1">
      <c r="A815" s="1" t="s">
        <v>1583</v>
      </c>
      <c r="B815" s="1" t="s">
        <v>71</v>
      </c>
      <c r="C815" s="1" t="s">
        <v>241</v>
      </c>
      <c r="D815" s="1" t="s">
        <v>71</v>
      </c>
      <c r="E815" s="1" t="str">
        <f t="shared" si="48"/>
        <v>POSTDallas</v>
      </c>
      <c r="F815" s="1" t="str">
        <f t="shared" si="47"/>
        <v>POSTTXDallasTX</v>
      </c>
      <c r="G815" s="1">
        <v>490</v>
      </c>
      <c r="H815" s="38">
        <f>G815*COSTS!$AA$27</f>
        <v>735</v>
      </c>
      <c r="I815" s="1">
        <f>COSTS!$AA$28</f>
        <v>50</v>
      </c>
      <c r="J815" s="38">
        <f t="shared" si="43"/>
        <v>785</v>
      </c>
      <c r="K815" s="38">
        <f t="shared" si="44"/>
        <v>178.40909090909091</v>
      </c>
      <c r="L815" s="151">
        <v>46023</v>
      </c>
      <c r="M815" s="1">
        <f>VLOOKUP(F:F,[1]Sheet1!$E:$F,2,FALSE)</f>
        <v>524</v>
      </c>
    </row>
    <row r="816" spans="1:13" hidden="1">
      <c r="A816" s="1" t="s">
        <v>1583</v>
      </c>
      <c r="B816" s="1" t="s">
        <v>71</v>
      </c>
      <c r="C816" s="1" t="s">
        <v>439</v>
      </c>
      <c r="D816" s="1" t="s">
        <v>71</v>
      </c>
      <c r="E816" s="1" t="str">
        <f t="shared" si="48"/>
        <v>POSTHouston</v>
      </c>
      <c r="F816" s="1" t="str">
        <f t="shared" si="47"/>
        <v>POSTTXHoustonTX</v>
      </c>
      <c r="G816" s="1">
        <v>800</v>
      </c>
      <c r="H816" s="38">
        <f>G816*COSTS!$AA$27</f>
        <v>1200</v>
      </c>
      <c r="I816" s="1">
        <f>COSTS!$AA$28</f>
        <v>50</v>
      </c>
      <c r="J816" s="38">
        <f t="shared" si="43"/>
        <v>1250</v>
      </c>
      <c r="K816" s="38">
        <f t="shared" si="44"/>
        <v>284.09090909090912</v>
      </c>
      <c r="L816" s="151">
        <v>46023</v>
      </c>
      <c r="M816" s="1">
        <f>VLOOKUP(F:F,[1]Sheet1!$E:$F,2,FALSE)</f>
        <v>967</v>
      </c>
    </row>
    <row r="817" spans="1:13" hidden="1">
      <c r="A817" s="1" t="s">
        <v>1584</v>
      </c>
      <c r="B817" s="1" t="s">
        <v>71</v>
      </c>
      <c r="C817" s="1" t="s">
        <v>1274</v>
      </c>
      <c r="D817" s="1" t="s">
        <v>71</v>
      </c>
      <c r="E817" s="1" t="str">
        <f t="shared" si="48"/>
        <v>QUANAHWESLACO</v>
      </c>
      <c r="F817" s="1" t="str">
        <f t="shared" si="47"/>
        <v>QUANAHTXWESLACOTX</v>
      </c>
      <c r="G817" s="1">
        <v>1059.3799999999999</v>
      </c>
      <c r="H817" s="38">
        <f>G817*COSTS!$AA$27</f>
        <v>1589.0699999999997</v>
      </c>
      <c r="I817" s="1">
        <f>COSTS!$AA$28</f>
        <v>50</v>
      </c>
      <c r="J817" s="38">
        <f t="shared" si="43"/>
        <v>1639.0699999999997</v>
      </c>
      <c r="K817" s="38">
        <f t="shared" si="44"/>
        <v>372.51590909090902</v>
      </c>
      <c r="L817" s="151">
        <v>46023</v>
      </c>
      <c r="M817" s="1">
        <f>VLOOKUP(F:F,[1]Sheet1!$E:$F,2,FALSE)</f>
        <v>1251</v>
      </c>
    </row>
    <row r="818" spans="1:13" hidden="1">
      <c r="A818" s="1" t="s">
        <v>1584</v>
      </c>
      <c r="B818" s="1" t="s">
        <v>71</v>
      </c>
      <c r="C818" s="1" t="s">
        <v>241</v>
      </c>
      <c r="D818" s="1" t="s">
        <v>71</v>
      </c>
      <c r="E818" s="1" t="str">
        <f t="shared" si="48"/>
        <v>QUANAHDallas</v>
      </c>
      <c r="F818" s="1" t="str">
        <f t="shared" si="47"/>
        <v>QUANAHTXDallasTX</v>
      </c>
      <c r="G818" s="1">
        <v>465</v>
      </c>
      <c r="H818" s="38">
        <f>G818*COSTS!$AA$27</f>
        <v>697.5</v>
      </c>
      <c r="I818" s="1">
        <f>COSTS!$AA$28</f>
        <v>50</v>
      </c>
      <c r="J818" s="38">
        <f t="shared" si="43"/>
        <v>747.5</v>
      </c>
      <c r="K818" s="38">
        <f t="shared" si="44"/>
        <v>169.88636363636363</v>
      </c>
      <c r="L818" s="151">
        <v>46023</v>
      </c>
      <c r="M818" s="1">
        <f>VLOOKUP(F:F,[1]Sheet1!$E:$F,2,FALSE)</f>
        <v>584</v>
      </c>
    </row>
    <row r="819" spans="1:13" hidden="1">
      <c r="A819" s="1" t="s">
        <v>2212</v>
      </c>
      <c r="B819" s="1" t="s">
        <v>71</v>
      </c>
      <c r="C819" s="1" t="s">
        <v>439</v>
      </c>
      <c r="D819" s="1" t="s">
        <v>71</v>
      </c>
      <c r="E819" s="1" t="str">
        <f t="shared" si="48"/>
        <v>QuanahHouston</v>
      </c>
      <c r="F819" s="1" t="str">
        <f t="shared" si="47"/>
        <v>QuanahTXHoustonTX</v>
      </c>
      <c r="G819" s="1">
        <v>834</v>
      </c>
      <c r="H819" s="38">
        <f>G819*COSTS!$AA$27</f>
        <v>1251</v>
      </c>
      <c r="I819" s="1">
        <f>COSTS!$AA$28</f>
        <v>50</v>
      </c>
      <c r="J819" s="38">
        <f t="shared" si="43"/>
        <v>1301</v>
      </c>
      <c r="K819" s="38">
        <f t="shared" si="44"/>
        <v>295.68181818181819</v>
      </c>
      <c r="L819" s="151">
        <v>46023</v>
      </c>
      <c r="M819" s="1">
        <f>VLOOKUP(F:F,[1]Sheet1!$E:$F,2,FALSE)</f>
        <v>834</v>
      </c>
    </row>
    <row r="820" spans="1:13" hidden="1">
      <c r="A820" s="1" t="s">
        <v>1585</v>
      </c>
      <c r="B820" s="1" t="s">
        <v>71</v>
      </c>
      <c r="C820" s="1" t="s">
        <v>1274</v>
      </c>
      <c r="D820" s="1" t="s">
        <v>71</v>
      </c>
      <c r="E820" s="1" t="str">
        <f t="shared" si="48"/>
        <v>RALLSWESLACO</v>
      </c>
      <c r="F820" s="1" t="str">
        <f t="shared" si="47"/>
        <v>RALLSTXWESLACOTX</v>
      </c>
      <c r="G820" s="1">
        <v>967.26</v>
      </c>
      <c r="H820" s="38">
        <f>G820*COSTS!$AA$27</f>
        <v>1450.8899999999999</v>
      </c>
      <c r="I820" s="1">
        <f>COSTS!$AA$28</f>
        <v>50</v>
      </c>
      <c r="J820" s="38">
        <f t="shared" si="43"/>
        <v>1500.8899999999999</v>
      </c>
      <c r="K820" s="38">
        <f t="shared" si="44"/>
        <v>341.11136363636365</v>
      </c>
      <c r="L820" s="151">
        <v>46023</v>
      </c>
      <c r="M820" s="1">
        <f>VLOOKUP(F:F,[1]Sheet1!$E:$F,2,FALSE)</f>
        <v>1220</v>
      </c>
    </row>
    <row r="821" spans="1:13" hidden="1">
      <c r="A821" s="1" t="s">
        <v>1585</v>
      </c>
      <c r="B821" s="1" t="s">
        <v>71</v>
      </c>
      <c r="C821" s="1" t="s">
        <v>241</v>
      </c>
      <c r="D821" s="1" t="s">
        <v>71</v>
      </c>
      <c r="E821" s="1" t="str">
        <f t="shared" si="48"/>
        <v>RALLSDallas</v>
      </c>
      <c r="F821" s="1" t="str">
        <f t="shared" si="47"/>
        <v>RALLSTXDallasTX</v>
      </c>
      <c r="G821" s="1">
        <v>460</v>
      </c>
      <c r="H821" s="38">
        <f>G821*COSTS!$AA$27</f>
        <v>690</v>
      </c>
      <c r="I821" s="1">
        <f>COSTS!$AA$28</f>
        <v>50</v>
      </c>
      <c r="J821" s="38">
        <f t="shared" si="43"/>
        <v>740</v>
      </c>
      <c r="K821" s="38">
        <f t="shared" si="44"/>
        <v>168.18181818181816</v>
      </c>
      <c r="L821" s="151">
        <v>46023</v>
      </c>
      <c r="M821" s="1">
        <f>VLOOKUP(F:F,[1]Sheet1!$E:$F,2,FALSE)</f>
        <v>609</v>
      </c>
    </row>
    <row r="822" spans="1:13" hidden="1">
      <c r="A822" s="1" t="s">
        <v>1585</v>
      </c>
      <c r="B822" s="1" t="s">
        <v>71</v>
      </c>
      <c r="C822" s="1" t="s">
        <v>439</v>
      </c>
      <c r="D822" s="1" t="s">
        <v>71</v>
      </c>
      <c r="E822" s="1" t="str">
        <f t="shared" si="48"/>
        <v>RALLSHouston</v>
      </c>
      <c r="F822" s="1" t="str">
        <f t="shared" si="47"/>
        <v>RALLSTXHoustonTX</v>
      </c>
      <c r="G822" s="1">
        <v>800</v>
      </c>
      <c r="H822" s="38">
        <f>G822*COSTS!$AA$27</f>
        <v>1200</v>
      </c>
      <c r="I822" s="1">
        <f>COSTS!$AA$28</f>
        <v>50</v>
      </c>
      <c r="J822" s="38">
        <f t="shared" si="43"/>
        <v>1250</v>
      </c>
      <c r="K822" s="38">
        <f t="shared" si="44"/>
        <v>284.09090909090912</v>
      </c>
      <c r="L822" s="151">
        <v>46023</v>
      </c>
      <c r="M822" s="1">
        <f>VLOOKUP(F:F,[1]Sheet1!$E:$F,2,FALSE)</f>
        <v>1029</v>
      </c>
    </row>
    <row r="823" spans="1:13" hidden="1">
      <c r="A823" s="1" t="s">
        <v>1614</v>
      </c>
      <c r="B823" s="1" t="s">
        <v>71</v>
      </c>
      <c r="C823" s="1" t="s">
        <v>439</v>
      </c>
      <c r="D823" s="1" t="s">
        <v>71</v>
      </c>
      <c r="E823" s="1" t="str">
        <f t="shared" si="48"/>
        <v>RAYMONDVILLEHouston</v>
      </c>
      <c r="F823" s="1" t="str">
        <f t="shared" si="47"/>
        <v>RAYMONDVILLETXHoustonTX</v>
      </c>
      <c r="G823" s="1">
        <v>725</v>
      </c>
      <c r="H823" s="38">
        <f>G823*COSTS!$AA$27</f>
        <v>1087.5</v>
      </c>
      <c r="I823" s="1">
        <f>COSTS!$AA$28</f>
        <v>50</v>
      </c>
      <c r="J823" s="38">
        <f t="shared" si="43"/>
        <v>1137.5</v>
      </c>
      <c r="K823" s="38">
        <f t="shared" si="44"/>
        <v>258.52272727272725</v>
      </c>
      <c r="L823" s="151">
        <v>46023</v>
      </c>
      <c r="M823" s="1">
        <f>VLOOKUP(F:F,[1]Sheet1!$E:$F,2,FALSE)</f>
        <v>1027</v>
      </c>
    </row>
    <row r="824" spans="1:13" hidden="1">
      <c r="A824" s="1" t="s">
        <v>1586</v>
      </c>
      <c r="B824" s="1" t="s">
        <v>71</v>
      </c>
      <c r="C824" s="1" t="s">
        <v>1274</v>
      </c>
      <c r="D824" s="1" t="s">
        <v>71</v>
      </c>
      <c r="E824" s="1" t="str">
        <f t="shared" si="48"/>
        <v>ROSENBERGWESLACO</v>
      </c>
      <c r="F824" s="1" t="str">
        <f t="shared" si="47"/>
        <v>ROSENBERGTXWESLACOTX</v>
      </c>
      <c r="G824" s="1">
        <v>607.24</v>
      </c>
      <c r="H824" s="38">
        <f>G824*COSTS!$AA$27</f>
        <v>910.86</v>
      </c>
      <c r="I824" s="1">
        <f>COSTS!$AA$28</f>
        <v>50</v>
      </c>
      <c r="J824" s="38">
        <f t="shared" si="43"/>
        <v>960.86</v>
      </c>
      <c r="K824" s="38">
        <f t="shared" si="44"/>
        <v>218.37727272727275</v>
      </c>
      <c r="L824" s="151">
        <v>46023</v>
      </c>
      <c r="M824" s="1" t="e">
        <f>VLOOKUP(F:F,[1]Sheet1!$E:$F,2,FALSE)</f>
        <v>#N/A</v>
      </c>
    </row>
    <row r="825" spans="1:13" hidden="1">
      <c r="A825" s="1" t="s">
        <v>1587</v>
      </c>
      <c r="B825" s="1" t="s">
        <v>71</v>
      </c>
      <c r="C825" s="1" t="s">
        <v>1274</v>
      </c>
      <c r="D825" s="1" t="s">
        <v>71</v>
      </c>
      <c r="E825" s="1" t="str">
        <f t="shared" si="48"/>
        <v>RULEWESLACO</v>
      </c>
      <c r="F825" s="1" t="str">
        <f t="shared" si="47"/>
        <v>RULETXWESLACOTX</v>
      </c>
      <c r="G825" s="1">
        <v>912.7399999999999</v>
      </c>
      <c r="H825" s="38">
        <f>G825*COSTS!$AA$27</f>
        <v>1369.11</v>
      </c>
      <c r="I825" s="1">
        <f>COSTS!$AA$28</f>
        <v>50</v>
      </c>
      <c r="J825" s="38">
        <f t="shared" si="43"/>
        <v>1419.11</v>
      </c>
      <c r="K825" s="38">
        <f t="shared" si="44"/>
        <v>322.52499999999998</v>
      </c>
      <c r="L825" s="151">
        <v>46023</v>
      </c>
      <c r="M825" s="1">
        <f>VLOOKUP(F:F,[1]Sheet1!$E:$F,2,FALSE)</f>
        <v>1093</v>
      </c>
    </row>
    <row r="826" spans="1:13" hidden="1">
      <c r="A826" s="1" t="s">
        <v>1587</v>
      </c>
      <c r="B826" s="1" t="s">
        <v>71</v>
      </c>
      <c r="C826" s="1" t="s">
        <v>241</v>
      </c>
      <c r="D826" s="1" t="s">
        <v>71</v>
      </c>
      <c r="E826" s="1" t="str">
        <f t="shared" si="48"/>
        <v>RULEDallas</v>
      </c>
      <c r="F826" s="1" t="str">
        <f t="shared" si="47"/>
        <v>RULETXDallasTX</v>
      </c>
      <c r="G826" s="1">
        <v>400</v>
      </c>
      <c r="H826" s="38">
        <f>G826*COSTS!$AA$27</f>
        <v>600</v>
      </c>
      <c r="I826" s="1">
        <f>COSTS!$AA$28</f>
        <v>50</v>
      </c>
      <c r="J826" s="38">
        <f t="shared" si="43"/>
        <v>650</v>
      </c>
      <c r="K826" s="38">
        <f t="shared" si="44"/>
        <v>147.72727272727275</v>
      </c>
      <c r="L826" s="151">
        <v>46023</v>
      </c>
      <c r="M826" s="1">
        <f>VLOOKUP(F:F,[1]Sheet1!$E:$F,2,FALSE)</f>
        <v>519</v>
      </c>
    </row>
    <row r="827" spans="1:13" hidden="1">
      <c r="A827" s="1" t="s">
        <v>1587</v>
      </c>
      <c r="B827" s="1" t="s">
        <v>71</v>
      </c>
      <c r="C827" s="1" t="s">
        <v>439</v>
      </c>
      <c r="D827" s="1" t="s">
        <v>71</v>
      </c>
      <c r="E827" s="1" t="str">
        <f t="shared" si="48"/>
        <v>RULEHouston</v>
      </c>
      <c r="F827" s="1" t="str">
        <f t="shared" si="47"/>
        <v>RULETXHoustonTX</v>
      </c>
      <c r="G827" s="1">
        <v>650</v>
      </c>
      <c r="H827" s="38">
        <f>G827*COSTS!$AA$27</f>
        <v>975</v>
      </c>
      <c r="I827" s="1">
        <f>COSTS!$AA$28</f>
        <v>50</v>
      </c>
      <c r="J827" s="38">
        <f t="shared" si="43"/>
        <v>1025</v>
      </c>
      <c r="K827" s="38">
        <f t="shared" si="44"/>
        <v>232.95454545454547</v>
      </c>
      <c r="L827" s="151">
        <v>46023</v>
      </c>
      <c r="M827" s="1">
        <f>VLOOKUP(F:F,[1]Sheet1!$E:$F,2,FALSE)</f>
        <v>768</v>
      </c>
    </row>
    <row r="828" spans="1:13" hidden="1">
      <c r="A828" s="1" t="s">
        <v>1588</v>
      </c>
      <c r="B828" s="1" t="s">
        <v>71</v>
      </c>
      <c r="C828" s="1" t="s">
        <v>1274</v>
      </c>
      <c r="D828" s="1" t="s">
        <v>71</v>
      </c>
      <c r="E828" s="1" t="str">
        <f t="shared" si="48"/>
        <v>SAN ANGELOWESLACO</v>
      </c>
      <c r="F828" s="1" t="str">
        <f t="shared" si="47"/>
        <v>SAN ANGELOTXWESLACOTX</v>
      </c>
      <c r="G828" s="1">
        <v>841.3</v>
      </c>
      <c r="H828" s="38">
        <f>G828*COSTS!$AA$27</f>
        <v>1261.9499999999998</v>
      </c>
      <c r="I828" s="1">
        <f>COSTS!$AA$28</f>
        <v>50</v>
      </c>
      <c r="J828" s="38">
        <f t="shared" si="43"/>
        <v>1311.9499999999998</v>
      </c>
      <c r="K828" s="38">
        <f t="shared" si="44"/>
        <v>298.1704545454545</v>
      </c>
      <c r="L828" s="151">
        <v>46023</v>
      </c>
      <c r="M828" s="1" t="e">
        <f>VLOOKUP(F:F,[1]Sheet1!$E:$F,2,FALSE)</f>
        <v>#N/A</v>
      </c>
    </row>
    <row r="829" spans="1:13" hidden="1">
      <c r="A829" s="1" t="s">
        <v>1588</v>
      </c>
      <c r="B829" s="1" t="s">
        <v>71</v>
      </c>
      <c r="C829" s="1" t="s">
        <v>241</v>
      </c>
      <c r="D829" s="1" t="s">
        <v>71</v>
      </c>
      <c r="E829" s="1" t="str">
        <f t="shared" si="48"/>
        <v>SAN ANGELODallas</v>
      </c>
      <c r="F829" s="1" t="str">
        <f t="shared" si="47"/>
        <v>SAN ANGELOTXDallasTX</v>
      </c>
      <c r="G829" s="1">
        <v>430</v>
      </c>
      <c r="H829" s="38">
        <f>G829*COSTS!$AA$27</f>
        <v>645</v>
      </c>
      <c r="I829" s="1">
        <f>COSTS!$AA$28</f>
        <v>50</v>
      </c>
      <c r="J829" s="38">
        <f t="shared" si="43"/>
        <v>695</v>
      </c>
      <c r="K829" s="38">
        <f t="shared" si="44"/>
        <v>157.95454545454544</v>
      </c>
      <c r="L829" s="151">
        <v>46023</v>
      </c>
      <c r="M829" s="1">
        <f>VLOOKUP(F:F,[1]Sheet1!$E:$F,2,FALSE)</f>
        <v>519</v>
      </c>
    </row>
    <row r="830" spans="1:13" hidden="1">
      <c r="A830" s="1" t="s">
        <v>1589</v>
      </c>
      <c r="B830" s="1" t="s">
        <v>71</v>
      </c>
      <c r="C830" s="1" t="s">
        <v>1274</v>
      </c>
      <c r="D830" s="1" t="s">
        <v>71</v>
      </c>
      <c r="E830" s="1" t="str">
        <f t="shared" si="48"/>
        <v>SEABROOKWESLACO</v>
      </c>
      <c r="F830" s="1" t="str">
        <f t="shared" si="47"/>
        <v>SEABROOKTXWESLACOTX</v>
      </c>
      <c r="G830" s="1">
        <v>667.4</v>
      </c>
      <c r="H830" s="38">
        <f>G830*COSTS!$AA$27</f>
        <v>1001.0999999999999</v>
      </c>
      <c r="I830" s="1">
        <f>COSTS!$AA$28</f>
        <v>50</v>
      </c>
      <c r="J830" s="38">
        <f t="shared" si="43"/>
        <v>1051.0999999999999</v>
      </c>
      <c r="K830" s="38">
        <f t="shared" si="44"/>
        <v>238.88636363636363</v>
      </c>
      <c r="L830" s="151">
        <v>46023</v>
      </c>
      <c r="M830" s="1" t="e">
        <f>VLOOKUP(F:F,[1]Sheet1!$E:$F,2,FALSE)</f>
        <v>#N/A</v>
      </c>
    </row>
    <row r="831" spans="1:13" hidden="1">
      <c r="A831" s="1" t="s">
        <v>1590</v>
      </c>
      <c r="B831" s="1" t="s">
        <v>71</v>
      </c>
      <c r="C831" s="1" t="s">
        <v>1274</v>
      </c>
      <c r="D831" s="1" t="s">
        <v>71</v>
      </c>
      <c r="E831" s="1" t="str">
        <f t="shared" si="48"/>
        <v>SEAGRAVESWESLACO</v>
      </c>
      <c r="F831" s="1" t="str">
        <f t="shared" si="47"/>
        <v>SEAGRAVESTXWESLACOTX</v>
      </c>
      <c r="G831" s="1">
        <v>976.66</v>
      </c>
      <c r="H831" s="38">
        <f>G831*COSTS!$AA$27</f>
        <v>1464.99</v>
      </c>
      <c r="I831" s="1">
        <f>COSTS!$AA$28</f>
        <v>50</v>
      </c>
      <c r="J831" s="38">
        <f t="shared" si="43"/>
        <v>1514.99</v>
      </c>
      <c r="K831" s="38">
        <f t="shared" si="44"/>
        <v>344.31590909090909</v>
      </c>
      <c r="L831" s="151">
        <v>46023</v>
      </c>
      <c r="M831" s="1">
        <f>VLOOKUP(F:F,[1]Sheet1!$E:$F,2,FALSE)</f>
        <v>1228</v>
      </c>
    </row>
    <row r="832" spans="1:13" hidden="1">
      <c r="A832" s="1" t="s">
        <v>1590</v>
      </c>
      <c r="B832" s="1" t="s">
        <v>71</v>
      </c>
      <c r="C832" s="1" t="s">
        <v>241</v>
      </c>
      <c r="D832" s="1" t="s">
        <v>71</v>
      </c>
      <c r="E832" s="1" t="str">
        <f t="shared" si="48"/>
        <v>SEAGRAVESDallas</v>
      </c>
      <c r="F832" s="1" t="str">
        <f t="shared" si="47"/>
        <v>SEAGRAVESTXDallasTX</v>
      </c>
      <c r="G832" s="1">
        <v>510</v>
      </c>
      <c r="H832" s="38">
        <f>G832*COSTS!$AA$27</f>
        <v>765</v>
      </c>
      <c r="I832" s="1">
        <f>COSTS!$AA$28</f>
        <v>50</v>
      </c>
      <c r="J832" s="38">
        <f t="shared" si="43"/>
        <v>815</v>
      </c>
      <c r="K832" s="38">
        <f t="shared" si="44"/>
        <v>185.22727272727275</v>
      </c>
      <c r="L832" s="151">
        <v>46023</v>
      </c>
      <c r="M832" s="1">
        <f>VLOOKUP(F:F,[1]Sheet1!$E:$F,2,FALSE)</f>
        <v>549</v>
      </c>
    </row>
    <row r="833" spans="1:13" hidden="1">
      <c r="A833" s="1" t="s">
        <v>1590</v>
      </c>
      <c r="B833" s="1" t="s">
        <v>71</v>
      </c>
      <c r="C833" s="1" t="s">
        <v>439</v>
      </c>
      <c r="D833" s="1" t="s">
        <v>71</v>
      </c>
      <c r="E833" s="1" t="str">
        <f t="shared" si="48"/>
        <v>SEAGRAVESHouston</v>
      </c>
      <c r="F833" s="1" t="str">
        <f t="shared" si="47"/>
        <v>SEAGRAVESTXHoustonTX</v>
      </c>
      <c r="G833" s="1">
        <v>725</v>
      </c>
      <c r="H833" s="38">
        <f>G833*COSTS!$AA$27</f>
        <v>1087.5</v>
      </c>
      <c r="I833" s="1">
        <f>COSTS!$AA$28</f>
        <v>50</v>
      </c>
      <c r="J833" s="38">
        <f t="shared" si="43"/>
        <v>1137.5</v>
      </c>
      <c r="K833" s="38">
        <f t="shared" si="44"/>
        <v>258.52272727272725</v>
      </c>
      <c r="L833" s="151">
        <v>46023</v>
      </c>
      <c r="M833" s="1">
        <f>VLOOKUP(F:F,[1]Sheet1!$E:$F,2,FALSE)</f>
        <v>1093</v>
      </c>
    </row>
    <row r="834" spans="1:13" hidden="1">
      <c r="A834" s="1" t="s">
        <v>1615</v>
      </c>
      <c r="B834" s="1" t="s">
        <v>71</v>
      </c>
      <c r="C834" s="1" t="s">
        <v>439</v>
      </c>
      <c r="D834" s="1" t="s">
        <v>71</v>
      </c>
      <c r="E834" s="1" t="str">
        <f t="shared" si="48"/>
        <v>SEBASTIANHouston</v>
      </c>
      <c r="F834" s="1" t="str">
        <f t="shared" si="47"/>
        <v>SEBASTIANTXHoustonTX</v>
      </c>
      <c r="G834" s="1">
        <v>750</v>
      </c>
      <c r="H834" s="38">
        <f>G834*COSTS!$AA$27</f>
        <v>1125</v>
      </c>
      <c r="I834" s="1">
        <f>COSTS!$AA$28</f>
        <v>50</v>
      </c>
      <c r="J834" s="38">
        <f t="shared" ref="J834:J880" si="49">H834+I834</f>
        <v>1175</v>
      </c>
      <c r="K834" s="38">
        <f t="shared" ref="K834:K880" si="50">(J834/88)*20</f>
        <v>267.0454545454545</v>
      </c>
      <c r="L834" s="151">
        <v>46023</v>
      </c>
      <c r="M834" s="1">
        <f>VLOOKUP(F:F,[1]Sheet1!$E:$F,2,FALSE)</f>
        <v>1072</v>
      </c>
    </row>
    <row r="835" spans="1:13" hidden="1">
      <c r="A835" s="1" t="s">
        <v>1591</v>
      </c>
      <c r="B835" s="1" t="s">
        <v>71</v>
      </c>
      <c r="C835" s="1" t="s">
        <v>1274</v>
      </c>
      <c r="D835" s="1" t="s">
        <v>71</v>
      </c>
      <c r="E835" s="1" t="str">
        <f t="shared" si="48"/>
        <v>SEMINOLEWESLACO</v>
      </c>
      <c r="F835" s="1" t="str">
        <f t="shared" si="47"/>
        <v>SEMINOLETXWESLACOTX</v>
      </c>
      <c r="G835" s="1">
        <v>1011.4399999999999</v>
      </c>
      <c r="H835" s="38">
        <f>G835*COSTS!$AA$27</f>
        <v>1517.1599999999999</v>
      </c>
      <c r="I835" s="1">
        <f>COSTS!$AA$28</f>
        <v>50</v>
      </c>
      <c r="J835" s="38">
        <f t="shared" si="49"/>
        <v>1567.1599999999999</v>
      </c>
      <c r="K835" s="38">
        <f t="shared" si="50"/>
        <v>356.17272727272729</v>
      </c>
      <c r="L835" s="151">
        <v>46023</v>
      </c>
      <c r="M835" s="1">
        <f>VLOOKUP(F:F,[1]Sheet1!$E:$F,2,FALSE)</f>
        <v>1224</v>
      </c>
    </row>
    <row r="836" spans="1:13" hidden="1">
      <c r="A836" s="1" t="s">
        <v>1591</v>
      </c>
      <c r="B836" s="1" t="s">
        <v>71</v>
      </c>
      <c r="C836" s="1" t="s">
        <v>241</v>
      </c>
      <c r="D836" s="1" t="s">
        <v>71</v>
      </c>
      <c r="E836" s="1" t="str">
        <f t="shared" si="48"/>
        <v>SEMINOLEDallas</v>
      </c>
      <c r="F836" s="1" t="str">
        <f t="shared" si="47"/>
        <v>SEMINOLETXDallasTX</v>
      </c>
      <c r="G836" s="1">
        <v>510</v>
      </c>
      <c r="H836" s="38">
        <f>G836*COSTS!$AA$27</f>
        <v>765</v>
      </c>
      <c r="I836" s="1">
        <f>COSTS!$AA$28</f>
        <v>50</v>
      </c>
      <c r="J836" s="38">
        <f t="shared" si="49"/>
        <v>815</v>
      </c>
      <c r="K836" s="38">
        <f t="shared" si="50"/>
        <v>185.22727272727275</v>
      </c>
      <c r="L836" s="151">
        <v>46023</v>
      </c>
      <c r="M836" s="1">
        <f>VLOOKUP(F:F,[1]Sheet1!$E:$F,2,FALSE)</f>
        <v>574</v>
      </c>
    </row>
    <row r="837" spans="1:13" hidden="1">
      <c r="A837" s="1" t="s">
        <v>1591</v>
      </c>
      <c r="B837" s="1" t="s">
        <v>71</v>
      </c>
      <c r="C837" s="1" t="s">
        <v>439</v>
      </c>
      <c r="D837" s="1" t="s">
        <v>71</v>
      </c>
      <c r="E837" s="1" t="str">
        <f t="shared" si="48"/>
        <v>SEMINOLEHouston</v>
      </c>
      <c r="F837" s="1" t="str">
        <f t="shared" si="47"/>
        <v>SEMINOLETXHoustonTX</v>
      </c>
      <c r="G837" s="1">
        <v>800</v>
      </c>
      <c r="H837" s="38">
        <f>G837*COSTS!$AA$27</f>
        <v>1200</v>
      </c>
      <c r="I837" s="1">
        <f>COSTS!$AA$28</f>
        <v>50</v>
      </c>
      <c r="J837" s="38">
        <f t="shared" si="49"/>
        <v>1250</v>
      </c>
      <c r="K837" s="38">
        <f t="shared" si="50"/>
        <v>284.09090909090912</v>
      </c>
      <c r="L837" s="151">
        <v>46023</v>
      </c>
      <c r="M837" s="1">
        <f>VLOOKUP(F:F,[1]Sheet1!$E:$F,2,FALSE)</f>
        <v>1091</v>
      </c>
    </row>
    <row r="838" spans="1:13" hidden="1">
      <c r="A838" s="1" t="s">
        <v>1592</v>
      </c>
      <c r="B838" s="1" t="s">
        <v>71</v>
      </c>
      <c r="C838" s="1" t="s">
        <v>1274</v>
      </c>
      <c r="D838" s="1" t="s">
        <v>71</v>
      </c>
      <c r="E838" s="1" t="str">
        <f t="shared" si="48"/>
        <v>SNYDERWESLACO</v>
      </c>
      <c r="F838" s="1" t="str">
        <f t="shared" si="47"/>
        <v>SNYDERTXWESLACOTX</v>
      </c>
      <c r="G838" s="1">
        <v>955.04</v>
      </c>
      <c r="H838" s="38">
        <f>G838*COSTS!$AA$27</f>
        <v>1432.56</v>
      </c>
      <c r="I838" s="1">
        <f>COSTS!$AA$28</f>
        <v>50</v>
      </c>
      <c r="J838" s="38">
        <f t="shared" si="49"/>
        <v>1482.56</v>
      </c>
      <c r="K838" s="38">
        <f t="shared" si="50"/>
        <v>336.94545454545454</v>
      </c>
      <c r="L838" s="151">
        <v>46023</v>
      </c>
      <c r="M838" s="1">
        <f>VLOOKUP(F:F,[1]Sheet1!$E:$F,2,FALSE)</f>
        <v>1073</v>
      </c>
    </row>
    <row r="839" spans="1:13" hidden="1">
      <c r="A839" s="1" t="s">
        <v>1592</v>
      </c>
      <c r="B839" s="1" t="s">
        <v>71</v>
      </c>
      <c r="C839" s="1" t="s">
        <v>241</v>
      </c>
      <c r="D839" s="1" t="s">
        <v>71</v>
      </c>
      <c r="E839" s="1" t="str">
        <f t="shared" si="48"/>
        <v>SNYDERDallas</v>
      </c>
      <c r="F839" s="1" t="str">
        <f t="shared" si="47"/>
        <v>SNYDERTXDallasTX</v>
      </c>
      <c r="G839" s="1">
        <v>485</v>
      </c>
      <c r="H839" s="38">
        <f>G839*COSTS!$AA$27</f>
        <v>727.5</v>
      </c>
      <c r="I839" s="1">
        <f>COSTS!$AA$28</f>
        <v>50</v>
      </c>
      <c r="J839" s="38">
        <f t="shared" si="49"/>
        <v>777.5</v>
      </c>
      <c r="K839" s="38">
        <f t="shared" si="50"/>
        <v>176.70454545454547</v>
      </c>
      <c r="L839" s="151">
        <v>46023</v>
      </c>
      <c r="M839" s="1">
        <f>VLOOKUP(F:F,[1]Sheet1!$E:$F,2,FALSE)</f>
        <v>518</v>
      </c>
    </row>
    <row r="840" spans="1:13" hidden="1">
      <c r="A840" s="1" t="s">
        <v>703</v>
      </c>
      <c r="B840" s="1" t="s">
        <v>71</v>
      </c>
      <c r="C840" s="1" t="s">
        <v>439</v>
      </c>
      <c r="D840" s="1" t="s">
        <v>71</v>
      </c>
      <c r="E840" s="1" t="str">
        <f t="shared" si="48"/>
        <v>SnyderHouston</v>
      </c>
      <c r="F840" s="1" t="str">
        <f t="shared" si="47"/>
        <v>SnyderTXHoustonTX</v>
      </c>
      <c r="G840" s="1">
        <v>877</v>
      </c>
      <c r="H840" s="38">
        <f>G840*COSTS!$AA$27</f>
        <v>1315.5</v>
      </c>
      <c r="I840" s="1">
        <f>COSTS!$AA$28</f>
        <v>50</v>
      </c>
      <c r="J840" s="38">
        <f t="shared" si="49"/>
        <v>1365.5</v>
      </c>
      <c r="K840" s="38">
        <f t="shared" si="50"/>
        <v>310.34090909090912</v>
      </c>
      <c r="L840" s="151">
        <v>46023</v>
      </c>
      <c r="M840" s="1">
        <f>VLOOKUP(F:F,[1]Sheet1!$E:$F,2,FALSE)</f>
        <v>877</v>
      </c>
    </row>
    <row r="841" spans="1:13" hidden="1">
      <c r="A841" s="1" t="s">
        <v>1608</v>
      </c>
      <c r="B841" s="1" t="s">
        <v>71</v>
      </c>
      <c r="C841" s="1" t="s">
        <v>241</v>
      </c>
      <c r="D841" s="1" t="s">
        <v>71</v>
      </c>
      <c r="E841" s="1" t="str">
        <f t="shared" si="48"/>
        <v>STAMFORDDallas</v>
      </c>
      <c r="F841" s="1" t="str">
        <f t="shared" si="47"/>
        <v>STAMFORDTXDallasTX</v>
      </c>
      <c r="G841" s="1">
        <v>400</v>
      </c>
      <c r="H841" s="38">
        <f>G841*COSTS!$AA$27</f>
        <v>600</v>
      </c>
      <c r="I841" s="1">
        <f>COSTS!$AA$28</f>
        <v>50</v>
      </c>
      <c r="J841" s="38">
        <f t="shared" si="49"/>
        <v>650</v>
      </c>
      <c r="K841" s="38">
        <f t="shared" si="50"/>
        <v>147.72727272727275</v>
      </c>
      <c r="L841" s="151">
        <v>46023</v>
      </c>
      <c r="M841" s="1">
        <f>VLOOKUP(F:F,[1]Sheet1!$E:$F,2,FALSE)</f>
        <v>476</v>
      </c>
    </row>
    <row r="842" spans="1:13" hidden="1">
      <c r="A842" s="1" t="s">
        <v>713</v>
      </c>
      <c r="B842" s="1" t="s">
        <v>71</v>
      </c>
      <c r="C842" s="1" t="s">
        <v>439</v>
      </c>
      <c r="D842" s="1" t="s">
        <v>71</v>
      </c>
      <c r="E842" s="1" t="str">
        <f t="shared" si="48"/>
        <v>StamfordHouston</v>
      </c>
      <c r="F842" s="1" t="str">
        <f t="shared" si="47"/>
        <v>StamfordTXHoustonTX</v>
      </c>
      <c r="G842" s="1">
        <v>828</v>
      </c>
      <c r="H842" s="38">
        <f>G842*COSTS!$AA$27</f>
        <v>1242</v>
      </c>
      <c r="I842" s="1">
        <f>COSTS!$AA$28</f>
        <v>50</v>
      </c>
      <c r="J842" s="38">
        <f t="shared" si="49"/>
        <v>1292</v>
      </c>
      <c r="K842" s="38">
        <f t="shared" si="50"/>
        <v>293.63636363636363</v>
      </c>
      <c r="L842" s="151">
        <v>46023</v>
      </c>
      <c r="M842" s="1">
        <f>VLOOKUP(F:F,[1]Sheet1!$E:$F,2,FALSE)</f>
        <v>800</v>
      </c>
    </row>
    <row r="843" spans="1:13" hidden="1">
      <c r="A843" s="1" t="s">
        <v>1593</v>
      </c>
      <c r="B843" s="1" t="s">
        <v>71</v>
      </c>
      <c r="C843" s="1" t="s">
        <v>1274</v>
      </c>
      <c r="D843" s="1" t="s">
        <v>71</v>
      </c>
      <c r="E843" s="1" t="str">
        <f t="shared" ref="E843:E872" si="51">A843&amp;C843</f>
        <v>STANTONWESLACO</v>
      </c>
      <c r="F843" s="1" t="str">
        <f t="shared" si="47"/>
        <v>STANTONTXWESLACOTX</v>
      </c>
      <c r="G843" s="1">
        <v>921.19999999999993</v>
      </c>
      <c r="H843" s="38">
        <f>G843*COSTS!$AA$27</f>
        <v>1381.8</v>
      </c>
      <c r="I843" s="1">
        <f>COSTS!$AA$28</f>
        <v>50</v>
      </c>
      <c r="J843" s="38">
        <f t="shared" si="49"/>
        <v>1431.8</v>
      </c>
      <c r="K843" s="38">
        <f t="shared" si="50"/>
        <v>325.40909090909088</v>
      </c>
      <c r="L843" s="151">
        <v>46023</v>
      </c>
      <c r="M843" s="1">
        <f>VLOOKUP(F:F,[1]Sheet1!$E:$F,2,FALSE)</f>
        <v>1124</v>
      </c>
    </row>
    <row r="844" spans="1:13" hidden="1">
      <c r="A844" s="1" t="s">
        <v>1593</v>
      </c>
      <c r="B844" s="1" t="s">
        <v>71</v>
      </c>
      <c r="C844" s="1" t="s">
        <v>241</v>
      </c>
      <c r="D844" s="1" t="s">
        <v>71</v>
      </c>
      <c r="E844" s="1" t="str">
        <f t="shared" si="51"/>
        <v>STANTONDallas</v>
      </c>
      <c r="F844" s="1" t="str">
        <f t="shared" si="47"/>
        <v>STANTONTXDallasTX</v>
      </c>
      <c r="G844" s="1">
        <v>490</v>
      </c>
      <c r="H844" s="38">
        <f>G844*COSTS!$AA$27</f>
        <v>735</v>
      </c>
      <c r="I844" s="1">
        <f>COSTS!$AA$28</f>
        <v>50</v>
      </c>
      <c r="J844" s="38">
        <f t="shared" si="49"/>
        <v>785</v>
      </c>
      <c r="K844" s="38">
        <f t="shared" si="50"/>
        <v>178.40909090909091</v>
      </c>
      <c r="L844" s="151">
        <v>46023</v>
      </c>
      <c r="M844" s="1">
        <f>VLOOKUP(F:F,[1]Sheet1!$E:$F,2,FALSE)</f>
        <v>524</v>
      </c>
    </row>
    <row r="845" spans="1:13" hidden="1">
      <c r="A845" s="1" t="s">
        <v>1593</v>
      </c>
      <c r="B845" s="1" t="s">
        <v>71</v>
      </c>
      <c r="C845" s="1" t="s">
        <v>439</v>
      </c>
      <c r="D845" s="1" t="s">
        <v>71</v>
      </c>
      <c r="E845" s="1" t="str">
        <f t="shared" si="51"/>
        <v>STANTONHouston</v>
      </c>
      <c r="F845" s="1" t="str">
        <f t="shared" si="47"/>
        <v>STANTONTXHoustonTX</v>
      </c>
      <c r="G845" s="1">
        <v>725</v>
      </c>
      <c r="H845" s="38">
        <f>G845*COSTS!$AA$27</f>
        <v>1087.5</v>
      </c>
      <c r="I845" s="1">
        <f>COSTS!$AA$28</f>
        <v>50</v>
      </c>
      <c r="J845" s="38">
        <f t="shared" si="49"/>
        <v>1137.5</v>
      </c>
      <c r="K845" s="38">
        <f t="shared" si="50"/>
        <v>258.52272727272725</v>
      </c>
      <c r="L845" s="151">
        <v>46023</v>
      </c>
      <c r="M845" s="1">
        <f>VLOOKUP(F:F,[1]Sheet1!$E:$F,2,FALSE)</f>
        <v>1029</v>
      </c>
    </row>
    <row r="846" spans="1:13" hidden="1">
      <c r="A846" s="1" t="s">
        <v>1554</v>
      </c>
      <c r="B846" s="1" t="s">
        <v>71</v>
      </c>
      <c r="C846" s="1" t="s">
        <v>1033</v>
      </c>
      <c r="D846" s="1" t="s">
        <v>168</v>
      </c>
      <c r="E846" s="1" t="str">
        <f t="shared" si="51"/>
        <v>SUDANMEMPHIS</v>
      </c>
      <c r="F846" s="1" t="s">
        <v>1240</v>
      </c>
      <c r="G846" s="1">
        <v>1736</v>
      </c>
      <c r="H846" s="38">
        <f>G846*COSTS!$AA$27</f>
        <v>2604</v>
      </c>
      <c r="I846" s="1">
        <f>COSTS!$AA$28</f>
        <v>50</v>
      </c>
      <c r="J846" s="38">
        <f t="shared" si="49"/>
        <v>2654</v>
      </c>
      <c r="K846" s="38">
        <f t="shared" si="50"/>
        <v>603.18181818181824</v>
      </c>
      <c r="L846" s="151">
        <v>46023</v>
      </c>
      <c r="M846" s="1" t="e">
        <f>VLOOKUP(F:F,[1]Sheet1!$E:$F,2,FALSE)</f>
        <v>#N/A</v>
      </c>
    </row>
    <row r="847" spans="1:13" hidden="1">
      <c r="A847" s="1" t="s">
        <v>1554</v>
      </c>
      <c r="B847" s="1" t="s">
        <v>71</v>
      </c>
      <c r="C847" s="1" t="s">
        <v>1274</v>
      </c>
      <c r="D847" s="1" t="s">
        <v>71</v>
      </c>
      <c r="E847" s="1" t="str">
        <f t="shared" si="51"/>
        <v>SUDANWESLACO</v>
      </c>
      <c r="F847" s="1" t="str">
        <f>A847&amp;B847&amp;C847&amp;D847</f>
        <v>SUDANTXWESLACOTX</v>
      </c>
      <c r="G847" s="1">
        <v>1051.8599999999999</v>
      </c>
      <c r="H847" s="38">
        <f>G847*COSTS!$AA$27</f>
        <v>1577.79</v>
      </c>
      <c r="I847" s="1">
        <f>COSTS!$AA$28</f>
        <v>50</v>
      </c>
      <c r="J847" s="38">
        <f t="shared" si="49"/>
        <v>1627.79</v>
      </c>
      <c r="K847" s="38">
        <f t="shared" si="50"/>
        <v>369.95227272727271</v>
      </c>
      <c r="L847" s="151">
        <v>46023</v>
      </c>
      <c r="M847" s="1">
        <f>VLOOKUP(F:F,[1]Sheet1!$E:$F,2,FALSE)</f>
        <v>1386</v>
      </c>
    </row>
    <row r="848" spans="1:13" hidden="1">
      <c r="A848" s="1" t="s">
        <v>1554</v>
      </c>
      <c r="B848" s="1" t="s">
        <v>71</v>
      </c>
      <c r="C848" s="1" t="s">
        <v>241</v>
      </c>
      <c r="D848" s="1" t="s">
        <v>71</v>
      </c>
      <c r="E848" s="1" t="str">
        <f t="shared" si="51"/>
        <v>SUDANDallas</v>
      </c>
      <c r="F848" s="1" t="str">
        <f>A848&amp;B848&amp;C848&amp;D848</f>
        <v>SUDANTXDallasTX</v>
      </c>
      <c r="G848" s="1">
        <v>560</v>
      </c>
      <c r="H848" s="38">
        <f>G848*COSTS!$AA$27</f>
        <v>840</v>
      </c>
      <c r="I848" s="1">
        <f>COSTS!$AA$28</f>
        <v>50</v>
      </c>
      <c r="J848" s="38">
        <f t="shared" si="49"/>
        <v>890</v>
      </c>
      <c r="K848" s="38">
        <f t="shared" si="50"/>
        <v>202.27272727272725</v>
      </c>
      <c r="L848" s="151">
        <v>46023</v>
      </c>
      <c r="M848" s="1">
        <f>VLOOKUP(F:F,[1]Sheet1!$E:$F,2,FALSE)</f>
        <v>599</v>
      </c>
    </row>
    <row r="849" spans="1:13" hidden="1">
      <c r="A849" s="1" t="s">
        <v>1554</v>
      </c>
      <c r="B849" s="1" t="s">
        <v>71</v>
      </c>
      <c r="C849" s="1" t="s">
        <v>439</v>
      </c>
      <c r="D849" s="1" t="s">
        <v>71</v>
      </c>
      <c r="E849" s="1" t="str">
        <f t="shared" si="51"/>
        <v>SUDANHouston</v>
      </c>
      <c r="F849" s="1" t="str">
        <f>A849&amp;B849&amp;C849&amp;D849</f>
        <v>SUDANTXHoustonTX</v>
      </c>
      <c r="G849" s="1">
        <v>800</v>
      </c>
      <c r="H849" s="38">
        <f>G849*COSTS!$AA$27</f>
        <v>1200</v>
      </c>
      <c r="I849" s="1">
        <f>COSTS!$AA$28</f>
        <v>50</v>
      </c>
      <c r="J849" s="38">
        <f t="shared" si="49"/>
        <v>1250</v>
      </c>
      <c r="K849" s="38">
        <f t="shared" si="50"/>
        <v>284.09090909090912</v>
      </c>
      <c r="L849" s="151">
        <v>46023</v>
      </c>
      <c r="M849" s="1">
        <f>VLOOKUP(F:F,[1]Sheet1!$E:$F,2,FALSE)</f>
        <v>1137</v>
      </c>
    </row>
    <row r="850" spans="1:13" hidden="1">
      <c r="A850" s="1" t="s">
        <v>1555</v>
      </c>
      <c r="B850" s="1" t="s">
        <v>71</v>
      </c>
      <c r="C850" s="1" t="s">
        <v>1033</v>
      </c>
      <c r="D850" s="1" t="s">
        <v>168</v>
      </c>
      <c r="E850" s="1" t="str">
        <f t="shared" si="51"/>
        <v>SWEETWATERMEMPHIS</v>
      </c>
      <c r="F850" s="1" t="s">
        <v>1244</v>
      </c>
      <c r="G850" s="1">
        <v>1334</v>
      </c>
      <c r="H850" s="38">
        <f>G850*COSTS!$AA$27</f>
        <v>2001</v>
      </c>
      <c r="I850" s="1">
        <f>COSTS!$AA$28</f>
        <v>50</v>
      </c>
      <c r="J850" s="38">
        <f t="shared" si="49"/>
        <v>2051</v>
      </c>
      <c r="K850" s="38">
        <f t="shared" si="50"/>
        <v>466.13636363636368</v>
      </c>
      <c r="L850" s="151">
        <v>46023</v>
      </c>
      <c r="M850" s="1" t="e">
        <f>VLOOKUP(F:F,[1]Sheet1!$E:$F,2,FALSE)</f>
        <v>#N/A</v>
      </c>
    </row>
    <row r="851" spans="1:13" hidden="1">
      <c r="A851" s="1" t="s">
        <v>1555</v>
      </c>
      <c r="B851" s="1" t="s">
        <v>71</v>
      </c>
      <c r="C851" s="1" t="s">
        <v>1274</v>
      </c>
      <c r="D851" s="1" t="s">
        <v>71</v>
      </c>
      <c r="E851" s="1" t="str">
        <f t="shared" si="51"/>
        <v>SWEETWATERWESLACO</v>
      </c>
      <c r="F851" s="1" t="str">
        <f t="shared" ref="F851:F861" si="52">A851&amp;B851&amp;C851&amp;D851</f>
        <v>SWEETWATERTXWESLACOTX</v>
      </c>
      <c r="G851" s="1">
        <v>939.06</v>
      </c>
      <c r="H851" s="38">
        <f>G851*COSTS!$AA$27</f>
        <v>1408.59</v>
      </c>
      <c r="I851" s="1">
        <f>COSTS!$AA$28</f>
        <v>50</v>
      </c>
      <c r="J851" s="38">
        <f t="shared" si="49"/>
        <v>1458.59</v>
      </c>
      <c r="K851" s="38">
        <f t="shared" si="50"/>
        <v>331.49772727272727</v>
      </c>
      <c r="L851" s="151">
        <v>46023</v>
      </c>
      <c r="M851" s="1">
        <f>VLOOKUP(F:F,[1]Sheet1!$E:$F,2,FALSE)</f>
        <v>1001</v>
      </c>
    </row>
    <row r="852" spans="1:13" hidden="1">
      <c r="A852" s="1" t="s">
        <v>1555</v>
      </c>
      <c r="B852" s="1" t="s">
        <v>71</v>
      </c>
      <c r="C852" s="1" t="s">
        <v>241</v>
      </c>
      <c r="D852" s="1" t="s">
        <v>71</v>
      </c>
      <c r="E852" s="1" t="str">
        <f t="shared" si="51"/>
        <v>SWEETWATERDallas</v>
      </c>
      <c r="F852" s="1" t="str">
        <f t="shared" si="52"/>
        <v>SWEETWATERTXDallasTX</v>
      </c>
      <c r="G852" s="1">
        <v>400</v>
      </c>
      <c r="H852" s="38">
        <f>G852*COSTS!$AA$27</f>
        <v>600</v>
      </c>
      <c r="I852" s="1">
        <f>COSTS!$AA$28</f>
        <v>50</v>
      </c>
      <c r="J852" s="38">
        <f t="shared" si="49"/>
        <v>650</v>
      </c>
      <c r="K852" s="38">
        <f t="shared" si="50"/>
        <v>147.72727272727275</v>
      </c>
      <c r="L852" s="151">
        <v>46023</v>
      </c>
      <c r="M852" s="1">
        <f>VLOOKUP(F:F,[1]Sheet1!$E:$F,2,FALSE)</f>
        <v>502</v>
      </c>
    </row>
    <row r="853" spans="1:13" hidden="1">
      <c r="A853" s="1" t="s">
        <v>1555</v>
      </c>
      <c r="B853" s="1" t="s">
        <v>71</v>
      </c>
      <c r="C853" s="1" t="s">
        <v>439</v>
      </c>
      <c r="D853" s="1" t="s">
        <v>71</v>
      </c>
      <c r="E853" s="1" t="str">
        <f t="shared" si="51"/>
        <v>SWEETWATERHouston</v>
      </c>
      <c r="F853" s="1" t="str">
        <f t="shared" si="52"/>
        <v>SWEETWATERTXHoustonTX</v>
      </c>
      <c r="G853" s="1">
        <v>725</v>
      </c>
      <c r="H853" s="38">
        <f>G853*COSTS!$AA$27</f>
        <v>1087.5</v>
      </c>
      <c r="I853" s="1">
        <f>COSTS!$AA$28</f>
        <v>50</v>
      </c>
      <c r="J853" s="38">
        <f t="shared" si="49"/>
        <v>1137.5</v>
      </c>
      <c r="K853" s="38">
        <f t="shared" si="50"/>
        <v>258.52272727272725</v>
      </c>
      <c r="L853" s="151">
        <v>46023</v>
      </c>
      <c r="M853" s="1">
        <f>VLOOKUP(F:F,[1]Sheet1!$E:$F,2,FALSE)</f>
        <v>809</v>
      </c>
    </row>
    <row r="854" spans="1:13" hidden="1">
      <c r="A854" s="1" t="s">
        <v>1594</v>
      </c>
      <c r="B854" s="1" t="s">
        <v>71</v>
      </c>
      <c r="C854" s="1" t="s">
        <v>1274</v>
      </c>
      <c r="D854" s="1" t="s">
        <v>71</v>
      </c>
      <c r="E854" s="1" t="str">
        <f t="shared" si="51"/>
        <v>TAHOKAWESLACO</v>
      </c>
      <c r="F854" s="1" t="str">
        <f t="shared" si="52"/>
        <v>TAHOKATXWESLACOTX</v>
      </c>
      <c r="G854" s="1">
        <v>957.8599999999999</v>
      </c>
      <c r="H854" s="38">
        <f>G854*COSTS!$AA$27</f>
        <v>1436.79</v>
      </c>
      <c r="I854" s="1">
        <f>COSTS!$AA$28</f>
        <v>50</v>
      </c>
      <c r="J854" s="38">
        <f t="shared" si="49"/>
        <v>1486.79</v>
      </c>
      <c r="K854" s="38">
        <f t="shared" si="50"/>
        <v>337.90681818181815</v>
      </c>
      <c r="L854" s="151">
        <v>46023</v>
      </c>
      <c r="M854" s="1">
        <f>VLOOKUP(F:F,[1]Sheet1!$E:$F,2,FALSE)</f>
        <v>1201</v>
      </c>
    </row>
    <row r="855" spans="1:13" hidden="1">
      <c r="A855" s="1" t="s">
        <v>1594</v>
      </c>
      <c r="B855" s="1" t="s">
        <v>71</v>
      </c>
      <c r="C855" s="1" t="s">
        <v>241</v>
      </c>
      <c r="D855" s="1" t="s">
        <v>71</v>
      </c>
      <c r="E855" s="1" t="str">
        <f t="shared" si="51"/>
        <v>TAHOKADallas</v>
      </c>
      <c r="F855" s="1" t="str">
        <f t="shared" si="52"/>
        <v>TAHOKATXDallasTX</v>
      </c>
      <c r="G855" s="1">
        <v>495</v>
      </c>
      <c r="H855" s="38">
        <f>G855*COSTS!$AA$27</f>
        <v>742.5</v>
      </c>
      <c r="I855" s="1">
        <f>COSTS!$AA$28</f>
        <v>50</v>
      </c>
      <c r="J855" s="38">
        <f t="shared" si="49"/>
        <v>792.5</v>
      </c>
      <c r="K855" s="38">
        <f t="shared" si="50"/>
        <v>180.11363636363637</v>
      </c>
      <c r="L855" s="151">
        <v>46023</v>
      </c>
      <c r="M855" s="1">
        <f>VLOOKUP(F:F,[1]Sheet1!$E:$F,2,FALSE)</f>
        <v>549</v>
      </c>
    </row>
    <row r="856" spans="1:13" hidden="1">
      <c r="A856" s="1" t="s">
        <v>1594</v>
      </c>
      <c r="B856" s="1" t="s">
        <v>71</v>
      </c>
      <c r="C856" s="1" t="s">
        <v>439</v>
      </c>
      <c r="D856" s="1" t="s">
        <v>71</v>
      </c>
      <c r="E856" s="1" t="str">
        <f t="shared" si="51"/>
        <v>TAHOKAHouston</v>
      </c>
      <c r="F856" s="1" t="str">
        <f t="shared" si="52"/>
        <v>TAHOKATXHoustonTX</v>
      </c>
      <c r="G856" s="1">
        <v>1009</v>
      </c>
      <c r="H856" s="38">
        <f>G856*COSTS!$AA$27</f>
        <v>1513.5</v>
      </c>
      <c r="I856" s="1">
        <f>COSTS!$AA$28</f>
        <v>50</v>
      </c>
      <c r="J856" s="38">
        <f t="shared" si="49"/>
        <v>1563.5</v>
      </c>
      <c r="K856" s="38">
        <f t="shared" si="50"/>
        <v>355.34090909090907</v>
      </c>
      <c r="L856" s="151">
        <v>46023</v>
      </c>
      <c r="M856" s="1">
        <f>VLOOKUP(F:F,[1]Sheet1!$E:$F,2,FALSE)</f>
        <v>1009</v>
      </c>
    </row>
    <row r="857" spans="1:13" hidden="1">
      <c r="A857" s="1" t="s">
        <v>1595</v>
      </c>
      <c r="B857" s="1" t="s">
        <v>71</v>
      </c>
      <c r="C857" s="1" t="s">
        <v>1274</v>
      </c>
      <c r="D857" s="1" t="s">
        <v>71</v>
      </c>
      <c r="E857" s="1" t="str">
        <f t="shared" si="51"/>
        <v>TAYLORWESLACO</v>
      </c>
      <c r="F857" s="1" t="str">
        <f t="shared" si="52"/>
        <v>TAYLORTXWESLACOTX</v>
      </c>
      <c r="G857" s="1">
        <v>667.4</v>
      </c>
      <c r="H857" s="38">
        <f>G857*COSTS!$AA$27</f>
        <v>1001.0999999999999</v>
      </c>
      <c r="I857" s="1">
        <f>COSTS!$AA$28</f>
        <v>50</v>
      </c>
      <c r="J857" s="38">
        <f t="shared" si="49"/>
        <v>1051.0999999999999</v>
      </c>
      <c r="K857" s="38">
        <f t="shared" si="50"/>
        <v>238.88636363636363</v>
      </c>
      <c r="L857" s="151">
        <v>46023</v>
      </c>
      <c r="M857" s="1">
        <f>VLOOKUP(F:F,[1]Sheet1!$E:$F,2,FALSE)</f>
        <v>620</v>
      </c>
    </row>
    <row r="858" spans="1:13" hidden="1">
      <c r="A858" s="1" t="s">
        <v>1595</v>
      </c>
      <c r="B858" s="1" t="s">
        <v>71</v>
      </c>
      <c r="C858" s="1" t="s">
        <v>241</v>
      </c>
      <c r="D858" s="1" t="s">
        <v>71</v>
      </c>
      <c r="E858" s="1" t="str">
        <f t="shared" si="51"/>
        <v>TAYLORDallas</v>
      </c>
      <c r="F858" s="1" t="str">
        <f t="shared" si="52"/>
        <v>TAYLORTXDallasTX</v>
      </c>
      <c r="G858" s="1">
        <v>475</v>
      </c>
      <c r="H858" s="38">
        <f>G858*COSTS!$AA$27</f>
        <v>712.5</v>
      </c>
      <c r="I858" s="1">
        <f>COSTS!$AA$28</f>
        <v>50</v>
      </c>
      <c r="J858" s="38">
        <f t="shared" si="49"/>
        <v>762.5</v>
      </c>
      <c r="K858" s="38">
        <f t="shared" si="50"/>
        <v>173.29545454545453</v>
      </c>
      <c r="L858" s="151">
        <v>46023</v>
      </c>
      <c r="M858" s="1" t="e">
        <f>VLOOKUP(F:F,[1]Sheet1!$E:$F,2,FALSE)</f>
        <v>#N/A</v>
      </c>
    </row>
    <row r="859" spans="1:13" hidden="1">
      <c r="A859" s="1" t="s">
        <v>1595</v>
      </c>
      <c r="B859" s="1" t="s">
        <v>71</v>
      </c>
      <c r="C859" s="1" t="s">
        <v>439</v>
      </c>
      <c r="D859" s="1" t="s">
        <v>71</v>
      </c>
      <c r="E859" s="1" t="str">
        <f t="shared" si="51"/>
        <v>TAYLORHouston</v>
      </c>
      <c r="F859" s="1" t="str">
        <f t="shared" si="52"/>
        <v>TAYLORTXHoustonTX</v>
      </c>
      <c r="G859" s="1">
        <v>525</v>
      </c>
      <c r="H859" s="38">
        <f>G859*COSTS!$AA$27</f>
        <v>787.5</v>
      </c>
      <c r="I859" s="1">
        <f>COSTS!$AA$28</f>
        <v>50</v>
      </c>
      <c r="J859" s="38">
        <f t="shared" si="49"/>
        <v>837.5</v>
      </c>
      <c r="K859" s="38">
        <f t="shared" si="50"/>
        <v>190.34090909090909</v>
      </c>
      <c r="L859" s="151">
        <v>46023</v>
      </c>
      <c r="M859" s="1">
        <f>VLOOKUP(F:F,[1]Sheet1!$E:$F,2,FALSE)</f>
        <v>540</v>
      </c>
    </row>
    <row r="860" spans="1:13" hidden="1">
      <c r="A860" s="1" t="s">
        <v>1609</v>
      </c>
      <c r="B860" s="1" t="s">
        <v>71</v>
      </c>
      <c r="C860" s="1" t="s">
        <v>241</v>
      </c>
      <c r="D860" s="1" t="s">
        <v>71</v>
      </c>
      <c r="E860" s="1" t="str">
        <f t="shared" si="51"/>
        <v>TORNILLODallas</v>
      </c>
      <c r="F860" s="1" t="str">
        <f t="shared" si="52"/>
        <v>TORNILLOTXDallasTX</v>
      </c>
      <c r="G860" s="1">
        <v>920</v>
      </c>
      <c r="H860" s="38">
        <f>G860*COSTS!$AA$27</f>
        <v>1380</v>
      </c>
      <c r="I860" s="1">
        <f>COSTS!$AA$28</f>
        <v>50</v>
      </c>
      <c r="J860" s="38">
        <f t="shared" si="49"/>
        <v>1430</v>
      </c>
      <c r="K860" s="38">
        <f t="shared" si="50"/>
        <v>325</v>
      </c>
      <c r="L860" s="151">
        <v>46023</v>
      </c>
      <c r="M860" s="1">
        <f>VLOOKUP(F:F,[1]Sheet1!$E:$F,2,FALSE)</f>
        <v>964</v>
      </c>
    </row>
    <row r="861" spans="1:13" hidden="1">
      <c r="A861" s="1" t="s">
        <v>762</v>
      </c>
      <c r="B861" s="1" t="s">
        <v>71</v>
      </c>
      <c r="C861" s="1" t="s">
        <v>439</v>
      </c>
      <c r="D861" s="1" t="s">
        <v>71</v>
      </c>
      <c r="E861" s="1" t="str">
        <f t="shared" si="51"/>
        <v>TornilloHouston</v>
      </c>
      <c r="F861" s="1" t="str">
        <f t="shared" si="52"/>
        <v>TornilloTXHoustonTX</v>
      </c>
      <c r="G861" s="1">
        <v>1009</v>
      </c>
      <c r="H861" s="38">
        <f>G861*COSTS!$AA$27</f>
        <v>1513.5</v>
      </c>
      <c r="I861" s="1">
        <f>COSTS!$AA$28</f>
        <v>50</v>
      </c>
      <c r="J861" s="38">
        <f t="shared" si="49"/>
        <v>1563.5</v>
      </c>
      <c r="K861" s="38">
        <f t="shared" si="50"/>
        <v>355.34090909090907</v>
      </c>
      <c r="L861" s="151">
        <v>46023</v>
      </c>
      <c r="M861" s="1">
        <f>VLOOKUP(F:F,[1]Sheet1!$E:$F,2,FALSE)</f>
        <v>1383</v>
      </c>
    </row>
    <row r="862" spans="1:13" hidden="1">
      <c r="A862" s="1" t="s">
        <v>1559</v>
      </c>
      <c r="B862" s="1" t="s">
        <v>71</v>
      </c>
      <c r="C862" s="1" t="s">
        <v>1033</v>
      </c>
      <c r="D862" s="1" t="s">
        <v>168</v>
      </c>
      <c r="E862" s="1" t="str">
        <f t="shared" si="51"/>
        <v>TULIAMEMPHIS</v>
      </c>
      <c r="F862" s="1" t="s">
        <v>1258</v>
      </c>
      <c r="G862" s="1">
        <v>1650</v>
      </c>
      <c r="H862" s="38">
        <f>G862*COSTS!$AA$27</f>
        <v>2475</v>
      </c>
      <c r="I862" s="1">
        <f>COSTS!$AA$28</f>
        <v>50</v>
      </c>
      <c r="J862" s="38">
        <f t="shared" si="49"/>
        <v>2525</v>
      </c>
      <c r="K862" s="38">
        <f t="shared" si="50"/>
        <v>573.86363636363637</v>
      </c>
      <c r="L862" s="151">
        <v>46023</v>
      </c>
      <c r="M862" s="1" t="e">
        <f>VLOOKUP(F:F,[1]Sheet1!$E:$F,2,FALSE)</f>
        <v>#N/A</v>
      </c>
    </row>
    <row r="863" spans="1:13" hidden="1">
      <c r="A863" s="1" t="s">
        <v>1559</v>
      </c>
      <c r="B863" s="1" t="s">
        <v>71</v>
      </c>
      <c r="C863" s="1" t="s">
        <v>1274</v>
      </c>
      <c r="D863" s="1" t="s">
        <v>71</v>
      </c>
      <c r="E863" s="1" t="str">
        <f t="shared" si="51"/>
        <v>TULIAWESLACO</v>
      </c>
      <c r="F863" s="1" t="str">
        <f>A863&amp;B863&amp;C863&amp;D863</f>
        <v>TULIATXWESLACOTX</v>
      </c>
      <c r="G863" s="1">
        <v>1098.8599999999999</v>
      </c>
      <c r="H863" s="38">
        <f>G863*COSTS!$AA$27</f>
        <v>1648.29</v>
      </c>
      <c r="I863" s="1">
        <f>COSTS!$AA$28</f>
        <v>50</v>
      </c>
      <c r="J863" s="38">
        <f t="shared" si="49"/>
        <v>1698.29</v>
      </c>
      <c r="K863" s="38">
        <f t="shared" si="50"/>
        <v>385.97499999999997</v>
      </c>
      <c r="L863" s="151">
        <v>46023</v>
      </c>
      <c r="M863" s="1">
        <f>VLOOKUP(F:F,[1]Sheet1!$E:$F,2,FALSE)</f>
        <v>1454</v>
      </c>
    </row>
    <row r="864" spans="1:13" hidden="1">
      <c r="A864" s="1" t="s">
        <v>1559</v>
      </c>
      <c r="B864" s="1" t="s">
        <v>71</v>
      </c>
      <c r="C864" s="1" t="s">
        <v>241</v>
      </c>
      <c r="D864" s="1" t="s">
        <v>71</v>
      </c>
      <c r="E864" s="1" t="str">
        <f t="shared" si="51"/>
        <v>TULIADallas</v>
      </c>
      <c r="F864" s="1" t="str">
        <f>A864&amp;B864&amp;C864&amp;D864</f>
        <v>TULIATXDallasTX</v>
      </c>
      <c r="G864" s="1">
        <v>565</v>
      </c>
      <c r="H864" s="38">
        <f>G864*COSTS!$AA$27</f>
        <v>847.5</v>
      </c>
      <c r="I864" s="1">
        <f>COSTS!$AA$28</f>
        <v>50</v>
      </c>
      <c r="J864" s="38">
        <f t="shared" si="49"/>
        <v>897.5</v>
      </c>
      <c r="K864" s="38">
        <f t="shared" si="50"/>
        <v>203.97727272727275</v>
      </c>
      <c r="L864" s="151">
        <v>46023</v>
      </c>
      <c r="M864" s="1">
        <f>VLOOKUP(F:F,[1]Sheet1!$E:$F,2,FALSE)</f>
        <v>574</v>
      </c>
    </row>
    <row r="865" spans="1:13" hidden="1">
      <c r="A865" s="1" t="s">
        <v>1559</v>
      </c>
      <c r="B865" s="1" t="s">
        <v>71</v>
      </c>
      <c r="C865" s="1" t="s">
        <v>439</v>
      </c>
      <c r="D865" s="1" t="s">
        <v>71</v>
      </c>
      <c r="E865" s="1" t="str">
        <f t="shared" si="51"/>
        <v>TULIAHouston</v>
      </c>
      <c r="F865" s="1" t="str">
        <f>A865&amp;B865&amp;C865&amp;D865</f>
        <v>TULIATXHoustonTX</v>
      </c>
      <c r="G865" s="1">
        <v>900</v>
      </c>
      <c r="H865" s="38">
        <f>G865*COSTS!$AA$27</f>
        <v>1350</v>
      </c>
      <c r="I865" s="1">
        <f>COSTS!$AA$28</f>
        <v>50</v>
      </c>
      <c r="J865" s="38">
        <f t="shared" si="49"/>
        <v>1400</v>
      </c>
      <c r="K865" s="38">
        <f t="shared" si="50"/>
        <v>318.18181818181819</v>
      </c>
      <c r="L865" s="151">
        <v>46023</v>
      </c>
      <c r="M865" s="1">
        <f>VLOOKUP(F:F,[1]Sheet1!$E:$F,2,FALSE)</f>
        <v>1174</v>
      </c>
    </row>
    <row r="866" spans="1:13" hidden="1">
      <c r="A866" s="1" t="s">
        <v>1562</v>
      </c>
      <c r="B866" s="1" t="s">
        <v>71</v>
      </c>
      <c r="C866" s="1" t="s">
        <v>1033</v>
      </c>
      <c r="D866" s="1" t="s">
        <v>168</v>
      </c>
      <c r="E866" s="1" t="str">
        <f t="shared" si="51"/>
        <v>VERNONMEMPHIS</v>
      </c>
      <c r="F866" s="1" t="s">
        <v>1263</v>
      </c>
      <c r="G866" s="1">
        <v>1635.64</v>
      </c>
      <c r="H866" s="38">
        <f>G866*COSTS!$AA$27</f>
        <v>2453.46</v>
      </c>
      <c r="I866" s="1">
        <f>COSTS!$AA$28</f>
        <v>50</v>
      </c>
      <c r="J866" s="38">
        <f t="shared" si="49"/>
        <v>2503.46</v>
      </c>
      <c r="K866" s="38">
        <f t="shared" si="50"/>
        <v>568.96818181818185</v>
      </c>
      <c r="L866" s="151">
        <v>46023</v>
      </c>
      <c r="M866" s="1" t="e">
        <f>VLOOKUP(F:F,[1]Sheet1!$E:$F,2,FALSE)</f>
        <v>#N/A</v>
      </c>
    </row>
    <row r="867" spans="1:13" hidden="1">
      <c r="A867" s="1" t="s">
        <v>1562</v>
      </c>
      <c r="B867" s="1" t="s">
        <v>71</v>
      </c>
      <c r="C867" s="1" t="s">
        <v>1274</v>
      </c>
      <c r="D867" s="1" t="s">
        <v>71</v>
      </c>
      <c r="E867" s="1" t="str">
        <f t="shared" si="51"/>
        <v>VERNONWESLACO</v>
      </c>
      <c r="F867" s="1" t="str">
        <f>A867&amp;B867&amp;C867&amp;D867</f>
        <v>VERNONTXWESLACOTX</v>
      </c>
      <c r="G867" s="1">
        <v>808.4</v>
      </c>
      <c r="H867" s="38">
        <f>G867*COSTS!$AA$27</f>
        <v>1212.5999999999999</v>
      </c>
      <c r="I867" s="1">
        <f>COSTS!$AA$28</f>
        <v>50</v>
      </c>
      <c r="J867" s="38">
        <f t="shared" si="49"/>
        <v>1262.5999999999999</v>
      </c>
      <c r="K867" s="38">
        <f t="shared" si="50"/>
        <v>286.95454545454544</v>
      </c>
      <c r="L867" s="151">
        <v>46023</v>
      </c>
      <c r="M867" s="1">
        <f>VLOOKUP(F:F,[1]Sheet1!$E:$F,2,FALSE)</f>
        <v>1306</v>
      </c>
    </row>
    <row r="868" spans="1:13" hidden="1">
      <c r="A868" s="1" t="s">
        <v>1562</v>
      </c>
      <c r="B868" s="1" t="s">
        <v>71</v>
      </c>
      <c r="C868" s="1" t="s">
        <v>241</v>
      </c>
      <c r="D868" s="1" t="s">
        <v>71</v>
      </c>
      <c r="E868" s="1" t="str">
        <f t="shared" si="51"/>
        <v>VERNONDallas</v>
      </c>
      <c r="F868" s="1" t="str">
        <f>A868&amp;B868&amp;C868&amp;D868</f>
        <v>VERNONTXDallasTX</v>
      </c>
      <c r="G868" s="1">
        <v>430</v>
      </c>
      <c r="H868" s="38">
        <f>G868*COSTS!$AA$27</f>
        <v>645</v>
      </c>
      <c r="I868" s="1">
        <f>COSTS!$AA$28</f>
        <v>50</v>
      </c>
      <c r="J868" s="38">
        <f t="shared" si="49"/>
        <v>695</v>
      </c>
      <c r="K868" s="38">
        <f t="shared" si="50"/>
        <v>157.95454545454544</v>
      </c>
      <c r="L868" s="151">
        <v>46023</v>
      </c>
      <c r="M868" s="1">
        <f>VLOOKUP(F:F,[1]Sheet1!$E:$F,2,FALSE)</f>
        <v>479</v>
      </c>
    </row>
    <row r="869" spans="1:13" hidden="1">
      <c r="A869" s="1" t="s">
        <v>1562</v>
      </c>
      <c r="B869" s="1" t="s">
        <v>71</v>
      </c>
      <c r="C869" s="1" t="s">
        <v>439</v>
      </c>
      <c r="D869" s="1" t="s">
        <v>71</v>
      </c>
      <c r="E869" s="1" t="str">
        <f t="shared" si="51"/>
        <v>VERNONHouston</v>
      </c>
      <c r="F869" s="1" t="str">
        <f>A869&amp;B869&amp;C869&amp;D869</f>
        <v>VERNONTXHoustonTX</v>
      </c>
      <c r="G869" s="1">
        <v>1000</v>
      </c>
      <c r="H869" s="38">
        <f>G869*COSTS!$AA$27</f>
        <v>1500</v>
      </c>
      <c r="I869" s="1">
        <f>COSTS!$AA$28</f>
        <v>50</v>
      </c>
      <c r="J869" s="38">
        <f t="shared" si="49"/>
        <v>1550</v>
      </c>
      <c r="K869" s="38">
        <f t="shared" si="50"/>
        <v>352.27272727272725</v>
      </c>
      <c r="L869" s="151">
        <v>46023</v>
      </c>
      <c r="M869" s="1">
        <f>VLOOKUP(F:F,[1]Sheet1!$E:$F,2,FALSE)</f>
        <v>1059</v>
      </c>
    </row>
    <row r="870" spans="1:13" hidden="1">
      <c r="A870" s="1" t="s">
        <v>1274</v>
      </c>
      <c r="B870" s="1" t="s">
        <v>71</v>
      </c>
      <c r="C870" s="1" t="s">
        <v>1033</v>
      </c>
      <c r="D870" s="1" t="s">
        <v>168</v>
      </c>
      <c r="E870" s="1" t="str">
        <f t="shared" si="51"/>
        <v>WESLACOMEMPHIS</v>
      </c>
      <c r="F870" s="1" t="s">
        <v>1269</v>
      </c>
      <c r="G870" s="1">
        <v>2021</v>
      </c>
      <c r="H870" s="38">
        <f>G870*COSTS!$AA$27</f>
        <v>3031.5</v>
      </c>
      <c r="I870" s="1">
        <f>COSTS!$AA$28</f>
        <v>50</v>
      </c>
      <c r="J870" s="38">
        <f t="shared" si="49"/>
        <v>3081.5</v>
      </c>
      <c r="K870" s="38">
        <f t="shared" si="50"/>
        <v>700.34090909090901</v>
      </c>
      <c r="L870" s="151">
        <v>46023</v>
      </c>
      <c r="M870" s="1" t="e">
        <f>VLOOKUP(F:F,[1]Sheet1!$E:$F,2,FALSE)</f>
        <v>#N/A</v>
      </c>
    </row>
    <row r="871" spans="1:13" hidden="1">
      <c r="A871" s="1" t="s">
        <v>1274</v>
      </c>
      <c r="B871" s="1" t="s">
        <v>71</v>
      </c>
      <c r="C871" s="1" t="s">
        <v>439</v>
      </c>
      <c r="D871" s="1" t="s">
        <v>71</v>
      </c>
      <c r="E871" s="1" t="str">
        <f t="shared" si="51"/>
        <v>WESLACOHouston</v>
      </c>
      <c r="F871" s="1" t="str">
        <f>A871&amp;B871&amp;C871&amp;D871</f>
        <v>WESLACOTXHoustonTX</v>
      </c>
      <c r="G871" s="1">
        <v>775</v>
      </c>
      <c r="H871" s="38">
        <f>G871*COSTS!$AA$27</f>
        <v>1162.5</v>
      </c>
      <c r="I871" s="1">
        <f>COSTS!$AA$28</f>
        <v>50</v>
      </c>
      <c r="J871" s="38">
        <f t="shared" si="49"/>
        <v>1212.5</v>
      </c>
      <c r="K871" s="38">
        <f t="shared" si="50"/>
        <v>275.56818181818181</v>
      </c>
      <c r="L871" s="151">
        <v>46023</v>
      </c>
      <c r="M871" s="1">
        <f>VLOOKUP(F:F,[1]Sheet1!$E:$F,2,FALSE)</f>
        <v>1157</v>
      </c>
    </row>
    <row r="872" spans="1:13" hidden="1">
      <c r="A872" s="1" t="s">
        <v>1565</v>
      </c>
      <c r="B872" s="1" t="s">
        <v>71</v>
      </c>
      <c r="C872" s="1" t="s">
        <v>1274</v>
      </c>
      <c r="D872" s="1" t="s">
        <v>71</v>
      </c>
      <c r="E872" s="1" t="str">
        <f t="shared" si="51"/>
        <v>WINNSBOROWESLACO</v>
      </c>
      <c r="F872" s="1" t="str">
        <f>A872&amp;B872&amp;C872&amp;D872</f>
        <v>WINNSBOROTXWESLACOTX</v>
      </c>
      <c r="G872" s="1">
        <v>799</v>
      </c>
      <c r="H872" s="38">
        <f>G872*COSTS!$AA$27</f>
        <v>1198.5</v>
      </c>
      <c r="I872" s="1">
        <f>COSTS!$AA$28</f>
        <v>50</v>
      </c>
      <c r="J872" s="38">
        <f t="shared" si="49"/>
        <v>1248.5</v>
      </c>
      <c r="K872" s="38">
        <f t="shared" si="50"/>
        <v>283.75</v>
      </c>
      <c r="L872" s="151">
        <v>46023</v>
      </c>
      <c r="M872" s="1" t="e">
        <f>VLOOKUP(F:F,[1]Sheet1!$E:$F,2,FALSE)</f>
        <v>#N/A</v>
      </c>
    </row>
    <row r="873" spans="1:13" hidden="1">
      <c r="A873" s="1" t="s">
        <v>1344</v>
      </c>
      <c r="B873" s="1" t="s">
        <v>324</v>
      </c>
      <c r="C873" s="1" t="s">
        <v>847</v>
      </c>
      <c r="D873" s="1" t="s">
        <v>76</v>
      </c>
      <c r="E873" s="1" t="str">
        <f>A873&amp;(IF(C873="Garden City","Savannah",C873))</f>
        <v>EMPORIASavannah</v>
      </c>
      <c r="F873" s="1" t="s">
        <v>904</v>
      </c>
      <c r="G873" s="1">
        <v>779.375</v>
      </c>
      <c r="H873" s="38">
        <f>G873*COSTS!$AA$27</f>
        <v>1169.0625</v>
      </c>
      <c r="I873" s="1">
        <f>COSTS!$AA$28</f>
        <v>50</v>
      </c>
      <c r="J873" s="38">
        <f t="shared" si="49"/>
        <v>1219.0625</v>
      </c>
      <c r="K873" s="38">
        <f t="shared" si="50"/>
        <v>277.05965909090912</v>
      </c>
      <c r="L873" s="151">
        <v>46023</v>
      </c>
      <c r="M873" s="1">
        <f>VLOOKUP(F:F,[1]Sheet1!$E:$F,2,FALSE)</f>
        <v>1170</v>
      </c>
    </row>
    <row r="874" spans="1:13" hidden="1">
      <c r="A874" s="1" t="s">
        <v>1344</v>
      </c>
      <c r="B874" s="1" t="s">
        <v>324</v>
      </c>
      <c r="C874" s="1" t="s">
        <v>1033</v>
      </c>
      <c r="D874" s="1" t="s">
        <v>168</v>
      </c>
      <c r="E874" s="1" t="str">
        <f>A874&amp;C874</f>
        <v>EMPORIAMEMPHIS</v>
      </c>
      <c r="F874" s="1" t="s">
        <v>1111</v>
      </c>
      <c r="G874" s="1">
        <v>1413</v>
      </c>
      <c r="H874" s="38">
        <f>G874*COSTS!$AA$27</f>
        <v>2119.5</v>
      </c>
      <c r="I874" s="1">
        <f>COSTS!$AA$28</f>
        <v>50</v>
      </c>
      <c r="J874" s="38">
        <f t="shared" si="49"/>
        <v>2169.5</v>
      </c>
      <c r="K874" s="38">
        <f t="shared" si="50"/>
        <v>493.06818181818181</v>
      </c>
      <c r="L874" s="151">
        <v>46023</v>
      </c>
      <c r="M874" s="1">
        <f>VLOOKUP(F:F,[1]Sheet1!$E:$F,2,FALSE)</f>
        <v>2050</v>
      </c>
    </row>
    <row r="875" spans="1:13" hidden="1">
      <c r="A875" s="1" t="s">
        <v>1344</v>
      </c>
      <c r="B875" s="1" t="s">
        <v>324</v>
      </c>
      <c r="C875" s="1" t="s">
        <v>1275</v>
      </c>
      <c r="D875" s="1" t="s">
        <v>136</v>
      </c>
      <c r="E875" s="1" t="str">
        <f>A875&amp;C875</f>
        <v>EMPORIASHELBY</v>
      </c>
      <c r="F875" s="1" t="str">
        <f>A875&amp;B875&amp;C875&amp;D875</f>
        <v>EMPORIAVASHELBYNC</v>
      </c>
      <c r="G875" s="1">
        <v>690</v>
      </c>
      <c r="H875" s="38">
        <f>G875*COSTS!$AA$27</f>
        <v>1035</v>
      </c>
      <c r="I875" s="1">
        <f>COSTS!$AA$28</f>
        <v>50</v>
      </c>
      <c r="J875" s="38">
        <f t="shared" si="49"/>
        <v>1085</v>
      </c>
      <c r="K875" s="38">
        <f t="shared" si="50"/>
        <v>246.59090909090909</v>
      </c>
      <c r="L875" s="151">
        <v>46023</v>
      </c>
      <c r="M875" s="1">
        <f>VLOOKUP(F:F,[1]Sheet1!$E:$F,2,FALSE)</f>
        <v>800</v>
      </c>
    </row>
    <row r="876" spans="1:13" hidden="1">
      <c r="A876" s="1" t="s">
        <v>1437</v>
      </c>
      <c r="B876" s="1" t="s">
        <v>324</v>
      </c>
      <c r="C876" s="1" t="s">
        <v>847</v>
      </c>
      <c r="D876" s="1" t="s">
        <v>76</v>
      </c>
      <c r="E876" s="1" t="str">
        <f>A876&amp;(IF(C876="Garden City","Savannah",C876))</f>
        <v>SUFFOLKSavannah</v>
      </c>
      <c r="F876" s="1" t="s">
        <v>1001</v>
      </c>
      <c r="G876" s="1">
        <v>888.44</v>
      </c>
      <c r="H876" s="38">
        <f>G876*COSTS!$AA$27</f>
        <v>1332.66</v>
      </c>
      <c r="I876" s="1">
        <f>COSTS!$AA$28</f>
        <v>50</v>
      </c>
      <c r="J876" s="38">
        <f t="shared" si="49"/>
        <v>1382.66</v>
      </c>
      <c r="K876" s="38">
        <f t="shared" si="50"/>
        <v>314.2409090909091</v>
      </c>
      <c r="L876" s="151">
        <v>46023</v>
      </c>
      <c r="M876" s="1">
        <f>VLOOKUP(F:F,[1]Sheet1!$E:$F,2,FALSE)</f>
        <v>1270</v>
      </c>
    </row>
    <row r="877" spans="1:13" hidden="1">
      <c r="A877" s="1" t="s">
        <v>1437</v>
      </c>
      <c r="B877" s="1" t="s">
        <v>324</v>
      </c>
      <c r="C877" s="1" t="s">
        <v>1033</v>
      </c>
      <c r="D877" s="1" t="s">
        <v>168</v>
      </c>
      <c r="E877" s="1" t="str">
        <f>A877&amp;C877</f>
        <v>SUFFOLKMEMPHIS</v>
      </c>
      <c r="F877" s="1" t="s">
        <v>1241</v>
      </c>
      <c r="G877" s="1">
        <v>1545</v>
      </c>
      <c r="H877" s="38">
        <f>G877*COSTS!$AA$27</f>
        <v>2317.5</v>
      </c>
      <c r="I877" s="1">
        <f>COSTS!$AA$28</f>
        <v>50</v>
      </c>
      <c r="J877" s="38">
        <f t="shared" si="49"/>
        <v>2367.5</v>
      </c>
      <c r="K877" s="38">
        <f t="shared" si="50"/>
        <v>538.06818181818176</v>
      </c>
      <c r="L877" s="151">
        <v>46023</v>
      </c>
      <c r="M877" s="1">
        <f>VLOOKUP(F:F,[1]Sheet1!$E:$F,2,FALSE)</f>
        <v>2150</v>
      </c>
    </row>
    <row r="878" spans="1:13" hidden="1">
      <c r="A878" s="1" t="s">
        <v>1437</v>
      </c>
      <c r="B878" s="1" t="s">
        <v>324</v>
      </c>
      <c r="C878" s="1" t="s">
        <v>1275</v>
      </c>
      <c r="D878" s="1" t="s">
        <v>136</v>
      </c>
      <c r="E878" s="1" t="str">
        <f>A878&amp;C878</f>
        <v>SUFFOLKSHELBY</v>
      </c>
      <c r="F878" s="1" t="str">
        <f>A878&amp;B878&amp;C878&amp;D878</f>
        <v>SUFFOLKVASHELBYNC</v>
      </c>
      <c r="G878" s="1">
        <v>795</v>
      </c>
      <c r="H878" s="38">
        <f>G878*COSTS!$AA$27</f>
        <v>1192.5</v>
      </c>
      <c r="I878" s="1">
        <f>COSTS!$AA$28</f>
        <v>50</v>
      </c>
      <c r="J878" s="38">
        <f t="shared" si="49"/>
        <v>1242.5</v>
      </c>
      <c r="K878" s="38">
        <f t="shared" si="50"/>
        <v>282.38636363636363</v>
      </c>
      <c r="L878" s="151">
        <v>46023</v>
      </c>
      <c r="M878" s="1">
        <f>VLOOKUP(F:F,[1]Sheet1!$E:$F,2,FALSE)</f>
        <v>900</v>
      </c>
    </row>
    <row r="879" spans="1:13" hidden="1">
      <c r="A879" s="1" t="s">
        <v>1467</v>
      </c>
      <c r="B879" s="1" t="s">
        <v>324</v>
      </c>
      <c r="C879" s="1" t="s">
        <v>847</v>
      </c>
      <c r="D879" s="1" t="s">
        <v>76</v>
      </c>
      <c r="E879" s="1" t="str">
        <f>A879&amp;(IF(C879="Garden City","Savannah",C879))</f>
        <v>WINDSORSavannah</v>
      </c>
      <c r="F879" s="1" t="s">
        <v>1030</v>
      </c>
      <c r="G879" s="1">
        <v>888.44</v>
      </c>
      <c r="H879" s="38">
        <f>G879*COSTS!$AA$27</f>
        <v>1332.66</v>
      </c>
      <c r="I879" s="1">
        <f>COSTS!$AA$28</f>
        <v>50</v>
      </c>
      <c r="J879" s="38">
        <f t="shared" si="49"/>
        <v>1382.66</v>
      </c>
      <c r="K879" s="38">
        <f t="shared" si="50"/>
        <v>314.2409090909091</v>
      </c>
      <c r="L879" s="151">
        <v>46023</v>
      </c>
      <c r="M879" s="1" t="e">
        <f>VLOOKUP(F:F,[1]Sheet1!$E:$F,2,FALSE)</f>
        <v>#N/A</v>
      </c>
    </row>
    <row r="880" spans="1:13" hidden="1">
      <c r="A880" s="1" t="s">
        <v>1467</v>
      </c>
      <c r="B880" s="1" t="s">
        <v>324</v>
      </c>
      <c r="C880" s="1" t="s">
        <v>1275</v>
      </c>
      <c r="D880" s="1" t="s">
        <v>136</v>
      </c>
      <c r="E880" s="1" t="str">
        <f>A880&amp;C880</f>
        <v>WINDSORSHELBY</v>
      </c>
      <c r="F880" s="1" t="str">
        <f>A880&amp;B880&amp;C880&amp;D880</f>
        <v>WINDSORVASHELBYNC</v>
      </c>
      <c r="G880" s="1">
        <v>805</v>
      </c>
      <c r="H880" s="38">
        <f>G880*COSTS!$AA$27</f>
        <v>1207.5</v>
      </c>
      <c r="I880" s="1">
        <f>COSTS!$AA$28</f>
        <v>50</v>
      </c>
      <c r="J880" s="38">
        <f t="shared" si="49"/>
        <v>1257.5</v>
      </c>
      <c r="K880" s="38">
        <f t="shared" si="50"/>
        <v>285.7954545454545</v>
      </c>
      <c r="L880" s="151">
        <v>46023</v>
      </c>
      <c r="M880" s="1" t="e">
        <f>VLOOKUP(F:F,[1]Sheet1!$E:$F,2,FALSE)</f>
        <v>#N/A</v>
      </c>
    </row>
  </sheetData>
  <autoFilter ref="A1:M880" xr:uid="{611B13AB-11E4-49C4-BDE7-C95B542A7CDB}">
    <filterColumn colId="1">
      <filters>
        <filter val="LA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81F1-AD3E-4200-A7F4-ACE0122BC8A2}">
  <sheetPr>
    <tabColor theme="7" tint="-0.249977111117893"/>
  </sheetPr>
  <dimension ref="A1:S649"/>
  <sheetViews>
    <sheetView workbookViewId="0">
      <selection activeCell="E21" sqref="E21"/>
    </sheetView>
  </sheetViews>
  <sheetFormatPr defaultColWidth="9.1796875" defaultRowHeight="12"/>
  <cols>
    <col min="1" max="1" width="9.26953125" style="1" customWidth="1"/>
    <col min="2" max="2" width="8.453125" style="136" bestFit="1" customWidth="1"/>
    <col min="3" max="3" width="8" style="136" bestFit="1" customWidth="1"/>
    <col min="4" max="4" width="8.1796875" style="1" customWidth="1"/>
    <col min="5" max="5" width="15.26953125" style="1" bestFit="1" customWidth="1"/>
    <col min="6" max="6" width="12" style="1" bestFit="1" customWidth="1"/>
    <col min="7" max="7" width="8.1796875" style="38" bestFit="1" customWidth="1"/>
    <col min="8" max="8" width="12.26953125" style="1" bestFit="1" customWidth="1"/>
    <col min="9" max="9" width="8.26953125" style="1" bestFit="1" customWidth="1"/>
    <col min="10" max="10" width="10.1796875" style="1" bestFit="1" customWidth="1"/>
    <col min="11" max="11" width="11" style="1" customWidth="1"/>
    <col min="12" max="12" width="7.453125" style="38" bestFit="1" customWidth="1"/>
    <col min="13" max="18" width="9.1796875" style="1"/>
    <col min="19" max="19" width="22" style="1" customWidth="1"/>
    <col min="20" max="16384" width="9.1796875" style="1"/>
  </cols>
  <sheetData>
    <row r="1" spans="1:19">
      <c r="H1" s="38"/>
      <c r="I1" s="38"/>
      <c r="J1" s="38"/>
    </row>
    <row r="2" spans="1:19" ht="12.5" thickBot="1"/>
    <row r="3" spans="1:19" ht="12.5" thickBot="1">
      <c r="A3" s="137" t="s">
        <v>1712</v>
      </c>
      <c r="B3" s="138" t="s">
        <v>1713</v>
      </c>
      <c r="C3" s="138" t="s">
        <v>1714</v>
      </c>
      <c r="D3" s="139" t="s">
        <v>1715</v>
      </c>
      <c r="E3" s="139" t="s">
        <v>1716</v>
      </c>
      <c r="F3" s="140" t="s">
        <v>1717</v>
      </c>
      <c r="G3" s="141" t="s">
        <v>1718</v>
      </c>
      <c r="H3" s="142" t="s">
        <v>1719</v>
      </c>
      <c r="I3" s="143" t="s">
        <v>1720</v>
      </c>
      <c r="J3" s="144" t="s">
        <v>1627</v>
      </c>
      <c r="K3" s="140" t="s">
        <v>1721</v>
      </c>
      <c r="L3" s="145" t="s">
        <v>1722</v>
      </c>
      <c r="S3" s="146" t="s">
        <v>1723</v>
      </c>
    </row>
    <row r="4" spans="1:19">
      <c r="A4" s="147" t="s">
        <v>682</v>
      </c>
      <c r="B4" s="160" t="s">
        <v>1790</v>
      </c>
      <c r="C4" s="160" t="s">
        <v>1637</v>
      </c>
      <c r="D4" s="147" t="s">
        <v>12</v>
      </c>
      <c r="E4" s="147" t="str">
        <f t="shared" ref="E4:E67" si="0">CONCATENATE(,A4,B4)</f>
        <v>SavannahZhuhai</v>
      </c>
      <c r="F4" s="167">
        <v>799</v>
      </c>
      <c r="G4" s="148">
        <f>COSTS!$AA$29</f>
        <v>350</v>
      </c>
      <c r="H4" s="149">
        <f t="shared" ref="H4:H34" si="1">F4+G4</f>
        <v>1149</v>
      </c>
      <c r="I4" s="150">
        <f t="shared" ref="I4:I50" si="2">IFERROR(H4/88*20,"No Quote")</f>
        <v>261.13636363636363</v>
      </c>
      <c r="J4" s="162">
        <v>46044</v>
      </c>
      <c r="K4" s="149">
        <v>960</v>
      </c>
      <c r="L4" s="38">
        <f t="shared" ref="L4:L67" si="3">F4-K4</f>
        <v>-161</v>
      </c>
      <c r="S4" s="147" t="s">
        <v>1860</v>
      </c>
    </row>
    <row r="5" spans="1:19">
      <c r="A5" s="147" t="s">
        <v>682</v>
      </c>
      <c r="B5" s="160" t="s">
        <v>1791</v>
      </c>
      <c r="C5" s="160" t="s">
        <v>1637</v>
      </c>
      <c r="D5" s="147" t="s">
        <v>12</v>
      </c>
      <c r="E5" s="147" t="str">
        <f t="shared" si="0"/>
        <v>SavannahZhanjiang</v>
      </c>
      <c r="F5" s="167">
        <v>830</v>
      </c>
      <c r="G5" s="148">
        <f>COSTS!$AA$29</f>
        <v>350</v>
      </c>
      <c r="H5" s="149">
        <f t="shared" si="1"/>
        <v>1180</v>
      </c>
      <c r="I5" s="150">
        <f t="shared" si="2"/>
        <v>268.18181818181819</v>
      </c>
      <c r="J5" s="162">
        <v>46044</v>
      </c>
      <c r="K5" s="149">
        <v>830</v>
      </c>
      <c r="L5" s="38">
        <f t="shared" si="3"/>
        <v>0</v>
      </c>
      <c r="S5" s="147" t="s">
        <v>1858</v>
      </c>
    </row>
    <row r="6" spans="1:19">
      <c r="A6" s="147" t="s">
        <v>682</v>
      </c>
      <c r="B6" s="160" t="s">
        <v>1731</v>
      </c>
      <c r="C6" s="160" t="s">
        <v>1637</v>
      </c>
      <c r="D6" s="147" t="s">
        <v>12</v>
      </c>
      <c r="E6" s="147" t="str">
        <f t="shared" si="0"/>
        <v>SavannahZhangjiagang</v>
      </c>
      <c r="F6" s="167">
        <v>629</v>
      </c>
      <c r="G6" s="148">
        <f>COSTS!$AA$29</f>
        <v>350</v>
      </c>
      <c r="H6" s="149">
        <f t="shared" si="1"/>
        <v>979</v>
      </c>
      <c r="I6" s="150">
        <f t="shared" si="2"/>
        <v>222.5</v>
      </c>
      <c r="J6" s="162">
        <v>46044</v>
      </c>
      <c r="K6" s="149">
        <v>650</v>
      </c>
      <c r="L6" s="38">
        <f t="shared" si="3"/>
        <v>-21</v>
      </c>
      <c r="S6" s="147" t="s">
        <v>1857</v>
      </c>
    </row>
    <row r="7" spans="1:19">
      <c r="A7" s="147" t="s">
        <v>682</v>
      </c>
      <c r="B7" s="160" t="s">
        <v>1792</v>
      </c>
      <c r="C7" s="160" t="s">
        <v>1637</v>
      </c>
      <c r="D7" s="147" t="s">
        <v>12</v>
      </c>
      <c r="E7" s="147" t="str">
        <f t="shared" si="0"/>
        <v>SavannahXinhui</v>
      </c>
      <c r="F7" s="167" t="s">
        <v>1885</v>
      </c>
      <c r="G7" s="148">
        <f>COSTS!$AA$29</f>
        <v>350</v>
      </c>
      <c r="H7" s="149" t="e">
        <f t="shared" si="1"/>
        <v>#VALUE!</v>
      </c>
      <c r="I7" s="150" t="str">
        <f t="shared" si="2"/>
        <v>No Quote</v>
      </c>
      <c r="J7" s="162">
        <v>46044</v>
      </c>
      <c r="K7" s="149">
        <v>625</v>
      </c>
      <c r="L7" s="38" t="e">
        <f t="shared" si="3"/>
        <v>#VALUE!</v>
      </c>
      <c r="S7" s="147" t="s">
        <v>1856</v>
      </c>
    </row>
    <row r="8" spans="1:19">
      <c r="A8" s="147" t="s">
        <v>682</v>
      </c>
      <c r="B8" s="160" t="s">
        <v>1730</v>
      </c>
      <c r="C8" s="160" t="s">
        <v>1637</v>
      </c>
      <c r="D8" s="147" t="s">
        <v>12</v>
      </c>
      <c r="E8" s="147" t="str">
        <f t="shared" si="0"/>
        <v>SavannahXingang</v>
      </c>
      <c r="F8" s="167">
        <v>151</v>
      </c>
      <c r="G8" s="148">
        <f>COSTS!$AA$29</f>
        <v>350</v>
      </c>
      <c r="H8" s="149">
        <f t="shared" si="1"/>
        <v>501</v>
      </c>
      <c r="I8" s="150">
        <f t="shared" si="2"/>
        <v>113.86363636363637</v>
      </c>
      <c r="J8" s="162">
        <v>46044</v>
      </c>
      <c r="K8" s="149">
        <v>685</v>
      </c>
      <c r="L8" s="38">
        <f t="shared" si="3"/>
        <v>-534</v>
      </c>
      <c r="S8" s="147" t="s">
        <v>1743</v>
      </c>
    </row>
    <row r="9" spans="1:19">
      <c r="A9" s="147" t="s">
        <v>682</v>
      </c>
      <c r="B9" s="160" t="s">
        <v>1763</v>
      </c>
      <c r="C9" s="160" t="s">
        <v>1637</v>
      </c>
      <c r="D9" s="147" t="s">
        <v>12</v>
      </c>
      <c r="E9" s="147" t="str">
        <f t="shared" si="0"/>
        <v>SavannahWuhan</v>
      </c>
      <c r="F9" s="167">
        <v>442</v>
      </c>
      <c r="G9" s="148">
        <f>COSTS!$AA$29</f>
        <v>350</v>
      </c>
      <c r="H9" s="149">
        <f t="shared" si="1"/>
        <v>792</v>
      </c>
      <c r="I9" s="150">
        <f t="shared" si="2"/>
        <v>180</v>
      </c>
      <c r="J9" s="162">
        <v>46044</v>
      </c>
      <c r="K9" s="149">
        <v>747</v>
      </c>
      <c r="L9" s="38">
        <f t="shared" si="3"/>
        <v>-305</v>
      </c>
      <c r="S9" s="147" t="s">
        <v>1899</v>
      </c>
    </row>
    <row r="10" spans="1:19">
      <c r="A10" s="147" t="s">
        <v>682</v>
      </c>
      <c r="B10" s="160" t="s">
        <v>1827</v>
      </c>
      <c r="C10" s="160" t="s">
        <v>1683</v>
      </c>
      <c r="D10" s="147" t="s">
        <v>12</v>
      </c>
      <c r="E10" s="147" t="str">
        <f t="shared" si="0"/>
        <v>SavannahVitoria</v>
      </c>
      <c r="F10" s="167" t="s">
        <v>1793</v>
      </c>
      <c r="G10" s="148">
        <f>COSTS!$AA$29</f>
        <v>350</v>
      </c>
      <c r="H10" s="149" t="e">
        <f t="shared" si="1"/>
        <v>#VALUE!</v>
      </c>
      <c r="I10" s="150" t="str">
        <f t="shared" si="2"/>
        <v>No Quote</v>
      </c>
      <c r="J10" s="162"/>
      <c r="K10" s="149" t="s">
        <v>1793</v>
      </c>
      <c r="L10" s="38" t="e">
        <f t="shared" si="3"/>
        <v>#VALUE!</v>
      </c>
      <c r="S10" s="147" t="s">
        <v>1898</v>
      </c>
    </row>
    <row r="11" spans="1:19">
      <c r="A11" s="147" t="s">
        <v>241</v>
      </c>
      <c r="B11" s="160" t="s">
        <v>1808</v>
      </c>
      <c r="C11" s="160" t="s">
        <v>1668</v>
      </c>
      <c r="D11" s="147" t="s">
        <v>12</v>
      </c>
      <c r="E11" s="147" t="str">
        <f t="shared" si="0"/>
        <v>DallasChennai</v>
      </c>
      <c r="F11" s="167">
        <v>2260</v>
      </c>
      <c r="G11" s="148">
        <f>COSTS!$AA$29</f>
        <v>350</v>
      </c>
      <c r="H11" s="149">
        <f t="shared" si="1"/>
        <v>2610</v>
      </c>
      <c r="I11" s="150">
        <f t="shared" si="2"/>
        <v>593.18181818181824</v>
      </c>
      <c r="J11" s="162">
        <v>46057</v>
      </c>
      <c r="K11" s="149">
        <v>2260</v>
      </c>
      <c r="L11" s="38">
        <f t="shared" si="3"/>
        <v>0</v>
      </c>
      <c r="S11" s="147" t="s">
        <v>1809</v>
      </c>
    </row>
    <row r="12" spans="1:19">
      <c r="A12" s="147" t="s">
        <v>682</v>
      </c>
      <c r="B12" s="160" t="s">
        <v>1828</v>
      </c>
      <c r="C12" s="160" t="s">
        <v>1829</v>
      </c>
      <c r="D12" s="147" t="s">
        <v>12</v>
      </c>
      <c r="E12" s="147" t="str">
        <f t="shared" si="0"/>
        <v>SavannahTunis</v>
      </c>
      <c r="F12" s="167" t="s">
        <v>1793</v>
      </c>
      <c r="G12" s="148">
        <f>COSTS!$AA$29</f>
        <v>350</v>
      </c>
      <c r="H12" s="149" t="e">
        <f t="shared" si="1"/>
        <v>#VALUE!</v>
      </c>
      <c r="I12" s="150" t="str">
        <f t="shared" si="2"/>
        <v>No Quote</v>
      </c>
      <c r="J12" s="162"/>
      <c r="K12" s="149" t="s">
        <v>1793</v>
      </c>
      <c r="L12" s="38" t="e">
        <f t="shared" si="3"/>
        <v>#VALUE!</v>
      </c>
      <c r="S12" s="147" t="s">
        <v>1855</v>
      </c>
    </row>
    <row r="13" spans="1:19">
      <c r="A13" s="147" t="s">
        <v>682</v>
      </c>
      <c r="B13" s="160" t="s">
        <v>1807</v>
      </c>
      <c r="C13" s="160" t="s">
        <v>1830</v>
      </c>
      <c r="D13" s="147" t="s">
        <v>12</v>
      </c>
      <c r="E13" s="147" t="str">
        <f t="shared" si="0"/>
        <v>SavannahTrieste</v>
      </c>
      <c r="F13" s="167" t="s">
        <v>1793</v>
      </c>
      <c r="G13" s="148">
        <f>COSTS!$AA$29</f>
        <v>350</v>
      </c>
      <c r="H13" s="149" t="e">
        <f t="shared" si="1"/>
        <v>#VALUE!</v>
      </c>
      <c r="I13" s="150" t="str">
        <f t="shared" si="2"/>
        <v>No Quote</v>
      </c>
      <c r="J13" s="162"/>
      <c r="K13" s="149" t="s">
        <v>1793</v>
      </c>
      <c r="L13" s="38" t="e">
        <f t="shared" si="3"/>
        <v>#VALUE!</v>
      </c>
      <c r="S13" s="147" t="s">
        <v>1881</v>
      </c>
    </row>
    <row r="14" spans="1:19">
      <c r="A14" s="147" t="s">
        <v>682</v>
      </c>
      <c r="B14" s="160" t="s">
        <v>1780</v>
      </c>
      <c r="C14" s="160" t="s">
        <v>1652</v>
      </c>
      <c r="D14" s="147" t="s">
        <v>12</v>
      </c>
      <c r="E14" s="147" t="str">
        <f t="shared" si="0"/>
        <v>SavannahKaohsiung</v>
      </c>
      <c r="F14" s="167">
        <v>108</v>
      </c>
      <c r="G14" s="148">
        <f>COSTS!$AA$29</f>
        <v>350</v>
      </c>
      <c r="H14" s="149">
        <f t="shared" si="1"/>
        <v>458</v>
      </c>
      <c r="I14" s="150">
        <f t="shared" si="2"/>
        <v>104.09090909090908</v>
      </c>
      <c r="J14" s="162">
        <v>46044</v>
      </c>
      <c r="K14" s="149">
        <v>500</v>
      </c>
      <c r="L14" s="38">
        <f t="shared" si="3"/>
        <v>-392</v>
      </c>
      <c r="S14" s="147" t="s">
        <v>1854</v>
      </c>
    </row>
    <row r="15" spans="1:19">
      <c r="A15" s="147" t="s">
        <v>1884</v>
      </c>
      <c r="B15" s="160" t="s">
        <v>1780</v>
      </c>
      <c r="C15" s="160" t="s">
        <v>1652</v>
      </c>
      <c r="D15" s="147" t="s">
        <v>12</v>
      </c>
      <c r="E15" s="147" t="str">
        <f t="shared" si="0"/>
        <v>NorfolkKaohsiung</v>
      </c>
      <c r="F15" s="167">
        <v>329</v>
      </c>
      <c r="G15" s="148">
        <f>COSTS!$AA$29</f>
        <v>350</v>
      </c>
      <c r="H15" s="149">
        <f t="shared" si="1"/>
        <v>679</v>
      </c>
      <c r="I15" s="150">
        <f t="shared" si="2"/>
        <v>154.31818181818181</v>
      </c>
      <c r="J15" s="162">
        <v>46044</v>
      </c>
      <c r="K15" s="149">
        <v>108</v>
      </c>
      <c r="L15" s="38">
        <f t="shared" si="3"/>
        <v>221</v>
      </c>
      <c r="S15" s="147" t="s">
        <v>1865</v>
      </c>
    </row>
    <row r="16" spans="1:19">
      <c r="A16" s="147" t="s">
        <v>682</v>
      </c>
      <c r="B16" s="160" t="s">
        <v>1820</v>
      </c>
      <c r="C16" s="160" t="s">
        <v>1831</v>
      </c>
      <c r="D16" s="147" t="s">
        <v>12</v>
      </c>
      <c r="E16" s="147" t="str">
        <f t="shared" si="0"/>
        <v>SavannahSuape</v>
      </c>
      <c r="F16" s="167" t="s">
        <v>1793</v>
      </c>
      <c r="G16" s="148">
        <f>COSTS!$AA$29</f>
        <v>350</v>
      </c>
      <c r="H16" s="149" t="e">
        <f t="shared" si="1"/>
        <v>#VALUE!</v>
      </c>
      <c r="I16" s="150" t="str">
        <f t="shared" si="2"/>
        <v>No Quote</v>
      </c>
      <c r="J16" s="162"/>
      <c r="K16" s="149" t="s">
        <v>1793</v>
      </c>
      <c r="L16" s="38" t="e">
        <f t="shared" si="3"/>
        <v>#VALUE!</v>
      </c>
      <c r="S16" s="147" t="s">
        <v>1736</v>
      </c>
    </row>
    <row r="17" spans="1:19">
      <c r="A17" s="147" t="s">
        <v>682</v>
      </c>
      <c r="B17" s="160" t="s">
        <v>1812</v>
      </c>
      <c r="C17" s="160" t="s">
        <v>1813</v>
      </c>
      <c r="D17" s="147" t="s">
        <v>12</v>
      </c>
      <c r="E17" s="147" t="str">
        <f t="shared" si="0"/>
        <v>SavannahSohar Oman</v>
      </c>
      <c r="F17" s="167" t="s">
        <v>1793</v>
      </c>
      <c r="G17" s="148">
        <f>COSTS!$AA$29</f>
        <v>350</v>
      </c>
      <c r="H17" s="149" t="e">
        <f t="shared" si="1"/>
        <v>#VALUE!</v>
      </c>
      <c r="I17" s="150" t="str">
        <f t="shared" si="2"/>
        <v>No Quote</v>
      </c>
      <c r="J17" s="162"/>
      <c r="K17" s="149" t="s">
        <v>1793</v>
      </c>
      <c r="L17" s="38" t="e">
        <f t="shared" si="3"/>
        <v>#VALUE!</v>
      </c>
      <c r="S17" s="147" t="s">
        <v>1864</v>
      </c>
    </row>
    <row r="18" spans="1:19">
      <c r="A18" s="147" t="s">
        <v>682</v>
      </c>
      <c r="B18" s="160" t="s">
        <v>1794</v>
      </c>
      <c r="C18" s="160" t="s">
        <v>1637</v>
      </c>
      <c r="D18" s="147" t="s">
        <v>12</v>
      </c>
      <c r="E18" s="147" t="str">
        <f t="shared" si="0"/>
        <v>SavannahShanghai/Qingdao/Xiamen/Ningbo/Xingang</v>
      </c>
      <c r="F18" s="167">
        <v>258</v>
      </c>
      <c r="G18" s="148">
        <f>COSTS!$AA$29</f>
        <v>350</v>
      </c>
      <c r="H18" s="149">
        <f t="shared" si="1"/>
        <v>608</v>
      </c>
      <c r="I18" s="150">
        <f t="shared" si="2"/>
        <v>138.18181818181819</v>
      </c>
      <c r="J18" s="162">
        <v>46044</v>
      </c>
      <c r="K18" s="149">
        <v>381</v>
      </c>
      <c r="L18" s="38">
        <f t="shared" si="3"/>
        <v>-123</v>
      </c>
      <c r="S18" s="147" t="s">
        <v>1852</v>
      </c>
    </row>
    <row r="19" spans="1:19">
      <c r="A19" s="147" t="s">
        <v>682</v>
      </c>
      <c r="B19" s="160" t="s">
        <v>1774</v>
      </c>
      <c r="C19" s="160" t="s">
        <v>1658</v>
      </c>
      <c r="D19" s="147" t="s">
        <v>12</v>
      </c>
      <c r="E19" s="147" t="str">
        <f t="shared" si="0"/>
        <v>SavannahCikarang</v>
      </c>
      <c r="F19" s="167">
        <v>992</v>
      </c>
      <c r="G19" s="148">
        <f>COSTS!$AA$29</f>
        <v>350</v>
      </c>
      <c r="H19" s="149">
        <f t="shared" si="1"/>
        <v>1342</v>
      </c>
      <c r="I19" s="150">
        <f t="shared" si="2"/>
        <v>305</v>
      </c>
      <c r="J19" s="162">
        <v>46044</v>
      </c>
      <c r="K19" s="149">
        <v>1520</v>
      </c>
      <c r="L19" s="38">
        <f t="shared" si="3"/>
        <v>-528</v>
      </c>
      <c r="S19" s="147" t="s">
        <v>1851</v>
      </c>
    </row>
    <row r="20" spans="1:19">
      <c r="A20" s="147" t="s">
        <v>682</v>
      </c>
      <c r="B20" s="160" t="s">
        <v>1832</v>
      </c>
      <c r="C20" s="160" t="s">
        <v>1830</v>
      </c>
      <c r="D20" s="147" t="s">
        <v>12</v>
      </c>
      <c r="E20" s="147" t="str">
        <f t="shared" si="0"/>
        <v>SavannahSalerno</v>
      </c>
      <c r="F20" s="167">
        <v>1226</v>
      </c>
      <c r="G20" s="148">
        <f>COSTS!$AA$29</f>
        <v>350</v>
      </c>
      <c r="H20" s="149">
        <f t="shared" si="1"/>
        <v>1576</v>
      </c>
      <c r="I20" s="150">
        <f t="shared" si="2"/>
        <v>358.18181818181819</v>
      </c>
      <c r="J20" s="162">
        <v>46044</v>
      </c>
      <c r="K20" s="149">
        <v>1238</v>
      </c>
      <c r="L20" s="38">
        <f t="shared" si="3"/>
        <v>-12</v>
      </c>
      <c r="S20" s="147" t="s">
        <v>1850</v>
      </c>
    </row>
    <row r="21" spans="1:19">
      <c r="A21" s="147" t="s">
        <v>682</v>
      </c>
      <c r="B21" s="160" t="s">
        <v>1795</v>
      </c>
      <c r="C21" s="160" t="s">
        <v>1637</v>
      </c>
      <c r="D21" s="147" t="s">
        <v>12</v>
      </c>
      <c r="E21" s="147" t="str">
        <f t="shared" si="0"/>
        <v>SavannahQinzhou</v>
      </c>
      <c r="F21" s="167">
        <v>780</v>
      </c>
      <c r="G21" s="148">
        <f>COSTS!$AA$29</f>
        <v>350</v>
      </c>
      <c r="H21" s="149">
        <f t="shared" si="1"/>
        <v>1130</v>
      </c>
      <c r="I21" s="150">
        <f t="shared" si="2"/>
        <v>256.81818181818181</v>
      </c>
      <c r="J21" s="162">
        <v>46044</v>
      </c>
      <c r="K21" s="149">
        <v>1133</v>
      </c>
      <c r="L21" s="38">
        <f t="shared" si="3"/>
        <v>-353</v>
      </c>
      <c r="S21" s="147" t="s">
        <v>1816</v>
      </c>
    </row>
    <row r="22" spans="1:19">
      <c r="A22" s="147" t="s">
        <v>1884</v>
      </c>
      <c r="B22" s="160" t="s">
        <v>1838</v>
      </c>
      <c r="C22" s="160" t="s">
        <v>1839</v>
      </c>
      <c r="D22" s="147" t="s">
        <v>12</v>
      </c>
      <c r="E22" s="147" t="str">
        <f t="shared" si="0"/>
        <v>NorfolkManagua, Nicaragua</v>
      </c>
      <c r="F22" s="167" t="s">
        <v>1793</v>
      </c>
      <c r="G22" s="148">
        <f>COSTS!$AA$29</f>
        <v>350</v>
      </c>
      <c r="H22" s="149" t="e">
        <f t="shared" si="1"/>
        <v>#VALUE!</v>
      </c>
      <c r="I22" s="150" t="str">
        <f t="shared" si="2"/>
        <v>No Quote</v>
      </c>
      <c r="J22" s="162">
        <v>46044</v>
      </c>
      <c r="K22" s="149"/>
      <c r="L22" s="38" t="e">
        <f t="shared" si="3"/>
        <v>#VALUE!</v>
      </c>
      <c r="S22" s="136" t="s">
        <v>1877</v>
      </c>
    </row>
    <row r="23" spans="1:19">
      <c r="A23" s="147" t="s">
        <v>537</v>
      </c>
      <c r="B23" s="160" t="s">
        <v>1735</v>
      </c>
      <c r="C23" s="159" t="s">
        <v>1664</v>
      </c>
      <c r="D23" s="147" t="s">
        <v>12</v>
      </c>
      <c r="E23" s="147" t="str">
        <f t="shared" si="0"/>
        <v>MemphisChittagong</v>
      </c>
      <c r="F23" s="167">
        <v>1950</v>
      </c>
      <c r="G23" s="148">
        <f>COSTS!$AA$29</f>
        <v>350</v>
      </c>
      <c r="H23" s="149">
        <f t="shared" si="1"/>
        <v>2300</v>
      </c>
      <c r="I23" s="150">
        <f t="shared" si="2"/>
        <v>522.72727272727275</v>
      </c>
      <c r="J23" s="162">
        <v>46056</v>
      </c>
      <c r="K23" s="149">
        <v>1950</v>
      </c>
      <c r="L23" s="38">
        <f t="shared" si="3"/>
        <v>0</v>
      </c>
      <c r="S23" s="1" t="s">
        <v>1867</v>
      </c>
    </row>
    <row r="24" spans="1:19">
      <c r="A24" s="147" t="s">
        <v>682</v>
      </c>
      <c r="B24" s="160" t="s">
        <v>1729</v>
      </c>
      <c r="C24" s="160" t="s">
        <v>1637</v>
      </c>
      <c r="D24" s="147" t="s">
        <v>12</v>
      </c>
      <c r="E24" s="147" t="str">
        <f t="shared" si="0"/>
        <v>SavannahQingdao</v>
      </c>
      <c r="F24" s="167">
        <v>121</v>
      </c>
      <c r="G24" s="148">
        <f>COSTS!$AA$29</f>
        <v>350</v>
      </c>
      <c r="H24" s="149">
        <f t="shared" si="1"/>
        <v>471</v>
      </c>
      <c r="I24" s="150">
        <f t="shared" si="2"/>
        <v>107.04545454545455</v>
      </c>
      <c r="J24" s="162">
        <v>46044</v>
      </c>
      <c r="K24" s="149">
        <v>440</v>
      </c>
      <c r="L24" s="38">
        <f t="shared" si="3"/>
        <v>-319</v>
      </c>
      <c r="S24" s="147" t="s">
        <v>1804</v>
      </c>
    </row>
    <row r="25" spans="1:19">
      <c r="A25" s="147" t="s">
        <v>682</v>
      </c>
      <c r="B25" s="160" t="s">
        <v>1833</v>
      </c>
      <c r="C25" s="160" t="s">
        <v>1834</v>
      </c>
      <c r="D25" s="147" t="s">
        <v>12</v>
      </c>
      <c r="E25" s="147" t="str">
        <f t="shared" si="0"/>
        <v>SavannahPuerto Limon</v>
      </c>
      <c r="F25" s="167" t="s">
        <v>1793</v>
      </c>
      <c r="G25" s="148">
        <f>COSTS!$AA$29</f>
        <v>350</v>
      </c>
      <c r="H25" s="149" t="e">
        <f t="shared" si="1"/>
        <v>#VALUE!</v>
      </c>
      <c r="I25" s="150" t="str">
        <f t="shared" si="2"/>
        <v>No Quote</v>
      </c>
      <c r="J25" s="162">
        <v>46044</v>
      </c>
      <c r="K25" s="149" t="s">
        <v>1793</v>
      </c>
      <c r="L25" s="38" t="e">
        <f t="shared" si="3"/>
        <v>#VALUE!</v>
      </c>
      <c r="S25" s="147" t="s">
        <v>1808</v>
      </c>
    </row>
    <row r="26" spans="1:19">
      <c r="A26" s="147" t="s">
        <v>682</v>
      </c>
      <c r="B26" s="160" t="s">
        <v>1823</v>
      </c>
      <c r="C26" s="160" t="s">
        <v>1681</v>
      </c>
      <c r="D26" s="147" t="s">
        <v>12</v>
      </c>
      <c r="E26" s="147" t="str">
        <f t="shared" si="0"/>
        <v>SavannahCofradia</v>
      </c>
      <c r="F26" s="167">
        <v>2510</v>
      </c>
      <c r="G26" s="148">
        <f>COSTS!$AA$29</f>
        <v>350</v>
      </c>
      <c r="H26" s="149">
        <f t="shared" si="1"/>
        <v>2860</v>
      </c>
      <c r="I26" s="150">
        <f t="shared" si="2"/>
        <v>650</v>
      </c>
      <c r="J26" s="162">
        <v>46044</v>
      </c>
      <c r="K26" s="149">
        <v>2550</v>
      </c>
      <c r="L26" s="38">
        <f t="shared" si="3"/>
        <v>-40</v>
      </c>
      <c r="S26" s="147" t="s">
        <v>1735</v>
      </c>
    </row>
    <row r="27" spans="1:19">
      <c r="A27" s="147" t="s">
        <v>682</v>
      </c>
      <c r="B27" s="160" t="s">
        <v>1835</v>
      </c>
      <c r="C27" s="160" t="s">
        <v>1679</v>
      </c>
      <c r="D27" s="147" t="s">
        <v>12</v>
      </c>
      <c r="E27" s="147" t="str">
        <f t="shared" si="0"/>
        <v>SavannahPuerto Barrios, Guatemala</v>
      </c>
      <c r="F27" s="167" t="s">
        <v>1793</v>
      </c>
      <c r="G27" s="148">
        <f>COSTS!$AA$29</f>
        <v>350</v>
      </c>
      <c r="H27" s="149" t="e">
        <f t="shared" si="1"/>
        <v>#VALUE!</v>
      </c>
      <c r="I27" s="150" t="str">
        <f t="shared" si="2"/>
        <v>No Quote</v>
      </c>
      <c r="J27" s="162">
        <v>46044</v>
      </c>
      <c r="K27" s="149">
        <v>2175</v>
      </c>
      <c r="L27" s="38" t="e">
        <f t="shared" si="3"/>
        <v>#VALUE!</v>
      </c>
      <c r="S27" s="147" t="s">
        <v>1635</v>
      </c>
    </row>
    <row r="28" spans="1:19">
      <c r="A28" s="147" t="s">
        <v>682</v>
      </c>
      <c r="B28" s="160" t="s">
        <v>1738</v>
      </c>
      <c r="C28" s="160" t="s">
        <v>1666</v>
      </c>
      <c r="D28" s="147" t="s">
        <v>12</v>
      </c>
      <c r="E28" s="147" t="str">
        <f t="shared" si="0"/>
        <v>SavannahPort Qasim/Karachi</v>
      </c>
      <c r="F28" s="167">
        <v>947</v>
      </c>
      <c r="G28" s="148">
        <f>COSTS!$AA$29</f>
        <v>350</v>
      </c>
      <c r="H28" s="149">
        <f t="shared" si="1"/>
        <v>1297</v>
      </c>
      <c r="I28" s="150">
        <f t="shared" si="2"/>
        <v>294.77272727272725</v>
      </c>
      <c r="J28" s="162">
        <v>46057</v>
      </c>
      <c r="K28" s="149">
        <v>1270</v>
      </c>
      <c r="L28" s="38">
        <f t="shared" si="3"/>
        <v>-323</v>
      </c>
      <c r="S28" s="147" t="s">
        <v>1774</v>
      </c>
    </row>
    <row r="29" spans="1:19">
      <c r="A29" s="147" t="s">
        <v>537</v>
      </c>
      <c r="B29" s="160" t="s">
        <v>1780</v>
      </c>
      <c r="C29" s="160" t="s">
        <v>1652</v>
      </c>
      <c r="D29" s="147" t="s">
        <v>12</v>
      </c>
      <c r="E29" s="147" t="str">
        <f t="shared" si="0"/>
        <v>MemphisKaohsiung</v>
      </c>
      <c r="F29" s="167">
        <v>508</v>
      </c>
      <c r="G29" s="148">
        <f>COSTS!$AA$29</f>
        <v>350</v>
      </c>
      <c r="H29" s="149">
        <f t="shared" si="1"/>
        <v>858</v>
      </c>
      <c r="I29" s="150">
        <f t="shared" si="2"/>
        <v>195</v>
      </c>
      <c r="J29" s="162">
        <v>46044</v>
      </c>
      <c r="K29" s="149">
        <v>1060</v>
      </c>
      <c r="L29" s="38">
        <f t="shared" si="3"/>
        <v>-552</v>
      </c>
      <c r="S29" s="147" t="s">
        <v>202</v>
      </c>
    </row>
    <row r="30" spans="1:19">
      <c r="A30" s="147" t="s">
        <v>439</v>
      </c>
      <c r="B30" s="160" t="s">
        <v>1808</v>
      </c>
      <c r="C30" s="160" t="s">
        <v>1668</v>
      </c>
      <c r="D30" s="147" t="s">
        <v>12</v>
      </c>
      <c r="E30" s="147" t="str">
        <f t="shared" si="0"/>
        <v>HoustonChennai</v>
      </c>
      <c r="F30" s="167">
        <v>2037</v>
      </c>
      <c r="G30" s="148">
        <f>COSTS!$AA$29</f>
        <v>350</v>
      </c>
      <c r="H30" s="149">
        <f t="shared" si="1"/>
        <v>2387</v>
      </c>
      <c r="I30" s="150">
        <f t="shared" si="2"/>
        <v>542.5</v>
      </c>
      <c r="J30" s="162">
        <v>46057</v>
      </c>
      <c r="K30" s="149">
        <v>2200</v>
      </c>
      <c r="L30" s="38">
        <f t="shared" si="3"/>
        <v>-163</v>
      </c>
      <c r="S30" s="147" t="s">
        <v>1824</v>
      </c>
    </row>
    <row r="31" spans="1:19">
      <c r="A31" s="147" t="s">
        <v>682</v>
      </c>
      <c r="B31" s="160" t="s">
        <v>1775</v>
      </c>
      <c r="C31" s="160" t="s">
        <v>1648</v>
      </c>
      <c r="D31" s="147" t="s">
        <v>12</v>
      </c>
      <c r="E31" s="147" t="str">
        <f t="shared" si="0"/>
        <v>SavannahTanjung Pelepas</v>
      </c>
      <c r="F31" s="167">
        <v>596</v>
      </c>
      <c r="G31" s="148">
        <f>COSTS!$AA$29</f>
        <v>350</v>
      </c>
      <c r="H31" s="149">
        <f t="shared" si="1"/>
        <v>946</v>
      </c>
      <c r="I31" s="150">
        <f t="shared" si="2"/>
        <v>215</v>
      </c>
      <c r="J31" s="162">
        <v>46044</v>
      </c>
      <c r="K31" s="149">
        <v>1010</v>
      </c>
      <c r="L31" s="38">
        <f t="shared" si="3"/>
        <v>-414</v>
      </c>
      <c r="S31" s="147" t="s">
        <v>1823</v>
      </c>
    </row>
    <row r="32" spans="1:19">
      <c r="A32" s="147" t="s">
        <v>1884</v>
      </c>
      <c r="B32" s="160" t="s">
        <v>517</v>
      </c>
      <c r="C32" s="160" t="s">
        <v>1797</v>
      </c>
      <c r="D32" s="147" t="s">
        <v>12</v>
      </c>
      <c r="E32" s="147" t="str">
        <f t="shared" si="0"/>
        <v>NorfolkManila</v>
      </c>
      <c r="F32" s="167">
        <v>990</v>
      </c>
      <c r="G32" s="148">
        <f>COSTS!$AA$29</f>
        <v>350</v>
      </c>
      <c r="H32" s="149">
        <f t="shared" si="1"/>
        <v>1340</v>
      </c>
      <c r="I32" s="150">
        <f t="shared" si="2"/>
        <v>304.5454545454545</v>
      </c>
      <c r="J32" s="162">
        <v>46044</v>
      </c>
      <c r="K32" s="149"/>
      <c r="L32" s="38">
        <f t="shared" si="3"/>
        <v>990</v>
      </c>
      <c r="S32" s="136" t="s">
        <v>1876</v>
      </c>
    </row>
    <row r="33" spans="1:19">
      <c r="A33" s="147" t="s">
        <v>682</v>
      </c>
      <c r="B33" s="160" t="s">
        <v>1836</v>
      </c>
      <c r="C33" s="160" t="s">
        <v>1831</v>
      </c>
      <c r="D33" s="147" t="s">
        <v>12</v>
      </c>
      <c r="E33" s="147" t="str">
        <f t="shared" si="0"/>
        <v>SavannahPecem</v>
      </c>
      <c r="F33" s="167" t="s">
        <v>1793</v>
      </c>
      <c r="G33" s="148">
        <f>COSTS!$AA$29</f>
        <v>350</v>
      </c>
      <c r="H33" s="149" t="e">
        <f t="shared" si="1"/>
        <v>#VALUE!</v>
      </c>
      <c r="I33" s="150" t="str">
        <f t="shared" si="2"/>
        <v>No Quote</v>
      </c>
      <c r="J33" s="162"/>
      <c r="K33" s="149" t="s">
        <v>1793</v>
      </c>
      <c r="L33" s="38" t="e">
        <f t="shared" si="3"/>
        <v>#VALUE!</v>
      </c>
      <c r="S33" s="147" t="s">
        <v>1765</v>
      </c>
    </row>
    <row r="34" spans="1:19">
      <c r="A34" s="147" t="s">
        <v>682</v>
      </c>
      <c r="B34" s="160" t="s">
        <v>1837</v>
      </c>
      <c r="C34" s="160" t="s">
        <v>1679</v>
      </c>
      <c r="D34" s="147" t="s">
        <v>12</v>
      </c>
      <c r="E34" s="147" t="str">
        <f t="shared" si="0"/>
        <v>SavannahPalin</v>
      </c>
      <c r="F34" s="167">
        <v>3322</v>
      </c>
      <c r="G34" s="148">
        <f>COSTS!$AA$29</f>
        <v>350</v>
      </c>
      <c r="H34" s="149">
        <f t="shared" si="1"/>
        <v>3672</v>
      </c>
      <c r="I34" s="150">
        <f t="shared" si="2"/>
        <v>834.5454545454545</v>
      </c>
      <c r="J34" s="162">
        <v>46044</v>
      </c>
      <c r="K34" s="149">
        <v>2500</v>
      </c>
      <c r="L34" s="38">
        <f t="shared" si="3"/>
        <v>822</v>
      </c>
      <c r="S34" s="147" t="s">
        <v>1759</v>
      </c>
    </row>
    <row r="35" spans="1:19">
      <c r="A35" s="147" t="s">
        <v>682</v>
      </c>
      <c r="B35" s="160" t="s">
        <v>1796</v>
      </c>
      <c r="C35" s="160" t="s">
        <v>1646</v>
      </c>
      <c r="D35" s="147" t="s">
        <v>12</v>
      </c>
      <c r="E35" s="147" t="str">
        <f t="shared" si="0"/>
        <v>SavannahOsaka</v>
      </c>
      <c r="F35" s="167">
        <v>608</v>
      </c>
      <c r="G35" s="148">
        <f>COSTS!$AA$29</f>
        <v>350</v>
      </c>
      <c r="H35" s="149">
        <v>980</v>
      </c>
      <c r="I35" s="150">
        <f t="shared" si="2"/>
        <v>222.72727272727275</v>
      </c>
      <c r="J35" s="162">
        <v>46044</v>
      </c>
      <c r="K35" s="149">
        <v>600</v>
      </c>
      <c r="L35" s="38">
        <f t="shared" si="3"/>
        <v>8</v>
      </c>
      <c r="S35" s="147" t="s">
        <v>1848</v>
      </c>
    </row>
    <row r="36" spans="1:19">
      <c r="A36" s="147" t="s">
        <v>537</v>
      </c>
      <c r="B36" s="160" t="s">
        <v>1808</v>
      </c>
      <c r="C36" s="160" t="s">
        <v>1668</v>
      </c>
      <c r="D36" s="147" t="s">
        <v>12</v>
      </c>
      <c r="E36" s="147" t="str">
        <f t="shared" si="0"/>
        <v>MemphisChennai</v>
      </c>
      <c r="F36" s="167">
        <v>2510</v>
      </c>
      <c r="G36" s="148">
        <f>COSTS!$AA$29</f>
        <v>350</v>
      </c>
      <c r="H36" s="149">
        <f t="shared" ref="H36:H67" si="4">F36+G36</f>
        <v>2860</v>
      </c>
      <c r="I36" s="150">
        <f t="shared" si="2"/>
        <v>650</v>
      </c>
      <c r="J36" s="162">
        <v>46057</v>
      </c>
      <c r="K36" s="149">
        <v>2400</v>
      </c>
      <c r="L36" s="38">
        <f t="shared" si="3"/>
        <v>110</v>
      </c>
      <c r="S36" s="147" t="s">
        <v>1803</v>
      </c>
    </row>
    <row r="37" spans="1:19">
      <c r="A37" s="147" t="s">
        <v>682</v>
      </c>
      <c r="B37" s="160" t="s">
        <v>1734</v>
      </c>
      <c r="C37" s="160" t="s">
        <v>1637</v>
      </c>
      <c r="D37" s="147" t="s">
        <v>12</v>
      </c>
      <c r="E37" s="147" t="str">
        <f t="shared" si="0"/>
        <v>SavannahNantong</v>
      </c>
      <c r="F37" s="167">
        <v>377</v>
      </c>
      <c r="G37" s="148">
        <f>COSTS!$AA$29</f>
        <v>350</v>
      </c>
      <c r="H37" s="149">
        <f t="shared" si="4"/>
        <v>727</v>
      </c>
      <c r="I37" s="150">
        <f t="shared" si="2"/>
        <v>165.22727272727275</v>
      </c>
      <c r="J37" s="162">
        <v>46044</v>
      </c>
      <c r="K37" s="149">
        <v>500</v>
      </c>
      <c r="L37" s="38">
        <f t="shared" si="3"/>
        <v>-123</v>
      </c>
      <c r="S37" s="147" t="s">
        <v>1846</v>
      </c>
    </row>
    <row r="38" spans="1:19">
      <c r="A38" s="147" t="s">
        <v>682</v>
      </c>
      <c r="B38" s="160" t="s">
        <v>1806</v>
      </c>
      <c r="C38" s="160" t="s">
        <v>1646</v>
      </c>
      <c r="D38" s="147" t="s">
        <v>12</v>
      </c>
      <c r="E38" s="147" t="str">
        <f t="shared" si="0"/>
        <v>SavannahNagoya/Kobe</v>
      </c>
      <c r="F38" s="167">
        <v>256</v>
      </c>
      <c r="G38" s="148">
        <f>COSTS!$AA$29</f>
        <v>350</v>
      </c>
      <c r="H38" s="149">
        <f t="shared" si="4"/>
        <v>606</v>
      </c>
      <c r="I38" s="150">
        <f t="shared" si="2"/>
        <v>137.72727272727275</v>
      </c>
      <c r="J38" s="162">
        <v>46057</v>
      </c>
      <c r="K38" s="149">
        <v>805</v>
      </c>
      <c r="L38" s="38">
        <f t="shared" si="3"/>
        <v>-549</v>
      </c>
      <c r="S38" s="147" t="s">
        <v>1844</v>
      </c>
    </row>
    <row r="39" spans="1:19">
      <c r="A39" s="147" t="s">
        <v>439</v>
      </c>
      <c r="B39" s="160" t="s">
        <v>1818</v>
      </c>
      <c r="C39" s="160" t="s">
        <v>1670</v>
      </c>
      <c r="D39" s="147" t="s">
        <v>12</v>
      </c>
      <c r="E39" s="147" t="str">
        <f t="shared" si="0"/>
        <v>HoustonGemlik</v>
      </c>
      <c r="F39" s="167" t="s">
        <v>1811</v>
      </c>
      <c r="G39" s="148">
        <f>COSTS!$AA$29</f>
        <v>350</v>
      </c>
      <c r="H39" s="149" t="e">
        <f t="shared" si="4"/>
        <v>#VALUE!</v>
      </c>
      <c r="I39" s="150" t="str">
        <f t="shared" si="2"/>
        <v>No Quote</v>
      </c>
      <c r="J39" s="162">
        <v>46044</v>
      </c>
      <c r="K39" s="149">
        <v>1886</v>
      </c>
      <c r="L39" s="38" t="e">
        <f t="shared" si="3"/>
        <v>#VALUE!</v>
      </c>
      <c r="S39" s="147" t="s">
        <v>1819</v>
      </c>
    </row>
    <row r="40" spans="1:19">
      <c r="A40" s="147" t="s">
        <v>682</v>
      </c>
      <c r="B40" s="160" t="s">
        <v>517</v>
      </c>
      <c r="C40" s="160" t="s">
        <v>1797</v>
      </c>
      <c r="D40" s="147" t="s">
        <v>12</v>
      </c>
      <c r="E40" s="147" t="str">
        <f t="shared" si="0"/>
        <v>SavannahManila</v>
      </c>
      <c r="F40" s="167">
        <v>94</v>
      </c>
      <c r="G40" s="148">
        <f>COSTS!$AA$29</f>
        <v>350</v>
      </c>
      <c r="H40" s="149">
        <f t="shared" si="4"/>
        <v>444</v>
      </c>
      <c r="I40" s="150">
        <f t="shared" si="2"/>
        <v>100.90909090909092</v>
      </c>
      <c r="J40" s="162">
        <v>46044</v>
      </c>
      <c r="K40" s="149">
        <v>1100</v>
      </c>
      <c r="L40" s="38">
        <f t="shared" si="3"/>
        <v>-1006</v>
      </c>
      <c r="S40" s="147" t="s">
        <v>1802</v>
      </c>
    </row>
    <row r="41" spans="1:19">
      <c r="A41" s="147" t="s">
        <v>682</v>
      </c>
      <c r="B41" s="160" t="s">
        <v>1838</v>
      </c>
      <c r="C41" s="160" t="s">
        <v>1839</v>
      </c>
      <c r="D41" s="147" t="s">
        <v>12</v>
      </c>
      <c r="E41" s="147" t="str">
        <f t="shared" si="0"/>
        <v>SavannahManagua, Nicaragua</v>
      </c>
      <c r="F41" s="167">
        <v>3905</v>
      </c>
      <c r="G41" s="148">
        <f>COSTS!$AA$29</f>
        <v>350</v>
      </c>
      <c r="H41" s="149">
        <f t="shared" si="4"/>
        <v>4255</v>
      </c>
      <c r="I41" s="150">
        <f t="shared" si="2"/>
        <v>967.0454545454545</v>
      </c>
      <c r="J41" s="162">
        <v>46044</v>
      </c>
      <c r="K41" s="149">
        <v>4193</v>
      </c>
      <c r="L41" s="38">
        <f t="shared" si="3"/>
        <v>-288</v>
      </c>
      <c r="S41" s="147" t="s">
        <v>1842</v>
      </c>
    </row>
    <row r="42" spans="1:19">
      <c r="A42" s="147" t="s">
        <v>682</v>
      </c>
      <c r="B42" s="160" t="s">
        <v>1768</v>
      </c>
      <c r="C42" s="160" t="s">
        <v>1637</v>
      </c>
      <c r="D42" s="147" t="s">
        <v>12</v>
      </c>
      <c r="E42" s="147" t="str">
        <f t="shared" si="0"/>
        <v>SavannahLianyungang</v>
      </c>
      <c r="F42" s="167">
        <v>361</v>
      </c>
      <c r="G42" s="148">
        <f>COSTS!$AA$29</f>
        <v>350</v>
      </c>
      <c r="H42" s="149">
        <f t="shared" si="4"/>
        <v>711</v>
      </c>
      <c r="I42" s="150">
        <f t="shared" si="2"/>
        <v>161.59090909090909</v>
      </c>
      <c r="J42" s="162">
        <v>46044</v>
      </c>
      <c r="K42" s="149">
        <v>400</v>
      </c>
      <c r="L42" s="38">
        <f t="shared" si="3"/>
        <v>-39</v>
      </c>
      <c r="S42" s="147" t="s">
        <v>1897</v>
      </c>
    </row>
    <row r="43" spans="1:19">
      <c r="A43" s="147" t="s">
        <v>241</v>
      </c>
      <c r="B43" s="160" t="s">
        <v>1743</v>
      </c>
      <c r="C43" s="160" t="s">
        <v>1660</v>
      </c>
      <c r="D43" s="147" t="s">
        <v>12</v>
      </c>
      <c r="E43" s="147" t="str">
        <f t="shared" si="0"/>
        <v>DallasBangkok</v>
      </c>
      <c r="F43" s="167">
        <v>950</v>
      </c>
      <c r="G43" s="148">
        <f>COSTS!$AA$29</f>
        <v>350</v>
      </c>
      <c r="H43" s="149">
        <f t="shared" si="4"/>
        <v>1300</v>
      </c>
      <c r="I43" s="150">
        <f t="shared" si="2"/>
        <v>295.4545454545455</v>
      </c>
      <c r="J43" s="162">
        <v>46044</v>
      </c>
      <c r="K43" s="149">
        <v>1450</v>
      </c>
      <c r="L43" s="38">
        <f t="shared" si="3"/>
        <v>-500</v>
      </c>
      <c r="S43" s="147" t="s">
        <v>1805</v>
      </c>
    </row>
    <row r="44" spans="1:19">
      <c r="A44" s="147" t="s">
        <v>682</v>
      </c>
      <c r="B44" s="160" t="s">
        <v>1737</v>
      </c>
      <c r="C44" s="160" t="s">
        <v>1644</v>
      </c>
      <c r="D44" s="147" t="s">
        <v>12</v>
      </c>
      <c r="E44" s="147" t="str">
        <f t="shared" si="0"/>
        <v>SavannahKwangyang</v>
      </c>
      <c r="F44" s="167">
        <v>407</v>
      </c>
      <c r="G44" s="148">
        <f>COSTS!$AA$29</f>
        <v>350</v>
      </c>
      <c r="H44" s="149">
        <f t="shared" si="4"/>
        <v>757</v>
      </c>
      <c r="I44" s="150">
        <f t="shared" si="2"/>
        <v>172.04545454545453</v>
      </c>
      <c r="J44" s="162">
        <v>46044</v>
      </c>
      <c r="K44" s="149">
        <v>500</v>
      </c>
      <c r="L44" s="38">
        <f t="shared" si="3"/>
        <v>-93</v>
      </c>
      <c r="S44" s="147" t="s">
        <v>1818</v>
      </c>
    </row>
    <row r="45" spans="1:19">
      <c r="A45" s="147" t="s">
        <v>1884</v>
      </c>
      <c r="B45" s="160" t="s">
        <v>1799</v>
      </c>
      <c r="C45" s="160" t="s">
        <v>1637</v>
      </c>
      <c r="D45" s="147" t="s">
        <v>12</v>
      </c>
      <c r="E45" s="147" t="str">
        <f t="shared" si="0"/>
        <v>NorfolkHuangpu</v>
      </c>
      <c r="F45" s="167">
        <v>561</v>
      </c>
      <c r="G45" s="148">
        <f>COSTS!$AA$29</f>
        <v>350</v>
      </c>
      <c r="H45" s="149">
        <f t="shared" si="4"/>
        <v>911</v>
      </c>
      <c r="I45" s="150">
        <f t="shared" si="2"/>
        <v>207.04545454545453</v>
      </c>
      <c r="J45" s="162">
        <v>46044</v>
      </c>
      <c r="K45" s="149"/>
      <c r="L45" s="38">
        <f t="shared" si="3"/>
        <v>561</v>
      </c>
      <c r="S45" s="136" t="s">
        <v>1880</v>
      </c>
    </row>
    <row r="46" spans="1:19">
      <c r="A46" s="147" t="s">
        <v>80</v>
      </c>
      <c r="B46" s="160" t="s">
        <v>1780</v>
      </c>
      <c r="C46" s="160" t="s">
        <v>1652</v>
      </c>
      <c r="D46" s="147" t="s">
        <v>12</v>
      </c>
      <c r="E46" s="147" t="str">
        <f t="shared" si="0"/>
        <v>LAKaohsiung</v>
      </c>
      <c r="F46" s="167"/>
      <c r="G46" s="148">
        <f>COSTS!$AA$29</f>
        <v>350</v>
      </c>
      <c r="H46" s="149">
        <f t="shared" si="4"/>
        <v>350</v>
      </c>
      <c r="I46" s="150">
        <f t="shared" si="2"/>
        <v>79.545454545454547</v>
      </c>
      <c r="J46" s="162"/>
      <c r="K46" s="149"/>
      <c r="L46" s="38">
        <f t="shared" si="3"/>
        <v>0</v>
      </c>
      <c r="S46" s="147" t="s">
        <v>1814</v>
      </c>
    </row>
    <row r="47" spans="1:19">
      <c r="A47" s="147" t="s">
        <v>1884</v>
      </c>
      <c r="B47" s="160" t="s">
        <v>1774</v>
      </c>
      <c r="C47" s="160" t="s">
        <v>1658</v>
      </c>
      <c r="D47" s="147" t="s">
        <v>12</v>
      </c>
      <c r="E47" s="147" t="str">
        <f t="shared" si="0"/>
        <v>NorfolkCikarang</v>
      </c>
      <c r="F47" s="167">
        <v>2060</v>
      </c>
      <c r="G47" s="148">
        <f>COSTS!$AA$29</f>
        <v>350</v>
      </c>
      <c r="H47" s="149">
        <f t="shared" si="4"/>
        <v>2410</v>
      </c>
      <c r="I47" s="150">
        <f t="shared" si="2"/>
        <v>547.72727272727275</v>
      </c>
      <c r="J47" s="162">
        <v>46044</v>
      </c>
      <c r="K47" s="149">
        <v>2229</v>
      </c>
      <c r="L47" s="38">
        <f t="shared" si="3"/>
        <v>-169</v>
      </c>
      <c r="S47" s="147" t="s">
        <v>1840</v>
      </c>
    </row>
    <row r="48" spans="1:19">
      <c r="A48" s="147" t="s">
        <v>537</v>
      </c>
      <c r="B48" s="160" t="s">
        <v>1818</v>
      </c>
      <c r="C48" s="160" t="s">
        <v>1670</v>
      </c>
      <c r="D48" s="147" t="s">
        <v>12</v>
      </c>
      <c r="E48" s="147" t="str">
        <f t="shared" si="0"/>
        <v>MemphisGemlik</v>
      </c>
      <c r="F48" s="167">
        <v>1527</v>
      </c>
      <c r="G48" s="148">
        <f>COSTS!$AA$29</f>
        <v>350</v>
      </c>
      <c r="H48" s="149">
        <f t="shared" si="4"/>
        <v>1877</v>
      </c>
      <c r="I48" s="150">
        <f t="shared" si="2"/>
        <v>426.59090909090907</v>
      </c>
      <c r="J48" s="162">
        <v>46044</v>
      </c>
      <c r="K48" s="149">
        <v>1500</v>
      </c>
      <c r="L48" s="38">
        <f t="shared" si="3"/>
        <v>27</v>
      </c>
      <c r="S48" s="147" t="s">
        <v>1740</v>
      </c>
    </row>
    <row r="49" spans="1:19">
      <c r="A49" s="147" t="s">
        <v>682</v>
      </c>
      <c r="B49" s="160" t="s">
        <v>1799</v>
      </c>
      <c r="C49" s="160" t="s">
        <v>1637</v>
      </c>
      <c r="D49" s="147" t="s">
        <v>12</v>
      </c>
      <c r="E49" s="147" t="str">
        <f t="shared" si="0"/>
        <v>SavannahHuangpu</v>
      </c>
      <c r="F49" s="167">
        <v>561</v>
      </c>
      <c r="G49" s="148">
        <f>COSTS!$AA$29</f>
        <v>350</v>
      </c>
      <c r="H49" s="149">
        <f t="shared" si="4"/>
        <v>911</v>
      </c>
      <c r="I49" s="150">
        <f t="shared" si="2"/>
        <v>207.04545454545453</v>
      </c>
      <c r="J49" s="162">
        <v>46044</v>
      </c>
      <c r="K49" s="149">
        <v>560</v>
      </c>
      <c r="L49" s="38">
        <f t="shared" si="3"/>
        <v>1</v>
      </c>
      <c r="S49" s="147" t="s">
        <v>1801</v>
      </c>
    </row>
    <row r="50" spans="1:19">
      <c r="A50" s="147" t="s">
        <v>682</v>
      </c>
      <c r="B50" s="160" t="s">
        <v>1800</v>
      </c>
      <c r="C50" s="160" t="s">
        <v>1800</v>
      </c>
      <c r="D50" s="147" t="s">
        <v>12</v>
      </c>
      <c r="E50" s="147" t="str">
        <f t="shared" si="0"/>
        <v>SavannahHong Kong</v>
      </c>
      <c r="F50" s="167" t="s">
        <v>1793</v>
      </c>
      <c r="G50" s="148">
        <f>COSTS!$AA$29</f>
        <v>350</v>
      </c>
      <c r="H50" s="149" t="e">
        <f t="shared" si="4"/>
        <v>#VALUE!</v>
      </c>
      <c r="I50" s="150" t="str">
        <f t="shared" si="2"/>
        <v>No Quote</v>
      </c>
      <c r="J50" s="162"/>
      <c r="K50" s="149" t="s">
        <v>1793</v>
      </c>
      <c r="L50" s="38" t="e">
        <f t="shared" si="3"/>
        <v>#VALUE!</v>
      </c>
      <c r="S50" s="147" t="s">
        <v>1800</v>
      </c>
    </row>
    <row r="51" spans="1:19">
      <c r="A51" s="147" t="s">
        <v>682</v>
      </c>
      <c r="B51" s="160" t="s">
        <v>1801</v>
      </c>
      <c r="C51" s="160" t="s">
        <v>1640</v>
      </c>
      <c r="D51" s="147" t="s">
        <v>12</v>
      </c>
      <c r="E51" s="147" t="str">
        <f t="shared" si="0"/>
        <v>SavannahHo Chi Minh</v>
      </c>
      <c r="F51" s="167">
        <v>295</v>
      </c>
      <c r="G51" s="148">
        <f>COSTS!$AA$29</f>
        <v>350</v>
      </c>
      <c r="H51" s="149">
        <f t="shared" si="4"/>
        <v>645</v>
      </c>
      <c r="I51" s="150">
        <f>H51/88*20</f>
        <v>146.59090909090909</v>
      </c>
      <c r="J51" s="162">
        <v>46044</v>
      </c>
      <c r="K51" s="149">
        <v>350</v>
      </c>
      <c r="L51" s="38">
        <f t="shared" si="3"/>
        <v>-55</v>
      </c>
      <c r="S51" s="147" t="s">
        <v>1799</v>
      </c>
    </row>
    <row r="52" spans="1:19">
      <c r="A52" s="147" t="s">
        <v>1884</v>
      </c>
      <c r="B52" s="160" t="s">
        <v>1768</v>
      </c>
      <c r="C52" s="160" t="s">
        <v>1637</v>
      </c>
      <c r="D52" s="147" t="s">
        <v>12</v>
      </c>
      <c r="E52" s="147" t="str">
        <f t="shared" si="0"/>
        <v>NorfolkLianyungang</v>
      </c>
      <c r="F52" s="167">
        <v>361</v>
      </c>
      <c r="G52" s="148">
        <f>COSTS!$AA$29</f>
        <v>350</v>
      </c>
      <c r="H52" s="149">
        <f t="shared" si="4"/>
        <v>711</v>
      </c>
      <c r="I52" s="150">
        <f>IFERROR(H52/88*20,"No Quote")</f>
        <v>161.59090909090909</v>
      </c>
      <c r="J52" s="162">
        <v>46044</v>
      </c>
      <c r="K52" s="149"/>
      <c r="L52" s="38">
        <f t="shared" si="3"/>
        <v>361</v>
      </c>
      <c r="S52" s="136" t="s">
        <v>1878</v>
      </c>
    </row>
    <row r="53" spans="1:19">
      <c r="A53" s="147" t="s">
        <v>682</v>
      </c>
      <c r="B53" s="160" t="s">
        <v>1740</v>
      </c>
      <c r="C53" s="160" t="s">
        <v>1640</v>
      </c>
      <c r="D53" s="147" t="s">
        <v>12</v>
      </c>
      <c r="E53" s="147" t="str">
        <f t="shared" si="0"/>
        <v>SavannahHaiphong</v>
      </c>
      <c r="F53" s="167">
        <v>286</v>
      </c>
      <c r="G53" s="148">
        <f>COSTS!$AA$29</f>
        <v>350</v>
      </c>
      <c r="H53" s="149">
        <f t="shared" si="4"/>
        <v>636</v>
      </c>
      <c r="I53" s="150">
        <f>H53/88*20</f>
        <v>144.54545454545456</v>
      </c>
      <c r="J53" s="162">
        <v>46044</v>
      </c>
      <c r="K53" s="149">
        <v>350</v>
      </c>
      <c r="L53" s="38">
        <f t="shared" si="3"/>
        <v>-64</v>
      </c>
      <c r="S53" s="147" t="s">
        <v>1896</v>
      </c>
    </row>
    <row r="54" spans="1:19">
      <c r="A54" s="147" t="s">
        <v>682</v>
      </c>
      <c r="B54" s="160" t="s">
        <v>1840</v>
      </c>
      <c r="C54" s="160" t="s">
        <v>1841</v>
      </c>
      <c r="D54" s="147" t="s">
        <v>12</v>
      </c>
      <c r="E54" s="147" t="str">
        <f t="shared" si="0"/>
        <v>SavannahGuayaquil</v>
      </c>
      <c r="F54" s="167">
        <v>1754</v>
      </c>
      <c r="G54" s="148">
        <f>COSTS!$AA$29</f>
        <v>350</v>
      </c>
      <c r="H54" s="149">
        <f t="shared" si="4"/>
        <v>2104</v>
      </c>
      <c r="I54" s="150">
        <f t="shared" ref="I54:I85" si="5">IFERROR(H54/88*20,"No Quote")</f>
        <v>478.18181818181819</v>
      </c>
      <c r="J54" s="162">
        <v>46044</v>
      </c>
      <c r="K54" s="149">
        <v>1600</v>
      </c>
      <c r="L54" s="38">
        <f t="shared" si="3"/>
        <v>154</v>
      </c>
      <c r="S54" s="147" t="s">
        <v>1750</v>
      </c>
    </row>
    <row r="55" spans="1:19">
      <c r="A55" s="147" t="s">
        <v>682</v>
      </c>
      <c r="B55" s="160" t="s">
        <v>1814</v>
      </c>
      <c r="C55" s="160" t="s">
        <v>1679</v>
      </c>
      <c r="D55" s="147" t="s">
        <v>12</v>
      </c>
      <c r="E55" s="147" t="str">
        <f t="shared" si="0"/>
        <v>SavannahGuatemala City</v>
      </c>
      <c r="F55" s="167" t="s">
        <v>1793</v>
      </c>
      <c r="G55" s="148">
        <f>COSTS!$AA$29</f>
        <v>350</v>
      </c>
      <c r="H55" s="149" t="e">
        <f t="shared" si="4"/>
        <v>#VALUE!</v>
      </c>
      <c r="I55" s="150" t="str">
        <f t="shared" si="5"/>
        <v>No Quote</v>
      </c>
      <c r="J55" s="162">
        <v>46044</v>
      </c>
      <c r="K55" s="149">
        <v>3000</v>
      </c>
      <c r="L55" s="38" t="e">
        <f t="shared" si="3"/>
        <v>#VALUE!</v>
      </c>
      <c r="S55" s="147" t="s">
        <v>1746</v>
      </c>
    </row>
    <row r="56" spans="1:19">
      <c r="A56" s="147" t="s">
        <v>591</v>
      </c>
      <c r="B56" s="160" t="s">
        <v>1818</v>
      </c>
      <c r="C56" s="160" t="s">
        <v>1670</v>
      </c>
      <c r="D56" s="147" t="s">
        <v>12</v>
      </c>
      <c r="E56" s="147" t="str">
        <f t="shared" si="0"/>
        <v>New OrleansGemlik</v>
      </c>
      <c r="F56" s="167"/>
      <c r="G56" s="148">
        <f>COSTS!$AA$29</f>
        <v>350</v>
      </c>
      <c r="H56" s="149">
        <f t="shared" si="4"/>
        <v>350</v>
      </c>
      <c r="I56" s="150">
        <f t="shared" si="5"/>
        <v>79.545454545454547</v>
      </c>
      <c r="J56" s="173"/>
      <c r="K56" s="149"/>
      <c r="L56" s="38">
        <f t="shared" si="3"/>
        <v>0</v>
      </c>
      <c r="S56" s="147" t="s">
        <v>1780</v>
      </c>
    </row>
    <row r="57" spans="1:19">
      <c r="A57" s="147" t="s">
        <v>682</v>
      </c>
      <c r="B57" s="160" t="s">
        <v>1805</v>
      </c>
      <c r="C57" s="160" t="s">
        <v>1830</v>
      </c>
      <c r="D57" s="147" t="s">
        <v>12</v>
      </c>
      <c r="E57" s="147" t="str">
        <f t="shared" si="0"/>
        <v>SavannahGazzaniga</v>
      </c>
      <c r="F57" s="167" t="s">
        <v>1793</v>
      </c>
      <c r="G57" s="148">
        <f>COSTS!$AA$29</f>
        <v>350</v>
      </c>
      <c r="H57" s="149" t="e">
        <f t="shared" si="4"/>
        <v>#VALUE!</v>
      </c>
      <c r="I57" s="150" t="str">
        <f t="shared" si="5"/>
        <v>No Quote</v>
      </c>
      <c r="J57" s="162">
        <v>46044</v>
      </c>
      <c r="K57" s="149" t="s">
        <v>1793</v>
      </c>
      <c r="L57" s="38" t="e">
        <f t="shared" si="3"/>
        <v>#VALUE!</v>
      </c>
      <c r="S57" s="147" t="s">
        <v>1752</v>
      </c>
    </row>
    <row r="58" spans="1:19">
      <c r="A58" s="147" t="s">
        <v>682</v>
      </c>
      <c r="B58" s="160" t="s">
        <v>1802</v>
      </c>
      <c r="C58" s="160" t="s">
        <v>1637</v>
      </c>
      <c r="D58" s="147" t="s">
        <v>12</v>
      </c>
      <c r="E58" s="147" t="str">
        <f t="shared" si="0"/>
        <v>SavannahFangcheng</v>
      </c>
      <c r="F58" s="167" t="s">
        <v>1793</v>
      </c>
      <c r="G58" s="148">
        <f>COSTS!$AA$29</f>
        <v>350</v>
      </c>
      <c r="H58" s="149" t="e">
        <f t="shared" si="4"/>
        <v>#VALUE!</v>
      </c>
      <c r="I58" s="150" t="str">
        <f t="shared" si="5"/>
        <v>No Quote</v>
      </c>
      <c r="J58" s="162">
        <v>46044</v>
      </c>
      <c r="K58" s="149" t="s">
        <v>1793</v>
      </c>
      <c r="L58" s="38" t="e">
        <f t="shared" si="3"/>
        <v>#VALUE!</v>
      </c>
      <c r="S58" s="147" t="s">
        <v>1749</v>
      </c>
    </row>
    <row r="59" spans="1:19">
      <c r="A59" s="147" t="s">
        <v>682</v>
      </c>
      <c r="B59" s="160" t="s">
        <v>1844</v>
      </c>
      <c r="C59" s="160" t="s">
        <v>1845</v>
      </c>
      <c r="D59" s="147" t="s">
        <v>12</v>
      </c>
      <c r="E59" s="147" t="str">
        <f t="shared" si="0"/>
        <v>SavannahDurban</v>
      </c>
      <c r="F59" s="167">
        <v>3100</v>
      </c>
      <c r="G59" s="148">
        <f>COSTS!$AA$29</f>
        <v>350</v>
      </c>
      <c r="H59" s="149">
        <f t="shared" si="4"/>
        <v>3450</v>
      </c>
      <c r="I59" s="150">
        <f t="shared" si="5"/>
        <v>784.09090909090901</v>
      </c>
      <c r="J59" s="162">
        <v>45971</v>
      </c>
      <c r="K59" s="149">
        <v>3250</v>
      </c>
      <c r="L59" s="38">
        <f t="shared" si="3"/>
        <v>-150</v>
      </c>
      <c r="S59" s="147" t="s">
        <v>1737</v>
      </c>
    </row>
    <row r="60" spans="1:19">
      <c r="A60" s="147" t="s">
        <v>682</v>
      </c>
      <c r="B60" s="160" t="s">
        <v>1846</v>
      </c>
      <c r="C60" s="160" t="s">
        <v>1847</v>
      </c>
      <c r="D60" s="147" t="s">
        <v>12</v>
      </c>
      <c r="E60" s="147" t="str">
        <f t="shared" si="0"/>
        <v>SavannahDjibouti</v>
      </c>
      <c r="F60" s="167">
        <v>2450</v>
      </c>
      <c r="G60" s="148">
        <f>COSTS!$AA$29</f>
        <v>350</v>
      </c>
      <c r="H60" s="149">
        <f t="shared" si="4"/>
        <v>2800</v>
      </c>
      <c r="I60" s="150">
        <f t="shared" si="5"/>
        <v>636.36363636363637</v>
      </c>
      <c r="J60" s="162">
        <v>45971</v>
      </c>
      <c r="K60" s="149">
        <v>4000</v>
      </c>
      <c r="L60" s="38">
        <f t="shared" si="3"/>
        <v>-1550</v>
      </c>
      <c r="S60" s="147" t="s">
        <v>1745</v>
      </c>
    </row>
    <row r="61" spans="1:19">
      <c r="A61" s="147" t="s">
        <v>80</v>
      </c>
      <c r="B61" s="160" t="s">
        <v>1735</v>
      </c>
      <c r="C61" s="159" t="s">
        <v>1664</v>
      </c>
      <c r="D61" s="147" t="s">
        <v>12</v>
      </c>
      <c r="E61" s="147" t="str">
        <f t="shared" si="0"/>
        <v>LAChittagong</v>
      </c>
      <c r="F61" s="167">
        <v>2350</v>
      </c>
      <c r="G61" s="148">
        <f>COSTS!$AA$29</f>
        <v>350</v>
      </c>
      <c r="H61" s="149">
        <f t="shared" si="4"/>
        <v>2700</v>
      </c>
      <c r="I61" s="150">
        <f t="shared" si="5"/>
        <v>613.63636363636363</v>
      </c>
      <c r="J61" s="162">
        <v>46056</v>
      </c>
      <c r="K61" s="149">
        <v>2350</v>
      </c>
      <c r="L61" s="38">
        <f t="shared" si="3"/>
        <v>0</v>
      </c>
      <c r="S61" s="1" t="s">
        <v>1863</v>
      </c>
    </row>
    <row r="62" spans="1:19">
      <c r="A62" s="147" t="s">
        <v>682</v>
      </c>
      <c r="B62" s="160" t="s">
        <v>1803</v>
      </c>
      <c r="C62" s="160" t="s">
        <v>1640</v>
      </c>
      <c r="D62" s="147" t="s">
        <v>12</v>
      </c>
      <c r="E62" s="147" t="str">
        <f t="shared" si="0"/>
        <v>SavannahDaNang</v>
      </c>
      <c r="F62" s="167">
        <v>550</v>
      </c>
      <c r="G62" s="148">
        <f>COSTS!$AA$29</f>
        <v>350</v>
      </c>
      <c r="H62" s="149">
        <f t="shared" si="4"/>
        <v>900</v>
      </c>
      <c r="I62" s="150">
        <f t="shared" si="5"/>
        <v>204.54545454545453</v>
      </c>
      <c r="J62" s="162">
        <v>46044</v>
      </c>
      <c r="K62" s="149">
        <v>850</v>
      </c>
      <c r="L62" s="38">
        <f t="shared" si="3"/>
        <v>-300</v>
      </c>
      <c r="S62" s="147" t="s">
        <v>1768</v>
      </c>
    </row>
    <row r="63" spans="1:19">
      <c r="A63" s="147" t="s">
        <v>682</v>
      </c>
      <c r="B63" s="160" t="s">
        <v>1848</v>
      </c>
      <c r="C63" s="160" t="s">
        <v>1772</v>
      </c>
      <c r="D63" s="147" t="s">
        <v>12</v>
      </c>
      <c r="E63" s="147" t="str">
        <f t="shared" si="0"/>
        <v>SavannahDamietta</v>
      </c>
      <c r="F63" s="167">
        <v>1290</v>
      </c>
      <c r="G63" s="148">
        <f>COSTS!$AA$29</f>
        <v>350</v>
      </c>
      <c r="H63" s="149">
        <f t="shared" si="4"/>
        <v>1640</v>
      </c>
      <c r="I63" s="150">
        <f t="shared" si="5"/>
        <v>372.72727272727275</v>
      </c>
      <c r="J63" s="162">
        <v>46057</v>
      </c>
      <c r="K63" s="149">
        <v>1290</v>
      </c>
      <c r="L63" s="38">
        <f t="shared" si="3"/>
        <v>0</v>
      </c>
      <c r="S63" s="147" t="s">
        <v>1838</v>
      </c>
    </row>
    <row r="64" spans="1:19">
      <c r="A64" s="147" t="s">
        <v>682</v>
      </c>
      <c r="B64" s="160" t="s">
        <v>1759</v>
      </c>
      <c r="C64" s="160" t="s">
        <v>1637</v>
      </c>
      <c r="D64" s="147" t="s">
        <v>12</v>
      </c>
      <c r="E64" s="147" t="str">
        <f t="shared" si="0"/>
        <v>SavannahDalian</v>
      </c>
      <c r="F64" s="167">
        <v>598</v>
      </c>
      <c r="G64" s="148">
        <f>COSTS!$AA$29</f>
        <v>350</v>
      </c>
      <c r="H64" s="149">
        <f t="shared" si="4"/>
        <v>948</v>
      </c>
      <c r="I64" s="150">
        <f t="shared" si="5"/>
        <v>215.45454545454547</v>
      </c>
      <c r="J64" s="162">
        <v>46044</v>
      </c>
      <c r="K64" s="149">
        <v>630</v>
      </c>
      <c r="L64" s="38">
        <f t="shared" si="3"/>
        <v>-32</v>
      </c>
      <c r="S64" s="147" t="s">
        <v>517</v>
      </c>
    </row>
    <row r="65" spans="1:19">
      <c r="A65" s="147" t="s">
        <v>1884</v>
      </c>
      <c r="B65" s="160" t="s">
        <v>1823</v>
      </c>
      <c r="C65" s="160" t="s">
        <v>1681</v>
      </c>
      <c r="D65" s="147" t="s">
        <v>12</v>
      </c>
      <c r="E65" s="147" t="str">
        <f t="shared" si="0"/>
        <v>NorfolkCofradia</v>
      </c>
      <c r="F65" s="167" t="s">
        <v>1793</v>
      </c>
      <c r="G65" s="148">
        <f>COSTS!$AA$29</f>
        <v>350</v>
      </c>
      <c r="H65" s="149" t="e">
        <f t="shared" si="4"/>
        <v>#VALUE!</v>
      </c>
      <c r="I65" s="150" t="str">
        <f t="shared" si="5"/>
        <v>No Quote</v>
      </c>
      <c r="J65" s="162">
        <v>46044</v>
      </c>
      <c r="K65" s="149" t="s">
        <v>1885</v>
      </c>
      <c r="L65" s="38" t="e">
        <f t="shared" si="3"/>
        <v>#VALUE!</v>
      </c>
      <c r="S65" s="147" t="s">
        <v>1886</v>
      </c>
    </row>
    <row r="66" spans="1:19">
      <c r="A66" s="147" t="s">
        <v>1884</v>
      </c>
      <c r="B66" s="160" t="s">
        <v>1808</v>
      </c>
      <c r="C66" s="160" t="s">
        <v>1668</v>
      </c>
      <c r="D66" s="147" t="s">
        <v>12</v>
      </c>
      <c r="E66" s="147" t="str">
        <f t="shared" si="0"/>
        <v>NorfolkChennai</v>
      </c>
      <c r="F66" s="167">
        <v>1764</v>
      </c>
      <c r="G66" s="148">
        <f>COSTS!$AA$29</f>
        <v>350</v>
      </c>
      <c r="H66" s="149">
        <f t="shared" si="4"/>
        <v>2114</v>
      </c>
      <c r="I66" s="150">
        <f t="shared" si="5"/>
        <v>480.4545454545455</v>
      </c>
      <c r="J66" s="162">
        <v>46057</v>
      </c>
      <c r="K66" s="149">
        <v>1764</v>
      </c>
      <c r="L66" s="38">
        <f t="shared" si="3"/>
        <v>0</v>
      </c>
      <c r="S66" s="147" t="s">
        <v>1892</v>
      </c>
    </row>
    <row r="67" spans="1:19">
      <c r="A67" s="147" t="s">
        <v>1884</v>
      </c>
      <c r="B67" s="160" t="s">
        <v>1836</v>
      </c>
      <c r="C67" s="160" t="s">
        <v>1831</v>
      </c>
      <c r="D67" s="147" t="s">
        <v>12</v>
      </c>
      <c r="E67" s="147" t="str">
        <f t="shared" si="0"/>
        <v>NorfolkPecem</v>
      </c>
      <c r="F67" s="167" t="s">
        <v>1793</v>
      </c>
      <c r="G67" s="148">
        <f>COSTS!$AA$29</f>
        <v>350</v>
      </c>
      <c r="H67" s="149" t="e">
        <f t="shared" si="4"/>
        <v>#VALUE!</v>
      </c>
      <c r="I67" s="150" t="str">
        <f t="shared" si="5"/>
        <v>No Quote</v>
      </c>
      <c r="J67" s="162">
        <v>46044</v>
      </c>
      <c r="K67" s="149"/>
      <c r="L67" s="38" t="e">
        <f t="shared" si="3"/>
        <v>#VALUE!</v>
      </c>
      <c r="S67" s="1" t="s">
        <v>1871</v>
      </c>
    </row>
    <row r="68" spans="1:19">
      <c r="A68" s="147" t="s">
        <v>537</v>
      </c>
      <c r="B68" s="160" t="s">
        <v>1774</v>
      </c>
      <c r="C68" s="160" t="s">
        <v>1658</v>
      </c>
      <c r="D68" s="147" t="s">
        <v>12</v>
      </c>
      <c r="E68" s="147" t="str">
        <f t="shared" ref="E68:E131" si="6">CONCATENATE(,A68,B68)</f>
        <v>MemphisCikarang</v>
      </c>
      <c r="F68" s="167">
        <v>1539</v>
      </c>
      <c r="G68" s="148">
        <f>COSTS!$AA$29</f>
        <v>350</v>
      </c>
      <c r="H68" s="149">
        <f t="shared" ref="H68:H90" si="7">F68+G68</f>
        <v>1889</v>
      </c>
      <c r="I68" s="150">
        <f t="shared" si="5"/>
        <v>429.31818181818181</v>
      </c>
      <c r="J68" s="162">
        <v>46044</v>
      </c>
      <c r="K68" s="149">
        <v>1539</v>
      </c>
      <c r="L68" s="38">
        <f t="shared" ref="L68:L131" si="8">F68-K68</f>
        <v>0</v>
      </c>
      <c r="S68" s="147" t="s">
        <v>1868</v>
      </c>
    </row>
    <row r="69" spans="1:19">
      <c r="A69" s="154" t="s">
        <v>682</v>
      </c>
      <c r="B69" s="153" t="s">
        <v>1635</v>
      </c>
      <c r="C69" s="153" t="s">
        <v>1635</v>
      </c>
      <c r="D69" s="154" t="s">
        <v>12</v>
      </c>
      <c r="E69" s="154" t="str">
        <f t="shared" si="6"/>
        <v>SavannahCIF FE</v>
      </c>
      <c r="F69" s="168">
        <v>121</v>
      </c>
      <c r="G69" s="176">
        <f>COSTS!$AA$29</f>
        <v>350</v>
      </c>
      <c r="H69" s="155">
        <f t="shared" si="7"/>
        <v>471</v>
      </c>
      <c r="I69" s="156">
        <f t="shared" si="5"/>
        <v>107.04545454545455</v>
      </c>
      <c r="J69" s="165">
        <v>45971</v>
      </c>
      <c r="K69" s="177">
        <v>200</v>
      </c>
      <c r="L69" s="158">
        <f t="shared" si="8"/>
        <v>-79</v>
      </c>
      <c r="S69" s="147" t="s">
        <v>1862</v>
      </c>
    </row>
    <row r="70" spans="1:19">
      <c r="A70" s="147" t="s">
        <v>682</v>
      </c>
      <c r="B70" s="160" t="s">
        <v>1808</v>
      </c>
      <c r="C70" s="160" t="s">
        <v>1668</v>
      </c>
      <c r="D70" s="147" t="s">
        <v>12</v>
      </c>
      <c r="E70" s="147" t="str">
        <f t="shared" si="6"/>
        <v>SavannahChennai</v>
      </c>
      <c r="F70" s="167">
        <v>1764</v>
      </c>
      <c r="G70" s="148">
        <f>COSTS!$AA$29</f>
        <v>350</v>
      </c>
      <c r="H70" s="149">
        <f t="shared" si="7"/>
        <v>2114</v>
      </c>
      <c r="I70" s="150">
        <f t="shared" si="5"/>
        <v>480.4545454545455</v>
      </c>
      <c r="J70" s="162">
        <v>46057</v>
      </c>
      <c r="K70" s="149">
        <v>1764</v>
      </c>
      <c r="L70" s="38">
        <f t="shared" si="8"/>
        <v>0</v>
      </c>
      <c r="S70" s="147" t="s">
        <v>1787</v>
      </c>
    </row>
    <row r="71" spans="1:19">
      <c r="A71" s="147" t="s">
        <v>241</v>
      </c>
      <c r="B71" s="160" t="s">
        <v>1735</v>
      </c>
      <c r="C71" s="159" t="s">
        <v>1664</v>
      </c>
      <c r="D71" s="147" t="s">
        <v>12</v>
      </c>
      <c r="E71" s="147" t="str">
        <f t="shared" si="6"/>
        <v>DallasChittagong</v>
      </c>
      <c r="F71" s="167">
        <v>2400</v>
      </c>
      <c r="G71" s="148">
        <f>COSTS!$AA$29</f>
        <v>350</v>
      </c>
      <c r="H71" s="149">
        <f t="shared" si="7"/>
        <v>2750</v>
      </c>
      <c r="I71" s="150">
        <f t="shared" si="5"/>
        <v>625</v>
      </c>
      <c r="J71" s="162">
        <v>46056</v>
      </c>
      <c r="K71" s="149">
        <v>2400</v>
      </c>
      <c r="L71" s="38">
        <f t="shared" si="8"/>
        <v>0</v>
      </c>
      <c r="S71" s="147" t="s">
        <v>1806</v>
      </c>
    </row>
    <row r="72" spans="1:19">
      <c r="A72" s="147" t="s">
        <v>682</v>
      </c>
      <c r="B72" s="160" t="s">
        <v>1804</v>
      </c>
      <c r="C72" s="160" t="s">
        <v>1637</v>
      </c>
      <c r="D72" s="147" t="s">
        <v>12</v>
      </c>
      <c r="E72" s="147" t="str">
        <f t="shared" si="6"/>
        <v>SavannahChangzhou</v>
      </c>
      <c r="F72" s="167">
        <v>848</v>
      </c>
      <c r="G72" s="148">
        <f>COSTS!$AA$29</f>
        <v>350</v>
      </c>
      <c r="H72" s="149">
        <f t="shared" si="7"/>
        <v>1198</v>
      </c>
      <c r="I72" s="150">
        <f t="shared" si="5"/>
        <v>272.27272727272725</v>
      </c>
      <c r="J72" s="162">
        <v>46044</v>
      </c>
      <c r="K72" s="149">
        <v>850</v>
      </c>
      <c r="L72" s="38">
        <f t="shared" si="8"/>
        <v>-2</v>
      </c>
      <c r="S72" s="147" t="s">
        <v>1734</v>
      </c>
    </row>
    <row r="73" spans="1:19">
      <c r="A73" s="147" t="s">
        <v>682</v>
      </c>
      <c r="B73" s="160" t="s">
        <v>1816</v>
      </c>
      <c r="C73" s="160" t="s">
        <v>1817</v>
      </c>
      <c r="D73" s="147" t="s">
        <v>12</v>
      </c>
      <c r="E73" s="147" t="str">
        <f t="shared" si="6"/>
        <v>SavannahCartegena</v>
      </c>
      <c r="F73" s="167" t="s">
        <v>1793</v>
      </c>
      <c r="G73" s="148">
        <f>COSTS!$AA$29</f>
        <v>350</v>
      </c>
      <c r="H73" s="149" t="e">
        <f t="shared" si="7"/>
        <v>#VALUE!</v>
      </c>
      <c r="I73" s="150" t="str">
        <f t="shared" si="5"/>
        <v>No Quote</v>
      </c>
      <c r="J73" s="162">
        <v>46044</v>
      </c>
      <c r="K73" s="149">
        <v>1250</v>
      </c>
      <c r="L73" s="38" t="e">
        <f t="shared" si="8"/>
        <v>#VALUE!</v>
      </c>
      <c r="S73" s="147" t="s">
        <v>1895</v>
      </c>
    </row>
    <row r="74" spans="1:19">
      <c r="A74" s="147" t="s">
        <v>682</v>
      </c>
      <c r="B74" s="160" t="s">
        <v>1850</v>
      </c>
      <c r="C74" s="160" t="s">
        <v>1817</v>
      </c>
      <c r="D74" s="147" t="s">
        <v>12</v>
      </c>
      <c r="E74" s="147" t="str">
        <f t="shared" si="6"/>
        <v>SavannahCartago</v>
      </c>
      <c r="F74" s="167">
        <v>3029</v>
      </c>
      <c r="G74" s="148">
        <f>COSTS!$AA$29</f>
        <v>350</v>
      </c>
      <c r="H74" s="149">
        <f t="shared" si="7"/>
        <v>3379</v>
      </c>
      <c r="I74" s="150">
        <f t="shared" si="5"/>
        <v>767.9545454545455</v>
      </c>
      <c r="J74" s="162">
        <v>46044</v>
      </c>
      <c r="K74" s="149">
        <v>2200</v>
      </c>
      <c r="L74" s="38">
        <f t="shared" si="8"/>
        <v>829</v>
      </c>
      <c r="S74" s="147" t="s">
        <v>1796</v>
      </c>
    </row>
    <row r="75" spans="1:19">
      <c r="A75" s="147" t="s">
        <v>682</v>
      </c>
      <c r="B75" s="160" t="s">
        <v>1851</v>
      </c>
      <c r="C75" s="160" t="s">
        <v>1677</v>
      </c>
      <c r="D75" s="147" t="s">
        <v>12</v>
      </c>
      <c r="E75" s="147" t="str">
        <f t="shared" si="6"/>
        <v>SavannahCallao</v>
      </c>
      <c r="F75" s="167">
        <v>930</v>
      </c>
      <c r="G75" s="148">
        <f>COSTS!$AA$29</f>
        <v>350</v>
      </c>
      <c r="H75" s="149">
        <f t="shared" si="7"/>
        <v>1280</v>
      </c>
      <c r="I75" s="150">
        <f t="shared" si="5"/>
        <v>290.90909090909088</v>
      </c>
      <c r="J75" s="162">
        <v>46044</v>
      </c>
      <c r="K75" s="149">
        <v>1280</v>
      </c>
      <c r="L75" s="38">
        <f t="shared" si="8"/>
        <v>-350</v>
      </c>
      <c r="S75" s="147" t="s">
        <v>1837</v>
      </c>
    </row>
    <row r="76" spans="1:19">
      <c r="A76" s="147" t="s">
        <v>1884</v>
      </c>
      <c r="B76" s="160" t="s">
        <v>1796</v>
      </c>
      <c r="C76" s="160" t="s">
        <v>1646</v>
      </c>
      <c r="D76" s="147" t="s">
        <v>12</v>
      </c>
      <c r="E76" s="147" t="str">
        <f t="shared" si="6"/>
        <v>NorfolkOsaka</v>
      </c>
      <c r="F76" s="167">
        <v>430</v>
      </c>
      <c r="G76" s="148">
        <f>COSTS!$AA$29</f>
        <v>350</v>
      </c>
      <c r="H76" s="149">
        <f t="shared" si="7"/>
        <v>780</v>
      </c>
      <c r="I76" s="150">
        <f t="shared" si="5"/>
        <v>177.27272727272725</v>
      </c>
      <c r="J76" s="162">
        <v>46044</v>
      </c>
      <c r="K76" s="149">
        <v>430</v>
      </c>
      <c r="L76" s="38">
        <f t="shared" si="8"/>
        <v>0</v>
      </c>
      <c r="S76" s="1" t="s">
        <v>1872</v>
      </c>
    </row>
    <row r="77" spans="1:19">
      <c r="A77" s="147" t="s">
        <v>682</v>
      </c>
      <c r="B77" s="160" t="s">
        <v>1852</v>
      </c>
      <c r="C77" s="160" t="s">
        <v>1853</v>
      </c>
      <c r="D77" s="147" t="s">
        <v>12</v>
      </c>
      <c r="E77" s="147" t="str">
        <f t="shared" si="6"/>
        <v>SavannahCaldera</v>
      </c>
      <c r="F77" s="167" t="s">
        <v>1793</v>
      </c>
      <c r="G77" s="148">
        <f>COSTS!$AA$29</f>
        <v>350</v>
      </c>
      <c r="H77" s="149" t="e">
        <f t="shared" si="7"/>
        <v>#VALUE!</v>
      </c>
      <c r="I77" s="150" t="str">
        <f t="shared" si="5"/>
        <v>No Quote</v>
      </c>
      <c r="J77" s="162">
        <v>46044</v>
      </c>
      <c r="K77" s="149" t="s">
        <v>1793</v>
      </c>
      <c r="L77" s="38" t="e">
        <f t="shared" si="8"/>
        <v>#VALUE!</v>
      </c>
      <c r="S77" s="147" t="s">
        <v>1836</v>
      </c>
    </row>
    <row r="78" spans="1:19">
      <c r="A78" s="147" t="s">
        <v>682</v>
      </c>
      <c r="B78" s="160" t="s">
        <v>1736</v>
      </c>
      <c r="C78" s="160" t="s">
        <v>1644</v>
      </c>
      <c r="D78" s="147" t="s">
        <v>12</v>
      </c>
      <c r="E78" s="147" t="str">
        <f t="shared" si="6"/>
        <v>SavannahBusan</v>
      </c>
      <c r="F78" s="167">
        <v>70</v>
      </c>
      <c r="G78" s="148">
        <f>COSTS!$AA$29</f>
        <v>350</v>
      </c>
      <c r="H78" s="149">
        <f t="shared" si="7"/>
        <v>420</v>
      </c>
      <c r="I78" s="150">
        <f t="shared" si="5"/>
        <v>95.454545454545453</v>
      </c>
      <c r="J78" s="162">
        <v>46044</v>
      </c>
      <c r="K78" s="149">
        <v>300</v>
      </c>
      <c r="L78" s="38">
        <f t="shared" si="8"/>
        <v>-230</v>
      </c>
      <c r="S78" s="147" t="s">
        <v>1894</v>
      </c>
    </row>
    <row r="79" spans="1:19">
      <c r="A79" s="147" t="s">
        <v>682</v>
      </c>
      <c r="B79" s="160" t="s">
        <v>1865</v>
      </c>
      <c r="C79" s="160" t="s">
        <v>1866</v>
      </c>
      <c r="D79" s="147" t="s">
        <v>12</v>
      </c>
      <c r="E79" s="147" t="str">
        <f t="shared" si="6"/>
        <v>SavannahBuenos Aires/Montevideo/La Guaria</v>
      </c>
      <c r="F79" s="167" t="s">
        <v>1793</v>
      </c>
      <c r="G79" s="148">
        <f>COSTS!$AA$29</f>
        <v>350</v>
      </c>
      <c r="H79" s="149" t="e">
        <f t="shared" si="7"/>
        <v>#VALUE!</v>
      </c>
      <c r="I79" s="150" t="str">
        <f t="shared" si="5"/>
        <v>No Quote</v>
      </c>
      <c r="J79" s="162">
        <v>46044</v>
      </c>
      <c r="K79" s="149" t="s">
        <v>1793</v>
      </c>
      <c r="L79" s="38" t="e">
        <f t="shared" si="8"/>
        <v>#VALUE!</v>
      </c>
      <c r="S79" s="147" t="s">
        <v>1825</v>
      </c>
    </row>
    <row r="80" spans="1:19">
      <c r="A80" s="147" t="s">
        <v>682</v>
      </c>
      <c r="B80" s="160" t="s">
        <v>1881</v>
      </c>
      <c r="C80" s="160" t="s">
        <v>1882</v>
      </c>
      <c r="D80" s="147" t="s">
        <v>12</v>
      </c>
      <c r="E80" s="147" t="str">
        <f t="shared" si="6"/>
        <v>SavannahBremen</v>
      </c>
      <c r="F80" s="167" t="s">
        <v>1793</v>
      </c>
      <c r="G80" s="148">
        <f>COSTS!$AA$29</f>
        <v>350</v>
      </c>
      <c r="H80" s="149" t="e">
        <f t="shared" si="7"/>
        <v>#VALUE!</v>
      </c>
      <c r="I80" s="150" t="str">
        <f t="shared" si="5"/>
        <v>No Quote</v>
      </c>
      <c r="J80" s="162">
        <v>46044</v>
      </c>
      <c r="K80" s="149" t="s">
        <v>1793</v>
      </c>
      <c r="L80" s="38" t="e">
        <f t="shared" si="8"/>
        <v>#VALUE!</v>
      </c>
      <c r="S80" s="147" t="s">
        <v>1742</v>
      </c>
    </row>
    <row r="81" spans="1:19">
      <c r="A81" s="147" t="s">
        <v>682</v>
      </c>
      <c r="B81" s="160" t="s">
        <v>1855</v>
      </c>
      <c r="C81" s="160" t="s">
        <v>1830</v>
      </c>
      <c r="D81" s="147" t="s">
        <v>12</v>
      </c>
      <c r="E81" s="147" t="str">
        <f t="shared" si="6"/>
        <v>SavannahBergamo</v>
      </c>
      <c r="F81" s="167">
        <v>1542</v>
      </c>
      <c r="G81" s="148">
        <f>COSTS!$AA$29</f>
        <v>350</v>
      </c>
      <c r="H81" s="149">
        <f t="shared" si="7"/>
        <v>1892</v>
      </c>
      <c r="I81" s="150">
        <f t="shared" si="5"/>
        <v>430</v>
      </c>
      <c r="J81" s="162">
        <v>46044</v>
      </c>
      <c r="K81" s="149">
        <v>1650</v>
      </c>
      <c r="L81" s="38">
        <f t="shared" si="8"/>
        <v>-108</v>
      </c>
      <c r="S81" s="147" t="s">
        <v>1738</v>
      </c>
    </row>
    <row r="82" spans="1:19">
      <c r="A82" s="147" t="s">
        <v>1884</v>
      </c>
      <c r="B82" s="160" t="s">
        <v>1738</v>
      </c>
      <c r="C82" s="160" t="s">
        <v>1666</v>
      </c>
      <c r="D82" s="147" t="s">
        <v>12</v>
      </c>
      <c r="E82" s="147" t="str">
        <f t="shared" si="6"/>
        <v>NorfolkPort Qasim/Karachi</v>
      </c>
      <c r="F82" s="167">
        <v>947</v>
      </c>
      <c r="G82" s="148">
        <f>COSTS!$AA$29</f>
        <v>350</v>
      </c>
      <c r="H82" s="149">
        <f t="shared" si="7"/>
        <v>1297</v>
      </c>
      <c r="I82" s="150">
        <f t="shared" si="5"/>
        <v>294.77272727272725</v>
      </c>
      <c r="J82" s="162">
        <v>46044</v>
      </c>
      <c r="K82" s="149">
        <v>947</v>
      </c>
      <c r="L82" s="38">
        <f t="shared" si="8"/>
        <v>0</v>
      </c>
      <c r="S82" s="1" t="s">
        <v>1869</v>
      </c>
    </row>
    <row r="83" spans="1:19">
      <c r="A83" s="147" t="s">
        <v>682</v>
      </c>
      <c r="B83" s="160" t="s">
        <v>1809</v>
      </c>
      <c r="C83" s="160" t="s">
        <v>1683</v>
      </c>
      <c r="D83" s="147" t="s">
        <v>12</v>
      </c>
      <c r="E83" s="147" t="str">
        <f t="shared" si="6"/>
        <v>SavannahBarcelona</v>
      </c>
      <c r="F83" s="167">
        <v>1939</v>
      </c>
      <c r="G83" s="148">
        <f>COSTS!$AA$29</f>
        <v>350</v>
      </c>
      <c r="H83" s="149">
        <f t="shared" si="7"/>
        <v>2289</v>
      </c>
      <c r="I83" s="150">
        <f t="shared" si="5"/>
        <v>520.22727272727275</v>
      </c>
      <c r="J83" s="162">
        <v>46044</v>
      </c>
      <c r="K83" s="149">
        <v>1970</v>
      </c>
      <c r="L83" s="38">
        <f t="shared" si="8"/>
        <v>-31</v>
      </c>
      <c r="S83" s="147" t="s">
        <v>1835</v>
      </c>
    </row>
    <row r="84" spans="1:19">
      <c r="A84" s="147" t="s">
        <v>682</v>
      </c>
      <c r="B84" s="160" t="s">
        <v>1743</v>
      </c>
      <c r="C84" s="160" t="s">
        <v>1660</v>
      </c>
      <c r="D84" s="147" t="s">
        <v>12</v>
      </c>
      <c r="E84" s="147" t="str">
        <f t="shared" si="6"/>
        <v>SavannahBangkok</v>
      </c>
      <c r="F84" s="167">
        <v>257</v>
      </c>
      <c r="G84" s="148">
        <f>COSTS!$AA$29</f>
        <v>350</v>
      </c>
      <c r="H84" s="149">
        <f t="shared" si="7"/>
        <v>607</v>
      </c>
      <c r="I84" s="150">
        <f t="shared" si="5"/>
        <v>137.95454545454544</v>
      </c>
      <c r="J84" s="162">
        <v>46044</v>
      </c>
      <c r="K84" s="149">
        <v>600</v>
      </c>
      <c r="L84" s="38">
        <f t="shared" si="8"/>
        <v>-343</v>
      </c>
      <c r="S84" s="147" t="s">
        <v>1849</v>
      </c>
    </row>
    <row r="85" spans="1:19">
      <c r="A85" s="147" t="s">
        <v>682</v>
      </c>
      <c r="B85" s="160" t="s">
        <v>1856</v>
      </c>
      <c r="C85" s="160" t="s">
        <v>1856</v>
      </c>
      <c r="D85" s="147" t="s">
        <v>12</v>
      </c>
      <c r="E85" s="147" t="str">
        <f t="shared" si="6"/>
        <v>SavannahBahrain</v>
      </c>
      <c r="F85" s="167">
        <v>1816</v>
      </c>
      <c r="G85" s="148">
        <f>COSTS!$AA$29</f>
        <v>350</v>
      </c>
      <c r="H85" s="149">
        <f t="shared" si="7"/>
        <v>2166</v>
      </c>
      <c r="I85" s="150">
        <f t="shared" si="5"/>
        <v>492.27272727272725</v>
      </c>
      <c r="J85" s="162">
        <v>46044</v>
      </c>
      <c r="K85" s="149" t="s">
        <v>1793</v>
      </c>
      <c r="L85" s="38" t="e">
        <f t="shared" si="8"/>
        <v>#VALUE!</v>
      </c>
      <c r="S85" s="147" t="s">
        <v>1833</v>
      </c>
    </row>
    <row r="86" spans="1:19">
      <c r="A86" s="147" t="s">
        <v>682</v>
      </c>
      <c r="B86" s="160" t="s">
        <v>1857</v>
      </c>
      <c r="C86" s="160" t="s">
        <v>1679</v>
      </c>
      <c r="D86" s="147" t="s">
        <v>12</v>
      </c>
      <c r="E86" s="147" t="str">
        <f t="shared" si="6"/>
        <v>SavannahAmatitlan</v>
      </c>
      <c r="F86" s="167">
        <v>3222</v>
      </c>
      <c r="G86" s="148">
        <f>COSTS!$AA$29</f>
        <v>350</v>
      </c>
      <c r="H86" s="149">
        <f t="shared" si="7"/>
        <v>3572</v>
      </c>
      <c r="I86" s="150">
        <f t="shared" ref="I86:I117" si="9">IFERROR(H86/88*20,"No Quote")</f>
        <v>811.81818181818187</v>
      </c>
      <c r="J86" s="162">
        <v>46044</v>
      </c>
      <c r="K86" s="149">
        <v>2650</v>
      </c>
      <c r="L86" s="38">
        <f t="shared" si="8"/>
        <v>572</v>
      </c>
      <c r="S86" s="147" t="s">
        <v>1795</v>
      </c>
    </row>
    <row r="87" spans="1:19">
      <c r="A87" s="147" t="s">
        <v>682</v>
      </c>
      <c r="B87" s="160" t="s">
        <v>1858</v>
      </c>
      <c r="C87" s="160" t="s">
        <v>1859</v>
      </c>
      <c r="D87" s="147" t="s">
        <v>12</v>
      </c>
      <c r="E87" s="147" t="str">
        <f t="shared" si="6"/>
        <v>SavannahAlgiers</v>
      </c>
      <c r="F87" s="167">
        <v>2472</v>
      </c>
      <c r="G87" s="148">
        <f>COSTS!$AA$29</f>
        <v>350</v>
      </c>
      <c r="H87" s="149">
        <f t="shared" si="7"/>
        <v>2822</v>
      </c>
      <c r="I87" s="150">
        <f t="shared" si="9"/>
        <v>641.36363636363637</v>
      </c>
      <c r="J87" s="162">
        <v>46044</v>
      </c>
      <c r="K87" s="149">
        <v>2475</v>
      </c>
      <c r="L87" s="38">
        <f t="shared" si="8"/>
        <v>-3</v>
      </c>
      <c r="S87" s="147" t="s">
        <v>1893</v>
      </c>
    </row>
    <row r="88" spans="1:19">
      <c r="A88" s="147" t="s">
        <v>682</v>
      </c>
      <c r="B88" s="160" t="s">
        <v>1860</v>
      </c>
      <c r="C88" s="160" t="s">
        <v>1772</v>
      </c>
      <c r="D88" s="147" t="s">
        <v>12</v>
      </c>
      <c r="E88" s="147" t="str">
        <f t="shared" si="6"/>
        <v>SavannahAlexandria Egypt</v>
      </c>
      <c r="F88" s="167">
        <v>1290</v>
      </c>
      <c r="G88" s="148">
        <f>COSTS!$AA$29</f>
        <v>350</v>
      </c>
      <c r="H88" s="149">
        <f t="shared" si="7"/>
        <v>1640</v>
      </c>
      <c r="I88" s="150">
        <f t="shared" si="9"/>
        <v>372.72727272727275</v>
      </c>
      <c r="J88" s="162">
        <v>46057</v>
      </c>
      <c r="K88" s="149">
        <v>1990</v>
      </c>
      <c r="L88" s="38">
        <f t="shared" si="8"/>
        <v>-700</v>
      </c>
      <c r="S88" s="147" t="s">
        <v>1832</v>
      </c>
    </row>
    <row r="89" spans="1:19">
      <c r="A89" s="147" t="s">
        <v>1884</v>
      </c>
      <c r="B89" s="160" t="s">
        <v>1790</v>
      </c>
      <c r="C89" s="160" t="s">
        <v>1637</v>
      </c>
      <c r="D89" s="147" t="s">
        <v>12</v>
      </c>
      <c r="E89" s="147" t="str">
        <f t="shared" si="6"/>
        <v>NorfolkZhuhai</v>
      </c>
      <c r="F89" s="167">
        <v>799</v>
      </c>
      <c r="G89" s="148">
        <f>COSTS!$AA$29</f>
        <v>350</v>
      </c>
      <c r="H89" s="149">
        <f t="shared" si="7"/>
        <v>1149</v>
      </c>
      <c r="I89" s="150">
        <f t="shared" si="9"/>
        <v>261.13636363636363</v>
      </c>
      <c r="J89" s="162">
        <v>46044</v>
      </c>
      <c r="K89" s="149">
        <v>961</v>
      </c>
      <c r="L89" s="38">
        <f t="shared" si="8"/>
        <v>-162</v>
      </c>
      <c r="S89" s="147" t="s">
        <v>1887</v>
      </c>
    </row>
    <row r="90" spans="1:19">
      <c r="A90" s="147" t="s">
        <v>439</v>
      </c>
      <c r="B90" s="160" t="s">
        <v>1752</v>
      </c>
      <c r="C90" s="160" t="s">
        <v>1652</v>
      </c>
      <c r="D90" s="147" t="s">
        <v>12</v>
      </c>
      <c r="E90" s="147" t="str">
        <f t="shared" si="6"/>
        <v>HoustonKeelung</v>
      </c>
      <c r="F90" s="167">
        <v>400</v>
      </c>
      <c r="G90" s="148">
        <f>COSTS!$AA$29</f>
        <v>350</v>
      </c>
      <c r="H90" s="149">
        <f t="shared" si="7"/>
        <v>750</v>
      </c>
      <c r="I90" s="150">
        <f t="shared" si="9"/>
        <v>170.45454545454547</v>
      </c>
      <c r="J90" s="162">
        <v>46044</v>
      </c>
      <c r="K90" s="149">
        <v>960</v>
      </c>
      <c r="L90" s="38">
        <f t="shared" si="8"/>
        <v>-560</v>
      </c>
      <c r="S90" s="136" t="s">
        <v>1821</v>
      </c>
    </row>
    <row r="91" spans="1:19">
      <c r="A91" s="147" t="s">
        <v>1884</v>
      </c>
      <c r="B91" s="160" t="s">
        <v>1791</v>
      </c>
      <c r="C91" s="160" t="s">
        <v>1637</v>
      </c>
      <c r="D91" s="147" t="s">
        <v>12</v>
      </c>
      <c r="E91" s="147" t="str">
        <f t="shared" si="6"/>
        <v>NorfolkZhanjiang</v>
      </c>
      <c r="F91" s="167">
        <v>837</v>
      </c>
      <c r="G91" s="148">
        <f>COSTS!$AA$29</f>
        <v>350</v>
      </c>
      <c r="H91" s="149">
        <v>830</v>
      </c>
      <c r="I91" s="150">
        <f t="shared" si="9"/>
        <v>188.63636363636363</v>
      </c>
      <c r="J91" s="162">
        <v>46044</v>
      </c>
      <c r="K91" s="149">
        <v>837</v>
      </c>
      <c r="L91" s="38">
        <f t="shared" si="8"/>
        <v>0</v>
      </c>
      <c r="S91" s="147" t="s">
        <v>1888</v>
      </c>
    </row>
    <row r="92" spans="1:19">
      <c r="A92" s="147" t="s">
        <v>1884</v>
      </c>
      <c r="B92" s="160" t="s">
        <v>1731</v>
      </c>
      <c r="C92" s="160" t="s">
        <v>1637</v>
      </c>
      <c r="D92" s="147" t="s">
        <v>12</v>
      </c>
      <c r="E92" s="147" t="str">
        <f t="shared" si="6"/>
        <v>NorfolkZhangjiagang</v>
      </c>
      <c r="F92" s="167">
        <v>629</v>
      </c>
      <c r="G92" s="148">
        <f>COSTS!$AA$29</f>
        <v>350</v>
      </c>
      <c r="H92" s="149">
        <f t="shared" ref="H92:H123" si="10">F92+G92</f>
        <v>979</v>
      </c>
      <c r="I92" s="150">
        <f t="shared" si="9"/>
        <v>222.5</v>
      </c>
      <c r="J92" s="162">
        <v>46044</v>
      </c>
      <c r="K92" s="149">
        <v>647</v>
      </c>
      <c r="L92" s="38">
        <f t="shared" si="8"/>
        <v>-18</v>
      </c>
      <c r="S92" s="1" t="s">
        <v>1861</v>
      </c>
    </row>
    <row r="93" spans="1:19">
      <c r="A93" s="147" t="s">
        <v>1884</v>
      </c>
      <c r="B93" s="160" t="s">
        <v>1792</v>
      </c>
      <c r="C93" s="160" t="s">
        <v>1637</v>
      </c>
      <c r="D93" s="147" t="s">
        <v>12</v>
      </c>
      <c r="E93" s="147" t="str">
        <f t="shared" si="6"/>
        <v>NorfolkXinhui</v>
      </c>
      <c r="F93" s="167" t="s">
        <v>1889</v>
      </c>
      <c r="G93" s="148">
        <f>COSTS!$AA$29</f>
        <v>350</v>
      </c>
      <c r="H93" s="149" t="e">
        <f t="shared" si="10"/>
        <v>#VALUE!</v>
      </c>
      <c r="I93" s="150" t="str">
        <f t="shared" si="9"/>
        <v>No Quote</v>
      </c>
      <c r="J93" s="162">
        <v>46044</v>
      </c>
      <c r="K93" s="149" t="s">
        <v>1793</v>
      </c>
      <c r="L93" s="38" t="e">
        <f t="shared" si="8"/>
        <v>#VALUE!</v>
      </c>
      <c r="S93" s="147" t="s">
        <v>1890</v>
      </c>
    </row>
    <row r="94" spans="1:19">
      <c r="A94" s="147" t="s">
        <v>1884</v>
      </c>
      <c r="B94" s="160" t="s">
        <v>1763</v>
      </c>
      <c r="C94" s="160" t="s">
        <v>1637</v>
      </c>
      <c r="D94" s="147" t="s">
        <v>12</v>
      </c>
      <c r="E94" s="147" t="str">
        <f t="shared" si="6"/>
        <v>NorfolkWuhan</v>
      </c>
      <c r="F94" s="167">
        <v>442</v>
      </c>
      <c r="G94" s="148">
        <f>COSTS!$AA$29</f>
        <v>350</v>
      </c>
      <c r="H94" s="149">
        <f t="shared" si="10"/>
        <v>792</v>
      </c>
      <c r="I94" s="150">
        <f t="shared" si="9"/>
        <v>180</v>
      </c>
      <c r="J94" s="162">
        <v>46044</v>
      </c>
      <c r="K94" s="149">
        <v>442</v>
      </c>
      <c r="L94" s="38">
        <f t="shared" si="8"/>
        <v>0</v>
      </c>
      <c r="S94" s="147" t="s">
        <v>1794</v>
      </c>
    </row>
    <row r="95" spans="1:19">
      <c r="A95" s="147" t="s">
        <v>1884</v>
      </c>
      <c r="B95" s="160" t="s">
        <v>1827</v>
      </c>
      <c r="C95" s="160" t="s">
        <v>1683</v>
      </c>
      <c r="D95" s="147" t="s">
        <v>12</v>
      </c>
      <c r="E95" s="147" t="str">
        <f t="shared" si="6"/>
        <v>NorfolkVitoria</v>
      </c>
      <c r="F95" s="167" t="s">
        <v>1793</v>
      </c>
      <c r="G95" s="148">
        <f>COSTS!$AA$29</f>
        <v>350</v>
      </c>
      <c r="H95" s="149" t="e">
        <f t="shared" si="10"/>
        <v>#VALUE!</v>
      </c>
      <c r="I95" s="150" t="str">
        <f t="shared" si="9"/>
        <v>No Quote</v>
      </c>
      <c r="J95" s="162">
        <v>46044</v>
      </c>
      <c r="K95" s="149"/>
      <c r="L95" s="38" t="e">
        <f t="shared" si="8"/>
        <v>#VALUE!</v>
      </c>
      <c r="S95" s="147" t="s">
        <v>1812</v>
      </c>
    </row>
    <row r="96" spans="1:19">
      <c r="A96" s="147" t="s">
        <v>439</v>
      </c>
      <c r="B96" s="160" t="s">
        <v>1735</v>
      </c>
      <c r="C96" s="159" t="s">
        <v>1664</v>
      </c>
      <c r="D96" s="147" t="s">
        <v>12</v>
      </c>
      <c r="E96" s="147" t="str">
        <f t="shared" si="6"/>
        <v>HoustonChittagong</v>
      </c>
      <c r="F96" s="167">
        <v>1900</v>
      </c>
      <c r="G96" s="148">
        <f>COSTS!$AA$29</f>
        <v>350</v>
      </c>
      <c r="H96" s="149">
        <f t="shared" si="10"/>
        <v>2250</v>
      </c>
      <c r="I96" s="150">
        <f t="shared" si="9"/>
        <v>511.36363636363632</v>
      </c>
      <c r="J96" s="162">
        <v>46059</v>
      </c>
      <c r="K96" s="149">
        <v>1722</v>
      </c>
      <c r="L96" s="38">
        <f t="shared" si="8"/>
        <v>178</v>
      </c>
      <c r="S96" s="147" t="s">
        <v>1820</v>
      </c>
    </row>
    <row r="97" spans="1:19">
      <c r="A97" s="147" t="s">
        <v>1884</v>
      </c>
      <c r="B97" s="160" t="s">
        <v>1828</v>
      </c>
      <c r="C97" s="160" t="s">
        <v>1829</v>
      </c>
      <c r="D97" s="147" t="s">
        <v>12</v>
      </c>
      <c r="E97" s="147" t="str">
        <f t="shared" si="6"/>
        <v>NorfolkTunis</v>
      </c>
      <c r="F97" s="167" t="s">
        <v>1793</v>
      </c>
      <c r="G97" s="148">
        <f>COSTS!$AA$29</f>
        <v>350</v>
      </c>
      <c r="H97" s="149" t="e">
        <f t="shared" si="10"/>
        <v>#VALUE!</v>
      </c>
      <c r="I97" s="150" t="str">
        <f t="shared" si="9"/>
        <v>No Quote</v>
      </c>
      <c r="J97" s="162">
        <v>46044</v>
      </c>
      <c r="K97" s="149"/>
      <c r="L97" s="38" t="e">
        <f t="shared" si="8"/>
        <v>#VALUE!</v>
      </c>
      <c r="S97" s="147" t="s">
        <v>1781</v>
      </c>
    </row>
    <row r="98" spans="1:19">
      <c r="A98" s="147" t="s">
        <v>1884</v>
      </c>
      <c r="B98" s="160" t="s">
        <v>1807</v>
      </c>
      <c r="C98" s="160" t="s">
        <v>1830</v>
      </c>
      <c r="D98" s="147" t="s">
        <v>12</v>
      </c>
      <c r="E98" s="147" t="str">
        <f t="shared" si="6"/>
        <v>NorfolkTrieste</v>
      </c>
      <c r="F98" s="167" t="s">
        <v>1793</v>
      </c>
      <c r="G98" s="148">
        <f>COSTS!$AA$29</f>
        <v>350</v>
      </c>
      <c r="H98" s="149" t="e">
        <f t="shared" si="10"/>
        <v>#VALUE!</v>
      </c>
      <c r="I98" s="150" t="str">
        <f t="shared" si="9"/>
        <v>No Quote</v>
      </c>
      <c r="J98" s="162">
        <v>46044</v>
      </c>
      <c r="K98" s="149"/>
      <c r="L98" s="38" t="e">
        <f t="shared" si="8"/>
        <v>#VALUE!</v>
      </c>
      <c r="S98" s="147" t="s">
        <v>1810</v>
      </c>
    </row>
    <row r="99" spans="1:19">
      <c r="A99" s="147" t="s">
        <v>439</v>
      </c>
      <c r="B99" s="160" t="s">
        <v>1780</v>
      </c>
      <c r="C99" s="160" t="s">
        <v>1652</v>
      </c>
      <c r="D99" s="147" t="s">
        <v>12</v>
      </c>
      <c r="E99" s="147" t="str">
        <f t="shared" si="6"/>
        <v>HoustonKaohsiung</v>
      </c>
      <c r="F99" s="167">
        <v>250</v>
      </c>
      <c r="G99" s="148">
        <f>COSTS!$AA$29</f>
        <v>350</v>
      </c>
      <c r="H99" s="149">
        <f t="shared" si="10"/>
        <v>600</v>
      </c>
      <c r="I99" s="150">
        <f t="shared" si="9"/>
        <v>136.36363636363637</v>
      </c>
      <c r="J99" s="162">
        <v>46044</v>
      </c>
      <c r="K99" s="149">
        <v>850</v>
      </c>
      <c r="L99" s="38">
        <f t="shared" si="8"/>
        <v>-600</v>
      </c>
      <c r="S99" s="147" t="s">
        <v>1798</v>
      </c>
    </row>
    <row r="100" spans="1:19">
      <c r="A100" s="147" t="s">
        <v>1884</v>
      </c>
      <c r="B100" s="160" t="s">
        <v>1775</v>
      </c>
      <c r="C100" s="160" t="s">
        <v>1648</v>
      </c>
      <c r="D100" s="147" t="s">
        <v>12</v>
      </c>
      <c r="E100" s="147" t="str">
        <f t="shared" si="6"/>
        <v>NorfolkTanjung Pelepas</v>
      </c>
      <c r="F100" s="167">
        <v>881</v>
      </c>
      <c r="G100" s="148">
        <f>COSTS!$AA$29</f>
        <v>350</v>
      </c>
      <c r="H100" s="149">
        <f t="shared" si="10"/>
        <v>1231</v>
      </c>
      <c r="I100" s="150">
        <f t="shared" si="9"/>
        <v>279.77272727272725</v>
      </c>
      <c r="J100" s="162">
        <v>46044</v>
      </c>
      <c r="K100" s="149">
        <v>878</v>
      </c>
      <c r="L100" s="38">
        <f t="shared" si="8"/>
        <v>3</v>
      </c>
      <c r="S100" s="1" t="s">
        <v>1870</v>
      </c>
    </row>
    <row r="101" spans="1:19">
      <c r="A101" s="147" t="s">
        <v>1884</v>
      </c>
      <c r="B101" s="160" t="s">
        <v>1806</v>
      </c>
      <c r="C101" s="160" t="s">
        <v>1646</v>
      </c>
      <c r="D101" s="147" t="s">
        <v>12</v>
      </c>
      <c r="E101" s="147" t="str">
        <f t="shared" si="6"/>
        <v>NorfolkNagoya/Kobe</v>
      </c>
      <c r="F101" s="167">
        <v>258</v>
      </c>
      <c r="G101" s="148">
        <f>COSTS!$AA$29</f>
        <v>350</v>
      </c>
      <c r="H101" s="149">
        <f t="shared" si="10"/>
        <v>608</v>
      </c>
      <c r="I101" s="150">
        <f t="shared" si="9"/>
        <v>138.18181818181819</v>
      </c>
      <c r="J101" s="162">
        <v>46044</v>
      </c>
      <c r="K101" s="149"/>
      <c r="L101" s="38">
        <f t="shared" si="8"/>
        <v>258</v>
      </c>
      <c r="S101" s="136" t="s">
        <v>1874</v>
      </c>
    </row>
    <row r="102" spans="1:19">
      <c r="A102" s="147" t="s">
        <v>439</v>
      </c>
      <c r="B102" s="160" t="s">
        <v>1774</v>
      </c>
      <c r="C102" s="160" t="s">
        <v>1658</v>
      </c>
      <c r="D102" s="147" t="s">
        <v>12</v>
      </c>
      <c r="E102" s="147" t="str">
        <f t="shared" si="6"/>
        <v>HoustonCikarang</v>
      </c>
      <c r="F102" s="167">
        <v>1800</v>
      </c>
      <c r="G102" s="148">
        <f>COSTS!$AA$29</f>
        <v>350</v>
      </c>
      <c r="H102" s="149">
        <f t="shared" si="10"/>
        <v>2150</v>
      </c>
      <c r="I102" s="150">
        <f t="shared" si="9"/>
        <v>488.63636363636368</v>
      </c>
      <c r="J102" s="162">
        <v>46044</v>
      </c>
      <c r="K102" s="149">
        <v>1500</v>
      </c>
      <c r="L102" s="38">
        <f t="shared" si="8"/>
        <v>300</v>
      </c>
      <c r="S102" s="136" t="s">
        <v>1822</v>
      </c>
    </row>
    <row r="103" spans="1:19">
      <c r="A103" s="147" t="s">
        <v>1788</v>
      </c>
      <c r="B103" s="160" t="s">
        <v>1780</v>
      </c>
      <c r="C103" s="160" t="s">
        <v>1652</v>
      </c>
      <c r="D103" s="147" t="s">
        <v>12</v>
      </c>
      <c r="E103" s="147" t="str">
        <f t="shared" si="6"/>
        <v>CharlestonKaohsiung</v>
      </c>
      <c r="F103" s="167">
        <v>307</v>
      </c>
      <c r="G103" s="148">
        <f>COSTS!$AA$29</f>
        <v>350</v>
      </c>
      <c r="H103" s="149">
        <f t="shared" si="10"/>
        <v>657</v>
      </c>
      <c r="I103" s="150">
        <f t="shared" si="9"/>
        <v>149.31818181818181</v>
      </c>
      <c r="J103" s="162">
        <v>46044</v>
      </c>
      <c r="K103" s="149">
        <v>310</v>
      </c>
      <c r="L103" s="38">
        <f t="shared" si="8"/>
        <v>-3</v>
      </c>
      <c r="S103" s="1" t="s">
        <v>1789</v>
      </c>
    </row>
    <row r="104" spans="1:19">
      <c r="A104" s="147" t="s">
        <v>1884</v>
      </c>
      <c r="B104" s="160" t="s">
        <v>1818</v>
      </c>
      <c r="C104" s="160" t="s">
        <v>1670</v>
      </c>
      <c r="D104" s="147" t="s">
        <v>12</v>
      </c>
      <c r="E104" s="147" t="str">
        <f t="shared" si="6"/>
        <v>NorfolkGemlik</v>
      </c>
      <c r="F104" s="167">
        <v>977</v>
      </c>
      <c r="G104" s="148">
        <f>COSTS!$AA$29</f>
        <v>350</v>
      </c>
      <c r="H104" s="149">
        <f t="shared" si="10"/>
        <v>1327</v>
      </c>
      <c r="I104" s="150">
        <f t="shared" si="9"/>
        <v>301.59090909090912</v>
      </c>
      <c r="J104" s="162">
        <v>46044</v>
      </c>
      <c r="K104" s="149"/>
      <c r="L104" s="38">
        <f t="shared" si="8"/>
        <v>977</v>
      </c>
      <c r="S104" s="136" t="s">
        <v>1875</v>
      </c>
    </row>
    <row r="105" spans="1:19">
      <c r="A105" s="147" t="s">
        <v>1884</v>
      </c>
      <c r="B105" s="160" t="s">
        <v>1734</v>
      </c>
      <c r="C105" s="160" t="s">
        <v>1637</v>
      </c>
      <c r="D105" s="147" t="s">
        <v>12</v>
      </c>
      <c r="E105" s="147" t="str">
        <f t="shared" si="6"/>
        <v>NorfolkNantong</v>
      </c>
      <c r="F105" s="167">
        <v>377</v>
      </c>
      <c r="G105" s="148">
        <f>COSTS!$AA$29</f>
        <v>350</v>
      </c>
      <c r="H105" s="149">
        <f t="shared" si="10"/>
        <v>727</v>
      </c>
      <c r="I105" s="150">
        <f t="shared" si="9"/>
        <v>165.22727272727275</v>
      </c>
      <c r="J105" s="162">
        <v>46044</v>
      </c>
      <c r="K105" s="149"/>
      <c r="L105" s="38">
        <f t="shared" si="8"/>
        <v>377</v>
      </c>
      <c r="S105" s="1" t="s">
        <v>1873</v>
      </c>
    </row>
    <row r="106" spans="1:19">
      <c r="A106" s="147" t="s">
        <v>241</v>
      </c>
      <c r="B106" s="160" t="s">
        <v>1780</v>
      </c>
      <c r="C106" s="160" t="s">
        <v>1652</v>
      </c>
      <c r="D106" s="147" t="s">
        <v>12</v>
      </c>
      <c r="E106" s="147" t="str">
        <f t="shared" si="6"/>
        <v>DallasKaohsiung</v>
      </c>
      <c r="F106" s="167">
        <v>744</v>
      </c>
      <c r="G106" s="148">
        <f>COSTS!$AA$29</f>
        <v>350</v>
      </c>
      <c r="H106" s="149">
        <f t="shared" si="10"/>
        <v>1094</v>
      </c>
      <c r="I106" s="150">
        <f t="shared" si="9"/>
        <v>248.63636363636363</v>
      </c>
      <c r="J106" s="162">
        <v>46044</v>
      </c>
      <c r="K106" s="149">
        <v>800</v>
      </c>
      <c r="L106" s="38">
        <f t="shared" si="8"/>
        <v>-56</v>
      </c>
      <c r="S106" s="147" t="s">
        <v>1807</v>
      </c>
    </row>
    <row r="107" spans="1:19">
      <c r="A107" s="147" t="s">
        <v>1884</v>
      </c>
      <c r="B107" s="160" t="s">
        <v>1820</v>
      </c>
      <c r="C107" s="160" t="s">
        <v>1831</v>
      </c>
      <c r="D107" s="147" t="s">
        <v>12</v>
      </c>
      <c r="E107" s="147" t="str">
        <f t="shared" si="6"/>
        <v>NorfolkSuape</v>
      </c>
      <c r="F107" s="167" t="s">
        <v>1793</v>
      </c>
      <c r="G107" s="148">
        <f>COSTS!$AA$29</f>
        <v>350</v>
      </c>
      <c r="H107" s="149" t="e">
        <f t="shared" si="10"/>
        <v>#VALUE!</v>
      </c>
      <c r="I107" s="150" t="str">
        <f t="shared" si="9"/>
        <v>No Quote</v>
      </c>
      <c r="J107" s="162">
        <v>46044</v>
      </c>
      <c r="K107" s="149"/>
      <c r="L107" s="38" t="e">
        <f t="shared" si="8"/>
        <v>#VALUE!</v>
      </c>
      <c r="S107" s="147" t="s">
        <v>1828</v>
      </c>
    </row>
    <row r="108" spans="1:19">
      <c r="A108" s="147" t="s">
        <v>1884</v>
      </c>
      <c r="B108" s="160" t="s">
        <v>1812</v>
      </c>
      <c r="C108" s="160" t="s">
        <v>1813</v>
      </c>
      <c r="D108" s="147" t="s">
        <v>12</v>
      </c>
      <c r="E108" s="147" t="str">
        <f t="shared" si="6"/>
        <v>NorfolkSohar Oman</v>
      </c>
      <c r="F108" s="167" t="s">
        <v>1793</v>
      </c>
      <c r="G108" s="148">
        <f>COSTS!$AA$29</f>
        <v>350</v>
      </c>
      <c r="H108" s="149" t="e">
        <f t="shared" si="10"/>
        <v>#VALUE!</v>
      </c>
      <c r="I108" s="150" t="str">
        <f t="shared" si="9"/>
        <v>No Quote</v>
      </c>
      <c r="J108" s="162">
        <v>46044</v>
      </c>
      <c r="K108" s="149"/>
      <c r="L108" s="38" t="e">
        <f t="shared" si="8"/>
        <v>#VALUE!</v>
      </c>
      <c r="S108" s="147" t="s">
        <v>1727</v>
      </c>
    </row>
    <row r="109" spans="1:19">
      <c r="A109" s="147" t="s">
        <v>1884</v>
      </c>
      <c r="B109" s="160" t="s">
        <v>1794</v>
      </c>
      <c r="C109" s="160" t="s">
        <v>1637</v>
      </c>
      <c r="D109" s="147" t="s">
        <v>12</v>
      </c>
      <c r="E109" s="147" t="str">
        <f t="shared" si="6"/>
        <v>NorfolkShanghai/Qingdao/Xiamen/Ningbo/Xingang</v>
      </c>
      <c r="F109" s="167">
        <v>258</v>
      </c>
      <c r="G109" s="148">
        <f>COSTS!$AA$29</f>
        <v>350</v>
      </c>
      <c r="H109" s="149">
        <f t="shared" si="10"/>
        <v>608</v>
      </c>
      <c r="I109" s="150">
        <f t="shared" si="9"/>
        <v>138.18181818181819</v>
      </c>
      <c r="J109" s="162">
        <v>46044</v>
      </c>
      <c r="K109" s="149">
        <v>332</v>
      </c>
      <c r="L109" s="38">
        <f t="shared" si="8"/>
        <v>-74</v>
      </c>
      <c r="S109" s="147" t="s">
        <v>1827</v>
      </c>
    </row>
    <row r="110" spans="1:19">
      <c r="A110" s="147" t="s">
        <v>80</v>
      </c>
      <c r="B110" s="160" t="s">
        <v>1774</v>
      </c>
      <c r="C110" s="160" t="s">
        <v>1658</v>
      </c>
      <c r="D110" s="147" t="s">
        <v>12</v>
      </c>
      <c r="E110" s="147" t="str">
        <f t="shared" si="6"/>
        <v>LACikarang</v>
      </c>
      <c r="F110" s="167"/>
      <c r="G110" s="148">
        <f>COSTS!$AA$29</f>
        <v>350</v>
      </c>
      <c r="H110" s="149">
        <f t="shared" si="10"/>
        <v>350</v>
      </c>
      <c r="I110" s="150">
        <f t="shared" si="9"/>
        <v>79.545454545454547</v>
      </c>
      <c r="J110" s="162"/>
      <c r="K110" s="149"/>
      <c r="L110" s="38">
        <f t="shared" si="8"/>
        <v>0</v>
      </c>
      <c r="S110" s="147" t="s">
        <v>1763</v>
      </c>
    </row>
    <row r="111" spans="1:19">
      <c r="A111" s="147" t="s">
        <v>1884</v>
      </c>
      <c r="B111" s="160" t="s">
        <v>1832</v>
      </c>
      <c r="C111" s="160" t="s">
        <v>1830</v>
      </c>
      <c r="D111" s="147" t="s">
        <v>12</v>
      </c>
      <c r="E111" s="147" t="str">
        <f t="shared" si="6"/>
        <v>NorfolkSalerno</v>
      </c>
      <c r="F111" s="167" t="s">
        <v>1793</v>
      </c>
      <c r="G111" s="148">
        <f>COSTS!$AA$29</f>
        <v>350</v>
      </c>
      <c r="H111" s="149" t="e">
        <f t="shared" si="10"/>
        <v>#VALUE!</v>
      </c>
      <c r="I111" s="150" t="str">
        <f t="shared" si="9"/>
        <v>No Quote</v>
      </c>
      <c r="J111" s="162">
        <v>46044</v>
      </c>
      <c r="K111" s="149"/>
      <c r="L111" s="38" t="e">
        <f t="shared" si="8"/>
        <v>#VALUE!</v>
      </c>
      <c r="S111" s="147" t="s">
        <v>1733</v>
      </c>
    </row>
    <row r="112" spans="1:19">
      <c r="A112" s="147" t="s">
        <v>1884</v>
      </c>
      <c r="B112" s="160" t="s">
        <v>1795</v>
      </c>
      <c r="C112" s="160" t="s">
        <v>1637</v>
      </c>
      <c r="D112" s="147" t="s">
        <v>12</v>
      </c>
      <c r="E112" s="147" t="str">
        <f t="shared" si="6"/>
        <v>NorfolkQinzhou</v>
      </c>
      <c r="F112" s="167">
        <v>783</v>
      </c>
      <c r="G112" s="148">
        <f>COSTS!$AA$29</f>
        <v>350</v>
      </c>
      <c r="H112" s="149">
        <f t="shared" si="10"/>
        <v>1133</v>
      </c>
      <c r="I112" s="150">
        <f t="shared" si="9"/>
        <v>257.5</v>
      </c>
      <c r="J112" s="162">
        <v>46044</v>
      </c>
      <c r="K112" s="149">
        <v>784</v>
      </c>
      <c r="L112" s="38">
        <f t="shared" si="8"/>
        <v>-1</v>
      </c>
      <c r="S112" s="147" t="s">
        <v>1730</v>
      </c>
    </row>
    <row r="113" spans="1:19">
      <c r="A113" s="147" t="s">
        <v>1884</v>
      </c>
      <c r="B113" s="160" t="s">
        <v>1729</v>
      </c>
      <c r="C113" s="160" t="s">
        <v>1637</v>
      </c>
      <c r="D113" s="147" t="s">
        <v>12</v>
      </c>
      <c r="E113" s="147" t="str">
        <f t="shared" si="6"/>
        <v>NorfolkQingdao</v>
      </c>
      <c r="F113" s="167">
        <v>121</v>
      </c>
      <c r="G113" s="148">
        <f>COSTS!$AA$29</f>
        <v>350</v>
      </c>
      <c r="H113" s="149">
        <f t="shared" si="10"/>
        <v>471</v>
      </c>
      <c r="I113" s="150">
        <f t="shared" si="9"/>
        <v>107.04545454545455</v>
      </c>
      <c r="J113" s="162">
        <v>46044</v>
      </c>
      <c r="K113" s="149">
        <v>122</v>
      </c>
      <c r="L113" s="38">
        <f t="shared" si="8"/>
        <v>-1</v>
      </c>
      <c r="S113" s="147" t="s">
        <v>1792</v>
      </c>
    </row>
    <row r="114" spans="1:19">
      <c r="A114" s="147" t="s">
        <v>682</v>
      </c>
      <c r="B114" s="160" t="s">
        <v>1818</v>
      </c>
      <c r="C114" s="160" t="s">
        <v>1670</v>
      </c>
      <c r="D114" s="147" t="s">
        <v>12</v>
      </c>
      <c r="E114" s="147" t="str">
        <f t="shared" si="6"/>
        <v>SavannahGemlik</v>
      </c>
      <c r="F114" s="167">
        <v>977</v>
      </c>
      <c r="G114" s="148">
        <f>COSTS!$AA$29</f>
        <v>350</v>
      </c>
      <c r="H114" s="149">
        <f t="shared" si="10"/>
        <v>1327</v>
      </c>
      <c r="I114" s="150">
        <f t="shared" si="9"/>
        <v>301.59090909090912</v>
      </c>
      <c r="J114" s="162">
        <v>46044</v>
      </c>
      <c r="K114" s="149">
        <v>1500</v>
      </c>
      <c r="L114" s="38">
        <f t="shared" si="8"/>
        <v>-523</v>
      </c>
      <c r="S114" s="136" t="s">
        <v>1879</v>
      </c>
    </row>
    <row r="115" spans="1:19">
      <c r="A115" s="147" t="s">
        <v>1884</v>
      </c>
      <c r="B115" s="160" t="s">
        <v>1833</v>
      </c>
      <c r="C115" s="160" t="s">
        <v>1834</v>
      </c>
      <c r="D115" s="147" t="s">
        <v>12</v>
      </c>
      <c r="E115" s="147" t="str">
        <f t="shared" si="6"/>
        <v>NorfolkPuerto Limon</v>
      </c>
      <c r="F115" s="167" t="s">
        <v>1793</v>
      </c>
      <c r="G115" s="148">
        <f>COSTS!$AA$29</f>
        <v>350</v>
      </c>
      <c r="H115" s="149" t="e">
        <f t="shared" si="10"/>
        <v>#VALUE!</v>
      </c>
      <c r="I115" s="150" t="str">
        <f t="shared" si="9"/>
        <v>No Quote</v>
      </c>
      <c r="J115" s="162">
        <v>46044</v>
      </c>
      <c r="K115" s="149"/>
      <c r="L115" s="38" t="e">
        <f t="shared" si="8"/>
        <v>#VALUE!</v>
      </c>
      <c r="S115" s="147" t="s">
        <v>1731</v>
      </c>
    </row>
    <row r="116" spans="1:19">
      <c r="A116" s="147" t="s">
        <v>591</v>
      </c>
      <c r="B116" s="160" t="s">
        <v>1823</v>
      </c>
      <c r="C116" s="160" t="s">
        <v>1681</v>
      </c>
      <c r="D116" s="147" t="s">
        <v>12</v>
      </c>
      <c r="E116" s="147" t="str">
        <f t="shared" si="6"/>
        <v>New OrleansCofradia</v>
      </c>
      <c r="F116" s="167"/>
      <c r="G116" s="148">
        <f>COSTS!$AA$29</f>
        <v>350</v>
      </c>
      <c r="H116" s="149">
        <f t="shared" si="10"/>
        <v>350</v>
      </c>
      <c r="I116" s="150">
        <f t="shared" si="9"/>
        <v>79.545454545454547</v>
      </c>
      <c r="J116" s="173"/>
      <c r="K116" s="149"/>
      <c r="L116" s="38">
        <f t="shared" si="8"/>
        <v>0</v>
      </c>
      <c r="S116" s="147" t="s">
        <v>1791</v>
      </c>
    </row>
    <row r="117" spans="1:19">
      <c r="A117" s="147" t="s">
        <v>1884</v>
      </c>
      <c r="B117" s="160" t="s">
        <v>1835</v>
      </c>
      <c r="C117" s="160" t="s">
        <v>1679</v>
      </c>
      <c r="D117" s="147" t="s">
        <v>12</v>
      </c>
      <c r="E117" s="147" t="str">
        <f t="shared" si="6"/>
        <v>NorfolkPuerto Barrios, Guatemala</v>
      </c>
      <c r="F117" s="167" t="s">
        <v>1793</v>
      </c>
      <c r="G117" s="148">
        <f>COSTS!$AA$29</f>
        <v>350</v>
      </c>
      <c r="H117" s="149" t="e">
        <f t="shared" si="10"/>
        <v>#VALUE!</v>
      </c>
      <c r="I117" s="150" t="str">
        <f t="shared" si="9"/>
        <v>No Quote</v>
      </c>
      <c r="J117" s="162">
        <v>46044</v>
      </c>
      <c r="K117" s="149"/>
      <c r="L117" s="38" t="e">
        <f t="shared" si="8"/>
        <v>#VALUE!</v>
      </c>
      <c r="S117" s="147" t="s">
        <v>1790</v>
      </c>
    </row>
    <row r="118" spans="1:19">
      <c r="A118" s="1" t="s">
        <v>1724</v>
      </c>
      <c r="B118" s="136" t="s">
        <v>1725</v>
      </c>
      <c r="C118" s="136" t="s">
        <v>1668</v>
      </c>
      <c r="D118" s="147" t="s">
        <v>12</v>
      </c>
      <c r="E118" s="1" t="str">
        <f t="shared" si="6"/>
        <v>AUSNhava Sheva</v>
      </c>
      <c r="F118" s="1">
        <v>1650</v>
      </c>
      <c r="G118" s="148"/>
      <c r="H118" s="149">
        <f t="shared" si="10"/>
        <v>1650</v>
      </c>
      <c r="I118" s="148">
        <f t="shared" ref="I118:I146" si="11">(H118/25)/0.22046</f>
        <v>299.37403610632316</v>
      </c>
      <c r="J118" s="151">
        <v>45953</v>
      </c>
      <c r="K118" s="1">
        <v>1650</v>
      </c>
      <c r="L118" s="38">
        <f t="shared" si="8"/>
        <v>0</v>
      </c>
    </row>
    <row r="119" spans="1:19">
      <c r="A119" s="1" t="s">
        <v>1724</v>
      </c>
      <c r="B119" s="136" t="s">
        <v>1726</v>
      </c>
      <c r="C119" s="136" t="s">
        <v>1668</v>
      </c>
      <c r="D119" s="147" t="s">
        <v>12</v>
      </c>
      <c r="E119" s="1" t="str">
        <f t="shared" si="6"/>
        <v>AUSMundra</v>
      </c>
      <c r="F119" s="1">
        <v>1650</v>
      </c>
      <c r="G119" s="148"/>
      <c r="H119" s="149">
        <f t="shared" si="10"/>
        <v>1650</v>
      </c>
      <c r="I119" s="148">
        <f t="shared" si="11"/>
        <v>299.37403610632316</v>
      </c>
      <c r="J119" s="151">
        <v>45953</v>
      </c>
      <c r="K119" s="1">
        <v>1650</v>
      </c>
      <c r="L119" s="38">
        <f t="shared" si="8"/>
        <v>0</v>
      </c>
    </row>
    <row r="120" spans="1:19">
      <c r="A120" s="1" t="s">
        <v>1724</v>
      </c>
      <c r="B120" s="136" t="s">
        <v>1727</v>
      </c>
      <c r="C120" s="136" t="s">
        <v>1668</v>
      </c>
      <c r="D120" s="147" t="s">
        <v>12</v>
      </c>
      <c r="E120" s="1" t="str">
        <f t="shared" si="6"/>
        <v>AUSTuticorin</v>
      </c>
      <c r="F120" s="1">
        <v>1799</v>
      </c>
      <c r="G120" s="148"/>
      <c r="H120" s="149">
        <f t="shared" si="10"/>
        <v>1799</v>
      </c>
      <c r="I120" s="148">
        <f t="shared" si="11"/>
        <v>326.40841876077292</v>
      </c>
      <c r="J120" s="151">
        <v>45953</v>
      </c>
      <c r="K120" s="1">
        <v>1799</v>
      </c>
      <c r="L120" s="38">
        <f t="shared" si="8"/>
        <v>0</v>
      </c>
    </row>
    <row r="121" spans="1:19">
      <c r="A121" s="133" t="s">
        <v>1724</v>
      </c>
      <c r="B121" s="152" t="s">
        <v>1635</v>
      </c>
      <c r="C121" s="153" t="s">
        <v>1635</v>
      </c>
      <c r="D121" s="154" t="s">
        <v>12</v>
      </c>
      <c r="E121" s="154" t="str">
        <f t="shared" si="6"/>
        <v>AUSCIF FE</v>
      </c>
      <c r="F121" s="133">
        <v>198</v>
      </c>
      <c r="G121" s="176"/>
      <c r="H121" s="155">
        <f t="shared" si="10"/>
        <v>198</v>
      </c>
      <c r="I121" s="176">
        <f t="shared" si="11"/>
        <v>35.924884332758779</v>
      </c>
      <c r="J121" s="157">
        <v>45953</v>
      </c>
      <c r="K121" s="133">
        <v>198</v>
      </c>
      <c r="L121" s="158">
        <f t="shared" si="8"/>
        <v>0</v>
      </c>
    </row>
    <row r="122" spans="1:19">
      <c r="A122" s="1" t="s">
        <v>1724</v>
      </c>
      <c r="B122" s="136" t="s">
        <v>1728</v>
      </c>
      <c r="C122" s="136" t="s">
        <v>1637</v>
      </c>
      <c r="D122" s="147" t="s">
        <v>12</v>
      </c>
      <c r="E122" s="1" t="str">
        <f t="shared" si="6"/>
        <v>AUSShanghai</v>
      </c>
      <c r="F122" s="1">
        <v>198</v>
      </c>
      <c r="G122" s="148"/>
      <c r="H122" s="149">
        <f t="shared" si="10"/>
        <v>198</v>
      </c>
      <c r="I122" s="148">
        <f t="shared" si="11"/>
        <v>35.924884332758779</v>
      </c>
      <c r="J122" s="151">
        <v>45953</v>
      </c>
      <c r="K122" s="1">
        <v>198</v>
      </c>
      <c r="L122" s="38">
        <f t="shared" si="8"/>
        <v>0</v>
      </c>
    </row>
    <row r="123" spans="1:19">
      <c r="A123" s="1" t="s">
        <v>1724</v>
      </c>
      <c r="B123" s="136" t="s">
        <v>1729</v>
      </c>
      <c r="C123" s="136" t="s">
        <v>1637</v>
      </c>
      <c r="D123" s="147" t="s">
        <v>12</v>
      </c>
      <c r="E123" s="1" t="str">
        <f t="shared" si="6"/>
        <v>AUSQingdao</v>
      </c>
      <c r="F123" s="1">
        <v>198</v>
      </c>
      <c r="G123" s="148"/>
      <c r="H123" s="149">
        <f t="shared" si="10"/>
        <v>198</v>
      </c>
      <c r="I123" s="148">
        <f t="shared" si="11"/>
        <v>35.924884332758779</v>
      </c>
      <c r="J123" s="151">
        <v>45953</v>
      </c>
      <c r="K123" s="1">
        <v>198</v>
      </c>
      <c r="L123" s="38">
        <f t="shared" si="8"/>
        <v>0</v>
      </c>
    </row>
    <row r="124" spans="1:19">
      <c r="A124" s="1" t="s">
        <v>1724</v>
      </c>
      <c r="B124" s="136" t="s">
        <v>1730</v>
      </c>
      <c r="C124" s="136" t="s">
        <v>1637</v>
      </c>
      <c r="D124" s="147" t="s">
        <v>12</v>
      </c>
      <c r="E124" s="1" t="str">
        <f t="shared" si="6"/>
        <v>AUSXingang</v>
      </c>
      <c r="F124" s="1">
        <v>352</v>
      </c>
      <c r="G124" s="148"/>
      <c r="H124" s="149">
        <f t="shared" ref="H124:H146" si="12">F124+G124</f>
        <v>352</v>
      </c>
      <c r="I124" s="148">
        <f t="shared" si="11"/>
        <v>63.866461036015608</v>
      </c>
      <c r="J124" s="151">
        <v>45953</v>
      </c>
      <c r="K124" s="1">
        <v>352</v>
      </c>
      <c r="L124" s="38">
        <f t="shared" si="8"/>
        <v>0</v>
      </c>
    </row>
    <row r="125" spans="1:19">
      <c r="A125" s="1" t="s">
        <v>1724</v>
      </c>
      <c r="B125" s="136" t="s">
        <v>1731</v>
      </c>
      <c r="C125" s="136" t="s">
        <v>1637</v>
      </c>
      <c r="D125" s="147" t="s">
        <v>12</v>
      </c>
      <c r="E125" s="1" t="str">
        <f t="shared" si="6"/>
        <v>AUSZhangjiagang</v>
      </c>
      <c r="F125" s="1">
        <v>484</v>
      </c>
      <c r="G125" s="148"/>
      <c r="H125" s="149">
        <f t="shared" si="12"/>
        <v>484</v>
      </c>
      <c r="I125" s="148">
        <f t="shared" si="11"/>
        <v>87.81638392452146</v>
      </c>
      <c r="J125" s="151">
        <v>45953</v>
      </c>
      <c r="K125" s="1">
        <v>484</v>
      </c>
      <c r="L125" s="38">
        <f t="shared" si="8"/>
        <v>0</v>
      </c>
    </row>
    <row r="126" spans="1:19">
      <c r="A126" s="1" t="s">
        <v>1724</v>
      </c>
      <c r="B126" s="136" t="s">
        <v>1732</v>
      </c>
      <c r="C126" s="136" t="s">
        <v>1637</v>
      </c>
      <c r="D126" s="147" t="s">
        <v>12</v>
      </c>
      <c r="E126" s="1" t="str">
        <f t="shared" si="6"/>
        <v>AUSNingbo</v>
      </c>
      <c r="F126" s="1">
        <v>352</v>
      </c>
      <c r="G126" s="148"/>
      <c r="H126" s="149">
        <f t="shared" si="12"/>
        <v>352</v>
      </c>
      <c r="I126" s="148">
        <f t="shared" si="11"/>
        <v>63.866461036015608</v>
      </c>
      <c r="J126" s="151">
        <v>45953</v>
      </c>
      <c r="K126" s="1">
        <v>352</v>
      </c>
      <c r="L126" s="38">
        <f t="shared" si="8"/>
        <v>0</v>
      </c>
    </row>
    <row r="127" spans="1:19">
      <c r="A127" s="1" t="s">
        <v>1724</v>
      </c>
      <c r="B127" s="136" t="s">
        <v>1733</v>
      </c>
      <c r="C127" s="136" t="s">
        <v>1637</v>
      </c>
      <c r="D127" s="147" t="s">
        <v>12</v>
      </c>
      <c r="E127" s="1" t="str">
        <f t="shared" si="6"/>
        <v>AUSXiamen</v>
      </c>
      <c r="F127" s="1">
        <v>352</v>
      </c>
      <c r="G127" s="148"/>
      <c r="H127" s="149">
        <f t="shared" si="12"/>
        <v>352</v>
      </c>
      <c r="I127" s="148">
        <f t="shared" si="11"/>
        <v>63.866461036015608</v>
      </c>
      <c r="J127" s="151">
        <v>45953</v>
      </c>
      <c r="K127" s="1">
        <v>352</v>
      </c>
      <c r="L127" s="38">
        <f t="shared" si="8"/>
        <v>0</v>
      </c>
    </row>
    <row r="128" spans="1:19">
      <c r="A128" s="1" t="s">
        <v>1724</v>
      </c>
      <c r="B128" s="136" t="s">
        <v>1734</v>
      </c>
      <c r="C128" s="136" t="s">
        <v>1637</v>
      </c>
      <c r="D128" s="147" t="s">
        <v>12</v>
      </c>
      <c r="E128" s="1" t="str">
        <f t="shared" si="6"/>
        <v>AUSNantong</v>
      </c>
      <c r="F128" s="1">
        <v>352</v>
      </c>
      <c r="G128" s="148"/>
      <c r="H128" s="149">
        <f t="shared" si="12"/>
        <v>352</v>
      </c>
      <c r="I128" s="148">
        <f t="shared" si="11"/>
        <v>63.866461036015608</v>
      </c>
      <c r="J128" s="151">
        <v>45953</v>
      </c>
      <c r="K128" s="1">
        <v>352</v>
      </c>
      <c r="L128" s="38">
        <f t="shared" si="8"/>
        <v>0</v>
      </c>
    </row>
    <row r="129" spans="1:12">
      <c r="A129" s="1" t="s">
        <v>1724</v>
      </c>
      <c r="B129" s="136" t="s">
        <v>1735</v>
      </c>
      <c r="C129" s="159" t="s">
        <v>1664</v>
      </c>
      <c r="D129" s="147" t="s">
        <v>12</v>
      </c>
      <c r="E129" s="1" t="str">
        <f t="shared" si="6"/>
        <v>AUSChittagong</v>
      </c>
      <c r="F129" s="1">
        <v>1602</v>
      </c>
      <c r="G129" s="148"/>
      <c r="H129" s="149">
        <f t="shared" si="12"/>
        <v>1602</v>
      </c>
      <c r="I129" s="148">
        <f t="shared" si="11"/>
        <v>290.66497323777554</v>
      </c>
      <c r="J129" s="151">
        <v>45953</v>
      </c>
      <c r="K129" s="1">
        <v>1602</v>
      </c>
      <c r="L129" s="38">
        <f t="shared" si="8"/>
        <v>0</v>
      </c>
    </row>
    <row r="130" spans="1:12">
      <c r="A130" s="1" t="s">
        <v>1724</v>
      </c>
      <c r="B130" s="136" t="s">
        <v>1736</v>
      </c>
      <c r="C130" s="136" t="s">
        <v>1644</v>
      </c>
      <c r="D130" s="147" t="s">
        <v>12</v>
      </c>
      <c r="E130" s="1" t="str">
        <f t="shared" si="6"/>
        <v>AUSBusan</v>
      </c>
      <c r="F130" s="1">
        <v>501</v>
      </c>
      <c r="G130" s="148"/>
      <c r="H130" s="149">
        <f t="shared" si="12"/>
        <v>501</v>
      </c>
      <c r="I130" s="148">
        <f t="shared" si="11"/>
        <v>90.900843690465393</v>
      </c>
      <c r="J130" s="151">
        <v>45953</v>
      </c>
      <c r="K130" s="1">
        <v>501</v>
      </c>
      <c r="L130" s="38">
        <f t="shared" si="8"/>
        <v>0</v>
      </c>
    </row>
    <row r="131" spans="1:12">
      <c r="A131" s="1" t="s">
        <v>1724</v>
      </c>
      <c r="B131" s="136" t="s">
        <v>1737</v>
      </c>
      <c r="C131" s="136" t="s">
        <v>1644</v>
      </c>
      <c r="D131" s="147" t="s">
        <v>12</v>
      </c>
      <c r="E131" s="1" t="str">
        <f t="shared" si="6"/>
        <v>AUSKwangyang</v>
      </c>
      <c r="F131" s="1">
        <v>501</v>
      </c>
      <c r="G131" s="148"/>
      <c r="H131" s="149">
        <f t="shared" si="12"/>
        <v>501</v>
      </c>
      <c r="I131" s="148">
        <f t="shared" si="11"/>
        <v>90.900843690465393</v>
      </c>
      <c r="J131" s="151">
        <v>45953</v>
      </c>
      <c r="K131" s="1">
        <v>501</v>
      </c>
      <c r="L131" s="38">
        <f t="shared" si="8"/>
        <v>0</v>
      </c>
    </row>
    <row r="132" spans="1:12">
      <c r="A132" s="1" t="s">
        <v>1724</v>
      </c>
      <c r="B132" s="136" t="s">
        <v>1738</v>
      </c>
      <c r="C132" s="136" t="s">
        <v>1666</v>
      </c>
      <c r="D132" s="147" t="s">
        <v>12</v>
      </c>
      <c r="E132" s="1" t="str">
        <f t="shared" ref="E132:E146" si="13">CONCATENATE(,A132,B132)</f>
        <v>AUSPort Qasim/Karachi</v>
      </c>
      <c r="F132" s="1">
        <v>2602</v>
      </c>
      <c r="G132" s="148"/>
      <c r="H132" s="149">
        <f t="shared" si="12"/>
        <v>2602</v>
      </c>
      <c r="I132" s="148">
        <f t="shared" si="11"/>
        <v>472.10378299918352</v>
      </c>
      <c r="J132" s="151">
        <v>45953</v>
      </c>
      <c r="K132" s="1">
        <v>2602</v>
      </c>
      <c r="L132" s="38">
        <f t="shared" ref="L132:L146" si="14">F132-K132</f>
        <v>0</v>
      </c>
    </row>
    <row r="133" spans="1:12">
      <c r="A133" s="1" t="s">
        <v>1724</v>
      </c>
      <c r="B133" s="136" t="s">
        <v>1739</v>
      </c>
      <c r="C133" s="136" t="s">
        <v>1640</v>
      </c>
      <c r="D133" s="147" t="s">
        <v>12</v>
      </c>
      <c r="E133" s="1" t="str">
        <f t="shared" si="13"/>
        <v>AUSHo chi minh</v>
      </c>
      <c r="F133" s="1">
        <v>501</v>
      </c>
      <c r="G133" s="148"/>
      <c r="H133" s="149">
        <f t="shared" si="12"/>
        <v>501</v>
      </c>
      <c r="I133" s="148">
        <f t="shared" si="11"/>
        <v>90.900843690465393</v>
      </c>
      <c r="J133" s="151">
        <v>45953</v>
      </c>
      <c r="K133" s="1">
        <v>501</v>
      </c>
      <c r="L133" s="38">
        <f t="shared" si="14"/>
        <v>0</v>
      </c>
    </row>
    <row r="134" spans="1:12">
      <c r="A134" s="1" t="s">
        <v>1724</v>
      </c>
      <c r="B134" s="136" t="s">
        <v>1740</v>
      </c>
      <c r="C134" s="136" t="s">
        <v>1640</v>
      </c>
      <c r="D134" s="147" t="s">
        <v>12</v>
      </c>
      <c r="E134" s="1" t="str">
        <f t="shared" si="13"/>
        <v>AUSHaiphong</v>
      </c>
      <c r="F134" s="1">
        <v>501</v>
      </c>
      <c r="G134" s="148"/>
      <c r="H134" s="149">
        <f t="shared" si="12"/>
        <v>501</v>
      </c>
      <c r="I134" s="148">
        <f t="shared" si="11"/>
        <v>90.900843690465393</v>
      </c>
      <c r="J134" s="151">
        <v>45953</v>
      </c>
      <c r="K134" s="1">
        <v>501</v>
      </c>
      <c r="L134" s="38">
        <f t="shared" si="14"/>
        <v>0</v>
      </c>
    </row>
    <row r="135" spans="1:12">
      <c r="A135" s="1" t="s">
        <v>1724</v>
      </c>
      <c r="B135" s="136" t="s">
        <v>1741</v>
      </c>
      <c r="C135" s="136" t="s">
        <v>1640</v>
      </c>
      <c r="D135" s="147" t="s">
        <v>12</v>
      </c>
      <c r="E135" s="1" t="str">
        <f t="shared" si="13"/>
        <v>AUSDanang</v>
      </c>
      <c r="F135" s="1">
        <v>550</v>
      </c>
      <c r="G135" s="148"/>
      <c r="H135" s="149">
        <f t="shared" si="12"/>
        <v>550</v>
      </c>
      <c r="I135" s="148">
        <f t="shared" si="11"/>
        <v>99.791345368774387</v>
      </c>
      <c r="J135" s="151">
        <v>45953</v>
      </c>
      <c r="K135" s="1">
        <v>550</v>
      </c>
      <c r="L135" s="38">
        <f t="shared" si="14"/>
        <v>0</v>
      </c>
    </row>
    <row r="136" spans="1:12">
      <c r="A136" s="1" t="s">
        <v>1724</v>
      </c>
      <c r="B136" s="160" t="s">
        <v>1742</v>
      </c>
      <c r="C136" s="136" t="s">
        <v>1648</v>
      </c>
      <c r="D136" s="147" t="s">
        <v>12</v>
      </c>
      <c r="E136" s="1" t="str">
        <f t="shared" si="13"/>
        <v>AUSPort Klang</v>
      </c>
      <c r="F136" s="1">
        <v>501</v>
      </c>
      <c r="G136" s="148"/>
      <c r="H136" s="149">
        <f t="shared" si="12"/>
        <v>501</v>
      </c>
      <c r="I136" s="148">
        <f t="shared" si="11"/>
        <v>90.900843690465393</v>
      </c>
      <c r="J136" s="151">
        <v>45953</v>
      </c>
      <c r="K136" s="1">
        <v>501</v>
      </c>
      <c r="L136" s="38">
        <f t="shared" si="14"/>
        <v>0</v>
      </c>
    </row>
    <row r="137" spans="1:12">
      <c r="A137" s="1" t="s">
        <v>1724</v>
      </c>
      <c r="B137" s="136" t="s">
        <v>1743</v>
      </c>
      <c r="C137" s="136" t="s">
        <v>1660</v>
      </c>
      <c r="D137" s="147" t="s">
        <v>12</v>
      </c>
      <c r="E137" s="1" t="str">
        <f t="shared" si="13"/>
        <v>AUSBangkok</v>
      </c>
      <c r="F137" s="1">
        <v>798</v>
      </c>
      <c r="G137" s="148"/>
      <c r="H137" s="149">
        <f t="shared" si="12"/>
        <v>798</v>
      </c>
      <c r="I137" s="148">
        <f t="shared" si="11"/>
        <v>144.78817018960356</v>
      </c>
      <c r="J137" s="151">
        <v>45953</v>
      </c>
      <c r="K137" s="1">
        <v>798</v>
      </c>
      <c r="L137" s="38">
        <f t="shared" si="14"/>
        <v>0</v>
      </c>
    </row>
    <row r="138" spans="1:12">
      <c r="A138" s="1" t="s">
        <v>1724</v>
      </c>
      <c r="B138" s="136" t="s">
        <v>1744</v>
      </c>
      <c r="C138" s="136" t="s">
        <v>1660</v>
      </c>
      <c r="D138" s="147" t="s">
        <v>12</v>
      </c>
      <c r="E138" s="1" t="str">
        <f t="shared" si="13"/>
        <v>AUSLaem Chabang</v>
      </c>
      <c r="F138" s="1">
        <v>501</v>
      </c>
      <c r="G138" s="148"/>
      <c r="H138" s="149">
        <f t="shared" si="12"/>
        <v>501</v>
      </c>
      <c r="I138" s="148">
        <f t="shared" si="11"/>
        <v>90.900843690465393</v>
      </c>
      <c r="J138" s="151">
        <v>45953</v>
      </c>
      <c r="K138" s="1">
        <v>501</v>
      </c>
      <c r="L138" s="38">
        <f t="shared" si="14"/>
        <v>0</v>
      </c>
    </row>
    <row r="139" spans="1:12">
      <c r="A139" s="1" t="s">
        <v>1724</v>
      </c>
      <c r="B139" s="136" t="s">
        <v>1745</v>
      </c>
      <c r="C139" s="136" t="s">
        <v>1660</v>
      </c>
      <c r="D139" s="147" t="s">
        <v>12</v>
      </c>
      <c r="E139" s="1" t="str">
        <f t="shared" si="13"/>
        <v>AUSLat Krabang</v>
      </c>
      <c r="F139" s="1">
        <v>501</v>
      </c>
      <c r="G139" s="148"/>
      <c r="H139" s="149">
        <f t="shared" si="12"/>
        <v>501</v>
      </c>
      <c r="I139" s="148">
        <f t="shared" si="11"/>
        <v>90.900843690465393</v>
      </c>
      <c r="J139" s="151">
        <v>45953</v>
      </c>
      <c r="K139" s="1">
        <v>501</v>
      </c>
      <c r="L139" s="38">
        <f t="shared" si="14"/>
        <v>0</v>
      </c>
    </row>
    <row r="140" spans="1:12">
      <c r="A140" s="1" t="s">
        <v>1724</v>
      </c>
      <c r="B140" s="136" t="s">
        <v>1746</v>
      </c>
      <c r="C140" s="136" t="s">
        <v>1658</v>
      </c>
      <c r="D140" s="147" t="s">
        <v>12</v>
      </c>
      <c r="E140" s="1" t="str">
        <f t="shared" si="13"/>
        <v>AUSJakarta</v>
      </c>
      <c r="F140" s="1">
        <v>550</v>
      </c>
      <c r="G140" s="148"/>
      <c r="H140" s="149">
        <f t="shared" si="12"/>
        <v>550</v>
      </c>
      <c r="I140" s="148">
        <f t="shared" si="11"/>
        <v>99.791345368774387</v>
      </c>
      <c r="J140" s="151">
        <v>45953</v>
      </c>
      <c r="K140" s="1">
        <v>550</v>
      </c>
      <c r="L140" s="38">
        <f t="shared" si="14"/>
        <v>0</v>
      </c>
    </row>
    <row r="141" spans="1:12">
      <c r="A141" s="1" t="s">
        <v>1724</v>
      </c>
      <c r="B141" s="136" t="s">
        <v>1747</v>
      </c>
      <c r="C141" s="136" t="s">
        <v>1658</v>
      </c>
      <c r="D141" s="147" t="s">
        <v>12</v>
      </c>
      <c r="E141" s="1" t="str">
        <f t="shared" si="13"/>
        <v>AUSSemarang</v>
      </c>
      <c r="F141" s="1">
        <v>649</v>
      </c>
      <c r="G141" s="148"/>
      <c r="H141" s="149">
        <f t="shared" si="12"/>
        <v>649</v>
      </c>
      <c r="I141" s="148">
        <f t="shared" si="11"/>
        <v>117.75378753515378</v>
      </c>
      <c r="J141" s="151">
        <v>45953</v>
      </c>
      <c r="K141" s="1">
        <v>649</v>
      </c>
      <c r="L141" s="38">
        <f t="shared" si="14"/>
        <v>0</v>
      </c>
    </row>
    <row r="142" spans="1:12">
      <c r="A142" s="1" t="s">
        <v>1724</v>
      </c>
      <c r="B142" s="136" t="s">
        <v>1748</v>
      </c>
      <c r="C142" s="136" t="s">
        <v>1658</v>
      </c>
      <c r="D142" s="147" t="s">
        <v>12</v>
      </c>
      <c r="E142" s="1" t="str">
        <f t="shared" si="13"/>
        <v>AUSSurabaya</v>
      </c>
      <c r="F142" s="1">
        <v>649</v>
      </c>
      <c r="G142" s="148"/>
      <c r="H142" s="149">
        <f t="shared" si="12"/>
        <v>649</v>
      </c>
      <c r="I142" s="148">
        <f t="shared" si="11"/>
        <v>117.75378753515378</v>
      </c>
      <c r="J142" s="151">
        <v>45953</v>
      </c>
      <c r="K142" s="1">
        <v>649</v>
      </c>
      <c r="L142" s="38">
        <f t="shared" si="14"/>
        <v>0</v>
      </c>
    </row>
    <row r="143" spans="1:12">
      <c r="A143" s="1" t="s">
        <v>1724</v>
      </c>
      <c r="B143" s="136" t="s">
        <v>1749</v>
      </c>
      <c r="C143" s="136" t="s">
        <v>1646</v>
      </c>
      <c r="D143" s="147" t="s">
        <v>12</v>
      </c>
      <c r="E143" s="1" t="str">
        <f t="shared" si="13"/>
        <v>AUSKobe</v>
      </c>
      <c r="F143" s="1">
        <v>952</v>
      </c>
      <c r="G143" s="148"/>
      <c r="H143" s="149">
        <f t="shared" si="12"/>
        <v>952</v>
      </c>
      <c r="I143" s="148">
        <f t="shared" si="11"/>
        <v>172.72974689286039</v>
      </c>
      <c r="J143" s="151">
        <v>45953</v>
      </c>
      <c r="K143" s="1">
        <v>952</v>
      </c>
      <c r="L143" s="38">
        <f t="shared" si="14"/>
        <v>0</v>
      </c>
    </row>
    <row r="144" spans="1:12">
      <c r="A144" s="1" t="s">
        <v>1724</v>
      </c>
      <c r="B144" s="136" t="s">
        <v>1750</v>
      </c>
      <c r="C144" s="136" t="s">
        <v>1670</v>
      </c>
      <c r="D144" s="147" t="s">
        <v>12</v>
      </c>
      <c r="E144" s="1" t="str">
        <f t="shared" si="13"/>
        <v>AUSIskenderun</v>
      </c>
      <c r="F144" s="1">
        <v>3900</v>
      </c>
      <c r="G144" s="148"/>
      <c r="H144" s="149">
        <f t="shared" si="12"/>
        <v>3900</v>
      </c>
      <c r="I144" s="148">
        <f t="shared" si="11"/>
        <v>707.61135806949108</v>
      </c>
      <c r="J144" s="151">
        <v>45953</v>
      </c>
      <c r="K144" s="1">
        <v>3900</v>
      </c>
      <c r="L144" s="38">
        <f t="shared" si="14"/>
        <v>0</v>
      </c>
    </row>
    <row r="145" spans="1:12">
      <c r="A145" s="1" t="s">
        <v>1724</v>
      </c>
      <c r="B145" s="136" t="s">
        <v>1751</v>
      </c>
      <c r="C145" s="136" t="s">
        <v>1670</v>
      </c>
      <c r="D145" s="147" t="s">
        <v>12</v>
      </c>
      <c r="E145" s="1" t="str">
        <f t="shared" si="13"/>
        <v>AUSMersin</v>
      </c>
      <c r="F145" s="1">
        <v>3900</v>
      </c>
      <c r="G145" s="148"/>
      <c r="H145" s="149">
        <f t="shared" si="12"/>
        <v>3900</v>
      </c>
      <c r="I145" s="148">
        <f t="shared" si="11"/>
        <v>707.61135806949108</v>
      </c>
      <c r="J145" s="151">
        <v>45953</v>
      </c>
      <c r="K145" s="1">
        <v>3900</v>
      </c>
      <c r="L145" s="38">
        <f t="shared" si="14"/>
        <v>0</v>
      </c>
    </row>
    <row r="146" spans="1:12">
      <c r="A146" s="1" t="s">
        <v>1724</v>
      </c>
      <c r="B146" s="136" t="s">
        <v>1752</v>
      </c>
      <c r="C146" s="136" t="s">
        <v>1652</v>
      </c>
      <c r="D146" s="147" t="s">
        <v>12</v>
      </c>
      <c r="E146" s="1" t="str">
        <f t="shared" si="13"/>
        <v>AUSKeelung</v>
      </c>
      <c r="F146" s="1">
        <v>748</v>
      </c>
      <c r="G146" s="148"/>
      <c r="H146" s="149">
        <f t="shared" si="12"/>
        <v>748</v>
      </c>
      <c r="I146" s="148">
        <f t="shared" si="11"/>
        <v>135.71622970153317</v>
      </c>
      <c r="J146" s="151">
        <v>45953</v>
      </c>
      <c r="K146" s="1">
        <v>748</v>
      </c>
      <c r="L146" s="38">
        <f t="shared" si="14"/>
        <v>0</v>
      </c>
    </row>
    <row r="147" spans="1:12">
      <c r="A147" s="147" t="s">
        <v>1753</v>
      </c>
      <c r="B147" s="159" t="s">
        <v>1771</v>
      </c>
      <c r="C147" s="159" t="s">
        <v>1772</v>
      </c>
      <c r="D147" s="147" t="s">
        <v>12</v>
      </c>
      <c r="E147" s="147" t="str">
        <f t="shared" ref="E147:E178" si="15">CONCATENATE(,A147,B147)</f>
        <v>BRZAlexandria Dekheila</v>
      </c>
      <c r="F147" s="161">
        <v>1567</v>
      </c>
      <c r="G147" s="148">
        <f>COSTS!$AA$29</f>
        <v>350</v>
      </c>
      <c r="H147" s="161">
        <f t="shared" ref="H147:H158" si="16">F147+G147</f>
        <v>1917</v>
      </c>
      <c r="I147" s="38">
        <f t="shared" ref="I147:I178" si="17">(H147/25)/0.22046</f>
        <v>347.81819831261913</v>
      </c>
      <c r="J147" s="162">
        <v>45943</v>
      </c>
      <c r="K147" s="161">
        <v>1567</v>
      </c>
      <c r="L147" s="38">
        <f t="shared" ref="L147:L178" si="18">F147-K147</f>
        <v>0</v>
      </c>
    </row>
    <row r="148" spans="1:12">
      <c r="A148" s="147" t="s">
        <v>1753</v>
      </c>
      <c r="B148" s="159" t="s">
        <v>1773</v>
      </c>
      <c r="C148" s="159" t="s">
        <v>1772</v>
      </c>
      <c r="D148" s="147" t="s">
        <v>12</v>
      </c>
      <c r="E148" s="147" t="str">
        <f t="shared" si="15"/>
        <v>BRZAlexandria Old Port</v>
      </c>
      <c r="F148" s="161">
        <v>2067</v>
      </c>
      <c r="G148" s="148">
        <f>COSTS!$AA$29</f>
        <v>350</v>
      </c>
      <c r="H148" s="161">
        <f t="shared" si="16"/>
        <v>2417</v>
      </c>
      <c r="I148" s="38">
        <f t="shared" si="17"/>
        <v>438.53760319332309</v>
      </c>
      <c r="J148" s="162">
        <v>45943</v>
      </c>
      <c r="K148" s="161">
        <v>2067</v>
      </c>
      <c r="L148" s="38">
        <f t="shared" si="18"/>
        <v>0</v>
      </c>
    </row>
    <row r="149" spans="1:12">
      <c r="A149" s="147" t="s">
        <v>1753</v>
      </c>
      <c r="B149" s="159" t="s">
        <v>1782</v>
      </c>
      <c r="C149" s="159" t="s">
        <v>1670</v>
      </c>
      <c r="D149" s="147" t="s">
        <v>12</v>
      </c>
      <c r="E149" s="147" t="str">
        <f t="shared" si="15"/>
        <v>BRZAliaga</v>
      </c>
      <c r="F149" s="161">
        <v>1096</v>
      </c>
      <c r="G149" s="148">
        <f>COSTS!$AA$29</f>
        <v>350</v>
      </c>
      <c r="H149" s="161">
        <f t="shared" si="16"/>
        <v>1446</v>
      </c>
      <c r="I149" s="38">
        <f t="shared" si="17"/>
        <v>262.36051891499596</v>
      </c>
      <c r="J149" s="162">
        <v>45943</v>
      </c>
      <c r="K149" s="161">
        <v>1096</v>
      </c>
      <c r="L149" s="38">
        <f t="shared" si="18"/>
        <v>0</v>
      </c>
    </row>
    <row r="150" spans="1:12">
      <c r="A150" s="147" t="s">
        <v>1753</v>
      </c>
      <c r="B150" s="159" t="s">
        <v>1761</v>
      </c>
      <c r="C150" s="159" t="s">
        <v>1637</v>
      </c>
      <c r="D150" s="147" t="s">
        <v>12</v>
      </c>
      <c r="E150" s="147" t="str">
        <f t="shared" si="15"/>
        <v>BRZAnqing</v>
      </c>
      <c r="F150" s="161">
        <v>501</v>
      </c>
      <c r="G150" s="148">
        <f>COSTS!$AA$29</f>
        <v>350</v>
      </c>
      <c r="H150" s="161">
        <f t="shared" si="16"/>
        <v>851</v>
      </c>
      <c r="I150" s="38">
        <f t="shared" si="17"/>
        <v>154.4044271069582</v>
      </c>
      <c r="J150" s="162">
        <v>45943</v>
      </c>
      <c r="K150" s="161">
        <v>501</v>
      </c>
      <c r="L150" s="38">
        <f t="shared" si="18"/>
        <v>0</v>
      </c>
    </row>
    <row r="151" spans="1:12">
      <c r="A151" s="147" t="s">
        <v>1753</v>
      </c>
      <c r="B151" s="159" t="s">
        <v>1743</v>
      </c>
      <c r="C151" s="159" t="s">
        <v>1660</v>
      </c>
      <c r="D151" s="147" t="s">
        <v>12</v>
      </c>
      <c r="E151" s="147" t="str">
        <f t="shared" si="15"/>
        <v>BRZBangkok</v>
      </c>
      <c r="F151" s="161">
        <v>350</v>
      </c>
      <c r="G151" s="148">
        <v>200</v>
      </c>
      <c r="H151" s="161">
        <f t="shared" si="16"/>
        <v>550</v>
      </c>
      <c r="I151" s="38">
        <f t="shared" si="17"/>
        <v>99.791345368774387</v>
      </c>
      <c r="J151" s="162">
        <v>46106</v>
      </c>
      <c r="K151" s="161">
        <v>845</v>
      </c>
      <c r="L151" s="38">
        <f t="shared" si="18"/>
        <v>-495</v>
      </c>
    </row>
    <row r="152" spans="1:12">
      <c r="A152" s="147" t="s">
        <v>1753</v>
      </c>
      <c r="B152" s="159" t="s">
        <v>1736</v>
      </c>
      <c r="C152" s="159" t="s">
        <v>1644</v>
      </c>
      <c r="D152" s="147" t="s">
        <v>12</v>
      </c>
      <c r="E152" s="147" t="str">
        <f t="shared" si="15"/>
        <v>BRZBusan</v>
      </c>
      <c r="F152" s="161">
        <v>220</v>
      </c>
      <c r="G152" s="148">
        <v>200</v>
      </c>
      <c r="H152" s="161">
        <f t="shared" si="16"/>
        <v>420</v>
      </c>
      <c r="I152" s="38">
        <f t="shared" si="17"/>
        <v>76.204300099791354</v>
      </c>
      <c r="J152" s="162">
        <v>46106</v>
      </c>
      <c r="K152" s="161">
        <v>391</v>
      </c>
      <c r="L152" s="38">
        <f t="shared" si="18"/>
        <v>-171</v>
      </c>
    </row>
    <row r="153" spans="1:12">
      <c r="A153" s="147" t="s">
        <v>1753</v>
      </c>
      <c r="B153" s="159" t="s">
        <v>1735</v>
      </c>
      <c r="C153" s="159" t="s">
        <v>1664</v>
      </c>
      <c r="D153" s="147" t="s">
        <v>12</v>
      </c>
      <c r="E153" s="147" t="str">
        <f t="shared" si="15"/>
        <v>BRZChittagong</v>
      </c>
      <c r="F153" s="161">
        <v>910</v>
      </c>
      <c r="G153" s="148">
        <v>400</v>
      </c>
      <c r="H153" s="161">
        <f t="shared" si="16"/>
        <v>1310</v>
      </c>
      <c r="I153" s="38">
        <f t="shared" si="17"/>
        <v>237.68484078744444</v>
      </c>
      <c r="J153" s="162">
        <v>46106</v>
      </c>
      <c r="K153" s="161">
        <v>1167</v>
      </c>
      <c r="L153" s="38">
        <f t="shared" si="18"/>
        <v>-257</v>
      </c>
    </row>
    <row r="154" spans="1:12">
      <c r="A154" s="147" t="s">
        <v>1753</v>
      </c>
      <c r="B154" s="159" t="s">
        <v>1764</v>
      </c>
      <c r="C154" s="159" t="s">
        <v>1637</v>
      </c>
      <c r="D154" s="147" t="s">
        <v>12</v>
      </c>
      <c r="E154" s="147" t="str">
        <f t="shared" si="15"/>
        <v>BRZChongqing</v>
      </c>
      <c r="F154" s="161">
        <v>851</v>
      </c>
      <c r="G154" s="148">
        <f>COSTS!$AA$29</f>
        <v>350</v>
      </c>
      <c r="H154" s="161">
        <f t="shared" si="16"/>
        <v>1201</v>
      </c>
      <c r="I154" s="38">
        <f t="shared" si="17"/>
        <v>217.90801052345097</v>
      </c>
      <c r="J154" s="162">
        <v>45943</v>
      </c>
      <c r="K154" s="161">
        <v>851</v>
      </c>
      <c r="L154" s="38">
        <f t="shared" si="18"/>
        <v>0</v>
      </c>
    </row>
    <row r="155" spans="1:12">
      <c r="A155" s="154" t="s">
        <v>1753</v>
      </c>
      <c r="B155" s="163" t="s">
        <v>1635</v>
      </c>
      <c r="C155" s="153" t="s">
        <v>1635</v>
      </c>
      <c r="D155" s="154" t="s">
        <v>12</v>
      </c>
      <c r="E155" s="154" t="str">
        <f t="shared" si="15"/>
        <v>BRZCIF FE</v>
      </c>
      <c r="F155" s="164">
        <v>220</v>
      </c>
      <c r="G155" s="176">
        <f>COSTS!$AA$29</f>
        <v>350</v>
      </c>
      <c r="H155" s="164">
        <f t="shared" si="16"/>
        <v>570</v>
      </c>
      <c r="I155" s="158">
        <f t="shared" si="17"/>
        <v>103.42012156400254</v>
      </c>
      <c r="J155" s="165">
        <v>46048</v>
      </c>
      <c r="K155" s="178">
        <v>191</v>
      </c>
      <c r="L155" s="158">
        <f t="shared" si="18"/>
        <v>29</v>
      </c>
    </row>
    <row r="156" spans="1:12">
      <c r="A156" s="147" t="s">
        <v>1753</v>
      </c>
      <c r="B156" s="159" t="s">
        <v>1774</v>
      </c>
      <c r="C156" s="159" t="s">
        <v>1658</v>
      </c>
      <c r="D156" s="147" t="s">
        <v>12</v>
      </c>
      <c r="E156" s="147" t="str">
        <f t="shared" si="15"/>
        <v>BRZCikarang</v>
      </c>
      <c r="F156" s="161">
        <v>881</v>
      </c>
      <c r="G156" s="148">
        <f>COSTS!$AA$29</f>
        <v>350</v>
      </c>
      <c r="H156" s="161">
        <f t="shared" si="16"/>
        <v>1231</v>
      </c>
      <c r="I156" s="38">
        <f t="shared" si="17"/>
        <v>223.35117481629322</v>
      </c>
      <c r="J156" s="162">
        <v>46048</v>
      </c>
      <c r="K156" s="161">
        <v>881</v>
      </c>
      <c r="L156" s="38">
        <f t="shared" si="18"/>
        <v>0</v>
      </c>
    </row>
    <row r="157" spans="1:12">
      <c r="A157" s="147" t="s">
        <v>1753</v>
      </c>
      <c r="B157" s="159" t="s">
        <v>1765</v>
      </c>
      <c r="C157" s="159" t="s">
        <v>1637</v>
      </c>
      <c r="D157" s="147" t="s">
        <v>12</v>
      </c>
      <c r="E157" s="147" t="str">
        <f t="shared" si="15"/>
        <v>BRZDafeng</v>
      </c>
      <c r="F157" s="161">
        <v>586</v>
      </c>
      <c r="G157" s="148">
        <f>COSTS!$AA$29</f>
        <v>350</v>
      </c>
      <c r="H157" s="161">
        <f t="shared" si="16"/>
        <v>936</v>
      </c>
      <c r="I157" s="38">
        <f t="shared" si="17"/>
        <v>169.82672593667786</v>
      </c>
      <c r="J157" s="162">
        <v>45943</v>
      </c>
      <c r="K157" s="161">
        <v>586</v>
      </c>
      <c r="L157" s="38">
        <f t="shared" si="18"/>
        <v>0</v>
      </c>
    </row>
    <row r="158" spans="1:12">
      <c r="A158" s="147" t="s">
        <v>1753</v>
      </c>
      <c r="B158" s="159" t="s">
        <v>1759</v>
      </c>
      <c r="C158" s="159" t="s">
        <v>1637</v>
      </c>
      <c r="D158" s="147" t="s">
        <v>12</v>
      </c>
      <c r="E158" s="147" t="str">
        <f t="shared" si="15"/>
        <v>BRZDalian</v>
      </c>
      <c r="F158" s="161">
        <v>220</v>
      </c>
      <c r="G158" s="148">
        <v>200</v>
      </c>
      <c r="H158" s="161">
        <f t="shared" si="16"/>
        <v>420</v>
      </c>
      <c r="I158" s="38">
        <f t="shared" si="17"/>
        <v>76.204300099791354</v>
      </c>
      <c r="J158" s="162">
        <v>46106</v>
      </c>
      <c r="K158" s="161">
        <v>495</v>
      </c>
      <c r="L158" s="38">
        <f t="shared" si="18"/>
        <v>-275</v>
      </c>
    </row>
    <row r="159" spans="1:12">
      <c r="A159" s="147" t="s">
        <v>1753</v>
      </c>
      <c r="B159" s="159" t="s">
        <v>1741</v>
      </c>
      <c r="C159" s="159" t="s">
        <v>1640</v>
      </c>
      <c r="D159" s="147" t="s">
        <v>12</v>
      </c>
      <c r="E159" s="147" t="str">
        <f t="shared" si="15"/>
        <v>BRZDanang</v>
      </c>
      <c r="F159" s="161">
        <v>200</v>
      </c>
      <c r="G159" s="148">
        <f>COSTS!$AA$29</f>
        <v>350</v>
      </c>
      <c r="H159" s="161">
        <v>200</v>
      </c>
      <c r="I159" s="38">
        <f t="shared" si="17"/>
        <v>36.287761952281592</v>
      </c>
      <c r="J159" s="162">
        <v>46106</v>
      </c>
      <c r="K159" s="161">
        <v>445</v>
      </c>
      <c r="L159" s="38">
        <f t="shared" si="18"/>
        <v>-245</v>
      </c>
    </row>
    <row r="160" spans="1:12">
      <c r="A160" s="147" t="s">
        <v>1753</v>
      </c>
      <c r="B160" s="159" t="s">
        <v>1784</v>
      </c>
      <c r="C160" s="159" t="s">
        <v>1670</v>
      </c>
      <c r="D160" s="147" t="s">
        <v>12</v>
      </c>
      <c r="E160" s="147" t="str">
        <f t="shared" si="15"/>
        <v>BRZEvyap</v>
      </c>
      <c r="F160" s="161">
        <v>1096</v>
      </c>
      <c r="G160" s="148">
        <f>COSTS!$AA$29</f>
        <v>350</v>
      </c>
      <c r="H160" s="161">
        <f t="shared" ref="H160:H166" si="19">F160+G160</f>
        <v>1446</v>
      </c>
      <c r="I160" s="38">
        <f t="shared" si="17"/>
        <v>262.36051891499596</v>
      </c>
      <c r="J160" s="162">
        <v>45943</v>
      </c>
      <c r="K160" s="161">
        <v>1096</v>
      </c>
      <c r="L160" s="38">
        <f t="shared" si="18"/>
        <v>0</v>
      </c>
    </row>
    <row r="161" spans="1:12">
      <c r="A161" s="147" t="s">
        <v>1753</v>
      </c>
      <c r="B161" s="159" t="s">
        <v>1740</v>
      </c>
      <c r="C161" s="159" t="s">
        <v>1640</v>
      </c>
      <c r="D161" s="147" t="s">
        <v>12</v>
      </c>
      <c r="E161" s="147" t="str">
        <f t="shared" si="15"/>
        <v>BRZHaiphong</v>
      </c>
      <c r="F161" s="161">
        <v>200</v>
      </c>
      <c r="G161" s="148">
        <v>200</v>
      </c>
      <c r="H161" s="161">
        <f t="shared" si="19"/>
        <v>400</v>
      </c>
      <c r="I161" s="38">
        <f t="shared" si="17"/>
        <v>72.575523904563184</v>
      </c>
      <c r="J161" s="162">
        <v>46106</v>
      </c>
      <c r="K161" s="161">
        <v>445</v>
      </c>
      <c r="L161" s="38">
        <f t="shared" si="18"/>
        <v>-245</v>
      </c>
    </row>
    <row r="162" spans="1:12">
      <c r="A162" s="147" t="s">
        <v>1753</v>
      </c>
      <c r="B162" s="159" t="s">
        <v>1739</v>
      </c>
      <c r="C162" s="159" t="s">
        <v>1640</v>
      </c>
      <c r="D162" s="147" t="s">
        <v>12</v>
      </c>
      <c r="E162" s="147" t="str">
        <f t="shared" si="15"/>
        <v>BRZHo chi minh</v>
      </c>
      <c r="F162" s="161">
        <v>200</v>
      </c>
      <c r="G162" s="148">
        <v>200</v>
      </c>
      <c r="H162" s="161">
        <f t="shared" si="19"/>
        <v>400</v>
      </c>
      <c r="I162" s="38">
        <f t="shared" si="17"/>
        <v>72.575523904563184</v>
      </c>
      <c r="J162" s="162">
        <v>46106</v>
      </c>
      <c r="K162" s="161">
        <v>291</v>
      </c>
      <c r="L162" s="38">
        <f t="shared" si="18"/>
        <v>-91</v>
      </c>
    </row>
    <row r="163" spans="1:12">
      <c r="A163" s="147" t="s">
        <v>1753</v>
      </c>
      <c r="B163" s="159" t="s">
        <v>1766</v>
      </c>
      <c r="C163" s="159" t="s">
        <v>1637</v>
      </c>
      <c r="D163" s="147" t="s">
        <v>12</v>
      </c>
      <c r="E163" s="147" t="str">
        <f t="shared" si="15"/>
        <v>BRZHuangpu New Port</v>
      </c>
      <c r="F163" s="161">
        <v>401</v>
      </c>
      <c r="G163" s="148">
        <f>COSTS!$AA$29</f>
        <v>350</v>
      </c>
      <c r="H163" s="161">
        <f t="shared" si="19"/>
        <v>751</v>
      </c>
      <c r="I163" s="38">
        <f t="shared" si="17"/>
        <v>136.26054613081737</v>
      </c>
      <c r="J163" s="162">
        <v>45943</v>
      </c>
      <c r="K163" s="161">
        <v>401</v>
      </c>
      <c r="L163" s="38">
        <f t="shared" si="18"/>
        <v>0</v>
      </c>
    </row>
    <row r="164" spans="1:12">
      <c r="A164" s="147" t="s">
        <v>1753</v>
      </c>
      <c r="B164" s="159" t="s">
        <v>1767</v>
      </c>
      <c r="C164" s="159" t="s">
        <v>1637</v>
      </c>
      <c r="D164" s="147" t="s">
        <v>12</v>
      </c>
      <c r="E164" s="147" t="str">
        <f t="shared" si="15"/>
        <v>BRZHuangpu Old Port</v>
      </c>
      <c r="F164" s="161">
        <v>401</v>
      </c>
      <c r="G164" s="148">
        <f>COSTS!$AA$29</f>
        <v>350</v>
      </c>
      <c r="H164" s="161">
        <f t="shared" si="19"/>
        <v>751</v>
      </c>
      <c r="I164" s="38">
        <f t="shared" si="17"/>
        <v>136.26054613081737</v>
      </c>
      <c r="J164" s="162">
        <v>45943</v>
      </c>
      <c r="K164" s="161">
        <v>401</v>
      </c>
      <c r="L164" s="38">
        <f t="shared" si="18"/>
        <v>0</v>
      </c>
    </row>
    <row r="165" spans="1:12">
      <c r="A165" s="147" t="s">
        <v>1753</v>
      </c>
      <c r="B165" s="159" t="s">
        <v>1750</v>
      </c>
      <c r="C165" s="159" t="s">
        <v>1670</v>
      </c>
      <c r="D165" s="147" t="s">
        <v>12</v>
      </c>
      <c r="E165" s="147" t="str">
        <f t="shared" si="15"/>
        <v>BRZIskenderun</v>
      </c>
      <c r="F165" s="161">
        <v>1000</v>
      </c>
      <c r="G165" s="148">
        <v>400</v>
      </c>
      <c r="H165" s="161">
        <f t="shared" si="19"/>
        <v>1400</v>
      </c>
      <c r="I165" s="38">
        <f t="shared" si="17"/>
        <v>254.01433366597115</v>
      </c>
      <c r="J165" s="162">
        <v>46106</v>
      </c>
      <c r="K165" s="161">
        <v>1096</v>
      </c>
      <c r="L165" s="38">
        <f t="shared" si="18"/>
        <v>-96</v>
      </c>
    </row>
    <row r="166" spans="1:12">
      <c r="A166" s="147" t="s">
        <v>1753</v>
      </c>
      <c r="B166" s="159" t="s">
        <v>1783</v>
      </c>
      <c r="C166" s="159" t="s">
        <v>1670</v>
      </c>
      <c r="D166" s="147" t="s">
        <v>12</v>
      </c>
      <c r="E166" s="147" t="str">
        <f t="shared" si="15"/>
        <v>BRZIzmir</v>
      </c>
      <c r="F166" s="161">
        <v>1096</v>
      </c>
      <c r="G166" s="148">
        <f>COSTS!$AA$29</f>
        <v>350</v>
      </c>
      <c r="H166" s="161">
        <f t="shared" si="19"/>
        <v>1446</v>
      </c>
      <c r="I166" s="38">
        <f t="shared" si="17"/>
        <v>262.36051891499596</v>
      </c>
      <c r="J166" s="162">
        <v>45943</v>
      </c>
      <c r="K166" s="161">
        <v>1096</v>
      </c>
      <c r="L166" s="38">
        <f t="shared" si="18"/>
        <v>0</v>
      </c>
    </row>
    <row r="167" spans="1:12">
      <c r="A167" s="147" t="s">
        <v>1753</v>
      </c>
      <c r="B167" s="159" t="s">
        <v>1746</v>
      </c>
      <c r="C167" s="159" t="s">
        <v>1658</v>
      </c>
      <c r="D167" s="147" t="s">
        <v>12</v>
      </c>
      <c r="E167" s="147" t="str">
        <f t="shared" si="15"/>
        <v>BRZJakarta</v>
      </c>
      <c r="F167" s="161">
        <v>280</v>
      </c>
      <c r="G167" s="148">
        <v>400</v>
      </c>
      <c r="H167" s="161">
        <v>200</v>
      </c>
      <c r="I167" s="38">
        <f t="shared" si="17"/>
        <v>36.287761952281592</v>
      </c>
      <c r="J167" s="162">
        <v>46106</v>
      </c>
      <c r="K167" s="161">
        <v>441</v>
      </c>
      <c r="L167" s="38">
        <f t="shared" si="18"/>
        <v>-161</v>
      </c>
    </row>
    <row r="168" spans="1:12">
      <c r="A168" s="147" t="s">
        <v>1753</v>
      </c>
      <c r="B168" s="159" t="s">
        <v>1762</v>
      </c>
      <c r="C168" s="159" t="s">
        <v>1637</v>
      </c>
      <c r="D168" s="147" t="s">
        <v>12</v>
      </c>
      <c r="E168" s="147" t="str">
        <f t="shared" si="15"/>
        <v>BRZJiujiang</v>
      </c>
      <c r="F168" s="161">
        <v>391</v>
      </c>
      <c r="G168" s="148">
        <f>COSTS!$AA$29</f>
        <v>350</v>
      </c>
      <c r="H168" s="161">
        <f t="shared" ref="H168:H187" si="20">F168+G168</f>
        <v>741</v>
      </c>
      <c r="I168" s="38">
        <f t="shared" si="17"/>
        <v>134.44615803320332</v>
      </c>
      <c r="J168" s="162">
        <v>45943</v>
      </c>
      <c r="K168" s="161">
        <v>391</v>
      </c>
      <c r="L168" s="38">
        <f t="shared" si="18"/>
        <v>0</v>
      </c>
    </row>
    <row r="169" spans="1:12">
      <c r="A169" s="147" t="s">
        <v>1753</v>
      </c>
      <c r="B169" s="159" t="s">
        <v>1780</v>
      </c>
      <c r="C169" s="159" t="s">
        <v>1652</v>
      </c>
      <c r="D169" s="147" t="s">
        <v>12</v>
      </c>
      <c r="E169" s="147" t="str">
        <f t="shared" si="15"/>
        <v>BRZKaohsiung</v>
      </c>
      <c r="F169" s="161">
        <v>645</v>
      </c>
      <c r="G169" s="148">
        <f>COSTS!$AA$29</f>
        <v>350</v>
      </c>
      <c r="H169" s="161">
        <f t="shared" si="20"/>
        <v>995</v>
      </c>
      <c r="I169" s="38">
        <f t="shared" si="17"/>
        <v>180.53161571260091</v>
      </c>
      <c r="J169" s="162">
        <v>45943</v>
      </c>
      <c r="K169" s="161">
        <v>645</v>
      </c>
      <c r="L169" s="38">
        <f t="shared" si="18"/>
        <v>0</v>
      </c>
    </row>
    <row r="170" spans="1:12">
      <c r="A170" s="147" t="s">
        <v>1753</v>
      </c>
      <c r="B170" s="159" t="s">
        <v>1752</v>
      </c>
      <c r="C170" s="159" t="s">
        <v>1652</v>
      </c>
      <c r="D170" s="147" t="s">
        <v>12</v>
      </c>
      <c r="E170" s="147" t="str">
        <f t="shared" si="15"/>
        <v>BRZKeelung</v>
      </c>
      <c r="F170" s="161">
        <v>500</v>
      </c>
      <c r="G170" s="148">
        <v>200</v>
      </c>
      <c r="H170" s="161">
        <f t="shared" si="20"/>
        <v>700</v>
      </c>
      <c r="I170" s="38">
        <f t="shared" si="17"/>
        <v>127.00716683298558</v>
      </c>
      <c r="J170" s="162">
        <v>46106</v>
      </c>
      <c r="K170" s="161">
        <v>645</v>
      </c>
      <c r="L170" s="38">
        <f t="shared" si="18"/>
        <v>-145</v>
      </c>
    </row>
    <row r="171" spans="1:12">
      <c r="A171" s="1" t="s">
        <v>1753</v>
      </c>
      <c r="B171" s="136" t="s">
        <v>1749</v>
      </c>
      <c r="C171" s="136" t="s">
        <v>1646</v>
      </c>
      <c r="D171" s="1" t="s">
        <v>12</v>
      </c>
      <c r="E171" s="1" t="str">
        <f t="shared" si="15"/>
        <v>BRZKobe</v>
      </c>
      <c r="F171" s="161">
        <v>415</v>
      </c>
      <c r="G171" s="148">
        <v>200</v>
      </c>
      <c r="H171" s="161">
        <f t="shared" si="20"/>
        <v>615</v>
      </c>
      <c r="I171" s="38">
        <f t="shared" si="17"/>
        <v>111.58486800326591</v>
      </c>
      <c r="J171" s="166">
        <v>46106</v>
      </c>
      <c r="K171" s="161">
        <v>445</v>
      </c>
      <c r="L171" s="38">
        <f t="shared" si="18"/>
        <v>-30</v>
      </c>
    </row>
    <row r="172" spans="1:12">
      <c r="A172" s="147" t="s">
        <v>1753</v>
      </c>
      <c r="B172" s="159" t="s">
        <v>1737</v>
      </c>
      <c r="C172" s="159" t="s">
        <v>1644</v>
      </c>
      <c r="D172" s="147" t="s">
        <v>12</v>
      </c>
      <c r="E172" s="147" t="str">
        <f t="shared" si="15"/>
        <v>BRZKwangyang</v>
      </c>
      <c r="F172" s="161">
        <v>220</v>
      </c>
      <c r="G172" s="148">
        <v>200</v>
      </c>
      <c r="H172" s="161">
        <f t="shared" si="20"/>
        <v>420</v>
      </c>
      <c r="I172" s="38">
        <f t="shared" si="17"/>
        <v>76.204300099791354</v>
      </c>
      <c r="J172" s="162">
        <v>46106</v>
      </c>
      <c r="K172" s="161">
        <v>845</v>
      </c>
      <c r="L172" s="38">
        <f t="shared" si="18"/>
        <v>-625</v>
      </c>
    </row>
    <row r="173" spans="1:12">
      <c r="A173" s="147" t="s">
        <v>1753</v>
      </c>
      <c r="B173" s="159" t="s">
        <v>1744</v>
      </c>
      <c r="C173" s="159" t="s">
        <v>1660</v>
      </c>
      <c r="D173" s="147" t="s">
        <v>12</v>
      </c>
      <c r="E173" s="147" t="str">
        <f t="shared" si="15"/>
        <v>BRZLaem Chabang</v>
      </c>
      <c r="F173" s="161">
        <v>300</v>
      </c>
      <c r="G173" s="148">
        <v>200</v>
      </c>
      <c r="H173" s="161">
        <f t="shared" si="20"/>
        <v>500</v>
      </c>
      <c r="I173" s="38">
        <f t="shared" si="17"/>
        <v>90.719404880703991</v>
      </c>
      <c r="J173" s="162">
        <v>46106</v>
      </c>
      <c r="K173" s="161">
        <v>681</v>
      </c>
      <c r="L173" s="38">
        <f t="shared" si="18"/>
        <v>-381</v>
      </c>
    </row>
    <row r="174" spans="1:12">
      <c r="A174" s="147" t="s">
        <v>1753</v>
      </c>
      <c r="B174" s="159" t="s">
        <v>1745</v>
      </c>
      <c r="C174" s="159" t="s">
        <v>1660</v>
      </c>
      <c r="D174" s="147" t="s">
        <v>12</v>
      </c>
      <c r="E174" s="147" t="str">
        <f t="shared" si="15"/>
        <v>BRZLat Krabang</v>
      </c>
      <c r="F174" s="161">
        <v>791</v>
      </c>
      <c r="G174" s="148">
        <v>200</v>
      </c>
      <c r="H174" s="161">
        <f t="shared" si="20"/>
        <v>991</v>
      </c>
      <c r="I174" s="38">
        <f t="shared" si="17"/>
        <v>179.8058604735553</v>
      </c>
      <c r="J174" s="162">
        <v>46106</v>
      </c>
      <c r="K174" s="161">
        <v>791</v>
      </c>
      <c r="L174" s="38">
        <f t="shared" si="18"/>
        <v>0</v>
      </c>
    </row>
    <row r="175" spans="1:12">
      <c r="A175" s="147" t="s">
        <v>1753</v>
      </c>
      <c r="B175" s="159" t="s">
        <v>1768</v>
      </c>
      <c r="C175" s="159" t="s">
        <v>1637</v>
      </c>
      <c r="D175" s="147" t="s">
        <v>12</v>
      </c>
      <c r="E175" s="147" t="str">
        <f t="shared" si="15"/>
        <v>BRZLianyungang</v>
      </c>
      <c r="F175" s="161">
        <v>441</v>
      </c>
      <c r="G175" s="148">
        <f>COSTS!$AA$29</f>
        <v>350</v>
      </c>
      <c r="H175" s="161">
        <f t="shared" si="20"/>
        <v>791</v>
      </c>
      <c r="I175" s="38">
        <f t="shared" si="17"/>
        <v>143.51809852127371</v>
      </c>
      <c r="J175" s="162">
        <v>45943</v>
      </c>
      <c r="K175" s="161">
        <v>441</v>
      </c>
      <c r="L175" s="38">
        <f t="shared" si="18"/>
        <v>0</v>
      </c>
    </row>
    <row r="176" spans="1:12">
      <c r="A176" s="147" t="s">
        <v>1753</v>
      </c>
      <c r="B176" s="159" t="s">
        <v>1755</v>
      </c>
      <c r="C176" s="159" t="s">
        <v>1668</v>
      </c>
      <c r="D176" s="147" t="s">
        <v>12</v>
      </c>
      <c r="E176" s="147" t="str">
        <f t="shared" si="15"/>
        <v>BRZLudhiana</v>
      </c>
      <c r="F176" s="161">
        <v>851</v>
      </c>
      <c r="G176" s="148">
        <f>COSTS!$AA$29</f>
        <v>350</v>
      </c>
      <c r="H176" s="161">
        <f t="shared" si="20"/>
        <v>1201</v>
      </c>
      <c r="I176" s="38">
        <f t="shared" si="17"/>
        <v>217.90801052345097</v>
      </c>
      <c r="J176" s="162">
        <v>45943</v>
      </c>
      <c r="K176" s="161">
        <v>851</v>
      </c>
      <c r="L176" s="38">
        <f t="shared" si="18"/>
        <v>0</v>
      </c>
    </row>
    <row r="177" spans="1:12">
      <c r="A177" s="147" t="s">
        <v>1753</v>
      </c>
      <c r="B177" s="159" t="s">
        <v>1754</v>
      </c>
      <c r="C177" s="159" t="s">
        <v>1668</v>
      </c>
      <c r="D177" s="147" t="s">
        <v>12</v>
      </c>
      <c r="E177" s="147" t="str">
        <f t="shared" si="15"/>
        <v>BRZMandideep</v>
      </c>
      <c r="F177" s="161">
        <v>851</v>
      </c>
      <c r="G177" s="148">
        <f>COSTS!$AA$29</f>
        <v>350</v>
      </c>
      <c r="H177" s="161">
        <f t="shared" si="20"/>
        <v>1201</v>
      </c>
      <c r="I177" s="38">
        <f t="shared" si="17"/>
        <v>217.90801052345097</v>
      </c>
      <c r="J177" s="162">
        <v>45943</v>
      </c>
      <c r="K177" s="161">
        <v>851</v>
      </c>
      <c r="L177" s="38">
        <f t="shared" si="18"/>
        <v>0</v>
      </c>
    </row>
    <row r="178" spans="1:12">
      <c r="A178" s="147" t="s">
        <v>1753</v>
      </c>
      <c r="B178" s="159" t="s">
        <v>1751</v>
      </c>
      <c r="C178" s="159" t="s">
        <v>1670</v>
      </c>
      <c r="D178" s="147" t="s">
        <v>12</v>
      </c>
      <c r="E178" s="147" t="str">
        <f t="shared" si="15"/>
        <v>BRZMersin</v>
      </c>
      <c r="F178" s="161">
        <v>1000</v>
      </c>
      <c r="G178" s="148">
        <v>400</v>
      </c>
      <c r="H178" s="161">
        <f t="shared" si="20"/>
        <v>1400</v>
      </c>
      <c r="I178" s="38">
        <f t="shared" si="17"/>
        <v>254.01433366597115</v>
      </c>
      <c r="J178" s="162">
        <v>46106</v>
      </c>
      <c r="K178" s="161">
        <v>1096</v>
      </c>
      <c r="L178" s="38">
        <f t="shared" si="18"/>
        <v>-96</v>
      </c>
    </row>
    <row r="179" spans="1:12">
      <c r="A179" s="147" t="s">
        <v>1753</v>
      </c>
      <c r="B179" s="159" t="s">
        <v>1726</v>
      </c>
      <c r="C179" s="159" t="s">
        <v>1668</v>
      </c>
      <c r="D179" s="147" t="s">
        <v>12</v>
      </c>
      <c r="E179" s="147" t="str">
        <f t="shared" ref="E179:E207" si="21">CONCATENATE(,A179,B179)</f>
        <v>BRZMundra</v>
      </c>
      <c r="F179" s="161">
        <v>810</v>
      </c>
      <c r="G179" s="148">
        <v>400</v>
      </c>
      <c r="H179" s="161">
        <f t="shared" si="20"/>
        <v>1210</v>
      </c>
      <c r="I179" s="38">
        <f t="shared" ref="I179:I207" si="22">(H179/25)/0.22046</f>
        <v>219.54095981130365</v>
      </c>
      <c r="J179" s="162">
        <v>46106</v>
      </c>
      <c r="K179" s="161">
        <v>851</v>
      </c>
      <c r="L179" s="38">
        <f t="shared" ref="L179:L207" si="23">F179-K179</f>
        <v>-41</v>
      </c>
    </row>
    <row r="180" spans="1:12">
      <c r="A180" s="1" t="s">
        <v>1753</v>
      </c>
      <c r="B180" s="136" t="s">
        <v>1787</v>
      </c>
      <c r="C180" s="136" t="s">
        <v>1646</v>
      </c>
      <c r="D180" s="1" t="s">
        <v>12</v>
      </c>
      <c r="E180" s="1" t="str">
        <f t="shared" si="21"/>
        <v>BRZNagoya</v>
      </c>
      <c r="F180" s="161">
        <v>415</v>
      </c>
      <c r="G180" s="148">
        <v>200</v>
      </c>
      <c r="H180" s="161">
        <f t="shared" si="20"/>
        <v>615</v>
      </c>
      <c r="I180" s="38">
        <f t="shared" si="22"/>
        <v>111.58486800326591</v>
      </c>
      <c r="J180" s="166">
        <v>46106</v>
      </c>
      <c r="K180" s="161">
        <v>445</v>
      </c>
      <c r="L180" s="38">
        <f t="shared" si="23"/>
        <v>-30</v>
      </c>
    </row>
    <row r="181" spans="1:12">
      <c r="A181" s="147" t="s">
        <v>1753</v>
      </c>
      <c r="B181" s="159" t="s">
        <v>1734</v>
      </c>
      <c r="C181" s="159" t="s">
        <v>1637</v>
      </c>
      <c r="D181" s="147" t="s">
        <v>12</v>
      </c>
      <c r="E181" s="147" t="str">
        <f t="shared" si="21"/>
        <v>BRZNantong</v>
      </c>
      <c r="F181" s="161">
        <v>220</v>
      </c>
      <c r="G181" s="148">
        <v>200</v>
      </c>
      <c r="H181" s="161">
        <f t="shared" si="20"/>
        <v>420</v>
      </c>
      <c r="I181" s="38">
        <f t="shared" si="22"/>
        <v>76.204300099791354</v>
      </c>
      <c r="J181" s="162">
        <v>46106</v>
      </c>
      <c r="K181" s="161">
        <v>511</v>
      </c>
      <c r="L181" s="38">
        <f t="shared" si="23"/>
        <v>-291</v>
      </c>
    </row>
    <row r="182" spans="1:12">
      <c r="A182" s="147" t="s">
        <v>1753</v>
      </c>
      <c r="B182" s="159" t="s">
        <v>1725</v>
      </c>
      <c r="C182" s="159" t="s">
        <v>1668</v>
      </c>
      <c r="D182" s="147" t="s">
        <v>12</v>
      </c>
      <c r="E182" s="147" t="str">
        <f t="shared" si="21"/>
        <v>BRZNhava Sheva</v>
      </c>
      <c r="F182" s="161">
        <v>810</v>
      </c>
      <c r="G182" s="148">
        <v>400</v>
      </c>
      <c r="H182" s="161">
        <f t="shared" si="20"/>
        <v>1210</v>
      </c>
      <c r="I182" s="38">
        <f t="shared" si="22"/>
        <v>219.54095981130365</v>
      </c>
      <c r="J182" s="162">
        <v>46106</v>
      </c>
      <c r="K182" s="161">
        <v>851</v>
      </c>
      <c r="L182" s="38">
        <f t="shared" si="23"/>
        <v>-41</v>
      </c>
    </row>
    <row r="183" spans="1:12">
      <c r="A183" s="147" t="s">
        <v>1753</v>
      </c>
      <c r="B183" s="159" t="s">
        <v>1732</v>
      </c>
      <c r="C183" s="159" t="s">
        <v>1637</v>
      </c>
      <c r="D183" s="147" t="s">
        <v>12</v>
      </c>
      <c r="E183" s="147" t="str">
        <f t="shared" si="21"/>
        <v>BRZNingbo</v>
      </c>
      <c r="F183" s="161">
        <v>220</v>
      </c>
      <c r="G183" s="148">
        <v>200</v>
      </c>
      <c r="H183" s="161">
        <f t="shared" si="20"/>
        <v>420</v>
      </c>
      <c r="I183" s="38">
        <f t="shared" si="22"/>
        <v>76.204300099791354</v>
      </c>
      <c r="J183" s="162">
        <v>46106</v>
      </c>
      <c r="K183" s="161">
        <v>291</v>
      </c>
      <c r="L183" s="38">
        <f t="shared" si="23"/>
        <v>-71</v>
      </c>
    </row>
    <row r="184" spans="1:12">
      <c r="A184" s="147" t="s">
        <v>1753</v>
      </c>
      <c r="B184" s="159" t="s">
        <v>1776</v>
      </c>
      <c r="C184" s="159" t="s">
        <v>1648</v>
      </c>
      <c r="D184" s="147" t="s">
        <v>12</v>
      </c>
      <c r="E184" s="147" t="str">
        <f t="shared" si="21"/>
        <v>BRZPasir Gudang</v>
      </c>
      <c r="F184" s="161">
        <v>545</v>
      </c>
      <c r="G184" s="148">
        <f>COSTS!$AA$29</f>
        <v>350</v>
      </c>
      <c r="H184" s="161">
        <f t="shared" si="20"/>
        <v>895</v>
      </c>
      <c r="I184" s="38">
        <f t="shared" si="22"/>
        <v>162.38773473646012</v>
      </c>
      <c r="J184" s="162">
        <v>45943</v>
      </c>
      <c r="K184" s="161">
        <v>545</v>
      </c>
      <c r="L184" s="38">
        <f t="shared" si="23"/>
        <v>0</v>
      </c>
    </row>
    <row r="185" spans="1:12">
      <c r="A185" s="147" t="s">
        <v>1753</v>
      </c>
      <c r="B185" s="159" t="s">
        <v>1786</v>
      </c>
      <c r="C185" s="159" t="s">
        <v>1648</v>
      </c>
      <c r="D185" s="147" t="s">
        <v>12</v>
      </c>
      <c r="E185" s="147" t="str">
        <f t="shared" si="21"/>
        <v>BRZPenang</v>
      </c>
      <c r="F185" s="161">
        <v>545</v>
      </c>
      <c r="G185" s="148">
        <f>COSTS!$AA$29</f>
        <v>350</v>
      </c>
      <c r="H185" s="161">
        <f t="shared" si="20"/>
        <v>895</v>
      </c>
      <c r="I185" s="38">
        <f t="shared" si="22"/>
        <v>162.38773473646012</v>
      </c>
      <c r="J185" s="162">
        <v>45943</v>
      </c>
      <c r="K185" s="161">
        <v>545</v>
      </c>
      <c r="L185" s="38">
        <f t="shared" si="23"/>
        <v>0</v>
      </c>
    </row>
    <row r="186" spans="1:12">
      <c r="A186" s="147" t="s">
        <v>1753</v>
      </c>
      <c r="B186" s="160" t="s">
        <v>1742</v>
      </c>
      <c r="C186" s="159" t="s">
        <v>1648</v>
      </c>
      <c r="D186" s="147" t="s">
        <v>12</v>
      </c>
      <c r="E186" s="147" t="str">
        <f t="shared" si="21"/>
        <v>BRZPort Klang</v>
      </c>
      <c r="F186" s="161">
        <v>350</v>
      </c>
      <c r="G186" s="148">
        <v>200</v>
      </c>
      <c r="H186" s="161">
        <f t="shared" si="20"/>
        <v>550</v>
      </c>
      <c r="I186" s="38">
        <f t="shared" si="22"/>
        <v>99.791345368774387</v>
      </c>
      <c r="J186" s="162">
        <v>46106</v>
      </c>
      <c r="K186" s="161">
        <v>545</v>
      </c>
      <c r="L186" s="38">
        <f t="shared" si="23"/>
        <v>-195</v>
      </c>
    </row>
    <row r="187" spans="1:12">
      <c r="A187" s="147" t="s">
        <v>1753</v>
      </c>
      <c r="B187" s="159" t="s">
        <v>1777</v>
      </c>
      <c r="C187" s="159" t="s">
        <v>1778</v>
      </c>
      <c r="D187" s="147" t="s">
        <v>12</v>
      </c>
      <c r="E187" s="147" t="str">
        <f t="shared" si="21"/>
        <v>BRZPort Louis</v>
      </c>
      <c r="F187" s="161">
        <v>1657</v>
      </c>
      <c r="G187" s="148">
        <f>COSTS!$AA$29</f>
        <v>350</v>
      </c>
      <c r="H187" s="161">
        <f t="shared" si="20"/>
        <v>2007</v>
      </c>
      <c r="I187" s="38">
        <f t="shared" si="22"/>
        <v>364.14769119114578</v>
      </c>
      <c r="J187" s="162">
        <v>45943</v>
      </c>
      <c r="K187" s="161">
        <v>1657</v>
      </c>
      <c r="L187" s="38">
        <f t="shared" si="23"/>
        <v>0</v>
      </c>
    </row>
    <row r="188" spans="1:12">
      <c r="A188" s="147" t="s">
        <v>1753</v>
      </c>
      <c r="B188" s="159" t="s">
        <v>1738</v>
      </c>
      <c r="C188" s="159" t="s">
        <v>1666</v>
      </c>
      <c r="D188" s="147" t="s">
        <v>12</v>
      </c>
      <c r="E188" s="147" t="str">
        <f t="shared" si="21"/>
        <v>BRZPort Qasim/Karachi</v>
      </c>
      <c r="F188" s="161">
        <v>770</v>
      </c>
      <c r="G188" s="148">
        <f>COSTS!$AA$29</f>
        <v>350</v>
      </c>
      <c r="H188" s="161">
        <v>400</v>
      </c>
      <c r="I188" s="38">
        <f t="shared" si="22"/>
        <v>72.575523904563184</v>
      </c>
      <c r="J188" s="162">
        <v>46106</v>
      </c>
      <c r="K188" s="161">
        <v>848</v>
      </c>
      <c r="L188" s="38">
        <f t="shared" si="23"/>
        <v>-78</v>
      </c>
    </row>
    <row r="189" spans="1:12">
      <c r="A189" s="147" t="s">
        <v>1753</v>
      </c>
      <c r="B189" s="159" t="s">
        <v>1779</v>
      </c>
      <c r="C189" s="159" t="s">
        <v>1666</v>
      </c>
      <c r="D189" s="147" t="s">
        <v>12</v>
      </c>
      <c r="E189" s="147" t="str">
        <f t="shared" si="21"/>
        <v>BRZQasim</v>
      </c>
      <c r="F189" s="161">
        <v>848</v>
      </c>
      <c r="G189" s="148">
        <f>COSTS!$AA$29</f>
        <v>350</v>
      </c>
      <c r="H189" s="161">
        <f t="shared" ref="H189:H207" si="24">F189+G189</f>
        <v>1198</v>
      </c>
      <c r="I189" s="38">
        <f t="shared" si="22"/>
        <v>217.36369409416676</v>
      </c>
      <c r="J189" s="162">
        <v>46048</v>
      </c>
      <c r="K189" s="161">
        <v>848</v>
      </c>
      <c r="L189" s="38">
        <f t="shared" si="23"/>
        <v>0</v>
      </c>
    </row>
    <row r="190" spans="1:12">
      <c r="A190" s="147" t="s">
        <v>1753</v>
      </c>
      <c r="B190" s="159" t="s">
        <v>1729</v>
      </c>
      <c r="C190" s="159" t="s">
        <v>1637</v>
      </c>
      <c r="D190" s="147" t="s">
        <v>12</v>
      </c>
      <c r="E190" s="147" t="str">
        <f t="shared" si="21"/>
        <v>BRZQingdao</v>
      </c>
      <c r="F190" s="161">
        <v>191</v>
      </c>
      <c r="G190" s="148">
        <v>200</v>
      </c>
      <c r="H190" s="161">
        <f t="shared" si="24"/>
        <v>391</v>
      </c>
      <c r="I190" s="38">
        <f t="shared" si="22"/>
        <v>70.942574616710516</v>
      </c>
      <c r="J190" s="162">
        <v>46106</v>
      </c>
      <c r="K190" s="161">
        <v>191</v>
      </c>
      <c r="L190" s="38">
        <f t="shared" si="23"/>
        <v>0</v>
      </c>
    </row>
    <row r="191" spans="1:12">
      <c r="A191" s="147" t="s">
        <v>1753</v>
      </c>
      <c r="B191" s="159" t="s">
        <v>1747</v>
      </c>
      <c r="C191" s="159" t="s">
        <v>1658</v>
      </c>
      <c r="D191" s="147" t="s">
        <v>12</v>
      </c>
      <c r="E191" s="147" t="str">
        <f t="shared" si="21"/>
        <v>BRZSemarang</v>
      </c>
      <c r="F191" s="161">
        <v>280</v>
      </c>
      <c r="G191" s="148">
        <v>200</v>
      </c>
      <c r="H191" s="161">
        <f t="shared" si="24"/>
        <v>480</v>
      </c>
      <c r="I191" s="38">
        <f t="shared" si="22"/>
        <v>87.090628685475821</v>
      </c>
      <c r="J191" s="162">
        <v>46106</v>
      </c>
      <c r="K191" s="161">
        <v>441</v>
      </c>
      <c r="L191" s="38">
        <f t="shared" si="23"/>
        <v>-161</v>
      </c>
    </row>
    <row r="192" spans="1:12">
      <c r="A192" s="147" t="s">
        <v>1753</v>
      </c>
      <c r="B192" s="159" t="s">
        <v>1728</v>
      </c>
      <c r="C192" s="159" t="s">
        <v>1637</v>
      </c>
      <c r="D192" s="147" t="s">
        <v>12</v>
      </c>
      <c r="E192" s="147" t="str">
        <f t="shared" si="21"/>
        <v>BRZShanghai</v>
      </c>
      <c r="F192" s="161">
        <v>220</v>
      </c>
      <c r="G192" s="148">
        <v>200</v>
      </c>
      <c r="H192" s="161">
        <f t="shared" si="24"/>
        <v>420</v>
      </c>
      <c r="I192" s="38">
        <f t="shared" si="22"/>
        <v>76.204300099791354</v>
      </c>
      <c r="J192" s="162">
        <v>46106</v>
      </c>
      <c r="K192" s="161">
        <v>291</v>
      </c>
      <c r="L192" s="38">
        <f t="shared" si="23"/>
        <v>-71</v>
      </c>
    </row>
    <row r="193" spans="1:12">
      <c r="A193" s="147" t="s">
        <v>1753</v>
      </c>
      <c r="B193" s="159" t="s">
        <v>1758</v>
      </c>
      <c r="C193" s="159" t="s">
        <v>1637</v>
      </c>
      <c r="D193" s="147" t="s">
        <v>12</v>
      </c>
      <c r="E193" s="147" t="str">
        <f t="shared" si="21"/>
        <v>BRZShekou</v>
      </c>
      <c r="F193" s="161">
        <v>291</v>
      </c>
      <c r="G193" s="148">
        <f>COSTS!$AA$29</f>
        <v>350</v>
      </c>
      <c r="H193" s="161">
        <f t="shared" si="24"/>
        <v>641</v>
      </c>
      <c r="I193" s="38">
        <f t="shared" si="22"/>
        <v>116.30227705706251</v>
      </c>
      <c r="J193" s="162">
        <v>45943</v>
      </c>
      <c r="K193" s="161">
        <v>291</v>
      </c>
      <c r="L193" s="38">
        <f t="shared" si="23"/>
        <v>0</v>
      </c>
    </row>
    <row r="194" spans="1:12">
      <c r="A194" s="1" t="s">
        <v>1753</v>
      </c>
      <c r="B194" s="136" t="s">
        <v>1748</v>
      </c>
      <c r="C194" s="136" t="s">
        <v>1658</v>
      </c>
      <c r="D194" s="1" t="s">
        <v>12</v>
      </c>
      <c r="E194" s="1" t="str">
        <f t="shared" si="21"/>
        <v>BRZSurabaya</v>
      </c>
      <c r="F194" s="161">
        <v>280</v>
      </c>
      <c r="G194" s="148">
        <v>200</v>
      </c>
      <c r="H194" s="161">
        <f t="shared" si="24"/>
        <v>480</v>
      </c>
      <c r="I194" s="38">
        <f t="shared" si="22"/>
        <v>87.090628685475821</v>
      </c>
      <c r="J194" s="166">
        <v>46106</v>
      </c>
      <c r="K194" s="161">
        <v>445</v>
      </c>
      <c r="L194" s="38">
        <f t="shared" si="23"/>
        <v>-165</v>
      </c>
    </row>
    <row r="195" spans="1:12">
      <c r="A195" s="147" t="s">
        <v>1753</v>
      </c>
      <c r="B195" s="159" t="s">
        <v>1781</v>
      </c>
      <c r="C195" s="159" t="s">
        <v>1652</v>
      </c>
      <c r="D195" s="147" t="s">
        <v>12</v>
      </c>
      <c r="E195" s="147" t="str">
        <f t="shared" si="21"/>
        <v>BRZTaichung</v>
      </c>
      <c r="F195" s="161">
        <v>645</v>
      </c>
      <c r="G195" s="148">
        <f>COSTS!$AA$29</f>
        <v>350</v>
      </c>
      <c r="H195" s="161">
        <f t="shared" si="24"/>
        <v>995</v>
      </c>
      <c r="I195" s="38">
        <f t="shared" si="22"/>
        <v>180.53161571260091</v>
      </c>
      <c r="J195" s="162">
        <v>45943</v>
      </c>
      <c r="K195" s="161">
        <v>645</v>
      </c>
      <c r="L195" s="38">
        <f t="shared" si="23"/>
        <v>0</v>
      </c>
    </row>
    <row r="196" spans="1:12">
      <c r="A196" s="147" t="s">
        <v>1753</v>
      </c>
      <c r="B196" s="159" t="s">
        <v>1775</v>
      </c>
      <c r="C196" s="159" t="s">
        <v>1648</v>
      </c>
      <c r="D196" s="147" t="s">
        <v>12</v>
      </c>
      <c r="E196" s="147" t="str">
        <f t="shared" si="21"/>
        <v>BRZTanjung Pelepas</v>
      </c>
      <c r="F196" s="161">
        <v>545</v>
      </c>
      <c r="G196" s="148">
        <f>COSTS!$AA$29</f>
        <v>350</v>
      </c>
      <c r="H196" s="161">
        <f t="shared" si="24"/>
        <v>895</v>
      </c>
      <c r="I196" s="38">
        <f t="shared" si="22"/>
        <v>162.38773473646012</v>
      </c>
      <c r="J196" s="162">
        <v>45943</v>
      </c>
      <c r="K196" s="161">
        <v>545</v>
      </c>
      <c r="L196" s="38">
        <f t="shared" si="23"/>
        <v>0</v>
      </c>
    </row>
    <row r="197" spans="1:12">
      <c r="A197" s="147" t="s">
        <v>1753</v>
      </c>
      <c r="B197" s="159" t="s">
        <v>1757</v>
      </c>
      <c r="C197" s="159" t="s">
        <v>1637</v>
      </c>
      <c r="D197" s="147" t="s">
        <v>12</v>
      </c>
      <c r="E197" s="147" t="str">
        <f t="shared" si="21"/>
        <v>BRZTianjinxingang</v>
      </c>
      <c r="F197" s="161">
        <v>495</v>
      </c>
      <c r="G197" s="148">
        <f>COSTS!$AA$29</f>
        <v>350</v>
      </c>
      <c r="H197" s="161">
        <f t="shared" si="24"/>
        <v>845</v>
      </c>
      <c r="I197" s="38">
        <f t="shared" si="22"/>
        <v>153.31579424838972</v>
      </c>
      <c r="J197" s="162">
        <v>45943</v>
      </c>
      <c r="K197" s="161">
        <v>495</v>
      </c>
      <c r="L197" s="38">
        <f t="shared" si="23"/>
        <v>0</v>
      </c>
    </row>
    <row r="198" spans="1:12">
      <c r="A198" s="147" t="s">
        <v>1753</v>
      </c>
      <c r="B198" s="159" t="s">
        <v>1756</v>
      </c>
      <c r="C198" s="159" t="s">
        <v>1668</v>
      </c>
      <c r="D198" s="147" t="s">
        <v>12</v>
      </c>
      <c r="E198" s="147" t="str">
        <f t="shared" si="21"/>
        <v>BRZTihi</v>
      </c>
      <c r="F198" s="161">
        <v>851</v>
      </c>
      <c r="G198" s="148">
        <f>COSTS!$AA$29</f>
        <v>350</v>
      </c>
      <c r="H198" s="161">
        <f t="shared" si="24"/>
        <v>1201</v>
      </c>
      <c r="I198" s="38">
        <f t="shared" si="22"/>
        <v>217.90801052345097</v>
      </c>
      <c r="J198" s="162">
        <v>45943</v>
      </c>
      <c r="K198" s="161">
        <v>851</v>
      </c>
      <c r="L198" s="38">
        <f t="shared" si="23"/>
        <v>0</v>
      </c>
    </row>
    <row r="199" spans="1:12">
      <c r="A199" s="147" t="s">
        <v>1753</v>
      </c>
      <c r="B199" s="159" t="s">
        <v>1727</v>
      </c>
      <c r="C199" s="159" t="s">
        <v>1668</v>
      </c>
      <c r="D199" s="147" t="s">
        <v>12</v>
      </c>
      <c r="E199" s="147" t="str">
        <f t="shared" si="21"/>
        <v>BRZTuticorin</v>
      </c>
      <c r="F199" s="161">
        <v>810</v>
      </c>
      <c r="G199" s="148">
        <v>400</v>
      </c>
      <c r="H199" s="161">
        <f t="shared" si="24"/>
        <v>1210</v>
      </c>
      <c r="I199" s="38">
        <f t="shared" si="22"/>
        <v>219.54095981130365</v>
      </c>
      <c r="J199" s="162">
        <v>46106</v>
      </c>
      <c r="K199" s="161">
        <v>1651</v>
      </c>
      <c r="L199" s="38">
        <f t="shared" si="23"/>
        <v>-841</v>
      </c>
    </row>
    <row r="200" spans="1:12">
      <c r="A200" s="147" t="s">
        <v>1753</v>
      </c>
      <c r="B200" s="159" t="s">
        <v>1785</v>
      </c>
      <c r="C200" s="159" t="s">
        <v>1640</v>
      </c>
      <c r="D200" s="147" t="s">
        <v>12</v>
      </c>
      <c r="E200" s="147" t="str">
        <f t="shared" si="21"/>
        <v>BRZVung Tau</v>
      </c>
      <c r="F200" s="161">
        <v>445</v>
      </c>
      <c r="G200" s="148">
        <f>COSTS!$AA$29</f>
        <v>350</v>
      </c>
      <c r="H200" s="161">
        <f t="shared" si="24"/>
        <v>795</v>
      </c>
      <c r="I200" s="38">
        <f t="shared" si="22"/>
        <v>144.24385376031935</v>
      </c>
      <c r="J200" s="162">
        <v>45943</v>
      </c>
      <c r="K200" s="161">
        <v>445</v>
      </c>
      <c r="L200" s="38">
        <f t="shared" si="23"/>
        <v>0</v>
      </c>
    </row>
    <row r="201" spans="1:12">
      <c r="A201" s="147" t="s">
        <v>1753</v>
      </c>
      <c r="B201" s="159" t="s">
        <v>1763</v>
      </c>
      <c r="C201" s="159" t="s">
        <v>1637</v>
      </c>
      <c r="D201" s="147" t="s">
        <v>12</v>
      </c>
      <c r="E201" s="147" t="str">
        <f t="shared" si="21"/>
        <v>BRZWuhan</v>
      </c>
      <c r="F201" s="161">
        <v>551</v>
      </c>
      <c r="G201" s="148">
        <f>COSTS!$AA$29</f>
        <v>350</v>
      </c>
      <c r="H201" s="161">
        <f t="shared" si="24"/>
        <v>901</v>
      </c>
      <c r="I201" s="38">
        <f t="shared" si="22"/>
        <v>163.47636759502859</v>
      </c>
      <c r="J201" s="162">
        <v>45943</v>
      </c>
      <c r="K201" s="161">
        <v>551</v>
      </c>
      <c r="L201" s="38">
        <f t="shared" si="23"/>
        <v>0</v>
      </c>
    </row>
    <row r="202" spans="1:12">
      <c r="A202" s="147" t="s">
        <v>1753</v>
      </c>
      <c r="B202" s="159" t="s">
        <v>1769</v>
      </c>
      <c r="C202" s="159" t="s">
        <v>1637</v>
      </c>
      <c r="D202" s="147" t="s">
        <v>12</v>
      </c>
      <c r="E202" s="147" t="str">
        <f t="shared" si="21"/>
        <v>BRZWuzhou</v>
      </c>
      <c r="F202" s="161">
        <v>541</v>
      </c>
      <c r="G202" s="148">
        <f>COSTS!$AA$29</f>
        <v>350</v>
      </c>
      <c r="H202" s="161">
        <f t="shared" si="24"/>
        <v>891</v>
      </c>
      <c r="I202" s="38">
        <f t="shared" si="22"/>
        <v>161.66197949741451</v>
      </c>
      <c r="J202" s="162">
        <v>45943</v>
      </c>
      <c r="K202" s="161">
        <v>541</v>
      </c>
      <c r="L202" s="38">
        <f t="shared" si="23"/>
        <v>0</v>
      </c>
    </row>
    <row r="203" spans="1:12">
      <c r="A203" s="147" t="s">
        <v>1753</v>
      </c>
      <c r="B203" s="159" t="s">
        <v>1733</v>
      </c>
      <c r="C203" s="159" t="s">
        <v>1637</v>
      </c>
      <c r="D203" s="147" t="s">
        <v>12</v>
      </c>
      <c r="E203" s="147" t="str">
        <f t="shared" si="21"/>
        <v>BRZXiamen</v>
      </c>
      <c r="F203" s="161">
        <v>495</v>
      </c>
      <c r="G203" s="148">
        <f>COSTS!$AA$29</f>
        <v>350</v>
      </c>
      <c r="H203" s="161">
        <f t="shared" si="24"/>
        <v>845</v>
      </c>
      <c r="I203" s="38">
        <f t="shared" si="22"/>
        <v>153.31579424838972</v>
      </c>
      <c r="J203" s="162">
        <v>45943</v>
      </c>
      <c r="K203" s="161">
        <v>495</v>
      </c>
      <c r="L203" s="38">
        <f t="shared" si="23"/>
        <v>0</v>
      </c>
    </row>
    <row r="204" spans="1:12">
      <c r="A204" s="147" t="s">
        <v>1753</v>
      </c>
      <c r="B204" s="159" t="s">
        <v>1730</v>
      </c>
      <c r="C204" s="159" t="s">
        <v>1637</v>
      </c>
      <c r="D204" s="147" t="s">
        <v>12</v>
      </c>
      <c r="E204" s="147" t="str">
        <f t="shared" si="21"/>
        <v>BRZXingang</v>
      </c>
      <c r="F204" s="161">
        <v>327</v>
      </c>
      <c r="G204" s="148">
        <v>200</v>
      </c>
      <c r="H204" s="161">
        <f t="shared" si="24"/>
        <v>527</v>
      </c>
      <c r="I204" s="38">
        <f t="shared" si="22"/>
        <v>95.618252744261994</v>
      </c>
      <c r="J204" s="162">
        <v>46106</v>
      </c>
      <c r="K204" s="161">
        <v>291</v>
      </c>
      <c r="L204" s="38">
        <f t="shared" si="23"/>
        <v>36</v>
      </c>
    </row>
    <row r="205" spans="1:12">
      <c r="A205" s="147" t="s">
        <v>1753</v>
      </c>
      <c r="B205" s="159" t="s">
        <v>1760</v>
      </c>
      <c r="C205" s="159" t="s">
        <v>1637</v>
      </c>
      <c r="D205" s="147" t="s">
        <v>12</v>
      </c>
      <c r="E205" s="147" t="str">
        <f t="shared" si="21"/>
        <v>BRZYantian</v>
      </c>
      <c r="F205" s="161">
        <v>495</v>
      </c>
      <c r="G205" s="148">
        <f>COSTS!$AA$29</f>
        <v>350</v>
      </c>
      <c r="H205" s="161">
        <f t="shared" si="24"/>
        <v>845</v>
      </c>
      <c r="I205" s="38">
        <f t="shared" si="22"/>
        <v>153.31579424838972</v>
      </c>
      <c r="J205" s="162">
        <v>45943</v>
      </c>
      <c r="K205" s="161">
        <v>495</v>
      </c>
      <c r="L205" s="38">
        <f t="shared" si="23"/>
        <v>0</v>
      </c>
    </row>
    <row r="206" spans="1:12">
      <c r="A206" s="147" t="s">
        <v>1753</v>
      </c>
      <c r="B206" s="159" t="s">
        <v>1770</v>
      </c>
      <c r="C206" s="159" t="s">
        <v>1637</v>
      </c>
      <c r="D206" s="147" t="s">
        <v>12</v>
      </c>
      <c r="E206" s="147" t="str">
        <f t="shared" si="21"/>
        <v>BRZYue Yang</v>
      </c>
      <c r="F206" s="161">
        <v>811</v>
      </c>
      <c r="G206" s="148">
        <f>COSTS!$AA$29</f>
        <v>350</v>
      </c>
      <c r="H206" s="161">
        <f t="shared" si="24"/>
        <v>1161</v>
      </c>
      <c r="I206" s="38">
        <f t="shared" si="22"/>
        <v>210.65045813299466</v>
      </c>
      <c r="J206" s="162">
        <v>45943</v>
      </c>
      <c r="K206" s="161">
        <v>811</v>
      </c>
      <c r="L206" s="38">
        <f t="shared" si="23"/>
        <v>0</v>
      </c>
    </row>
    <row r="207" spans="1:12">
      <c r="A207" s="147" t="s">
        <v>1753</v>
      </c>
      <c r="B207" s="159" t="s">
        <v>1731</v>
      </c>
      <c r="C207" s="159" t="s">
        <v>1637</v>
      </c>
      <c r="D207" s="147" t="s">
        <v>12</v>
      </c>
      <c r="E207" s="147" t="str">
        <f t="shared" si="21"/>
        <v>BRZZhangjiagang</v>
      </c>
      <c r="F207" s="161">
        <v>300</v>
      </c>
      <c r="G207" s="148">
        <v>200</v>
      </c>
      <c r="H207" s="161">
        <f t="shared" si="24"/>
        <v>500</v>
      </c>
      <c r="I207" s="38">
        <f t="shared" si="22"/>
        <v>90.719404880703991</v>
      </c>
      <c r="J207" s="162">
        <v>46106</v>
      </c>
      <c r="K207" s="161">
        <v>486</v>
      </c>
      <c r="L207" s="38">
        <f t="shared" si="23"/>
        <v>-186</v>
      </c>
    </row>
    <row r="208" spans="1:12">
      <c r="A208" s="147" t="s">
        <v>1788</v>
      </c>
      <c r="B208" s="160" t="s">
        <v>1729</v>
      </c>
      <c r="C208" s="160" t="s">
        <v>1637</v>
      </c>
      <c r="D208" s="147" t="s">
        <v>12</v>
      </c>
      <c r="E208" s="147" t="str">
        <f t="shared" ref="E208:E259" si="25">CONCATENATE(,A208,B208)</f>
        <v>CharlestonQingdao</v>
      </c>
      <c r="F208" s="167">
        <v>121</v>
      </c>
      <c r="G208" s="148">
        <f>COSTS!$AA$29</f>
        <v>350</v>
      </c>
      <c r="H208" s="149">
        <f t="shared" ref="H208:H219" si="26">F208+G208</f>
        <v>471</v>
      </c>
      <c r="I208" s="150">
        <f t="shared" ref="I208:I240" si="27">IFERROR(H208/88*20,"No Quote")</f>
        <v>107.04545454545455</v>
      </c>
      <c r="J208" s="162">
        <v>46044</v>
      </c>
      <c r="K208" s="149">
        <v>122</v>
      </c>
      <c r="L208" s="38">
        <f t="shared" ref="L208:L259" si="28">F208-K208</f>
        <v>-1</v>
      </c>
    </row>
    <row r="209" spans="1:12">
      <c r="A209" s="154" t="s">
        <v>1788</v>
      </c>
      <c r="B209" s="153" t="s">
        <v>1635</v>
      </c>
      <c r="C209" s="153" t="s">
        <v>1635</v>
      </c>
      <c r="D209" s="154" t="s">
        <v>12</v>
      </c>
      <c r="E209" s="154" t="str">
        <f t="shared" si="25"/>
        <v>CharlestonCIF FE</v>
      </c>
      <c r="F209" s="168">
        <v>121</v>
      </c>
      <c r="G209" s="176">
        <f>COSTS!$AA$29</f>
        <v>350</v>
      </c>
      <c r="H209" s="155">
        <f t="shared" si="26"/>
        <v>471</v>
      </c>
      <c r="I209" s="156">
        <f t="shared" si="27"/>
        <v>107.04545454545455</v>
      </c>
      <c r="J209" s="165">
        <v>45796</v>
      </c>
      <c r="K209" s="177">
        <v>250</v>
      </c>
      <c r="L209" s="158">
        <f t="shared" si="28"/>
        <v>-129</v>
      </c>
    </row>
    <row r="210" spans="1:12">
      <c r="A210" s="147" t="s">
        <v>1788</v>
      </c>
      <c r="B210" s="160" t="s">
        <v>1727</v>
      </c>
      <c r="C210" s="160" t="s">
        <v>1668</v>
      </c>
      <c r="D210" s="147" t="s">
        <v>12</v>
      </c>
      <c r="E210" s="147" t="str">
        <f t="shared" si="25"/>
        <v>CharlestonTuticorin</v>
      </c>
      <c r="F210" s="167">
        <v>1420</v>
      </c>
      <c r="G210" s="148">
        <f>COSTS!$AA$29</f>
        <v>350</v>
      </c>
      <c r="H210" s="149">
        <f t="shared" si="26"/>
        <v>1770</v>
      </c>
      <c r="I210" s="150">
        <f t="shared" si="27"/>
        <v>402.27272727272725</v>
      </c>
      <c r="J210" s="162">
        <v>46044</v>
      </c>
      <c r="K210" s="149">
        <v>1964</v>
      </c>
      <c r="L210" s="38">
        <f t="shared" si="28"/>
        <v>-544</v>
      </c>
    </row>
    <row r="211" spans="1:12">
      <c r="A211" s="147" t="s">
        <v>1788</v>
      </c>
      <c r="B211" s="160" t="s">
        <v>1774</v>
      </c>
      <c r="C211" s="160" t="s">
        <v>1658</v>
      </c>
      <c r="D211" s="147" t="s">
        <v>12</v>
      </c>
      <c r="E211" s="147" t="str">
        <f t="shared" si="25"/>
        <v>CharlestonCikarang</v>
      </c>
      <c r="F211" s="167">
        <v>2060</v>
      </c>
      <c r="G211" s="148">
        <f>COSTS!$AA$29</f>
        <v>350</v>
      </c>
      <c r="H211" s="149">
        <f t="shared" si="26"/>
        <v>2410</v>
      </c>
      <c r="I211" s="150">
        <f t="shared" si="27"/>
        <v>547.72727272727275</v>
      </c>
      <c r="J211" s="162">
        <v>46044</v>
      </c>
      <c r="K211" s="149">
        <v>2230</v>
      </c>
      <c r="L211" s="38">
        <f t="shared" si="28"/>
        <v>-170</v>
      </c>
    </row>
    <row r="212" spans="1:12">
      <c r="A212" s="147" t="s">
        <v>1788</v>
      </c>
      <c r="B212" s="160" t="s">
        <v>1742</v>
      </c>
      <c r="C212" s="160" t="s">
        <v>1648</v>
      </c>
      <c r="D212" s="147" t="s">
        <v>12</v>
      </c>
      <c r="E212" s="147" t="str">
        <f t="shared" si="25"/>
        <v>CharlestonPort Klang</v>
      </c>
      <c r="F212" s="167">
        <v>314</v>
      </c>
      <c r="G212" s="148">
        <f>COSTS!$AA$29</f>
        <v>350</v>
      </c>
      <c r="H212" s="149">
        <f t="shared" si="26"/>
        <v>664</v>
      </c>
      <c r="I212" s="150">
        <f t="shared" si="27"/>
        <v>150.90909090909091</v>
      </c>
      <c r="J212" s="162">
        <v>46057</v>
      </c>
      <c r="K212" s="149">
        <v>314</v>
      </c>
      <c r="L212" s="38">
        <f t="shared" si="28"/>
        <v>0</v>
      </c>
    </row>
    <row r="213" spans="1:12">
      <c r="A213" s="147" t="s">
        <v>1788</v>
      </c>
      <c r="B213" s="160" t="s">
        <v>1746</v>
      </c>
      <c r="C213" s="160" t="s">
        <v>1658</v>
      </c>
      <c r="D213" s="147" t="s">
        <v>12</v>
      </c>
      <c r="E213" s="147" t="str">
        <f t="shared" si="25"/>
        <v>CharlestonJakarta</v>
      </c>
      <c r="F213" s="167">
        <v>607</v>
      </c>
      <c r="G213" s="148">
        <f>COSTS!$AA$29</f>
        <v>350</v>
      </c>
      <c r="H213" s="149">
        <f t="shared" si="26"/>
        <v>957</v>
      </c>
      <c r="I213" s="150">
        <f t="shared" si="27"/>
        <v>217.5</v>
      </c>
      <c r="J213" s="162">
        <v>46044</v>
      </c>
      <c r="K213" s="149">
        <v>755</v>
      </c>
      <c r="L213" s="38">
        <f t="shared" si="28"/>
        <v>-148</v>
      </c>
    </row>
    <row r="214" spans="1:12">
      <c r="A214" s="147" t="s">
        <v>1788</v>
      </c>
      <c r="B214" s="160" t="s">
        <v>1781</v>
      </c>
      <c r="C214" s="160" t="s">
        <v>1652</v>
      </c>
      <c r="D214" s="147" t="s">
        <v>12</v>
      </c>
      <c r="E214" s="147" t="str">
        <f t="shared" si="25"/>
        <v>CharlestonTaichung</v>
      </c>
      <c r="F214" s="167">
        <v>324</v>
      </c>
      <c r="G214" s="148">
        <f>COSTS!$AA$29</f>
        <v>350</v>
      </c>
      <c r="H214" s="149">
        <f t="shared" si="26"/>
        <v>674</v>
      </c>
      <c r="I214" s="150">
        <f t="shared" si="27"/>
        <v>153.18181818181819</v>
      </c>
      <c r="J214" s="162">
        <v>46044</v>
      </c>
      <c r="K214" s="149">
        <v>340</v>
      </c>
      <c r="L214" s="38">
        <f t="shared" si="28"/>
        <v>-16</v>
      </c>
    </row>
    <row r="215" spans="1:12">
      <c r="A215" s="147" t="s">
        <v>1788</v>
      </c>
      <c r="B215" s="160" t="s">
        <v>1790</v>
      </c>
      <c r="C215" s="160" t="s">
        <v>1637</v>
      </c>
      <c r="D215" s="147" t="s">
        <v>12</v>
      </c>
      <c r="E215" s="147" t="str">
        <f t="shared" si="25"/>
        <v>CharlestonZhuhai</v>
      </c>
      <c r="F215" s="167">
        <v>834</v>
      </c>
      <c r="G215" s="148">
        <f>COSTS!$AA$29</f>
        <v>350</v>
      </c>
      <c r="H215" s="149">
        <f t="shared" si="26"/>
        <v>1184</v>
      </c>
      <c r="I215" s="150">
        <f t="shared" si="27"/>
        <v>269.09090909090912</v>
      </c>
      <c r="J215" s="162">
        <v>46044</v>
      </c>
      <c r="K215" s="149">
        <v>1000</v>
      </c>
      <c r="L215" s="38">
        <f t="shared" si="28"/>
        <v>-166</v>
      </c>
    </row>
    <row r="216" spans="1:12">
      <c r="A216" s="147" t="s">
        <v>1788</v>
      </c>
      <c r="B216" s="160" t="s">
        <v>1791</v>
      </c>
      <c r="C216" s="160" t="s">
        <v>1637</v>
      </c>
      <c r="D216" s="147" t="s">
        <v>12</v>
      </c>
      <c r="E216" s="147" t="str">
        <f t="shared" si="25"/>
        <v>CharlestonZhanjiang</v>
      </c>
      <c r="F216" s="167">
        <v>830</v>
      </c>
      <c r="G216" s="148">
        <f>COSTS!$AA$29</f>
        <v>350</v>
      </c>
      <c r="H216" s="149">
        <f t="shared" si="26"/>
        <v>1180</v>
      </c>
      <c r="I216" s="150">
        <f t="shared" si="27"/>
        <v>268.18181818181819</v>
      </c>
      <c r="J216" s="162">
        <v>46044</v>
      </c>
      <c r="K216" s="149">
        <v>840</v>
      </c>
      <c r="L216" s="38">
        <f t="shared" si="28"/>
        <v>-10</v>
      </c>
    </row>
    <row r="217" spans="1:12">
      <c r="A217" s="147" t="s">
        <v>1788</v>
      </c>
      <c r="B217" s="160" t="s">
        <v>1731</v>
      </c>
      <c r="C217" s="160" t="s">
        <v>1637</v>
      </c>
      <c r="D217" s="147" t="s">
        <v>12</v>
      </c>
      <c r="E217" s="147" t="str">
        <f t="shared" si="25"/>
        <v>CharlestonZhangjiagang</v>
      </c>
      <c r="F217" s="167">
        <v>640</v>
      </c>
      <c r="G217" s="148">
        <f>COSTS!$AA$29</f>
        <v>350</v>
      </c>
      <c r="H217" s="149">
        <f t="shared" si="26"/>
        <v>990</v>
      </c>
      <c r="I217" s="150">
        <f t="shared" si="27"/>
        <v>225</v>
      </c>
      <c r="J217" s="162">
        <v>46044</v>
      </c>
      <c r="K217" s="149">
        <v>650</v>
      </c>
      <c r="L217" s="38">
        <f t="shared" si="28"/>
        <v>-10</v>
      </c>
    </row>
    <row r="218" spans="1:12">
      <c r="A218" s="147" t="s">
        <v>1788</v>
      </c>
      <c r="B218" s="160" t="s">
        <v>1792</v>
      </c>
      <c r="C218" s="160" t="s">
        <v>1637</v>
      </c>
      <c r="D218" s="147" t="s">
        <v>12</v>
      </c>
      <c r="E218" s="147" t="str">
        <f t="shared" si="25"/>
        <v>CharlestonXinhui</v>
      </c>
      <c r="F218" s="167" t="s">
        <v>1793</v>
      </c>
      <c r="G218" s="148">
        <f>COSTS!$AA$29</f>
        <v>350</v>
      </c>
      <c r="H218" s="149" t="e">
        <f t="shared" si="26"/>
        <v>#VALUE!</v>
      </c>
      <c r="I218" s="150" t="str">
        <f t="shared" si="27"/>
        <v>No Quote</v>
      </c>
      <c r="J218" s="162">
        <v>46044</v>
      </c>
      <c r="K218" s="149" t="s">
        <v>1793</v>
      </c>
      <c r="L218" s="38" t="e">
        <f t="shared" si="28"/>
        <v>#VALUE!</v>
      </c>
    </row>
    <row r="219" spans="1:12">
      <c r="A219" s="147" t="s">
        <v>1788</v>
      </c>
      <c r="B219" s="160" t="s">
        <v>1763</v>
      </c>
      <c r="C219" s="160" t="s">
        <v>1637</v>
      </c>
      <c r="D219" s="147" t="s">
        <v>12</v>
      </c>
      <c r="E219" s="147" t="str">
        <f t="shared" si="25"/>
        <v>CharlestonWuhan</v>
      </c>
      <c r="F219" s="167">
        <v>442</v>
      </c>
      <c r="G219" s="148">
        <f>COSTS!$AA$29</f>
        <v>350</v>
      </c>
      <c r="H219" s="149">
        <f t="shared" si="26"/>
        <v>792</v>
      </c>
      <c r="I219" s="150">
        <f t="shared" si="27"/>
        <v>180</v>
      </c>
      <c r="J219" s="162">
        <v>46044</v>
      </c>
      <c r="K219" s="149">
        <v>441</v>
      </c>
      <c r="L219" s="38">
        <f t="shared" si="28"/>
        <v>1</v>
      </c>
    </row>
    <row r="220" spans="1:12">
      <c r="A220" s="147" t="s">
        <v>1788</v>
      </c>
      <c r="B220" s="160" t="s">
        <v>1745</v>
      </c>
      <c r="C220" s="160" t="s">
        <v>1660</v>
      </c>
      <c r="D220" s="147" t="s">
        <v>12</v>
      </c>
      <c r="E220" s="147" t="str">
        <f t="shared" si="25"/>
        <v>CharlestonLat Krabang</v>
      </c>
      <c r="F220" s="167">
        <v>357</v>
      </c>
      <c r="G220" s="148">
        <f>COSTS!$AA$29</f>
        <v>350</v>
      </c>
      <c r="H220" s="149">
        <f t="shared" ref="H220:H250" si="29">F220+G220</f>
        <v>707</v>
      </c>
      <c r="I220" s="150">
        <f t="shared" si="27"/>
        <v>160.68181818181816</v>
      </c>
      <c r="J220" s="162">
        <v>46044</v>
      </c>
      <c r="K220" s="149">
        <v>450</v>
      </c>
      <c r="L220" s="38">
        <f t="shared" si="28"/>
        <v>-93</v>
      </c>
    </row>
    <row r="221" spans="1:12">
      <c r="A221" s="147" t="s">
        <v>1788</v>
      </c>
      <c r="B221" s="160" t="s">
        <v>1794</v>
      </c>
      <c r="C221" s="160" t="s">
        <v>1637</v>
      </c>
      <c r="D221" s="147" t="s">
        <v>12</v>
      </c>
      <c r="E221" s="147" t="str">
        <f t="shared" si="25"/>
        <v>CharlestonShanghai/Qingdao/Xiamen/Ningbo/Xingang</v>
      </c>
      <c r="F221" s="167">
        <v>258</v>
      </c>
      <c r="G221" s="148">
        <f>COSTS!$AA$29</f>
        <v>350</v>
      </c>
      <c r="H221" s="149">
        <f t="shared" si="29"/>
        <v>608</v>
      </c>
      <c r="I221" s="150">
        <f t="shared" si="27"/>
        <v>138.18181818181819</v>
      </c>
      <c r="J221" s="162">
        <v>46044</v>
      </c>
      <c r="K221" s="149">
        <v>285</v>
      </c>
      <c r="L221" s="38">
        <f t="shared" si="28"/>
        <v>-27</v>
      </c>
    </row>
    <row r="222" spans="1:12">
      <c r="A222" s="147" t="s">
        <v>1788</v>
      </c>
      <c r="B222" s="160" t="s">
        <v>1795</v>
      </c>
      <c r="C222" s="160" t="s">
        <v>1637</v>
      </c>
      <c r="D222" s="147" t="s">
        <v>12</v>
      </c>
      <c r="E222" s="147" t="str">
        <f t="shared" si="25"/>
        <v>CharlestonQinzhou</v>
      </c>
      <c r="F222" s="167">
        <v>783</v>
      </c>
      <c r="G222" s="148">
        <f>COSTS!$AA$29</f>
        <v>350</v>
      </c>
      <c r="H222" s="149">
        <f t="shared" si="29"/>
        <v>1133</v>
      </c>
      <c r="I222" s="150">
        <f t="shared" si="27"/>
        <v>257.5</v>
      </c>
      <c r="J222" s="162">
        <v>46044</v>
      </c>
      <c r="K222" s="149">
        <v>784</v>
      </c>
      <c r="L222" s="38">
        <f t="shared" si="28"/>
        <v>-1</v>
      </c>
    </row>
    <row r="223" spans="1:12">
      <c r="A223" s="147" t="s">
        <v>1788</v>
      </c>
      <c r="B223" s="160" t="s">
        <v>1775</v>
      </c>
      <c r="C223" s="160" t="s">
        <v>1648</v>
      </c>
      <c r="D223" s="147" t="s">
        <v>12</v>
      </c>
      <c r="E223" s="147" t="str">
        <f t="shared" si="25"/>
        <v>CharlestonTanjung Pelepas</v>
      </c>
      <c r="F223" s="167">
        <v>697</v>
      </c>
      <c r="G223" s="148">
        <f>COSTS!$AA$29</f>
        <v>350</v>
      </c>
      <c r="H223" s="149">
        <f t="shared" si="29"/>
        <v>1047</v>
      </c>
      <c r="I223" s="150">
        <f t="shared" si="27"/>
        <v>237.95454545454547</v>
      </c>
      <c r="J223" s="162">
        <v>46044</v>
      </c>
      <c r="K223" s="149">
        <v>824</v>
      </c>
      <c r="L223" s="38">
        <f t="shared" si="28"/>
        <v>-127</v>
      </c>
    </row>
    <row r="224" spans="1:12">
      <c r="A224" s="147" t="s">
        <v>1788</v>
      </c>
      <c r="B224" s="160" t="s">
        <v>1796</v>
      </c>
      <c r="C224" s="160" t="s">
        <v>1646</v>
      </c>
      <c r="D224" s="147" t="s">
        <v>12</v>
      </c>
      <c r="E224" s="147" t="str">
        <f t="shared" si="25"/>
        <v>CharlestonOsaka</v>
      </c>
      <c r="F224" s="167">
        <v>430</v>
      </c>
      <c r="G224" s="148">
        <f>COSTS!$AA$29</f>
        <v>350</v>
      </c>
      <c r="H224" s="149">
        <f t="shared" si="29"/>
        <v>780</v>
      </c>
      <c r="I224" s="150">
        <f t="shared" si="27"/>
        <v>177.27272727272725</v>
      </c>
      <c r="J224" s="162">
        <v>46044</v>
      </c>
      <c r="K224" s="149">
        <v>607</v>
      </c>
      <c r="L224" s="38">
        <f t="shared" si="28"/>
        <v>-177</v>
      </c>
    </row>
    <row r="225" spans="1:12">
      <c r="A225" s="147" t="s">
        <v>1788</v>
      </c>
      <c r="B225" s="160" t="s">
        <v>1734</v>
      </c>
      <c r="C225" s="160" t="s">
        <v>1637</v>
      </c>
      <c r="D225" s="147" t="s">
        <v>12</v>
      </c>
      <c r="E225" s="147" t="str">
        <f t="shared" si="25"/>
        <v>CharlestonNantong</v>
      </c>
      <c r="F225" s="167">
        <v>377</v>
      </c>
      <c r="G225" s="148">
        <f>COSTS!$AA$29</f>
        <v>350</v>
      </c>
      <c r="H225" s="149">
        <f t="shared" si="29"/>
        <v>727</v>
      </c>
      <c r="I225" s="150">
        <f t="shared" si="27"/>
        <v>165.22727272727275</v>
      </c>
      <c r="J225" s="162">
        <v>46044</v>
      </c>
      <c r="K225" s="149">
        <v>377</v>
      </c>
      <c r="L225" s="38">
        <f t="shared" si="28"/>
        <v>0</v>
      </c>
    </row>
    <row r="226" spans="1:12">
      <c r="A226" s="147" t="s">
        <v>1788</v>
      </c>
      <c r="B226" s="160" t="s">
        <v>1749</v>
      </c>
      <c r="C226" s="160" t="s">
        <v>1646</v>
      </c>
      <c r="D226" s="147" t="s">
        <v>12</v>
      </c>
      <c r="E226" s="147" t="str">
        <f t="shared" si="25"/>
        <v>CharlestonKobe</v>
      </c>
      <c r="F226" s="167">
        <v>257</v>
      </c>
      <c r="G226" s="148">
        <f>COSTS!$AA$29</f>
        <v>350</v>
      </c>
      <c r="H226" s="149">
        <f t="shared" si="29"/>
        <v>607</v>
      </c>
      <c r="I226" s="150">
        <f t="shared" si="27"/>
        <v>137.95454545454544</v>
      </c>
      <c r="J226" s="162">
        <v>46044</v>
      </c>
      <c r="K226" s="149">
        <v>482</v>
      </c>
      <c r="L226" s="38">
        <f t="shared" si="28"/>
        <v>-225</v>
      </c>
    </row>
    <row r="227" spans="1:12">
      <c r="A227" s="147" t="s">
        <v>1788</v>
      </c>
      <c r="B227" s="160" t="s">
        <v>517</v>
      </c>
      <c r="C227" s="160" t="s">
        <v>1797</v>
      </c>
      <c r="D227" s="147" t="s">
        <v>12</v>
      </c>
      <c r="E227" s="147" t="str">
        <f t="shared" si="25"/>
        <v>CharlestonManila</v>
      </c>
      <c r="F227" s="167">
        <v>1035</v>
      </c>
      <c r="G227" s="148">
        <f>COSTS!$AA$29</f>
        <v>350</v>
      </c>
      <c r="H227" s="149">
        <f t="shared" si="29"/>
        <v>1385</v>
      </c>
      <c r="I227" s="150">
        <f t="shared" si="27"/>
        <v>314.77272727272725</v>
      </c>
      <c r="J227" s="162">
        <v>46044</v>
      </c>
      <c r="K227" s="149">
        <v>1190</v>
      </c>
      <c r="L227" s="38">
        <f t="shared" si="28"/>
        <v>-155</v>
      </c>
    </row>
    <row r="228" spans="1:12">
      <c r="A228" s="147" t="s">
        <v>1788</v>
      </c>
      <c r="B228" s="160" t="s">
        <v>1768</v>
      </c>
      <c r="C228" s="160" t="s">
        <v>1637</v>
      </c>
      <c r="D228" s="147" t="s">
        <v>12</v>
      </c>
      <c r="E228" s="147" t="str">
        <f t="shared" si="25"/>
        <v>CharlestonLianyungang</v>
      </c>
      <c r="F228" s="167">
        <v>361</v>
      </c>
      <c r="G228" s="148">
        <f>COSTS!$AA$29</f>
        <v>350</v>
      </c>
      <c r="H228" s="149">
        <f t="shared" si="29"/>
        <v>711</v>
      </c>
      <c r="I228" s="150">
        <f t="shared" si="27"/>
        <v>161.59090909090909</v>
      </c>
      <c r="J228" s="162">
        <v>46044</v>
      </c>
      <c r="K228" s="149">
        <v>362</v>
      </c>
      <c r="L228" s="38">
        <f t="shared" si="28"/>
        <v>-1</v>
      </c>
    </row>
    <row r="229" spans="1:12">
      <c r="A229" s="147" t="s">
        <v>1788</v>
      </c>
      <c r="B229" s="160" t="s">
        <v>1737</v>
      </c>
      <c r="C229" s="160" t="s">
        <v>1644</v>
      </c>
      <c r="D229" s="147" t="s">
        <v>12</v>
      </c>
      <c r="E229" s="147" t="str">
        <f t="shared" si="25"/>
        <v>CharlestonKwangyang</v>
      </c>
      <c r="F229" s="167">
        <v>407</v>
      </c>
      <c r="G229" s="148">
        <f>COSTS!$AA$29</f>
        <v>350</v>
      </c>
      <c r="H229" s="149">
        <f t="shared" si="29"/>
        <v>757</v>
      </c>
      <c r="I229" s="150">
        <f t="shared" si="27"/>
        <v>172.04545454545453</v>
      </c>
      <c r="J229" s="162">
        <v>46044</v>
      </c>
      <c r="K229" s="149">
        <v>550</v>
      </c>
      <c r="L229" s="38">
        <f t="shared" si="28"/>
        <v>-143</v>
      </c>
    </row>
    <row r="230" spans="1:12">
      <c r="A230" s="147" t="s">
        <v>1788</v>
      </c>
      <c r="B230" s="160" t="s">
        <v>1798</v>
      </c>
      <c r="C230" s="160" t="s">
        <v>1652</v>
      </c>
      <c r="D230" s="147" t="s">
        <v>12</v>
      </c>
      <c r="E230" s="147" t="str">
        <f t="shared" si="25"/>
        <v>CharlestonTao Yuan</v>
      </c>
      <c r="F230" s="167">
        <v>324</v>
      </c>
      <c r="G230" s="148">
        <f>COSTS!$AA$29</f>
        <v>350</v>
      </c>
      <c r="H230" s="149">
        <f t="shared" si="29"/>
        <v>674</v>
      </c>
      <c r="I230" s="150">
        <f t="shared" si="27"/>
        <v>153.18181818181819</v>
      </c>
      <c r="J230" s="162">
        <v>46044</v>
      </c>
      <c r="K230" s="149">
        <v>335</v>
      </c>
      <c r="L230" s="38">
        <f t="shared" si="28"/>
        <v>-11</v>
      </c>
    </row>
    <row r="231" spans="1:12">
      <c r="A231" s="147" t="s">
        <v>1788</v>
      </c>
      <c r="B231" s="160" t="s">
        <v>1799</v>
      </c>
      <c r="C231" s="160" t="s">
        <v>1637</v>
      </c>
      <c r="D231" s="147" t="s">
        <v>12</v>
      </c>
      <c r="E231" s="147" t="str">
        <f t="shared" si="25"/>
        <v>CharlestonHuangpu</v>
      </c>
      <c r="F231" s="167">
        <v>561</v>
      </c>
      <c r="G231" s="148">
        <f>COSTS!$AA$29</f>
        <v>350</v>
      </c>
      <c r="H231" s="149">
        <f t="shared" si="29"/>
        <v>911</v>
      </c>
      <c r="I231" s="150">
        <f t="shared" si="27"/>
        <v>207.04545454545453</v>
      </c>
      <c r="J231" s="162">
        <v>46044</v>
      </c>
      <c r="K231" s="149">
        <v>562</v>
      </c>
      <c r="L231" s="38">
        <f t="shared" si="28"/>
        <v>-1</v>
      </c>
    </row>
    <row r="232" spans="1:12">
      <c r="A232" s="147" t="s">
        <v>1788</v>
      </c>
      <c r="B232" s="160" t="s">
        <v>1800</v>
      </c>
      <c r="C232" s="160" t="s">
        <v>1800</v>
      </c>
      <c r="D232" s="147" t="s">
        <v>12</v>
      </c>
      <c r="E232" s="147" t="str">
        <f t="shared" si="25"/>
        <v>CharlestonHong Kong</v>
      </c>
      <c r="F232" s="167" t="s">
        <v>1793</v>
      </c>
      <c r="G232" s="148">
        <f>COSTS!$AA$29</f>
        <v>350</v>
      </c>
      <c r="H232" s="149" t="e">
        <f t="shared" si="29"/>
        <v>#VALUE!</v>
      </c>
      <c r="I232" s="150" t="str">
        <f t="shared" si="27"/>
        <v>No Quote</v>
      </c>
      <c r="J232" s="162">
        <v>46044</v>
      </c>
      <c r="K232" s="149" t="s">
        <v>1793</v>
      </c>
      <c r="L232" s="38" t="e">
        <f t="shared" si="28"/>
        <v>#VALUE!</v>
      </c>
    </row>
    <row r="233" spans="1:12">
      <c r="A233" s="147" t="s">
        <v>1788</v>
      </c>
      <c r="B233" s="160" t="s">
        <v>1801</v>
      </c>
      <c r="C233" s="160" t="s">
        <v>1640</v>
      </c>
      <c r="D233" s="147" t="s">
        <v>12</v>
      </c>
      <c r="E233" s="147" t="str">
        <f t="shared" si="25"/>
        <v>CharlestonHo Chi Minh</v>
      </c>
      <c r="F233" s="167">
        <v>331</v>
      </c>
      <c r="G233" s="148">
        <f>COSTS!$AA$29</f>
        <v>350</v>
      </c>
      <c r="H233" s="149">
        <f t="shared" si="29"/>
        <v>681</v>
      </c>
      <c r="I233" s="150">
        <f t="shared" si="27"/>
        <v>154.77272727272725</v>
      </c>
      <c r="J233" s="162">
        <v>46044</v>
      </c>
      <c r="K233" s="149">
        <v>341</v>
      </c>
      <c r="L233" s="38">
        <f t="shared" si="28"/>
        <v>-10</v>
      </c>
    </row>
    <row r="234" spans="1:12">
      <c r="A234" s="147" t="s">
        <v>1788</v>
      </c>
      <c r="B234" s="160" t="s">
        <v>1740</v>
      </c>
      <c r="C234" s="160" t="s">
        <v>1640</v>
      </c>
      <c r="D234" s="147" t="s">
        <v>12</v>
      </c>
      <c r="E234" s="147" t="str">
        <f t="shared" si="25"/>
        <v>CharlestonHaiphong</v>
      </c>
      <c r="F234" s="167">
        <v>285</v>
      </c>
      <c r="G234" s="148">
        <f>COSTS!$AA$29</f>
        <v>350</v>
      </c>
      <c r="H234" s="149">
        <f t="shared" si="29"/>
        <v>635</v>
      </c>
      <c r="I234" s="150">
        <f t="shared" si="27"/>
        <v>144.31818181818181</v>
      </c>
      <c r="J234" s="162">
        <v>46044</v>
      </c>
      <c r="K234" s="149">
        <v>341</v>
      </c>
      <c r="L234" s="38">
        <f t="shared" si="28"/>
        <v>-56</v>
      </c>
    </row>
    <row r="235" spans="1:12">
      <c r="A235" s="147" t="s">
        <v>1788</v>
      </c>
      <c r="B235" s="160" t="s">
        <v>1802</v>
      </c>
      <c r="C235" s="160" t="s">
        <v>1637</v>
      </c>
      <c r="D235" s="147" t="s">
        <v>12</v>
      </c>
      <c r="E235" s="147" t="str">
        <f t="shared" si="25"/>
        <v>CharlestonFangcheng</v>
      </c>
      <c r="F235" s="167" t="s">
        <v>1793</v>
      </c>
      <c r="G235" s="148">
        <f>COSTS!$AA$29</f>
        <v>350</v>
      </c>
      <c r="H235" s="149" t="e">
        <f t="shared" si="29"/>
        <v>#VALUE!</v>
      </c>
      <c r="I235" s="150" t="str">
        <f t="shared" si="27"/>
        <v>No Quote</v>
      </c>
      <c r="J235" s="162">
        <v>46044</v>
      </c>
      <c r="K235" s="149" t="s">
        <v>1793</v>
      </c>
      <c r="L235" s="38" t="e">
        <f t="shared" si="28"/>
        <v>#VALUE!</v>
      </c>
    </row>
    <row r="236" spans="1:12">
      <c r="A236" s="147" t="s">
        <v>1788</v>
      </c>
      <c r="B236" s="160" t="s">
        <v>1803</v>
      </c>
      <c r="C236" s="160" t="s">
        <v>1640</v>
      </c>
      <c r="D236" s="147" t="s">
        <v>12</v>
      </c>
      <c r="E236" s="147" t="str">
        <f t="shared" si="25"/>
        <v>CharlestonDaNang</v>
      </c>
      <c r="F236" s="167">
        <v>768</v>
      </c>
      <c r="G236" s="148">
        <f>COSTS!$AA$29</f>
        <v>350</v>
      </c>
      <c r="H236" s="149">
        <f t="shared" si="29"/>
        <v>1118</v>
      </c>
      <c r="I236" s="150">
        <f t="shared" si="27"/>
        <v>254.09090909090909</v>
      </c>
      <c r="J236" s="162">
        <v>46044</v>
      </c>
      <c r="K236" s="149">
        <v>768</v>
      </c>
      <c r="L236" s="38">
        <f t="shared" si="28"/>
        <v>0</v>
      </c>
    </row>
    <row r="237" spans="1:12">
      <c r="A237" s="147" t="s">
        <v>1788</v>
      </c>
      <c r="B237" s="160" t="s">
        <v>1759</v>
      </c>
      <c r="C237" s="160" t="s">
        <v>1637</v>
      </c>
      <c r="D237" s="147" t="s">
        <v>12</v>
      </c>
      <c r="E237" s="147" t="str">
        <f t="shared" si="25"/>
        <v>CharlestonDalian</v>
      </c>
      <c r="F237" s="167">
        <v>398</v>
      </c>
      <c r="G237" s="148">
        <f>COSTS!$AA$29</f>
        <v>350</v>
      </c>
      <c r="H237" s="149">
        <f t="shared" si="29"/>
        <v>748</v>
      </c>
      <c r="I237" s="150">
        <f t="shared" si="27"/>
        <v>170</v>
      </c>
      <c r="J237" s="162">
        <v>46044</v>
      </c>
      <c r="K237" s="149">
        <v>399</v>
      </c>
      <c r="L237" s="38">
        <f t="shared" si="28"/>
        <v>-1</v>
      </c>
    </row>
    <row r="238" spans="1:12">
      <c r="A238" s="147" t="s">
        <v>1788</v>
      </c>
      <c r="B238" s="160" t="s">
        <v>1747</v>
      </c>
      <c r="C238" s="160" t="s">
        <v>1658</v>
      </c>
      <c r="D238" s="147" t="s">
        <v>12</v>
      </c>
      <c r="E238" s="147" t="str">
        <f t="shared" si="25"/>
        <v>CharlestonSemarang</v>
      </c>
      <c r="F238" s="167">
        <v>788</v>
      </c>
      <c r="G238" s="148">
        <f>COSTS!$AA$29</f>
        <v>350</v>
      </c>
      <c r="H238" s="149">
        <f t="shared" si="29"/>
        <v>1138</v>
      </c>
      <c r="I238" s="150">
        <f t="shared" si="27"/>
        <v>258.63636363636363</v>
      </c>
      <c r="J238" s="162">
        <v>46044</v>
      </c>
      <c r="K238" s="149">
        <v>800</v>
      </c>
      <c r="L238" s="38">
        <f t="shared" si="28"/>
        <v>-12</v>
      </c>
    </row>
    <row r="239" spans="1:12">
      <c r="A239" s="147" t="s">
        <v>1788</v>
      </c>
      <c r="B239" s="160" t="s">
        <v>1804</v>
      </c>
      <c r="C239" s="160" t="s">
        <v>1637</v>
      </c>
      <c r="D239" s="147" t="s">
        <v>12</v>
      </c>
      <c r="E239" s="147" t="str">
        <f t="shared" si="25"/>
        <v>CharlestonChangzhou</v>
      </c>
      <c r="F239" s="167">
        <v>848</v>
      </c>
      <c r="G239" s="148">
        <f>COSTS!$AA$29</f>
        <v>350</v>
      </c>
      <c r="H239" s="149">
        <f t="shared" si="29"/>
        <v>1198</v>
      </c>
      <c r="I239" s="150">
        <f t="shared" si="27"/>
        <v>272.27272727272725</v>
      </c>
      <c r="J239" s="162">
        <v>46044</v>
      </c>
      <c r="K239" s="149">
        <v>849</v>
      </c>
      <c r="L239" s="38">
        <f t="shared" si="28"/>
        <v>-1</v>
      </c>
    </row>
    <row r="240" spans="1:12">
      <c r="A240" s="147" t="s">
        <v>1788</v>
      </c>
      <c r="B240" s="160" t="s">
        <v>1736</v>
      </c>
      <c r="C240" s="160" t="s">
        <v>1644</v>
      </c>
      <c r="D240" s="147" t="s">
        <v>12</v>
      </c>
      <c r="E240" s="147" t="str">
        <f t="shared" si="25"/>
        <v>CharlestonBusan</v>
      </c>
      <c r="F240" s="167">
        <v>82</v>
      </c>
      <c r="G240" s="148">
        <f>COSTS!$AA$29</f>
        <v>350</v>
      </c>
      <c r="H240" s="149">
        <f t="shared" si="29"/>
        <v>432</v>
      </c>
      <c r="I240" s="150">
        <f t="shared" si="27"/>
        <v>98.181818181818187</v>
      </c>
      <c r="J240" s="162">
        <v>46044</v>
      </c>
      <c r="K240" s="149">
        <v>274</v>
      </c>
      <c r="L240" s="38">
        <f t="shared" si="28"/>
        <v>-192</v>
      </c>
    </row>
    <row r="241" spans="1:12">
      <c r="A241" s="147" t="s">
        <v>1788</v>
      </c>
      <c r="B241" s="160" t="s">
        <v>1749</v>
      </c>
      <c r="C241" s="160" t="s">
        <v>1646</v>
      </c>
      <c r="D241" s="147" t="s">
        <v>12</v>
      </c>
      <c r="E241" s="147" t="str">
        <f t="shared" si="25"/>
        <v>CharlestonKobe</v>
      </c>
      <c r="F241" s="167">
        <v>257</v>
      </c>
      <c r="G241" s="148">
        <f>COSTS!$AA$29</f>
        <v>350</v>
      </c>
      <c r="H241" s="149">
        <f t="shared" si="29"/>
        <v>607</v>
      </c>
      <c r="I241" s="150">
        <v>125</v>
      </c>
      <c r="J241" s="162">
        <v>46044</v>
      </c>
      <c r="K241" s="149">
        <v>482</v>
      </c>
      <c r="L241" s="38">
        <f t="shared" si="28"/>
        <v>-225</v>
      </c>
    </row>
    <row r="242" spans="1:12">
      <c r="A242" s="147" t="s">
        <v>1788</v>
      </c>
      <c r="B242" s="160" t="s">
        <v>1787</v>
      </c>
      <c r="C242" s="160" t="s">
        <v>1646</v>
      </c>
      <c r="D242" s="147" t="s">
        <v>12</v>
      </c>
      <c r="E242" s="147" t="str">
        <f t="shared" si="25"/>
        <v>CharlestonNagoya</v>
      </c>
      <c r="F242" s="167">
        <v>257</v>
      </c>
      <c r="G242" s="148">
        <f>COSTS!$AA$29</f>
        <v>350</v>
      </c>
      <c r="H242" s="149">
        <f t="shared" si="29"/>
        <v>607</v>
      </c>
      <c r="I242" s="150">
        <v>125</v>
      </c>
      <c r="J242" s="162">
        <v>46044</v>
      </c>
      <c r="K242" s="149">
        <v>482</v>
      </c>
      <c r="L242" s="38">
        <f t="shared" si="28"/>
        <v>-225</v>
      </c>
    </row>
    <row r="243" spans="1:12">
      <c r="A243" s="147" t="s">
        <v>1788</v>
      </c>
      <c r="B243" s="160" t="s">
        <v>1787</v>
      </c>
      <c r="C243" s="160" t="s">
        <v>1646</v>
      </c>
      <c r="D243" s="147" t="s">
        <v>12</v>
      </c>
      <c r="E243" s="147" t="str">
        <f t="shared" si="25"/>
        <v>CharlestonNagoya</v>
      </c>
      <c r="F243" s="167">
        <v>257</v>
      </c>
      <c r="G243" s="148">
        <f>COSTS!$AA$29</f>
        <v>350</v>
      </c>
      <c r="H243" s="149">
        <f t="shared" si="29"/>
        <v>607</v>
      </c>
      <c r="I243" s="150">
        <v>125</v>
      </c>
      <c r="J243" s="162">
        <v>46044</v>
      </c>
      <c r="K243" s="149">
        <v>482</v>
      </c>
      <c r="L243" s="38">
        <f t="shared" si="28"/>
        <v>-225</v>
      </c>
    </row>
    <row r="244" spans="1:12">
      <c r="A244" s="147" t="s">
        <v>1788</v>
      </c>
      <c r="B244" s="160" t="s">
        <v>1776</v>
      </c>
      <c r="C244" s="160" t="s">
        <v>1648</v>
      </c>
      <c r="D244" s="147" t="s">
        <v>12</v>
      </c>
      <c r="E244" s="147" t="str">
        <f t="shared" si="25"/>
        <v>CharlestonPasir Gudang</v>
      </c>
      <c r="F244" s="167">
        <v>514</v>
      </c>
      <c r="G244" s="148">
        <f>COSTS!$AA$29</f>
        <v>350</v>
      </c>
      <c r="H244" s="149">
        <f t="shared" si="29"/>
        <v>864</v>
      </c>
      <c r="I244" s="150">
        <f>IFERROR(H244/88*20,"No Quote")</f>
        <v>196.36363636363637</v>
      </c>
      <c r="J244" s="162">
        <v>46044</v>
      </c>
      <c r="K244" s="149">
        <v>524</v>
      </c>
      <c r="L244" s="38">
        <f t="shared" si="28"/>
        <v>-10</v>
      </c>
    </row>
    <row r="245" spans="1:12">
      <c r="A245" s="147" t="s">
        <v>1788</v>
      </c>
      <c r="B245" s="160" t="s">
        <v>1752</v>
      </c>
      <c r="C245" s="160" t="s">
        <v>1652</v>
      </c>
      <c r="D245" s="147" t="s">
        <v>12</v>
      </c>
      <c r="E245" s="147" t="str">
        <f t="shared" si="25"/>
        <v>CharlestonKeelung</v>
      </c>
      <c r="F245" s="167">
        <v>615</v>
      </c>
      <c r="G245" s="148">
        <f>COSTS!$AA$29</f>
        <v>350</v>
      </c>
      <c r="H245" s="149">
        <f t="shared" si="29"/>
        <v>965</v>
      </c>
      <c r="I245" s="150">
        <f>IFERROR(H245/88*20,"No Quote")</f>
        <v>219.31818181818184</v>
      </c>
      <c r="J245" s="162">
        <v>46044</v>
      </c>
      <c r="K245" s="149">
        <v>732</v>
      </c>
      <c r="L245" s="38">
        <f t="shared" si="28"/>
        <v>-117</v>
      </c>
    </row>
    <row r="246" spans="1:12">
      <c r="A246" s="147" t="s">
        <v>1788</v>
      </c>
      <c r="B246" s="160" t="s">
        <v>1748</v>
      </c>
      <c r="C246" s="160" t="s">
        <v>1658</v>
      </c>
      <c r="D246" s="147" t="s">
        <v>12</v>
      </c>
      <c r="E246" s="147" t="str">
        <f t="shared" si="25"/>
        <v>CharlestonSurabaya</v>
      </c>
      <c r="F246" s="167">
        <v>657</v>
      </c>
      <c r="G246" s="148">
        <f>COSTS!$AA$29</f>
        <v>350</v>
      </c>
      <c r="H246" s="149">
        <f t="shared" si="29"/>
        <v>1007</v>
      </c>
      <c r="I246" s="150">
        <f>IFERROR(H246/88*20,"No Quote")</f>
        <v>228.86363636363637</v>
      </c>
      <c r="J246" s="162">
        <v>46044</v>
      </c>
      <c r="K246" s="149">
        <v>802</v>
      </c>
      <c r="L246" s="38">
        <f t="shared" si="28"/>
        <v>-145</v>
      </c>
    </row>
    <row r="247" spans="1:12">
      <c r="A247" s="147" t="s">
        <v>1788</v>
      </c>
      <c r="B247" s="160" t="s">
        <v>1745</v>
      </c>
      <c r="C247" s="160" t="s">
        <v>1660</v>
      </c>
      <c r="D247" s="147" t="s">
        <v>12</v>
      </c>
      <c r="E247" s="147" t="str">
        <f t="shared" si="25"/>
        <v>CharlestonLat Krabang</v>
      </c>
      <c r="F247" s="167">
        <v>357</v>
      </c>
      <c r="G247" s="148">
        <f>COSTS!$AA$29</f>
        <v>350</v>
      </c>
      <c r="H247" s="149">
        <f t="shared" si="29"/>
        <v>707</v>
      </c>
      <c r="I247" s="150">
        <v>45.45454545454546</v>
      </c>
      <c r="J247" s="162">
        <v>46044</v>
      </c>
      <c r="K247" s="149">
        <v>450</v>
      </c>
      <c r="L247" s="38">
        <f t="shared" si="28"/>
        <v>-93</v>
      </c>
    </row>
    <row r="248" spans="1:12">
      <c r="A248" s="147" t="s">
        <v>1788</v>
      </c>
      <c r="B248" s="160" t="s">
        <v>1745</v>
      </c>
      <c r="C248" s="160" t="s">
        <v>1660</v>
      </c>
      <c r="D248" s="147" t="s">
        <v>12</v>
      </c>
      <c r="E248" s="147" t="str">
        <f t="shared" si="25"/>
        <v>CharlestonLat Krabang</v>
      </c>
      <c r="F248" s="167">
        <v>357</v>
      </c>
      <c r="G248" s="148">
        <f>COSTS!$AA$29</f>
        <v>350</v>
      </c>
      <c r="H248" s="149">
        <f t="shared" si="29"/>
        <v>707</v>
      </c>
      <c r="I248" s="150">
        <v>45.45454545454546</v>
      </c>
      <c r="J248" s="162">
        <v>46044</v>
      </c>
      <c r="K248" s="149">
        <v>450</v>
      </c>
      <c r="L248" s="38">
        <f t="shared" si="28"/>
        <v>-93</v>
      </c>
    </row>
    <row r="249" spans="1:12">
      <c r="A249" s="147" t="s">
        <v>1788</v>
      </c>
      <c r="B249" s="160" t="s">
        <v>1744</v>
      </c>
      <c r="C249" s="160" t="s">
        <v>1660</v>
      </c>
      <c r="D249" s="147" t="s">
        <v>12</v>
      </c>
      <c r="E249" s="147" t="str">
        <f t="shared" si="25"/>
        <v>CharlestonLaem Chabang</v>
      </c>
      <c r="F249" s="167">
        <v>107</v>
      </c>
      <c r="G249" s="148">
        <f>COSTS!$AA$29</f>
        <v>350</v>
      </c>
      <c r="H249" s="149">
        <f t="shared" si="29"/>
        <v>457</v>
      </c>
      <c r="I249" s="150">
        <v>45.45454545454546</v>
      </c>
      <c r="J249" s="162">
        <v>46044</v>
      </c>
      <c r="K249" s="149">
        <v>272</v>
      </c>
      <c r="L249" s="38">
        <f t="shared" si="28"/>
        <v>-165</v>
      </c>
    </row>
    <row r="250" spans="1:12">
      <c r="A250" s="147" t="s">
        <v>1788</v>
      </c>
      <c r="B250" s="160" t="s">
        <v>1786</v>
      </c>
      <c r="C250" s="160" t="s">
        <v>1648</v>
      </c>
      <c r="D250" s="147" t="s">
        <v>12</v>
      </c>
      <c r="E250" s="147" t="str">
        <f t="shared" si="25"/>
        <v>CharlestonPenang</v>
      </c>
      <c r="F250" s="167">
        <v>425</v>
      </c>
      <c r="G250" s="148">
        <f>COSTS!$AA$29</f>
        <v>350</v>
      </c>
      <c r="H250" s="149">
        <f t="shared" si="29"/>
        <v>775</v>
      </c>
      <c r="I250" s="150">
        <f t="shared" ref="I250:I295" si="30">IFERROR(H250/88*20,"No Quote")</f>
        <v>176.13636363636363</v>
      </c>
      <c r="J250" s="162">
        <v>46044</v>
      </c>
      <c r="K250" s="149">
        <v>524</v>
      </c>
      <c r="L250" s="38">
        <f t="shared" si="28"/>
        <v>-99</v>
      </c>
    </row>
    <row r="251" spans="1:12">
      <c r="A251" s="147" t="s">
        <v>1788</v>
      </c>
      <c r="B251" s="159" t="s">
        <v>1733</v>
      </c>
      <c r="C251" s="160" t="s">
        <v>1637</v>
      </c>
      <c r="D251" s="147" t="s">
        <v>12</v>
      </c>
      <c r="E251" s="147" t="str">
        <f t="shared" si="25"/>
        <v>CharlestonXiamen</v>
      </c>
      <c r="F251" s="167">
        <v>301</v>
      </c>
      <c r="G251" s="148">
        <f>COSTS!$AA$29</f>
        <v>350</v>
      </c>
      <c r="H251" s="149">
        <v>300</v>
      </c>
      <c r="I251" s="150">
        <f t="shared" si="30"/>
        <v>68.181818181818187</v>
      </c>
      <c r="J251" s="162">
        <v>46044</v>
      </c>
      <c r="K251" s="149">
        <v>333</v>
      </c>
      <c r="L251" s="38">
        <f t="shared" si="28"/>
        <v>-32</v>
      </c>
    </row>
    <row r="252" spans="1:12">
      <c r="A252" s="154" t="s">
        <v>241</v>
      </c>
      <c r="B252" s="153" t="s">
        <v>1635</v>
      </c>
      <c r="C252" s="153" t="s">
        <v>1635</v>
      </c>
      <c r="D252" s="154" t="s">
        <v>12</v>
      </c>
      <c r="E252" s="154" t="str">
        <f t="shared" si="25"/>
        <v>DallasCIF FE</v>
      </c>
      <c r="F252" s="168">
        <v>830</v>
      </c>
      <c r="G252" s="176">
        <f>COSTS!$AA$29</f>
        <v>350</v>
      </c>
      <c r="H252" s="155">
        <f t="shared" ref="H252:H283" si="31">F252+G252</f>
        <v>1180</v>
      </c>
      <c r="I252" s="156">
        <f t="shared" si="30"/>
        <v>268.18181818181819</v>
      </c>
      <c r="J252" s="165">
        <v>45796</v>
      </c>
      <c r="K252" s="177">
        <v>700</v>
      </c>
      <c r="L252" s="158">
        <f t="shared" si="28"/>
        <v>130</v>
      </c>
    </row>
    <row r="253" spans="1:12">
      <c r="A253" s="1" t="s">
        <v>241</v>
      </c>
      <c r="B253" s="136" t="s">
        <v>1750</v>
      </c>
      <c r="C253" s="136" t="s">
        <v>1670</v>
      </c>
      <c r="D253" s="1" t="s">
        <v>12</v>
      </c>
      <c r="E253" s="1" t="str">
        <f t="shared" si="25"/>
        <v>DallasIskenderun</v>
      </c>
      <c r="F253" s="169">
        <v>2400</v>
      </c>
      <c r="G253" s="148">
        <f>COSTS!$AA$29</f>
        <v>350</v>
      </c>
      <c r="H253" s="149">
        <f t="shared" si="31"/>
        <v>2750</v>
      </c>
      <c r="I253" s="170">
        <f t="shared" si="30"/>
        <v>625</v>
      </c>
      <c r="J253" s="166">
        <v>46044</v>
      </c>
      <c r="K253" s="171">
        <v>2400</v>
      </c>
      <c r="L253" s="38">
        <f t="shared" si="28"/>
        <v>0</v>
      </c>
    </row>
    <row r="254" spans="1:12">
      <c r="A254" s="147" t="s">
        <v>241</v>
      </c>
      <c r="B254" s="160" t="s">
        <v>1774</v>
      </c>
      <c r="C254" s="160" t="s">
        <v>1658</v>
      </c>
      <c r="D254" s="147" t="s">
        <v>12</v>
      </c>
      <c r="E254" s="147" t="str">
        <f t="shared" si="25"/>
        <v>DallasCikarang</v>
      </c>
      <c r="F254" s="167">
        <v>1489</v>
      </c>
      <c r="G254" s="148">
        <f>COSTS!$AA$29</f>
        <v>350</v>
      </c>
      <c r="H254" s="149">
        <f t="shared" si="31"/>
        <v>1839</v>
      </c>
      <c r="I254" s="150">
        <f t="shared" si="30"/>
        <v>417.9545454545455</v>
      </c>
      <c r="J254" s="162">
        <v>46044</v>
      </c>
      <c r="K254" s="172">
        <v>1489</v>
      </c>
      <c r="L254" s="38">
        <f t="shared" si="28"/>
        <v>0</v>
      </c>
    </row>
    <row r="255" spans="1:12">
      <c r="A255" s="147" t="s">
        <v>241</v>
      </c>
      <c r="B255" s="160" t="s">
        <v>1729</v>
      </c>
      <c r="C255" s="160" t="s">
        <v>1637</v>
      </c>
      <c r="D255" s="147" t="s">
        <v>12</v>
      </c>
      <c r="E255" s="147" t="str">
        <f t="shared" si="25"/>
        <v>DallasQingdao</v>
      </c>
      <c r="F255" s="167">
        <v>830</v>
      </c>
      <c r="G255" s="148">
        <f>COSTS!$AA$29</f>
        <v>350</v>
      </c>
      <c r="H255" s="149">
        <f t="shared" si="31"/>
        <v>1180</v>
      </c>
      <c r="I255" s="150">
        <f t="shared" si="30"/>
        <v>268.18181818181819</v>
      </c>
      <c r="J255" s="162">
        <v>46044</v>
      </c>
      <c r="K255" s="149">
        <v>861</v>
      </c>
      <c r="L255" s="38">
        <f t="shared" si="28"/>
        <v>-31</v>
      </c>
    </row>
    <row r="256" spans="1:12">
      <c r="A256" s="147" t="s">
        <v>241</v>
      </c>
      <c r="B256" s="160" t="s">
        <v>1752</v>
      </c>
      <c r="C256" s="160" t="s">
        <v>1652</v>
      </c>
      <c r="D256" s="147" t="s">
        <v>12</v>
      </c>
      <c r="E256" s="147" t="str">
        <f t="shared" si="25"/>
        <v>DallasKeelung</v>
      </c>
      <c r="F256" s="167">
        <v>800</v>
      </c>
      <c r="G256" s="148">
        <f>COSTS!$AA$29</f>
        <v>350</v>
      </c>
      <c r="H256" s="149">
        <f t="shared" si="31"/>
        <v>1150</v>
      </c>
      <c r="I256" s="150">
        <f t="shared" si="30"/>
        <v>261.36363636363637</v>
      </c>
      <c r="J256" s="162">
        <v>46044</v>
      </c>
      <c r="K256" s="149">
        <v>850</v>
      </c>
      <c r="L256" s="38">
        <f t="shared" si="28"/>
        <v>-50</v>
      </c>
    </row>
    <row r="257" spans="1:12">
      <c r="A257" s="1" t="s">
        <v>241</v>
      </c>
      <c r="B257" s="136" t="s">
        <v>1725</v>
      </c>
      <c r="C257" s="136" t="s">
        <v>1668</v>
      </c>
      <c r="D257" s="1" t="s">
        <v>12</v>
      </c>
      <c r="E257" s="1" t="str">
        <f t="shared" si="25"/>
        <v>DallasNhava Sheva</v>
      </c>
      <c r="F257" s="169">
        <v>1224</v>
      </c>
      <c r="G257" s="148">
        <f>COSTS!$AA$29</f>
        <v>350</v>
      </c>
      <c r="H257" s="149">
        <f t="shared" si="31"/>
        <v>1574</v>
      </c>
      <c r="I257" s="170">
        <f t="shared" si="30"/>
        <v>357.72727272727275</v>
      </c>
      <c r="J257" s="166">
        <v>46044</v>
      </c>
      <c r="K257" s="171">
        <v>1224</v>
      </c>
      <c r="L257" s="38">
        <f t="shared" si="28"/>
        <v>0</v>
      </c>
    </row>
    <row r="258" spans="1:12">
      <c r="A258" s="1" t="s">
        <v>241</v>
      </c>
      <c r="B258" s="136" t="s">
        <v>1726</v>
      </c>
      <c r="C258" s="136" t="s">
        <v>1668</v>
      </c>
      <c r="D258" s="1" t="s">
        <v>12</v>
      </c>
      <c r="E258" s="147" t="str">
        <f t="shared" si="25"/>
        <v>DallasMundra</v>
      </c>
      <c r="F258" s="169">
        <v>2260</v>
      </c>
      <c r="G258" s="148">
        <f>COSTS!$AA$29</f>
        <v>350</v>
      </c>
      <c r="H258" s="149">
        <f t="shared" si="31"/>
        <v>2610</v>
      </c>
      <c r="I258" s="150">
        <f t="shared" si="30"/>
        <v>593.18181818181824</v>
      </c>
      <c r="J258" s="166">
        <v>46044</v>
      </c>
      <c r="K258" s="171">
        <v>2424</v>
      </c>
      <c r="L258" s="38">
        <f t="shared" si="28"/>
        <v>-164</v>
      </c>
    </row>
    <row r="259" spans="1:12">
      <c r="A259" s="147" t="s">
        <v>241</v>
      </c>
      <c r="B259" s="160" t="s">
        <v>1727</v>
      </c>
      <c r="C259" s="160" t="s">
        <v>1668</v>
      </c>
      <c r="D259" s="147" t="s">
        <v>12</v>
      </c>
      <c r="E259" s="147" t="str">
        <f t="shared" si="25"/>
        <v>DallasTuticorin</v>
      </c>
      <c r="F259" s="167">
        <v>1344</v>
      </c>
      <c r="G259" s="148">
        <f>COSTS!$AA$29</f>
        <v>350</v>
      </c>
      <c r="H259" s="149">
        <f t="shared" si="31"/>
        <v>1694</v>
      </c>
      <c r="I259" s="150">
        <f t="shared" si="30"/>
        <v>385</v>
      </c>
      <c r="J259" s="162">
        <v>46044</v>
      </c>
      <c r="K259" s="149">
        <v>1344</v>
      </c>
      <c r="L259" s="38">
        <f t="shared" si="28"/>
        <v>0</v>
      </c>
    </row>
    <row r="260" spans="1:12">
      <c r="A260" s="147" t="s">
        <v>241</v>
      </c>
      <c r="B260" s="160" t="s">
        <v>1742</v>
      </c>
      <c r="C260" s="160" t="s">
        <v>1648</v>
      </c>
      <c r="D260" s="147" t="s">
        <v>12</v>
      </c>
      <c r="E260" s="147" t="str">
        <f t="shared" ref="E260:E323" si="32">CONCATENATE(,A260,B260)</f>
        <v>DallasPort Klang</v>
      </c>
      <c r="F260" s="167">
        <v>784</v>
      </c>
      <c r="G260" s="148">
        <f>COSTS!$AA$29</f>
        <v>350</v>
      </c>
      <c r="H260" s="149">
        <f t="shared" si="31"/>
        <v>1134</v>
      </c>
      <c r="I260" s="150">
        <f t="shared" si="30"/>
        <v>257.72727272727275</v>
      </c>
      <c r="J260" s="162">
        <v>46057</v>
      </c>
      <c r="K260" s="149">
        <v>784</v>
      </c>
      <c r="L260" s="38">
        <f t="shared" ref="L260:L323" si="33">F260-K260</f>
        <v>0</v>
      </c>
    </row>
    <row r="261" spans="1:12">
      <c r="A261" s="147" t="s">
        <v>241</v>
      </c>
      <c r="B261" s="160" t="s">
        <v>1746</v>
      </c>
      <c r="C261" s="160" t="s">
        <v>1658</v>
      </c>
      <c r="D261" s="147" t="s">
        <v>12</v>
      </c>
      <c r="E261" s="147" t="str">
        <f t="shared" si="32"/>
        <v>DallasJakarta</v>
      </c>
      <c r="F261" s="167">
        <v>1000</v>
      </c>
      <c r="G261" s="148">
        <f>COSTS!$AA$29</f>
        <v>350</v>
      </c>
      <c r="H261" s="149">
        <f t="shared" si="31"/>
        <v>1350</v>
      </c>
      <c r="I261" s="150">
        <f t="shared" si="30"/>
        <v>306.81818181818181</v>
      </c>
      <c r="J261" s="162">
        <v>46044</v>
      </c>
      <c r="K261" s="149">
        <v>1145</v>
      </c>
      <c r="L261" s="38">
        <f t="shared" si="33"/>
        <v>-145</v>
      </c>
    </row>
    <row r="262" spans="1:12">
      <c r="A262" s="147" t="s">
        <v>241</v>
      </c>
      <c r="B262" s="160" t="s">
        <v>1790</v>
      </c>
      <c r="C262" s="160" t="s">
        <v>1637</v>
      </c>
      <c r="D262" s="147" t="s">
        <v>12</v>
      </c>
      <c r="E262" s="147" t="str">
        <f t="shared" si="32"/>
        <v>DallasZhuhai</v>
      </c>
      <c r="F262" s="167">
        <v>1844</v>
      </c>
      <c r="G262" s="148">
        <f>COSTS!$AA$29</f>
        <v>350</v>
      </c>
      <c r="H262" s="149">
        <f t="shared" si="31"/>
        <v>2194</v>
      </c>
      <c r="I262" s="150">
        <f t="shared" si="30"/>
        <v>498.63636363636368</v>
      </c>
      <c r="J262" s="162">
        <v>46044</v>
      </c>
      <c r="K262" s="149">
        <v>1850</v>
      </c>
      <c r="L262" s="38">
        <f t="shared" si="33"/>
        <v>-6</v>
      </c>
    </row>
    <row r="263" spans="1:12">
      <c r="A263" s="147" t="s">
        <v>241</v>
      </c>
      <c r="B263" s="160" t="s">
        <v>1791</v>
      </c>
      <c r="C263" s="160" t="s">
        <v>1637</v>
      </c>
      <c r="D263" s="147" t="s">
        <v>12</v>
      </c>
      <c r="E263" s="147" t="str">
        <f t="shared" si="32"/>
        <v>DallasZhanjiang</v>
      </c>
      <c r="F263" s="167">
        <v>1848</v>
      </c>
      <c r="G263" s="148">
        <f>COSTS!$AA$29</f>
        <v>350</v>
      </c>
      <c r="H263" s="149">
        <f t="shared" si="31"/>
        <v>2198</v>
      </c>
      <c r="I263" s="150">
        <f t="shared" si="30"/>
        <v>499.5454545454545</v>
      </c>
      <c r="J263" s="162">
        <v>46044</v>
      </c>
      <c r="K263" s="149">
        <v>1851</v>
      </c>
      <c r="L263" s="38">
        <f t="shared" si="33"/>
        <v>-3</v>
      </c>
    </row>
    <row r="264" spans="1:12">
      <c r="A264" s="147" t="s">
        <v>241</v>
      </c>
      <c r="B264" s="160" t="s">
        <v>1731</v>
      </c>
      <c r="C264" s="160" t="s">
        <v>1637</v>
      </c>
      <c r="D264" s="147" t="s">
        <v>12</v>
      </c>
      <c r="E264" s="147" t="str">
        <f t="shared" si="32"/>
        <v>DallasZhangjiagang</v>
      </c>
      <c r="F264" s="149">
        <v>1239</v>
      </c>
      <c r="G264" s="148">
        <f>COSTS!$AA$29</f>
        <v>350</v>
      </c>
      <c r="H264" s="149">
        <f t="shared" si="31"/>
        <v>1589</v>
      </c>
      <c r="I264" s="150">
        <f t="shared" si="30"/>
        <v>361.13636363636368</v>
      </c>
      <c r="J264" s="162">
        <v>46044</v>
      </c>
      <c r="K264" s="149">
        <v>1300</v>
      </c>
      <c r="L264" s="38">
        <f t="shared" si="33"/>
        <v>-61</v>
      </c>
    </row>
    <row r="265" spans="1:12">
      <c r="A265" s="147" t="s">
        <v>241</v>
      </c>
      <c r="B265" s="160" t="s">
        <v>1792</v>
      </c>
      <c r="C265" s="160" t="s">
        <v>1637</v>
      </c>
      <c r="D265" s="147" t="s">
        <v>12</v>
      </c>
      <c r="E265" s="147" t="str">
        <f t="shared" si="32"/>
        <v>DallasXinhui</v>
      </c>
      <c r="F265" s="167">
        <v>2194</v>
      </c>
      <c r="G265" s="148">
        <f>COSTS!$AA$29</f>
        <v>350</v>
      </c>
      <c r="H265" s="149">
        <f t="shared" si="31"/>
        <v>2544</v>
      </c>
      <c r="I265" s="150">
        <f t="shared" si="30"/>
        <v>578.18181818181824</v>
      </c>
      <c r="J265" s="162">
        <v>46044</v>
      </c>
      <c r="K265" s="149">
        <v>2198</v>
      </c>
      <c r="L265" s="38">
        <f t="shared" si="33"/>
        <v>-4</v>
      </c>
    </row>
    <row r="266" spans="1:12">
      <c r="A266" s="147" t="s">
        <v>241</v>
      </c>
      <c r="B266" s="160" t="s">
        <v>1730</v>
      </c>
      <c r="C266" s="160" t="s">
        <v>1637</v>
      </c>
      <c r="D266" s="147" t="s">
        <v>12</v>
      </c>
      <c r="E266" s="147" t="str">
        <f t="shared" si="32"/>
        <v>DallasXingang</v>
      </c>
      <c r="F266" s="167">
        <v>1030</v>
      </c>
      <c r="G266" s="148">
        <f>COSTS!$AA$29</f>
        <v>350</v>
      </c>
      <c r="H266" s="149">
        <f t="shared" si="31"/>
        <v>1380</v>
      </c>
      <c r="I266" s="150">
        <f t="shared" si="30"/>
        <v>313.63636363636363</v>
      </c>
      <c r="J266" s="162">
        <v>46044</v>
      </c>
      <c r="K266" s="149">
        <v>1079</v>
      </c>
      <c r="L266" s="38">
        <f t="shared" si="33"/>
        <v>-49</v>
      </c>
    </row>
    <row r="267" spans="1:12">
      <c r="A267" s="147" t="s">
        <v>241</v>
      </c>
      <c r="B267" s="160" t="s">
        <v>1763</v>
      </c>
      <c r="C267" s="160" t="s">
        <v>1637</v>
      </c>
      <c r="D267" s="147" t="s">
        <v>12</v>
      </c>
      <c r="E267" s="147" t="str">
        <f t="shared" si="32"/>
        <v>DallasWuhan</v>
      </c>
      <c r="F267" s="167">
        <v>1254</v>
      </c>
      <c r="G267" s="148">
        <f>COSTS!$AA$29</f>
        <v>350</v>
      </c>
      <c r="H267" s="149">
        <f t="shared" si="31"/>
        <v>1604</v>
      </c>
      <c r="I267" s="150">
        <f t="shared" si="30"/>
        <v>364.5454545454545</v>
      </c>
      <c r="J267" s="162">
        <v>46044</v>
      </c>
      <c r="K267" s="149">
        <v>1601</v>
      </c>
      <c r="L267" s="38">
        <f t="shared" si="33"/>
        <v>-347</v>
      </c>
    </row>
    <row r="268" spans="1:12">
      <c r="A268" s="147" t="s">
        <v>241</v>
      </c>
      <c r="B268" s="160" t="s">
        <v>1781</v>
      </c>
      <c r="C268" s="160" t="s">
        <v>1652</v>
      </c>
      <c r="D268" s="147" t="s">
        <v>12</v>
      </c>
      <c r="E268" s="147" t="str">
        <f t="shared" si="32"/>
        <v>DallasTaichung</v>
      </c>
      <c r="F268" s="167">
        <v>849</v>
      </c>
      <c r="G268" s="148">
        <f>COSTS!$AA$29</f>
        <v>350</v>
      </c>
      <c r="H268" s="149">
        <f t="shared" si="31"/>
        <v>1199</v>
      </c>
      <c r="I268" s="150">
        <f t="shared" si="30"/>
        <v>272.5</v>
      </c>
      <c r="J268" s="162">
        <v>46044</v>
      </c>
      <c r="K268" s="149">
        <v>850</v>
      </c>
      <c r="L268" s="38">
        <f t="shared" si="33"/>
        <v>-1</v>
      </c>
    </row>
    <row r="269" spans="1:12">
      <c r="A269" s="147" t="s">
        <v>241</v>
      </c>
      <c r="B269" s="160" t="s">
        <v>1810</v>
      </c>
      <c r="C269" s="160" t="s">
        <v>1637</v>
      </c>
      <c r="D269" s="147" t="s">
        <v>12</v>
      </c>
      <c r="E269" s="147" t="str">
        <f t="shared" si="32"/>
        <v>DallasTaizhou</v>
      </c>
      <c r="F269" s="167" t="s">
        <v>1811</v>
      </c>
      <c r="G269" s="148">
        <f>COSTS!$AA$29</f>
        <v>350</v>
      </c>
      <c r="H269" s="149" t="e">
        <f t="shared" si="31"/>
        <v>#VALUE!</v>
      </c>
      <c r="I269" s="150" t="str">
        <f t="shared" si="30"/>
        <v>No Quote</v>
      </c>
      <c r="J269" s="162">
        <v>46044</v>
      </c>
      <c r="K269" s="149">
        <v>1556</v>
      </c>
      <c r="L269" s="38" t="e">
        <f t="shared" si="33"/>
        <v>#VALUE!</v>
      </c>
    </row>
    <row r="270" spans="1:12">
      <c r="A270" s="147" t="s">
        <v>241</v>
      </c>
      <c r="B270" s="160" t="s">
        <v>1812</v>
      </c>
      <c r="C270" s="160" t="s">
        <v>1813</v>
      </c>
      <c r="D270" s="147" t="s">
        <v>12</v>
      </c>
      <c r="E270" s="147" t="str">
        <f t="shared" si="32"/>
        <v>DallasSohar Oman</v>
      </c>
      <c r="F270" s="167" t="s">
        <v>1811</v>
      </c>
      <c r="G270" s="148">
        <f>COSTS!$AA$29</f>
        <v>350</v>
      </c>
      <c r="H270" s="149" t="e">
        <f t="shared" si="31"/>
        <v>#VALUE!</v>
      </c>
      <c r="I270" s="150" t="str">
        <f t="shared" si="30"/>
        <v>No Quote</v>
      </c>
      <c r="J270" s="162"/>
      <c r="K270" s="149" t="s">
        <v>1793</v>
      </c>
      <c r="L270" s="38" t="e">
        <f t="shared" si="33"/>
        <v>#VALUE!</v>
      </c>
    </row>
    <row r="271" spans="1:12">
      <c r="A271" s="147" t="s">
        <v>241</v>
      </c>
      <c r="B271" s="160" t="s">
        <v>1794</v>
      </c>
      <c r="C271" s="160" t="s">
        <v>1637</v>
      </c>
      <c r="D271" s="147" t="s">
        <v>12</v>
      </c>
      <c r="E271" s="147" t="str">
        <f t="shared" si="32"/>
        <v>DallasShanghai/Qingdao/Xiamen/Ningbo/Xingang</v>
      </c>
      <c r="F271" s="167">
        <v>830</v>
      </c>
      <c r="G271" s="148">
        <f>COSTS!$AA$29</f>
        <v>350</v>
      </c>
      <c r="H271" s="149">
        <f t="shared" si="31"/>
        <v>1180</v>
      </c>
      <c r="I271" s="150">
        <f t="shared" si="30"/>
        <v>268.18181818181819</v>
      </c>
      <c r="J271" s="162">
        <v>46044</v>
      </c>
      <c r="K271" s="149">
        <v>700</v>
      </c>
      <c r="L271" s="38">
        <f t="shared" si="33"/>
        <v>130</v>
      </c>
    </row>
    <row r="272" spans="1:12">
      <c r="A272" s="147" t="s">
        <v>241</v>
      </c>
      <c r="B272" s="160" t="s">
        <v>1795</v>
      </c>
      <c r="C272" s="160" t="s">
        <v>1637</v>
      </c>
      <c r="D272" s="147" t="s">
        <v>12</v>
      </c>
      <c r="E272" s="147" t="str">
        <f t="shared" si="32"/>
        <v>DallasQinzhou</v>
      </c>
      <c r="F272" s="167">
        <v>1944</v>
      </c>
      <c r="G272" s="148">
        <f>COSTS!$AA$29</f>
        <v>350</v>
      </c>
      <c r="H272" s="149">
        <f t="shared" si="31"/>
        <v>2294</v>
      </c>
      <c r="I272" s="150">
        <f t="shared" si="30"/>
        <v>521.36363636363637</v>
      </c>
      <c r="J272" s="162">
        <v>46044</v>
      </c>
      <c r="K272" s="149">
        <v>1200</v>
      </c>
      <c r="L272" s="38">
        <f t="shared" si="33"/>
        <v>744</v>
      </c>
    </row>
    <row r="273" spans="1:12">
      <c r="A273" s="147" t="s">
        <v>241</v>
      </c>
      <c r="B273" s="160" t="s">
        <v>1775</v>
      </c>
      <c r="C273" s="160" t="s">
        <v>1648</v>
      </c>
      <c r="D273" s="147" t="s">
        <v>12</v>
      </c>
      <c r="E273" s="147" t="str">
        <f t="shared" si="32"/>
        <v>DallasTanjung Pelepas</v>
      </c>
      <c r="F273" s="167">
        <v>1771</v>
      </c>
      <c r="G273" s="148">
        <f>COSTS!$AA$29</f>
        <v>350</v>
      </c>
      <c r="H273" s="149">
        <f t="shared" si="31"/>
        <v>2121</v>
      </c>
      <c r="I273" s="150">
        <f t="shared" si="30"/>
        <v>482.0454545454545</v>
      </c>
      <c r="J273" s="162">
        <v>46044</v>
      </c>
      <c r="K273" s="149">
        <v>1838</v>
      </c>
      <c r="L273" s="38">
        <f t="shared" si="33"/>
        <v>-67</v>
      </c>
    </row>
    <row r="274" spans="1:12">
      <c r="A274" s="147" t="s">
        <v>241</v>
      </c>
      <c r="B274" s="160" t="s">
        <v>1796</v>
      </c>
      <c r="C274" s="160" t="s">
        <v>1646</v>
      </c>
      <c r="D274" s="147" t="s">
        <v>12</v>
      </c>
      <c r="E274" s="147" t="str">
        <f t="shared" si="32"/>
        <v>DallasOsaka</v>
      </c>
      <c r="F274" s="167">
        <v>994</v>
      </c>
      <c r="G274" s="148">
        <f>COSTS!$AA$29</f>
        <v>350</v>
      </c>
      <c r="H274" s="149">
        <f t="shared" si="31"/>
        <v>1344</v>
      </c>
      <c r="I274" s="150">
        <f t="shared" si="30"/>
        <v>305.4545454545455</v>
      </c>
      <c r="J274" s="162">
        <v>46044</v>
      </c>
      <c r="K274" s="149">
        <v>994</v>
      </c>
      <c r="L274" s="38">
        <f t="shared" si="33"/>
        <v>0</v>
      </c>
    </row>
    <row r="275" spans="1:12">
      <c r="A275" s="147" t="s">
        <v>241</v>
      </c>
      <c r="B275" s="160" t="s">
        <v>1734</v>
      </c>
      <c r="C275" s="160" t="s">
        <v>1637</v>
      </c>
      <c r="D275" s="147" t="s">
        <v>12</v>
      </c>
      <c r="E275" s="147" t="str">
        <f t="shared" si="32"/>
        <v>DallasNantong</v>
      </c>
      <c r="F275" s="167">
        <v>1274</v>
      </c>
      <c r="G275" s="148">
        <f>COSTS!$AA$29</f>
        <v>350</v>
      </c>
      <c r="H275" s="149">
        <f t="shared" si="31"/>
        <v>1624</v>
      </c>
      <c r="I275" s="150">
        <f t="shared" si="30"/>
        <v>369.09090909090907</v>
      </c>
      <c r="J275" s="162">
        <v>46044</v>
      </c>
      <c r="K275" s="149">
        <v>1388</v>
      </c>
      <c r="L275" s="38">
        <f t="shared" si="33"/>
        <v>-114</v>
      </c>
    </row>
    <row r="276" spans="1:12">
      <c r="A276" s="147" t="s">
        <v>241</v>
      </c>
      <c r="B276" s="160" t="s">
        <v>1787</v>
      </c>
      <c r="C276" s="160" t="s">
        <v>1646</v>
      </c>
      <c r="D276" s="147" t="s">
        <v>12</v>
      </c>
      <c r="E276" s="147" t="str">
        <f t="shared" si="32"/>
        <v>DallasNagoya</v>
      </c>
      <c r="F276" s="167">
        <v>800</v>
      </c>
      <c r="G276" s="148">
        <f>COSTS!$AA$29</f>
        <v>350</v>
      </c>
      <c r="H276" s="149">
        <f t="shared" si="31"/>
        <v>1150</v>
      </c>
      <c r="I276" s="150">
        <f t="shared" si="30"/>
        <v>261.36363636363637</v>
      </c>
      <c r="J276" s="162">
        <v>46044</v>
      </c>
      <c r="K276" s="149">
        <v>869</v>
      </c>
      <c r="L276" s="38">
        <f t="shared" si="33"/>
        <v>-69</v>
      </c>
    </row>
    <row r="277" spans="1:12">
      <c r="A277" s="147" t="s">
        <v>241</v>
      </c>
      <c r="B277" s="160" t="s">
        <v>517</v>
      </c>
      <c r="C277" s="160" t="s">
        <v>1797</v>
      </c>
      <c r="D277" s="147" t="s">
        <v>12</v>
      </c>
      <c r="E277" s="147" t="str">
        <f t="shared" si="32"/>
        <v>DallasManila</v>
      </c>
      <c r="F277" s="167">
        <v>1565</v>
      </c>
      <c r="G277" s="148">
        <f>COSTS!$AA$29</f>
        <v>350</v>
      </c>
      <c r="H277" s="149">
        <f t="shared" si="31"/>
        <v>1915</v>
      </c>
      <c r="I277" s="150">
        <f t="shared" si="30"/>
        <v>435.22727272727275</v>
      </c>
      <c r="J277" s="162">
        <v>46044</v>
      </c>
      <c r="K277" s="149">
        <v>1565</v>
      </c>
      <c r="L277" s="38">
        <f t="shared" si="33"/>
        <v>0</v>
      </c>
    </row>
    <row r="278" spans="1:12">
      <c r="A278" s="147" t="s">
        <v>241</v>
      </c>
      <c r="B278" s="160" t="s">
        <v>1768</v>
      </c>
      <c r="C278" s="160" t="s">
        <v>1637</v>
      </c>
      <c r="D278" s="147" t="s">
        <v>12</v>
      </c>
      <c r="E278" s="147" t="str">
        <f t="shared" si="32"/>
        <v>DallasLianyungang</v>
      </c>
      <c r="F278" s="167">
        <v>1400</v>
      </c>
      <c r="G278" s="148">
        <f>COSTS!$AA$29</f>
        <v>350</v>
      </c>
      <c r="H278" s="149">
        <f t="shared" si="31"/>
        <v>1750</v>
      </c>
      <c r="I278" s="150">
        <f t="shared" si="30"/>
        <v>397.72727272727275</v>
      </c>
      <c r="J278" s="162">
        <v>46044</v>
      </c>
      <c r="K278" s="149">
        <v>1514</v>
      </c>
      <c r="L278" s="38">
        <f t="shared" si="33"/>
        <v>-114</v>
      </c>
    </row>
    <row r="279" spans="1:12">
      <c r="A279" s="147" t="s">
        <v>241</v>
      </c>
      <c r="B279" s="160" t="s">
        <v>1737</v>
      </c>
      <c r="C279" s="160" t="s">
        <v>1644</v>
      </c>
      <c r="D279" s="147" t="s">
        <v>12</v>
      </c>
      <c r="E279" s="147" t="str">
        <f t="shared" si="32"/>
        <v>DallasKwangyang</v>
      </c>
      <c r="F279" s="167">
        <v>1020</v>
      </c>
      <c r="G279" s="148">
        <f>COSTS!$AA$29</f>
        <v>350</v>
      </c>
      <c r="H279" s="149">
        <f t="shared" si="31"/>
        <v>1370</v>
      </c>
      <c r="I279" s="150">
        <f t="shared" si="30"/>
        <v>311.36363636363637</v>
      </c>
      <c r="J279" s="162">
        <v>46044</v>
      </c>
      <c r="K279" s="149">
        <v>800</v>
      </c>
      <c r="L279" s="38">
        <f t="shared" si="33"/>
        <v>220</v>
      </c>
    </row>
    <row r="280" spans="1:12">
      <c r="A280" s="147" t="s">
        <v>241</v>
      </c>
      <c r="B280" s="160" t="s">
        <v>1806</v>
      </c>
      <c r="C280" s="160" t="s">
        <v>1646</v>
      </c>
      <c r="D280" s="147" t="s">
        <v>12</v>
      </c>
      <c r="E280" s="147" t="str">
        <f t="shared" si="32"/>
        <v>DallasNagoya/Kobe</v>
      </c>
      <c r="F280" s="167">
        <v>800</v>
      </c>
      <c r="G280" s="148">
        <f>COSTS!$AA$29</f>
        <v>350</v>
      </c>
      <c r="H280" s="149">
        <f t="shared" si="31"/>
        <v>1150</v>
      </c>
      <c r="I280" s="150">
        <f t="shared" si="30"/>
        <v>261.36363636363637</v>
      </c>
      <c r="J280" s="162">
        <v>46044</v>
      </c>
      <c r="K280" s="149">
        <v>1150</v>
      </c>
      <c r="L280" s="38">
        <f t="shared" si="33"/>
        <v>-350</v>
      </c>
    </row>
    <row r="281" spans="1:12">
      <c r="A281" s="147" t="s">
        <v>241</v>
      </c>
      <c r="B281" s="160" t="s">
        <v>1799</v>
      </c>
      <c r="C281" s="160" t="s">
        <v>1637</v>
      </c>
      <c r="D281" s="147" t="s">
        <v>12</v>
      </c>
      <c r="E281" s="147" t="str">
        <f t="shared" si="32"/>
        <v>DallasHuangpu</v>
      </c>
      <c r="F281" s="167">
        <v>1114</v>
      </c>
      <c r="G281" s="148">
        <f>COSTS!$AA$29</f>
        <v>350</v>
      </c>
      <c r="H281" s="149">
        <f t="shared" si="31"/>
        <v>1464</v>
      </c>
      <c r="I281" s="150">
        <f t="shared" si="30"/>
        <v>332.72727272727275</v>
      </c>
      <c r="J281" s="162">
        <v>46044</v>
      </c>
      <c r="K281" s="149">
        <v>1119</v>
      </c>
      <c r="L281" s="38">
        <f t="shared" si="33"/>
        <v>-5</v>
      </c>
    </row>
    <row r="282" spans="1:12">
      <c r="A282" s="147" t="s">
        <v>241</v>
      </c>
      <c r="B282" s="160" t="s">
        <v>1800</v>
      </c>
      <c r="C282" s="160" t="s">
        <v>1800</v>
      </c>
      <c r="D282" s="147" t="s">
        <v>12</v>
      </c>
      <c r="E282" s="147" t="str">
        <f t="shared" si="32"/>
        <v>DallasHong Kong</v>
      </c>
      <c r="F282" s="167">
        <v>669</v>
      </c>
      <c r="G282" s="148">
        <f>COSTS!$AA$29</f>
        <v>350</v>
      </c>
      <c r="H282" s="149">
        <f t="shared" si="31"/>
        <v>1019</v>
      </c>
      <c r="I282" s="150">
        <f t="shared" si="30"/>
        <v>231.59090909090909</v>
      </c>
      <c r="J282" s="162">
        <v>46044</v>
      </c>
      <c r="K282" s="149" t="s">
        <v>1793</v>
      </c>
      <c r="L282" s="38" t="e">
        <f t="shared" si="33"/>
        <v>#VALUE!</v>
      </c>
    </row>
    <row r="283" spans="1:12">
      <c r="A283" s="147" t="s">
        <v>241</v>
      </c>
      <c r="B283" s="160" t="s">
        <v>1801</v>
      </c>
      <c r="C283" s="160" t="s">
        <v>1640</v>
      </c>
      <c r="D283" s="147" t="s">
        <v>12</v>
      </c>
      <c r="E283" s="147" t="str">
        <f t="shared" si="32"/>
        <v>DallasHo Chi Minh</v>
      </c>
      <c r="F283" s="167">
        <v>912</v>
      </c>
      <c r="G283" s="148">
        <f>COSTS!$AA$29</f>
        <v>350</v>
      </c>
      <c r="H283" s="149">
        <f t="shared" si="31"/>
        <v>1262</v>
      </c>
      <c r="I283" s="150">
        <f t="shared" si="30"/>
        <v>286.81818181818181</v>
      </c>
      <c r="J283" s="162">
        <v>46044</v>
      </c>
      <c r="K283" s="149">
        <v>912</v>
      </c>
      <c r="L283" s="38">
        <f t="shared" si="33"/>
        <v>0</v>
      </c>
    </row>
    <row r="284" spans="1:12">
      <c r="A284" s="147" t="s">
        <v>241</v>
      </c>
      <c r="B284" s="160" t="s">
        <v>1740</v>
      </c>
      <c r="C284" s="160" t="s">
        <v>1640</v>
      </c>
      <c r="D284" s="147" t="s">
        <v>12</v>
      </c>
      <c r="E284" s="147" t="str">
        <f t="shared" si="32"/>
        <v>DallasHaiphong</v>
      </c>
      <c r="F284" s="167">
        <v>887</v>
      </c>
      <c r="G284" s="148">
        <f>COSTS!$AA$29</f>
        <v>350</v>
      </c>
      <c r="H284" s="149">
        <f t="shared" ref="H284:H303" si="34">F284+G284</f>
        <v>1237</v>
      </c>
      <c r="I284" s="150">
        <f t="shared" si="30"/>
        <v>281.13636363636363</v>
      </c>
      <c r="J284" s="162">
        <v>46044</v>
      </c>
      <c r="K284" s="149">
        <v>887</v>
      </c>
      <c r="L284" s="38">
        <f t="shared" si="33"/>
        <v>0</v>
      </c>
    </row>
    <row r="285" spans="1:12">
      <c r="A285" s="147" t="s">
        <v>241</v>
      </c>
      <c r="B285" s="160" t="s">
        <v>1814</v>
      </c>
      <c r="C285" s="160" t="s">
        <v>1679</v>
      </c>
      <c r="D285" s="147" t="s">
        <v>12</v>
      </c>
      <c r="E285" s="147" t="str">
        <f t="shared" si="32"/>
        <v>DallasGuatemala City</v>
      </c>
      <c r="F285" s="167" t="s">
        <v>1815</v>
      </c>
      <c r="G285" s="148">
        <f>COSTS!$AA$29</f>
        <v>350</v>
      </c>
      <c r="H285" s="149" t="e">
        <f t="shared" si="34"/>
        <v>#VALUE!</v>
      </c>
      <c r="I285" s="150" t="str">
        <f t="shared" si="30"/>
        <v>No Quote</v>
      </c>
      <c r="J285" s="166">
        <v>46044</v>
      </c>
      <c r="K285" s="149" t="s">
        <v>1793</v>
      </c>
      <c r="L285" s="38" t="e">
        <f t="shared" si="33"/>
        <v>#VALUE!</v>
      </c>
    </row>
    <row r="286" spans="1:12">
      <c r="A286" s="147" t="s">
        <v>241</v>
      </c>
      <c r="B286" s="160" t="s">
        <v>1802</v>
      </c>
      <c r="C286" s="160" t="s">
        <v>1637</v>
      </c>
      <c r="D286" s="147" t="s">
        <v>12</v>
      </c>
      <c r="E286" s="147" t="str">
        <f t="shared" si="32"/>
        <v>DallasFangcheng</v>
      </c>
      <c r="F286" s="167">
        <v>2844</v>
      </c>
      <c r="G286" s="148">
        <f>COSTS!$AA$29</f>
        <v>350</v>
      </c>
      <c r="H286" s="149">
        <f t="shared" si="34"/>
        <v>3194</v>
      </c>
      <c r="I286" s="150">
        <f t="shared" si="30"/>
        <v>725.90909090909099</v>
      </c>
      <c r="J286" s="162">
        <v>46044</v>
      </c>
      <c r="K286" s="149">
        <v>2848</v>
      </c>
      <c r="L286" s="38">
        <f t="shared" si="33"/>
        <v>-4</v>
      </c>
    </row>
    <row r="287" spans="1:12">
      <c r="A287" s="147" t="s">
        <v>241</v>
      </c>
      <c r="B287" s="160" t="s">
        <v>1803</v>
      </c>
      <c r="C287" s="160" t="s">
        <v>1640</v>
      </c>
      <c r="D287" s="147" t="s">
        <v>12</v>
      </c>
      <c r="E287" s="147" t="str">
        <f t="shared" si="32"/>
        <v>DallasDaNang</v>
      </c>
      <c r="F287" s="167">
        <v>1408</v>
      </c>
      <c r="G287" s="148">
        <f>COSTS!$AA$29</f>
        <v>350</v>
      </c>
      <c r="H287" s="149">
        <f t="shared" si="34"/>
        <v>1758</v>
      </c>
      <c r="I287" s="150">
        <f t="shared" si="30"/>
        <v>399.5454545454545</v>
      </c>
      <c r="J287" s="162">
        <v>46044</v>
      </c>
      <c r="K287" s="149">
        <v>1599</v>
      </c>
      <c r="L287" s="38">
        <f t="shared" si="33"/>
        <v>-191</v>
      </c>
    </row>
    <row r="288" spans="1:12">
      <c r="A288" s="147" t="s">
        <v>241</v>
      </c>
      <c r="B288" s="160" t="s">
        <v>1759</v>
      </c>
      <c r="C288" s="160" t="s">
        <v>1637</v>
      </c>
      <c r="D288" s="147" t="s">
        <v>12</v>
      </c>
      <c r="E288" s="147" t="str">
        <f t="shared" si="32"/>
        <v>DallasDalian</v>
      </c>
      <c r="F288" s="167">
        <v>1030</v>
      </c>
      <c r="G288" s="148">
        <f>COSTS!$AA$29</f>
        <v>350</v>
      </c>
      <c r="H288" s="149">
        <f t="shared" si="34"/>
        <v>1380</v>
      </c>
      <c r="I288" s="150">
        <f t="shared" si="30"/>
        <v>313.63636363636363</v>
      </c>
      <c r="J288" s="162">
        <v>46044</v>
      </c>
      <c r="K288" s="149">
        <v>1189</v>
      </c>
      <c r="L288" s="38">
        <f t="shared" si="33"/>
        <v>-159</v>
      </c>
    </row>
    <row r="289" spans="1:12">
      <c r="A289" s="147" t="s">
        <v>241</v>
      </c>
      <c r="B289" s="160" t="s">
        <v>1765</v>
      </c>
      <c r="C289" s="160" t="s">
        <v>1637</v>
      </c>
      <c r="D289" s="147" t="s">
        <v>12</v>
      </c>
      <c r="E289" s="147" t="str">
        <f t="shared" si="32"/>
        <v>DallasDafeng</v>
      </c>
      <c r="F289" s="167">
        <v>2848</v>
      </c>
      <c r="G289" s="148">
        <f>COSTS!$AA$29</f>
        <v>350</v>
      </c>
      <c r="H289" s="149">
        <f t="shared" si="34"/>
        <v>3198</v>
      </c>
      <c r="I289" s="150">
        <f t="shared" si="30"/>
        <v>726.81818181818187</v>
      </c>
      <c r="J289" s="162">
        <v>46044</v>
      </c>
      <c r="K289" s="149">
        <v>2851</v>
      </c>
      <c r="L289" s="38">
        <f t="shared" si="33"/>
        <v>-3</v>
      </c>
    </row>
    <row r="290" spans="1:12">
      <c r="A290" s="147" t="s">
        <v>241</v>
      </c>
      <c r="B290" s="160" t="s">
        <v>1804</v>
      </c>
      <c r="C290" s="160" t="s">
        <v>1637</v>
      </c>
      <c r="D290" s="147" t="s">
        <v>12</v>
      </c>
      <c r="E290" s="147" t="str">
        <f t="shared" si="32"/>
        <v>DallasChangzhou</v>
      </c>
      <c r="F290" s="167" t="s">
        <v>1815</v>
      </c>
      <c r="G290" s="148">
        <f>COSTS!$AA$29</f>
        <v>350</v>
      </c>
      <c r="H290" s="149" t="e">
        <f t="shared" si="34"/>
        <v>#VALUE!</v>
      </c>
      <c r="I290" s="150" t="str">
        <f t="shared" si="30"/>
        <v>No Quote</v>
      </c>
      <c r="J290" s="162">
        <v>46044</v>
      </c>
      <c r="K290" s="149">
        <v>1556</v>
      </c>
      <c r="L290" s="38" t="e">
        <f t="shared" si="33"/>
        <v>#VALUE!</v>
      </c>
    </row>
    <row r="291" spans="1:12">
      <c r="A291" s="147" t="s">
        <v>241</v>
      </c>
      <c r="B291" s="160" t="s">
        <v>1816</v>
      </c>
      <c r="C291" s="160" t="s">
        <v>1817</v>
      </c>
      <c r="D291" s="147" t="s">
        <v>12</v>
      </c>
      <c r="E291" s="147" t="str">
        <f t="shared" si="32"/>
        <v>DallasCartegena</v>
      </c>
      <c r="F291" s="167" t="s">
        <v>1815</v>
      </c>
      <c r="G291" s="148">
        <f>COSTS!$AA$29</f>
        <v>350</v>
      </c>
      <c r="H291" s="149" t="e">
        <f t="shared" si="34"/>
        <v>#VALUE!</v>
      </c>
      <c r="I291" s="150" t="str">
        <f t="shared" si="30"/>
        <v>No Quote</v>
      </c>
      <c r="J291" s="162">
        <v>46044</v>
      </c>
      <c r="K291" s="149" t="s">
        <v>1793</v>
      </c>
      <c r="L291" s="38" t="e">
        <f t="shared" si="33"/>
        <v>#VALUE!</v>
      </c>
    </row>
    <row r="292" spans="1:12">
      <c r="A292" s="147" t="s">
        <v>241</v>
      </c>
      <c r="B292" s="160" t="s">
        <v>1736</v>
      </c>
      <c r="C292" s="160" t="s">
        <v>1644</v>
      </c>
      <c r="D292" s="147" t="s">
        <v>12</v>
      </c>
      <c r="E292" s="147" t="str">
        <f t="shared" si="32"/>
        <v>DallasBusan</v>
      </c>
      <c r="F292" s="167">
        <v>744</v>
      </c>
      <c r="G292" s="148">
        <f>COSTS!$AA$29</f>
        <v>350</v>
      </c>
      <c r="H292" s="149">
        <f t="shared" si="34"/>
        <v>1094</v>
      </c>
      <c r="I292" s="150">
        <f t="shared" si="30"/>
        <v>248.63636363636363</v>
      </c>
      <c r="J292" s="162">
        <v>46044</v>
      </c>
      <c r="K292" s="149">
        <v>744</v>
      </c>
      <c r="L292" s="38">
        <f t="shared" si="33"/>
        <v>0</v>
      </c>
    </row>
    <row r="293" spans="1:12">
      <c r="A293" s="147" t="s">
        <v>241</v>
      </c>
      <c r="B293" s="160" t="s">
        <v>1745</v>
      </c>
      <c r="C293" s="160" t="s">
        <v>1660</v>
      </c>
      <c r="D293" s="147" t="s">
        <v>12</v>
      </c>
      <c r="E293" s="147" t="str">
        <f t="shared" si="32"/>
        <v>DallasLat Krabang</v>
      </c>
      <c r="F293" s="167">
        <v>950</v>
      </c>
      <c r="G293" s="148">
        <f>COSTS!$AA$29</f>
        <v>350</v>
      </c>
      <c r="H293" s="149">
        <f t="shared" si="34"/>
        <v>1300</v>
      </c>
      <c r="I293" s="150">
        <f t="shared" si="30"/>
        <v>295.4545454545455</v>
      </c>
      <c r="J293" s="162">
        <v>46044</v>
      </c>
      <c r="K293" s="149">
        <v>1094</v>
      </c>
      <c r="L293" s="38">
        <f t="shared" si="33"/>
        <v>-144</v>
      </c>
    </row>
    <row r="294" spans="1:12">
      <c r="A294" s="147" t="s">
        <v>241</v>
      </c>
      <c r="B294" s="160" t="s">
        <v>1798</v>
      </c>
      <c r="C294" s="160" t="s">
        <v>1652</v>
      </c>
      <c r="D294" s="147" t="s">
        <v>12</v>
      </c>
      <c r="E294" s="147" t="str">
        <f t="shared" si="32"/>
        <v>DallasTao Yuan</v>
      </c>
      <c r="F294" s="167">
        <v>900</v>
      </c>
      <c r="G294" s="148">
        <f>COSTS!$AA$29</f>
        <v>350</v>
      </c>
      <c r="H294" s="149">
        <f t="shared" si="34"/>
        <v>1250</v>
      </c>
      <c r="I294" s="150">
        <f t="shared" si="30"/>
        <v>284.09090909090912</v>
      </c>
      <c r="J294" s="162">
        <v>46044</v>
      </c>
      <c r="K294" s="149">
        <v>1376</v>
      </c>
      <c r="L294" s="38">
        <f t="shared" si="33"/>
        <v>-476</v>
      </c>
    </row>
    <row r="295" spans="1:12">
      <c r="A295" s="147" t="s">
        <v>241</v>
      </c>
      <c r="B295" s="160" t="s">
        <v>1747</v>
      </c>
      <c r="C295" s="160" t="s">
        <v>1658</v>
      </c>
      <c r="D295" s="147" t="s">
        <v>12</v>
      </c>
      <c r="E295" s="147" t="str">
        <f t="shared" si="32"/>
        <v>DallasSemarang</v>
      </c>
      <c r="F295" s="167">
        <v>1289</v>
      </c>
      <c r="G295" s="148">
        <f>COSTS!$AA$29</f>
        <v>350</v>
      </c>
      <c r="H295" s="149">
        <f t="shared" si="34"/>
        <v>1639</v>
      </c>
      <c r="I295" s="150">
        <f t="shared" si="30"/>
        <v>372.5</v>
      </c>
      <c r="J295" s="162">
        <v>46044</v>
      </c>
      <c r="K295" s="149">
        <v>1289</v>
      </c>
      <c r="L295" s="38">
        <f t="shared" si="33"/>
        <v>0</v>
      </c>
    </row>
    <row r="296" spans="1:12">
      <c r="A296" s="147" t="s">
        <v>241</v>
      </c>
      <c r="B296" s="160" t="s">
        <v>1749</v>
      </c>
      <c r="C296" s="160" t="s">
        <v>1646</v>
      </c>
      <c r="D296" s="147" t="s">
        <v>12</v>
      </c>
      <c r="E296" s="147" t="str">
        <f t="shared" si="32"/>
        <v>DallasKobe</v>
      </c>
      <c r="F296" s="167">
        <v>800</v>
      </c>
      <c r="G296" s="148">
        <f>COSTS!$AA$29</f>
        <v>350</v>
      </c>
      <c r="H296" s="149">
        <f t="shared" si="34"/>
        <v>1150</v>
      </c>
      <c r="I296" s="150">
        <v>261.36363636363637</v>
      </c>
      <c r="J296" s="162">
        <v>46044</v>
      </c>
      <c r="K296" s="149">
        <v>869</v>
      </c>
      <c r="L296" s="38">
        <f t="shared" si="33"/>
        <v>-69</v>
      </c>
    </row>
    <row r="297" spans="1:12">
      <c r="A297" s="147" t="s">
        <v>241</v>
      </c>
      <c r="B297" s="160" t="s">
        <v>1787</v>
      </c>
      <c r="C297" s="160" t="s">
        <v>1646</v>
      </c>
      <c r="D297" s="147" t="s">
        <v>12</v>
      </c>
      <c r="E297" s="147" t="str">
        <f t="shared" si="32"/>
        <v>DallasNagoya</v>
      </c>
      <c r="F297" s="167">
        <v>800</v>
      </c>
      <c r="G297" s="148">
        <f>COSTS!$AA$29</f>
        <v>350</v>
      </c>
      <c r="H297" s="149">
        <f t="shared" si="34"/>
        <v>1150</v>
      </c>
      <c r="I297" s="150">
        <v>261.36363636363637</v>
      </c>
      <c r="J297" s="162">
        <v>46044</v>
      </c>
      <c r="K297" s="149">
        <v>869</v>
      </c>
      <c r="L297" s="38">
        <f t="shared" si="33"/>
        <v>-69</v>
      </c>
    </row>
    <row r="298" spans="1:12">
      <c r="A298" s="147" t="s">
        <v>241</v>
      </c>
      <c r="B298" s="160" t="s">
        <v>1776</v>
      </c>
      <c r="C298" s="160" t="s">
        <v>1648</v>
      </c>
      <c r="D298" s="147" t="s">
        <v>12</v>
      </c>
      <c r="E298" s="147" t="str">
        <f t="shared" si="32"/>
        <v>DallasPasir Gudang</v>
      </c>
      <c r="F298" s="167">
        <v>1288</v>
      </c>
      <c r="G298" s="148">
        <f>COSTS!$AA$29</f>
        <v>350</v>
      </c>
      <c r="H298" s="149">
        <f t="shared" si="34"/>
        <v>1638</v>
      </c>
      <c r="I298" s="150">
        <f>IFERROR(H298/88*20,"No Quote")</f>
        <v>372.27272727272725</v>
      </c>
      <c r="J298" s="162">
        <v>46044</v>
      </c>
      <c r="K298" s="149">
        <v>1288</v>
      </c>
      <c r="L298" s="38">
        <f t="shared" si="33"/>
        <v>0</v>
      </c>
    </row>
    <row r="299" spans="1:12">
      <c r="A299" s="147" t="s">
        <v>241</v>
      </c>
      <c r="B299" s="160" t="s">
        <v>1748</v>
      </c>
      <c r="C299" s="160" t="s">
        <v>1658</v>
      </c>
      <c r="D299" s="147" t="s">
        <v>12</v>
      </c>
      <c r="E299" s="147" t="str">
        <f t="shared" si="32"/>
        <v>DallasSurabaya</v>
      </c>
      <c r="F299" s="167">
        <v>1289</v>
      </c>
      <c r="G299" s="148">
        <f>COSTS!$AA$29</f>
        <v>350</v>
      </c>
      <c r="H299" s="149">
        <f t="shared" si="34"/>
        <v>1639</v>
      </c>
      <c r="I299" s="150">
        <f>IFERROR(H299/88*20,"No Quote")</f>
        <v>372.5</v>
      </c>
      <c r="J299" s="162">
        <v>46044</v>
      </c>
      <c r="K299" s="149">
        <v>1289</v>
      </c>
      <c r="L299" s="38">
        <f t="shared" si="33"/>
        <v>0</v>
      </c>
    </row>
    <row r="300" spans="1:12">
      <c r="A300" s="147" t="s">
        <v>241</v>
      </c>
      <c r="B300" s="160" t="s">
        <v>1745</v>
      </c>
      <c r="C300" s="160" t="s">
        <v>1660</v>
      </c>
      <c r="D300" s="147" t="s">
        <v>12</v>
      </c>
      <c r="E300" s="147" t="str">
        <f t="shared" si="32"/>
        <v>DallasLat Krabang</v>
      </c>
      <c r="F300" s="167">
        <v>950</v>
      </c>
      <c r="G300" s="148">
        <f>COSTS!$AA$29</f>
        <v>350</v>
      </c>
      <c r="H300" s="149">
        <f t="shared" si="34"/>
        <v>1300</v>
      </c>
      <c r="I300" s="150">
        <v>306.81818181818181</v>
      </c>
      <c r="J300" s="162">
        <v>46044</v>
      </c>
      <c r="K300" s="149">
        <v>1094</v>
      </c>
      <c r="L300" s="38">
        <f t="shared" si="33"/>
        <v>-144</v>
      </c>
    </row>
    <row r="301" spans="1:12">
      <c r="A301" s="147" t="s">
        <v>241</v>
      </c>
      <c r="B301" s="160" t="s">
        <v>1745</v>
      </c>
      <c r="C301" s="160" t="s">
        <v>1660</v>
      </c>
      <c r="D301" s="147" t="s">
        <v>12</v>
      </c>
      <c r="E301" s="147" t="str">
        <f t="shared" si="32"/>
        <v>DallasLat Krabang</v>
      </c>
      <c r="F301" s="167">
        <v>950</v>
      </c>
      <c r="G301" s="148">
        <f>COSTS!$AA$29</f>
        <v>350</v>
      </c>
      <c r="H301" s="149">
        <f t="shared" si="34"/>
        <v>1300</v>
      </c>
      <c r="I301" s="150">
        <v>306.81818181818181</v>
      </c>
      <c r="J301" s="162">
        <v>46044</v>
      </c>
      <c r="K301" s="149">
        <v>1094</v>
      </c>
      <c r="L301" s="38">
        <f t="shared" si="33"/>
        <v>-144</v>
      </c>
    </row>
    <row r="302" spans="1:12">
      <c r="A302" s="147" t="s">
        <v>241</v>
      </c>
      <c r="B302" s="160" t="s">
        <v>1744</v>
      </c>
      <c r="C302" s="160" t="s">
        <v>1660</v>
      </c>
      <c r="D302" s="147" t="s">
        <v>12</v>
      </c>
      <c r="E302" s="147" t="str">
        <f t="shared" si="32"/>
        <v>DallasLaem Chabang</v>
      </c>
      <c r="F302" s="167">
        <v>744</v>
      </c>
      <c r="G302" s="148">
        <f>COSTS!$AA$29</f>
        <v>350</v>
      </c>
      <c r="H302" s="149">
        <f t="shared" si="34"/>
        <v>1094</v>
      </c>
      <c r="I302" s="150">
        <v>306.81818181818181</v>
      </c>
      <c r="J302" s="162">
        <v>46044</v>
      </c>
      <c r="K302" s="149">
        <v>744</v>
      </c>
      <c r="L302" s="38">
        <f t="shared" si="33"/>
        <v>0</v>
      </c>
    </row>
    <row r="303" spans="1:12">
      <c r="A303" s="147" t="s">
        <v>241</v>
      </c>
      <c r="B303" s="160" t="s">
        <v>1786</v>
      </c>
      <c r="C303" s="160" t="s">
        <v>1648</v>
      </c>
      <c r="D303" s="147" t="s">
        <v>12</v>
      </c>
      <c r="E303" s="147" t="str">
        <f t="shared" si="32"/>
        <v>DallasPenang</v>
      </c>
      <c r="F303" s="167">
        <v>844</v>
      </c>
      <c r="G303" s="148">
        <f>COSTS!$AA$29</f>
        <v>350</v>
      </c>
      <c r="H303" s="149">
        <f t="shared" si="34"/>
        <v>1194</v>
      </c>
      <c r="I303" s="150">
        <f t="shared" ref="I303:I334" si="35">IFERROR(H303/88*20,"No Quote")</f>
        <v>271.36363636363637</v>
      </c>
      <c r="J303" s="162">
        <v>46044</v>
      </c>
      <c r="K303" s="149">
        <v>1288</v>
      </c>
      <c r="L303" s="38">
        <f t="shared" si="33"/>
        <v>-444</v>
      </c>
    </row>
    <row r="304" spans="1:12">
      <c r="A304" s="147" t="s">
        <v>241</v>
      </c>
      <c r="B304" s="159" t="s">
        <v>1733</v>
      </c>
      <c r="C304" s="160" t="s">
        <v>1637</v>
      </c>
      <c r="D304" s="147" t="s">
        <v>12</v>
      </c>
      <c r="E304" s="147" t="str">
        <f t="shared" si="32"/>
        <v>DallasXiamen</v>
      </c>
      <c r="F304" s="167">
        <v>832</v>
      </c>
      <c r="G304" s="148">
        <f>COSTS!$AA$29</f>
        <v>350</v>
      </c>
      <c r="H304" s="149">
        <v>950</v>
      </c>
      <c r="I304" s="150">
        <f t="shared" si="35"/>
        <v>215.90909090909091</v>
      </c>
      <c r="J304" s="162">
        <v>46044</v>
      </c>
      <c r="K304" s="149">
        <v>829</v>
      </c>
      <c r="L304" s="38">
        <f t="shared" si="33"/>
        <v>3</v>
      </c>
    </row>
    <row r="305" spans="1:12">
      <c r="A305" s="147" t="s">
        <v>241</v>
      </c>
      <c r="B305" s="160" t="s">
        <v>1738</v>
      </c>
      <c r="C305" s="160" t="s">
        <v>1666</v>
      </c>
      <c r="D305" s="147" t="s">
        <v>12</v>
      </c>
      <c r="E305" s="147" t="str">
        <f t="shared" si="32"/>
        <v>DallasPort Qasim/Karachi</v>
      </c>
      <c r="F305" s="167">
        <v>2847</v>
      </c>
      <c r="G305" s="148">
        <f>COSTS!$AA$29</f>
        <v>350</v>
      </c>
      <c r="H305" s="149">
        <f t="shared" ref="H305:H336" si="36">F305+G305</f>
        <v>3197</v>
      </c>
      <c r="I305" s="150">
        <f t="shared" si="35"/>
        <v>726.59090909090901</v>
      </c>
      <c r="J305" s="162">
        <v>46044</v>
      </c>
      <c r="K305" s="149">
        <v>2847</v>
      </c>
      <c r="L305" s="38">
        <f t="shared" si="33"/>
        <v>0</v>
      </c>
    </row>
    <row r="306" spans="1:12">
      <c r="A306" s="147" t="s">
        <v>241</v>
      </c>
      <c r="B306" s="160" t="s">
        <v>1751</v>
      </c>
      <c r="C306" s="160" t="s">
        <v>1670</v>
      </c>
      <c r="D306" s="147" t="s">
        <v>12</v>
      </c>
      <c r="E306" s="147" t="str">
        <f t="shared" si="32"/>
        <v>DallasMersin</v>
      </c>
      <c r="F306" s="167">
        <v>3699</v>
      </c>
      <c r="G306" s="148">
        <f>COSTS!$AA$29</f>
        <v>350</v>
      </c>
      <c r="H306" s="149">
        <f t="shared" si="36"/>
        <v>4049</v>
      </c>
      <c r="I306" s="150">
        <f t="shared" si="35"/>
        <v>920.22727272727263</v>
      </c>
      <c r="J306" s="162">
        <v>46044</v>
      </c>
      <c r="K306" s="149">
        <v>3712</v>
      </c>
      <c r="L306" s="38">
        <f t="shared" si="33"/>
        <v>-13</v>
      </c>
    </row>
    <row r="307" spans="1:12">
      <c r="A307" s="147" t="s">
        <v>241</v>
      </c>
      <c r="B307" s="160" t="s">
        <v>1783</v>
      </c>
      <c r="C307" s="160" t="s">
        <v>1670</v>
      </c>
      <c r="D307" s="147" t="s">
        <v>12</v>
      </c>
      <c r="E307" s="147" t="str">
        <f t="shared" si="32"/>
        <v>DallasIzmir</v>
      </c>
      <c r="F307" s="167">
        <v>3702</v>
      </c>
      <c r="G307" s="148">
        <f>COSTS!$AA$29</f>
        <v>350</v>
      </c>
      <c r="H307" s="149">
        <f t="shared" si="36"/>
        <v>4052</v>
      </c>
      <c r="I307" s="150">
        <f t="shared" si="35"/>
        <v>920.90909090909099</v>
      </c>
      <c r="J307" s="162">
        <v>46044</v>
      </c>
      <c r="K307" s="149">
        <v>3715</v>
      </c>
      <c r="L307" s="38">
        <f t="shared" si="33"/>
        <v>-13</v>
      </c>
    </row>
    <row r="308" spans="1:12">
      <c r="A308" s="147" t="s">
        <v>439</v>
      </c>
      <c r="B308" s="160" t="s">
        <v>1823</v>
      </c>
      <c r="C308" s="160" t="s">
        <v>1681</v>
      </c>
      <c r="D308" s="147" t="s">
        <v>12</v>
      </c>
      <c r="E308" s="147" t="str">
        <f t="shared" si="32"/>
        <v>HoustonCofradia</v>
      </c>
      <c r="F308" s="167" t="s">
        <v>1811</v>
      </c>
      <c r="G308" s="148">
        <f>COSTS!$AA$29</f>
        <v>350</v>
      </c>
      <c r="H308" s="149" t="e">
        <f t="shared" si="36"/>
        <v>#VALUE!</v>
      </c>
      <c r="I308" s="150" t="str">
        <f t="shared" si="35"/>
        <v>No Quote</v>
      </c>
      <c r="J308" s="162">
        <v>46044</v>
      </c>
      <c r="K308" s="149">
        <v>1650</v>
      </c>
      <c r="L308" s="38" t="e">
        <f t="shared" si="33"/>
        <v>#VALUE!</v>
      </c>
    </row>
    <row r="309" spans="1:12">
      <c r="A309" s="147" t="s">
        <v>439</v>
      </c>
      <c r="B309" s="160" t="s">
        <v>1750</v>
      </c>
      <c r="C309" s="160" t="s">
        <v>1670</v>
      </c>
      <c r="D309" s="147" t="s">
        <v>12</v>
      </c>
      <c r="E309" s="147" t="str">
        <f t="shared" si="32"/>
        <v>HoustonIskenderun</v>
      </c>
      <c r="F309" s="167">
        <v>1871</v>
      </c>
      <c r="G309" s="148">
        <f>COSTS!$AA$29</f>
        <v>350</v>
      </c>
      <c r="H309" s="149">
        <f t="shared" si="36"/>
        <v>2221</v>
      </c>
      <c r="I309" s="150">
        <f t="shared" si="35"/>
        <v>504.77272727272725</v>
      </c>
      <c r="J309" s="162">
        <v>46044</v>
      </c>
      <c r="K309" s="149">
        <v>1900</v>
      </c>
      <c r="L309" s="38">
        <f t="shared" si="33"/>
        <v>-29</v>
      </c>
    </row>
    <row r="310" spans="1:12">
      <c r="A310" s="154" t="s">
        <v>439</v>
      </c>
      <c r="B310" s="153" t="s">
        <v>1635</v>
      </c>
      <c r="C310" s="153" t="s">
        <v>1635</v>
      </c>
      <c r="D310" s="154" t="s">
        <v>12</v>
      </c>
      <c r="E310" s="154" t="str">
        <f t="shared" si="32"/>
        <v>HoustonCIF FE</v>
      </c>
      <c r="F310" s="168">
        <v>521</v>
      </c>
      <c r="G310" s="176">
        <f>COSTS!$AA$29</f>
        <v>350</v>
      </c>
      <c r="H310" s="155">
        <f t="shared" si="36"/>
        <v>871</v>
      </c>
      <c r="I310" s="156">
        <f t="shared" si="35"/>
        <v>197.95454545454547</v>
      </c>
      <c r="J310" s="165">
        <v>45796</v>
      </c>
      <c r="K310" s="177">
        <v>700</v>
      </c>
      <c r="L310" s="158">
        <f t="shared" si="33"/>
        <v>-179</v>
      </c>
    </row>
    <row r="311" spans="1:12">
      <c r="A311" s="147" t="s">
        <v>439</v>
      </c>
      <c r="B311" s="160" t="s">
        <v>1729</v>
      </c>
      <c r="C311" s="160" t="s">
        <v>1637</v>
      </c>
      <c r="D311" s="147" t="s">
        <v>12</v>
      </c>
      <c r="E311" s="147" t="str">
        <f t="shared" si="32"/>
        <v>HoustonQingdao</v>
      </c>
      <c r="F311" s="167">
        <v>521</v>
      </c>
      <c r="G311" s="148">
        <f>COSTS!$AA$29</f>
        <v>350</v>
      </c>
      <c r="H311" s="149">
        <f t="shared" si="36"/>
        <v>871</v>
      </c>
      <c r="I311" s="150">
        <f t="shared" si="35"/>
        <v>197.95454545454547</v>
      </c>
      <c r="J311" s="162">
        <v>46044</v>
      </c>
      <c r="K311" s="149">
        <v>700</v>
      </c>
      <c r="L311" s="38">
        <f t="shared" si="33"/>
        <v>-179</v>
      </c>
    </row>
    <row r="312" spans="1:12">
      <c r="A312" s="147" t="s">
        <v>439</v>
      </c>
      <c r="B312" s="160" t="s">
        <v>1751</v>
      </c>
      <c r="C312" s="160" t="s">
        <v>1670</v>
      </c>
      <c r="D312" s="147" t="s">
        <v>12</v>
      </c>
      <c r="E312" s="147" t="str">
        <f t="shared" si="32"/>
        <v>HoustonMersin</v>
      </c>
      <c r="F312" s="167">
        <v>1904</v>
      </c>
      <c r="G312" s="148">
        <f>COSTS!$AA$29</f>
        <v>350</v>
      </c>
      <c r="H312" s="149">
        <f t="shared" si="36"/>
        <v>2254</v>
      </c>
      <c r="I312" s="150">
        <f t="shared" si="35"/>
        <v>512.27272727272725</v>
      </c>
      <c r="J312" s="162">
        <v>46044</v>
      </c>
      <c r="K312" s="149">
        <v>1886</v>
      </c>
      <c r="L312" s="38">
        <f t="shared" si="33"/>
        <v>18</v>
      </c>
    </row>
    <row r="313" spans="1:12">
      <c r="A313" s="147" t="s">
        <v>439</v>
      </c>
      <c r="B313" s="160" t="s">
        <v>1824</v>
      </c>
      <c r="C313" s="160" t="s">
        <v>1668</v>
      </c>
      <c r="D313" s="147" t="s">
        <v>12</v>
      </c>
      <c r="E313" s="147" t="str">
        <f t="shared" si="32"/>
        <v>HoustonCochin</v>
      </c>
      <c r="F313" s="167">
        <v>2037</v>
      </c>
      <c r="G313" s="148">
        <f>COSTS!$AA$29</f>
        <v>350</v>
      </c>
      <c r="H313" s="149">
        <f t="shared" si="36"/>
        <v>2387</v>
      </c>
      <c r="I313" s="150">
        <f t="shared" si="35"/>
        <v>542.5</v>
      </c>
      <c r="J313" s="162">
        <v>46044</v>
      </c>
      <c r="K313" s="149">
        <v>2250</v>
      </c>
      <c r="L313" s="38">
        <f t="shared" si="33"/>
        <v>-213</v>
      </c>
    </row>
    <row r="314" spans="1:12">
      <c r="A314" s="147" t="s">
        <v>439</v>
      </c>
      <c r="B314" s="136" t="s">
        <v>1725</v>
      </c>
      <c r="C314" s="160" t="s">
        <v>1668</v>
      </c>
      <c r="D314" s="147" t="s">
        <v>12</v>
      </c>
      <c r="E314" s="147" t="str">
        <f t="shared" si="32"/>
        <v>HoustonNhava Sheva</v>
      </c>
      <c r="F314" s="167">
        <v>1347</v>
      </c>
      <c r="G314" s="148">
        <f>COSTS!$AA$29</f>
        <v>350</v>
      </c>
      <c r="H314" s="149">
        <f t="shared" si="36"/>
        <v>1697</v>
      </c>
      <c r="I314" s="150">
        <f t="shared" si="35"/>
        <v>385.68181818181819</v>
      </c>
      <c r="J314" s="162">
        <v>46044</v>
      </c>
      <c r="K314" s="149">
        <v>1550</v>
      </c>
      <c r="L314" s="38">
        <f t="shared" si="33"/>
        <v>-203</v>
      </c>
    </row>
    <row r="315" spans="1:12">
      <c r="A315" s="147" t="s">
        <v>439</v>
      </c>
      <c r="B315" s="160" t="s">
        <v>1825</v>
      </c>
      <c r="C315" s="160" t="s">
        <v>1826</v>
      </c>
      <c r="D315" s="147" t="s">
        <v>12</v>
      </c>
      <c r="E315" s="147" t="str">
        <f t="shared" si="32"/>
        <v>HoustonPipavav</v>
      </c>
      <c r="F315" s="167">
        <v>2300</v>
      </c>
      <c r="G315" s="148">
        <f>COSTS!$AA$29</f>
        <v>350</v>
      </c>
      <c r="H315" s="149">
        <f t="shared" si="36"/>
        <v>2650</v>
      </c>
      <c r="I315" s="150">
        <f t="shared" si="35"/>
        <v>602.27272727272725</v>
      </c>
      <c r="J315" s="162">
        <v>46044</v>
      </c>
      <c r="K315" s="149">
        <v>2591</v>
      </c>
      <c r="L315" s="38">
        <f t="shared" si="33"/>
        <v>-291</v>
      </c>
    </row>
    <row r="316" spans="1:12">
      <c r="A316" s="147" t="s">
        <v>439</v>
      </c>
      <c r="B316" s="160" t="s">
        <v>1743</v>
      </c>
      <c r="C316" s="160" t="s">
        <v>1660</v>
      </c>
      <c r="D316" s="147" t="s">
        <v>12</v>
      </c>
      <c r="E316" s="147" t="str">
        <f t="shared" si="32"/>
        <v>HoustonBangkok</v>
      </c>
      <c r="F316" s="167">
        <v>760</v>
      </c>
      <c r="G316" s="148">
        <f>COSTS!$AA$29</f>
        <v>350</v>
      </c>
      <c r="H316" s="149">
        <f t="shared" si="36"/>
        <v>1110</v>
      </c>
      <c r="I316" s="150">
        <f t="shared" si="35"/>
        <v>252.27272727272725</v>
      </c>
      <c r="J316" s="162">
        <v>46044</v>
      </c>
      <c r="K316" s="149">
        <v>1165</v>
      </c>
      <c r="L316" s="38">
        <f t="shared" si="33"/>
        <v>-405</v>
      </c>
    </row>
    <row r="317" spans="1:12">
      <c r="A317" s="147" t="s">
        <v>439</v>
      </c>
      <c r="B317" s="160" t="s">
        <v>1727</v>
      </c>
      <c r="C317" s="160" t="s">
        <v>1668</v>
      </c>
      <c r="D317" s="147" t="s">
        <v>12</v>
      </c>
      <c r="E317" s="147" t="str">
        <f t="shared" si="32"/>
        <v>HoustonTuticorin</v>
      </c>
      <c r="F317" s="167">
        <v>1669</v>
      </c>
      <c r="G317" s="148">
        <f>COSTS!$AA$29</f>
        <v>350</v>
      </c>
      <c r="H317" s="149">
        <f t="shared" si="36"/>
        <v>2019</v>
      </c>
      <c r="I317" s="150">
        <f t="shared" si="35"/>
        <v>458.86363636363632</v>
      </c>
      <c r="J317" s="162">
        <v>46044</v>
      </c>
      <c r="K317" s="149">
        <v>1860</v>
      </c>
      <c r="L317" s="38">
        <f t="shared" si="33"/>
        <v>-191</v>
      </c>
    </row>
    <row r="318" spans="1:12">
      <c r="A318" s="147" t="s">
        <v>439</v>
      </c>
      <c r="B318" s="160" t="s">
        <v>1742</v>
      </c>
      <c r="C318" s="160" t="s">
        <v>1648</v>
      </c>
      <c r="D318" s="147" t="s">
        <v>12</v>
      </c>
      <c r="E318" s="147" t="str">
        <f t="shared" si="32"/>
        <v>HoustonPort Klang</v>
      </c>
      <c r="F318" s="167">
        <v>600</v>
      </c>
      <c r="G318" s="148">
        <f>COSTS!$AA$29</f>
        <v>350</v>
      </c>
      <c r="H318" s="149">
        <f t="shared" si="36"/>
        <v>950</v>
      </c>
      <c r="I318" s="150">
        <f t="shared" si="35"/>
        <v>215.90909090909091</v>
      </c>
      <c r="J318" s="162">
        <v>46057</v>
      </c>
      <c r="K318" s="149">
        <v>600</v>
      </c>
      <c r="L318" s="38">
        <f t="shared" si="33"/>
        <v>0</v>
      </c>
    </row>
    <row r="319" spans="1:12">
      <c r="A319" s="147" t="s">
        <v>439</v>
      </c>
      <c r="B319" s="160" t="s">
        <v>1746</v>
      </c>
      <c r="C319" s="160" t="s">
        <v>1658</v>
      </c>
      <c r="D319" s="147" t="s">
        <v>12</v>
      </c>
      <c r="E319" s="147" t="str">
        <f t="shared" si="32"/>
        <v>HoustonJakarta</v>
      </c>
      <c r="F319" s="167">
        <v>832</v>
      </c>
      <c r="G319" s="148">
        <f>COSTS!$AA$29</f>
        <v>350</v>
      </c>
      <c r="H319" s="149">
        <f t="shared" si="36"/>
        <v>1182</v>
      </c>
      <c r="I319" s="150">
        <f t="shared" si="35"/>
        <v>268.63636363636363</v>
      </c>
      <c r="J319" s="162">
        <v>46044</v>
      </c>
      <c r="K319" s="149">
        <v>1300</v>
      </c>
      <c r="L319" s="38">
        <f t="shared" si="33"/>
        <v>-468</v>
      </c>
    </row>
    <row r="320" spans="1:12">
      <c r="A320" s="147" t="s">
        <v>439</v>
      </c>
      <c r="B320" s="160" t="s">
        <v>1790</v>
      </c>
      <c r="C320" s="160" t="s">
        <v>1637</v>
      </c>
      <c r="D320" s="147" t="s">
        <v>12</v>
      </c>
      <c r="E320" s="147" t="str">
        <f t="shared" si="32"/>
        <v>HoustonZhuhai</v>
      </c>
      <c r="F320" s="167">
        <v>1084</v>
      </c>
      <c r="G320" s="148">
        <f>COSTS!$AA$29</f>
        <v>350</v>
      </c>
      <c r="H320" s="149">
        <f t="shared" si="36"/>
        <v>1434</v>
      </c>
      <c r="I320" s="150">
        <f t="shared" si="35"/>
        <v>325.90909090909093</v>
      </c>
      <c r="J320" s="162">
        <v>46044</v>
      </c>
      <c r="K320" s="149">
        <v>910</v>
      </c>
      <c r="L320" s="38">
        <f t="shared" si="33"/>
        <v>174</v>
      </c>
    </row>
    <row r="321" spans="1:12">
      <c r="A321" s="147" t="s">
        <v>439</v>
      </c>
      <c r="B321" s="160" t="s">
        <v>1791</v>
      </c>
      <c r="C321" s="160" t="s">
        <v>1637</v>
      </c>
      <c r="D321" s="147" t="s">
        <v>12</v>
      </c>
      <c r="E321" s="147" t="str">
        <f t="shared" si="32"/>
        <v>HoustonZhanjiang</v>
      </c>
      <c r="F321" s="167">
        <v>1008</v>
      </c>
      <c r="G321" s="148">
        <f>COSTS!$AA$29</f>
        <v>350</v>
      </c>
      <c r="H321" s="149">
        <f t="shared" si="36"/>
        <v>1358</v>
      </c>
      <c r="I321" s="150">
        <f t="shared" si="35"/>
        <v>308.63636363636363</v>
      </c>
      <c r="J321" s="162">
        <v>46044</v>
      </c>
      <c r="K321" s="149">
        <v>1200</v>
      </c>
      <c r="L321" s="38">
        <f t="shared" si="33"/>
        <v>-192</v>
      </c>
    </row>
    <row r="322" spans="1:12">
      <c r="A322" s="147" t="s">
        <v>439</v>
      </c>
      <c r="B322" s="160" t="s">
        <v>1731</v>
      </c>
      <c r="C322" s="160" t="s">
        <v>1637</v>
      </c>
      <c r="D322" s="147" t="s">
        <v>12</v>
      </c>
      <c r="E322" s="147" t="str">
        <f t="shared" si="32"/>
        <v>HoustonZhangjiagang</v>
      </c>
      <c r="F322" s="167">
        <v>917</v>
      </c>
      <c r="G322" s="148">
        <f>COSTS!$AA$29</f>
        <v>350</v>
      </c>
      <c r="H322" s="149">
        <f t="shared" si="36"/>
        <v>1267</v>
      </c>
      <c r="I322" s="150">
        <f t="shared" si="35"/>
        <v>287.9545454545455</v>
      </c>
      <c r="J322" s="162">
        <v>46044</v>
      </c>
      <c r="K322" s="149">
        <v>850</v>
      </c>
      <c r="L322" s="38">
        <f t="shared" si="33"/>
        <v>67</v>
      </c>
    </row>
    <row r="323" spans="1:12">
      <c r="A323" s="147" t="s">
        <v>439</v>
      </c>
      <c r="B323" s="160" t="s">
        <v>1792</v>
      </c>
      <c r="C323" s="160" t="s">
        <v>1637</v>
      </c>
      <c r="D323" s="147" t="s">
        <v>12</v>
      </c>
      <c r="E323" s="147" t="str">
        <f t="shared" si="32"/>
        <v>HoustonXinhui</v>
      </c>
      <c r="F323" s="167">
        <v>924</v>
      </c>
      <c r="G323" s="148">
        <f>COSTS!$AA$29</f>
        <v>350</v>
      </c>
      <c r="H323" s="149">
        <f t="shared" si="36"/>
        <v>1274</v>
      </c>
      <c r="I323" s="150">
        <f t="shared" si="35"/>
        <v>289.5454545454545</v>
      </c>
      <c r="J323" s="162">
        <v>46044</v>
      </c>
      <c r="K323" s="149">
        <v>924</v>
      </c>
      <c r="L323" s="38">
        <f t="shared" si="33"/>
        <v>0</v>
      </c>
    </row>
    <row r="324" spans="1:12">
      <c r="A324" s="147" t="s">
        <v>439</v>
      </c>
      <c r="B324" s="160" t="s">
        <v>1730</v>
      </c>
      <c r="C324" s="160" t="s">
        <v>1637</v>
      </c>
      <c r="D324" s="147" t="s">
        <v>12</v>
      </c>
      <c r="E324" s="147" t="str">
        <f t="shared" ref="E324:E387" si="37">CONCATENATE(,A324,B324)</f>
        <v>HoustonXingang</v>
      </c>
      <c r="F324" s="167">
        <v>501</v>
      </c>
      <c r="G324" s="148">
        <f>COSTS!$AA$29</f>
        <v>350</v>
      </c>
      <c r="H324" s="149">
        <f t="shared" si="36"/>
        <v>851</v>
      </c>
      <c r="I324" s="150">
        <f t="shared" si="35"/>
        <v>193.40909090909091</v>
      </c>
      <c r="J324" s="162">
        <v>46044</v>
      </c>
      <c r="K324" s="149">
        <v>700</v>
      </c>
      <c r="L324" s="38">
        <f t="shared" ref="L324:L387" si="38">F324-K324</f>
        <v>-199</v>
      </c>
    </row>
    <row r="325" spans="1:12">
      <c r="A325" s="147" t="s">
        <v>439</v>
      </c>
      <c r="B325" s="160" t="s">
        <v>1763</v>
      </c>
      <c r="C325" s="160" t="s">
        <v>1637</v>
      </c>
      <c r="D325" s="147" t="s">
        <v>12</v>
      </c>
      <c r="E325" s="147" t="str">
        <f t="shared" si="37"/>
        <v>HoustonWuhan</v>
      </c>
      <c r="F325" s="167">
        <v>667</v>
      </c>
      <c r="G325" s="148">
        <f>COSTS!$AA$29</f>
        <v>350</v>
      </c>
      <c r="H325" s="149">
        <f t="shared" si="36"/>
        <v>1017</v>
      </c>
      <c r="I325" s="150">
        <f t="shared" si="35"/>
        <v>231.13636363636363</v>
      </c>
      <c r="J325" s="162">
        <v>46044</v>
      </c>
      <c r="K325" s="149">
        <v>950</v>
      </c>
      <c r="L325" s="38">
        <f t="shared" si="38"/>
        <v>-283</v>
      </c>
    </row>
    <row r="326" spans="1:12">
      <c r="A326" s="147" t="s">
        <v>439</v>
      </c>
      <c r="B326" s="160" t="s">
        <v>1827</v>
      </c>
      <c r="C326" s="160" t="s">
        <v>1683</v>
      </c>
      <c r="D326" s="147" t="s">
        <v>12</v>
      </c>
      <c r="E326" s="147" t="str">
        <f t="shared" si="37"/>
        <v>HoustonVitoria</v>
      </c>
      <c r="F326" s="167" t="s">
        <v>1811</v>
      </c>
      <c r="G326" s="148">
        <f>COSTS!$AA$29</f>
        <v>350</v>
      </c>
      <c r="H326" s="149" t="e">
        <f t="shared" si="36"/>
        <v>#VALUE!</v>
      </c>
      <c r="I326" s="150" t="str">
        <f t="shared" si="35"/>
        <v>No Quote</v>
      </c>
      <c r="J326" s="162">
        <v>46044</v>
      </c>
      <c r="K326" s="149" t="s">
        <v>1793</v>
      </c>
      <c r="L326" s="38" t="e">
        <f t="shared" si="38"/>
        <v>#VALUE!</v>
      </c>
    </row>
    <row r="327" spans="1:12">
      <c r="A327" s="147" t="s">
        <v>439</v>
      </c>
      <c r="B327" s="136" t="s">
        <v>1726</v>
      </c>
      <c r="C327" s="160" t="s">
        <v>1668</v>
      </c>
      <c r="D327" s="147" t="s">
        <v>12</v>
      </c>
      <c r="E327" s="147" t="str">
        <f t="shared" si="37"/>
        <v>HoustonMundra</v>
      </c>
      <c r="F327" s="167">
        <v>1671</v>
      </c>
      <c r="G327" s="148">
        <f>COSTS!$AA$29</f>
        <v>350</v>
      </c>
      <c r="H327" s="149">
        <f t="shared" si="36"/>
        <v>2021</v>
      </c>
      <c r="I327" s="150">
        <f t="shared" si="35"/>
        <v>459.31818181818181</v>
      </c>
      <c r="J327" s="162">
        <v>46044</v>
      </c>
      <c r="K327" s="149">
        <v>1550</v>
      </c>
      <c r="L327" s="38">
        <f t="shared" si="38"/>
        <v>121</v>
      </c>
    </row>
    <row r="328" spans="1:12">
      <c r="A328" s="147" t="s">
        <v>439</v>
      </c>
      <c r="B328" s="160" t="s">
        <v>1828</v>
      </c>
      <c r="C328" s="160" t="s">
        <v>1829</v>
      </c>
      <c r="D328" s="147" t="s">
        <v>12</v>
      </c>
      <c r="E328" s="147" t="str">
        <f t="shared" si="37"/>
        <v>HoustonTunis</v>
      </c>
      <c r="F328" s="167" t="s">
        <v>1811</v>
      </c>
      <c r="G328" s="148">
        <f>COSTS!$AA$29</f>
        <v>350</v>
      </c>
      <c r="H328" s="149" t="e">
        <f t="shared" si="36"/>
        <v>#VALUE!</v>
      </c>
      <c r="I328" s="150" t="str">
        <f t="shared" si="35"/>
        <v>No Quote</v>
      </c>
      <c r="J328" s="162">
        <v>46044</v>
      </c>
      <c r="K328" s="149" t="s">
        <v>1793</v>
      </c>
      <c r="L328" s="38" t="e">
        <f t="shared" si="38"/>
        <v>#VALUE!</v>
      </c>
    </row>
    <row r="329" spans="1:12">
      <c r="A329" s="147" t="s">
        <v>439</v>
      </c>
      <c r="B329" s="160" t="s">
        <v>1807</v>
      </c>
      <c r="C329" s="160" t="s">
        <v>1830</v>
      </c>
      <c r="D329" s="147" t="s">
        <v>12</v>
      </c>
      <c r="E329" s="147" t="str">
        <f t="shared" si="37"/>
        <v>HoustonTrieste</v>
      </c>
      <c r="F329" s="167" t="s">
        <v>1811</v>
      </c>
      <c r="G329" s="148">
        <f>COSTS!$AA$29</f>
        <v>350</v>
      </c>
      <c r="H329" s="149" t="e">
        <f t="shared" si="36"/>
        <v>#VALUE!</v>
      </c>
      <c r="I329" s="150" t="str">
        <f t="shared" si="35"/>
        <v>No Quote</v>
      </c>
      <c r="J329" s="162">
        <v>46044</v>
      </c>
      <c r="K329" s="149" t="s">
        <v>1793</v>
      </c>
      <c r="L329" s="38" t="e">
        <f t="shared" si="38"/>
        <v>#VALUE!</v>
      </c>
    </row>
    <row r="330" spans="1:12">
      <c r="A330" s="147" t="s">
        <v>439</v>
      </c>
      <c r="B330" s="160" t="s">
        <v>1810</v>
      </c>
      <c r="C330" s="160" t="s">
        <v>1637</v>
      </c>
      <c r="D330" s="147" t="s">
        <v>12</v>
      </c>
      <c r="E330" s="147" t="str">
        <f t="shared" si="37"/>
        <v>HoustonTaizhou</v>
      </c>
      <c r="F330" s="167" t="s">
        <v>1811</v>
      </c>
      <c r="G330" s="148">
        <f>COSTS!$AA$29</f>
        <v>350</v>
      </c>
      <c r="H330" s="149" t="e">
        <f t="shared" si="36"/>
        <v>#VALUE!</v>
      </c>
      <c r="I330" s="150" t="str">
        <f t="shared" si="35"/>
        <v>No Quote</v>
      </c>
      <c r="J330" s="162">
        <v>46044</v>
      </c>
      <c r="K330" s="149">
        <v>1050</v>
      </c>
      <c r="L330" s="38" t="e">
        <f t="shared" si="38"/>
        <v>#VALUE!</v>
      </c>
    </row>
    <row r="331" spans="1:12">
      <c r="A331" s="147" t="s">
        <v>439</v>
      </c>
      <c r="B331" s="160" t="s">
        <v>1820</v>
      </c>
      <c r="C331" s="160" t="s">
        <v>1831</v>
      </c>
      <c r="D331" s="147" t="s">
        <v>12</v>
      </c>
      <c r="E331" s="147" t="str">
        <f t="shared" si="37"/>
        <v>HoustonSuape</v>
      </c>
      <c r="F331" s="167">
        <v>1474</v>
      </c>
      <c r="G331" s="148">
        <f>COSTS!$AA$29</f>
        <v>350</v>
      </c>
      <c r="H331" s="149">
        <f t="shared" si="36"/>
        <v>1824</v>
      </c>
      <c r="I331" s="150">
        <f t="shared" si="35"/>
        <v>414.5454545454545</v>
      </c>
      <c r="J331" s="166">
        <v>46044</v>
      </c>
      <c r="K331" s="149" t="s">
        <v>1811</v>
      </c>
      <c r="L331" s="38" t="e">
        <f t="shared" si="38"/>
        <v>#VALUE!</v>
      </c>
    </row>
    <row r="332" spans="1:12">
      <c r="A332" s="147" t="s">
        <v>439</v>
      </c>
      <c r="B332" s="160" t="s">
        <v>1812</v>
      </c>
      <c r="C332" s="160" t="s">
        <v>1813</v>
      </c>
      <c r="D332" s="147" t="s">
        <v>12</v>
      </c>
      <c r="E332" s="147" t="str">
        <f t="shared" si="37"/>
        <v>HoustonSohar Oman</v>
      </c>
      <c r="F332" s="167" t="s">
        <v>1811</v>
      </c>
      <c r="G332" s="148">
        <f>COSTS!$AA$29</f>
        <v>350</v>
      </c>
      <c r="H332" s="149" t="e">
        <f t="shared" si="36"/>
        <v>#VALUE!</v>
      </c>
      <c r="I332" s="150" t="str">
        <f t="shared" si="35"/>
        <v>No Quote</v>
      </c>
      <c r="J332" s="162"/>
      <c r="K332" s="149" t="s">
        <v>1793</v>
      </c>
      <c r="L332" s="38" t="e">
        <f t="shared" si="38"/>
        <v>#VALUE!</v>
      </c>
    </row>
    <row r="333" spans="1:12">
      <c r="A333" s="147" t="s">
        <v>439</v>
      </c>
      <c r="B333" s="160" t="s">
        <v>1794</v>
      </c>
      <c r="C333" s="160" t="s">
        <v>1637</v>
      </c>
      <c r="D333" s="147" t="s">
        <v>12</v>
      </c>
      <c r="E333" s="147" t="str">
        <f t="shared" si="37"/>
        <v>HoustonShanghai/Qingdao/Xiamen/Ningbo/Xingang</v>
      </c>
      <c r="F333" s="167">
        <v>501</v>
      </c>
      <c r="G333" s="148">
        <f>COSTS!$AA$29</f>
        <v>350</v>
      </c>
      <c r="H333" s="149">
        <f t="shared" si="36"/>
        <v>851</v>
      </c>
      <c r="I333" s="150">
        <f t="shared" si="35"/>
        <v>193.40909090909091</v>
      </c>
      <c r="J333" s="162">
        <v>46044</v>
      </c>
      <c r="K333" s="149">
        <v>700</v>
      </c>
      <c r="L333" s="38">
        <f t="shared" si="38"/>
        <v>-199</v>
      </c>
    </row>
    <row r="334" spans="1:12">
      <c r="A334" s="147" t="s">
        <v>439</v>
      </c>
      <c r="B334" s="160" t="s">
        <v>1832</v>
      </c>
      <c r="C334" s="160" t="s">
        <v>1830</v>
      </c>
      <c r="D334" s="147" t="s">
        <v>12</v>
      </c>
      <c r="E334" s="147" t="str">
        <f t="shared" si="37"/>
        <v>HoustonSalerno</v>
      </c>
      <c r="F334" s="167">
        <v>2160</v>
      </c>
      <c r="G334" s="148">
        <f>COSTS!$AA$29</f>
        <v>350</v>
      </c>
      <c r="H334" s="149">
        <f t="shared" si="36"/>
        <v>2510</v>
      </c>
      <c r="I334" s="150">
        <f t="shared" si="35"/>
        <v>570.4545454545455</v>
      </c>
      <c r="J334" s="162">
        <v>46044</v>
      </c>
      <c r="K334" s="149">
        <v>1600</v>
      </c>
      <c r="L334" s="38">
        <f t="shared" si="38"/>
        <v>560</v>
      </c>
    </row>
    <row r="335" spans="1:12">
      <c r="A335" s="147" t="s">
        <v>439</v>
      </c>
      <c r="B335" s="160" t="s">
        <v>1795</v>
      </c>
      <c r="C335" s="160" t="s">
        <v>1637</v>
      </c>
      <c r="D335" s="147" t="s">
        <v>12</v>
      </c>
      <c r="E335" s="147" t="str">
        <f t="shared" si="37"/>
        <v>HoustonQinzhou</v>
      </c>
      <c r="F335" s="167">
        <v>988</v>
      </c>
      <c r="G335" s="148">
        <f>COSTS!$AA$29</f>
        <v>350</v>
      </c>
      <c r="H335" s="149">
        <f t="shared" si="36"/>
        <v>1338</v>
      </c>
      <c r="I335" s="150">
        <f t="shared" ref="I335:I366" si="39">IFERROR(H335/88*20,"No Quote")</f>
        <v>304.09090909090912</v>
      </c>
      <c r="J335" s="162">
        <v>46044</v>
      </c>
      <c r="K335" s="149">
        <v>1000</v>
      </c>
      <c r="L335" s="38">
        <f t="shared" si="38"/>
        <v>-12</v>
      </c>
    </row>
    <row r="336" spans="1:12">
      <c r="A336" s="147" t="s">
        <v>439</v>
      </c>
      <c r="B336" s="160" t="s">
        <v>1833</v>
      </c>
      <c r="C336" s="160" t="s">
        <v>1834</v>
      </c>
      <c r="D336" s="147" t="s">
        <v>12</v>
      </c>
      <c r="E336" s="147" t="str">
        <f t="shared" si="37"/>
        <v>HoustonPuerto Limon</v>
      </c>
      <c r="F336" s="167" t="s">
        <v>1793</v>
      </c>
      <c r="G336" s="148">
        <f>COSTS!$AA$29</f>
        <v>350</v>
      </c>
      <c r="H336" s="149" t="e">
        <f t="shared" si="36"/>
        <v>#VALUE!</v>
      </c>
      <c r="I336" s="150" t="str">
        <f t="shared" si="39"/>
        <v>No Quote</v>
      </c>
      <c r="J336" s="162"/>
      <c r="K336" s="149" t="s">
        <v>1793</v>
      </c>
      <c r="L336" s="38" t="e">
        <f t="shared" si="38"/>
        <v>#VALUE!</v>
      </c>
    </row>
    <row r="337" spans="1:12">
      <c r="A337" s="147" t="s">
        <v>439</v>
      </c>
      <c r="B337" s="160" t="s">
        <v>1835</v>
      </c>
      <c r="C337" s="160" t="s">
        <v>1679</v>
      </c>
      <c r="D337" s="147" t="s">
        <v>12</v>
      </c>
      <c r="E337" s="147" t="str">
        <f t="shared" si="37"/>
        <v>HoustonPuerto Barrios, Guatemala</v>
      </c>
      <c r="F337" s="167">
        <v>2630</v>
      </c>
      <c r="G337" s="148">
        <f>COSTS!$AA$29</f>
        <v>350</v>
      </c>
      <c r="H337" s="149">
        <f t="shared" ref="H337:H368" si="40">F337+G337</f>
        <v>2980</v>
      </c>
      <c r="I337" s="150">
        <f t="shared" si="39"/>
        <v>677.27272727272737</v>
      </c>
      <c r="J337" s="162">
        <v>46044</v>
      </c>
      <c r="K337" s="149">
        <v>1325</v>
      </c>
      <c r="L337" s="38">
        <f t="shared" si="38"/>
        <v>1305</v>
      </c>
    </row>
    <row r="338" spans="1:12">
      <c r="A338" s="147" t="s">
        <v>439</v>
      </c>
      <c r="B338" s="160" t="s">
        <v>1738</v>
      </c>
      <c r="C338" s="160" t="s">
        <v>1666</v>
      </c>
      <c r="D338" s="147" t="s">
        <v>12</v>
      </c>
      <c r="E338" s="147" t="str">
        <f t="shared" si="37"/>
        <v>HoustonPort Qasim/Karachi</v>
      </c>
      <c r="F338" s="167">
        <v>1829</v>
      </c>
      <c r="G338" s="148">
        <f>COSTS!$AA$29</f>
        <v>350</v>
      </c>
      <c r="H338" s="149">
        <f t="shared" si="40"/>
        <v>2179</v>
      </c>
      <c r="I338" s="150">
        <f t="shared" si="39"/>
        <v>495.22727272727275</v>
      </c>
      <c r="J338" s="162">
        <v>46044</v>
      </c>
      <c r="K338" s="149">
        <v>1888</v>
      </c>
      <c r="L338" s="38">
        <f t="shared" si="38"/>
        <v>-59</v>
      </c>
    </row>
    <row r="339" spans="1:12">
      <c r="A339" s="147" t="s">
        <v>439</v>
      </c>
      <c r="B339" s="160" t="s">
        <v>1775</v>
      </c>
      <c r="C339" s="160" t="s">
        <v>1648</v>
      </c>
      <c r="D339" s="147" t="s">
        <v>12</v>
      </c>
      <c r="E339" s="147" t="str">
        <f t="shared" si="37"/>
        <v>HoustonTanjung Pelepas</v>
      </c>
      <c r="F339" s="167">
        <v>964</v>
      </c>
      <c r="G339" s="148">
        <f>COSTS!$AA$29</f>
        <v>350</v>
      </c>
      <c r="H339" s="149">
        <f t="shared" si="40"/>
        <v>1314</v>
      </c>
      <c r="I339" s="150">
        <f t="shared" si="39"/>
        <v>298.63636363636363</v>
      </c>
      <c r="J339" s="162">
        <v>46044</v>
      </c>
      <c r="K339" s="149">
        <v>1150</v>
      </c>
      <c r="L339" s="38">
        <f t="shared" si="38"/>
        <v>-186</v>
      </c>
    </row>
    <row r="340" spans="1:12">
      <c r="A340" s="147" t="s">
        <v>439</v>
      </c>
      <c r="B340" s="160" t="s">
        <v>1836</v>
      </c>
      <c r="C340" s="160" t="s">
        <v>1831</v>
      </c>
      <c r="D340" s="147" t="s">
        <v>12</v>
      </c>
      <c r="E340" s="147" t="str">
        <f t="shared" si="37"/>
        <v>HoustonPecem</v>
      </c>
      <c r="F340" s="167" t="s">
        <v>1811</v>
      </c>
      <c r="G340" s="148">
        <f>COSTS!$AA$29</f>
        <v>350</v>
      </c>
      <c r="H340" s="149" t="e">
        <f t="shared" si="40"/>
        <v>#VALUE!</v>
      </c>
      <c r="I340" s="150" t="str">
        <f t="shared" si="39"/>
        <v>No Quote</v>
      </c>
      <c r="J340" s="162">
        <v>46044</v>
      </c>
      <c r="K340" s="149" t="s">
        <v>1793</v>
      </c>
      <c r="L340" s="38" t="e">
        <f t="shared" si="38"/>
        <v>#VALUE!</v>
      </c>
    </row>
    <row r="341" spans="1:12">
      <c r="A341" s="147" t="s">
        <v>439</v>
      </c>
      <c r="B341" s="160" t="s">
        <v>1837</v>
      </c>
      <c r="C341" s="160" t="s">
        <v>1679</v>
      </c>
      <c r="D341" s="147" t="s">
        <v>12</v>
      </c>
      <c r="E341" s="147" t="str">
        <f t="shared" si="37"/>
        <v>HoustonPalin</v>
      </c>
      <c r="F341" s="167">
        <v>2401</v>
      </c>
      <c r="G341" s="148">
        <f>COSTS!$AA$29</f>
        <v>350</v>
      </c>
      <c r="H341" s="149">
        <f t="shared" si="40"/>
        <v>2751</v>
      </c>
      <c r="I341" s="150">
        <f t="shared" si="39"/>
        <v>625.22727272727275</v>
      </c>
      <c r="J341" s="162">
        <v>46044</v>
      </c>
      <c r="K341" s="149">
        <v>2250</v>
      </c>
      <c r="L341" s="38">
        <f t="shared" si="38"/>
        <v>151</v>
      </c>
    </row>
    <row r="342" spans="1:12">
      <c r="A342" s="147" t="s">
        <v>439</v>
      </c>
      <c r="B342" s="160" t="s">
        <v>1796</v>
      </c>
      <c r="C342" s="160" t="s">
        <v>1646</v>
      </c>
      <c r="D342" s="147" t="s">
        <v>12</v>
      </c>
      <c r="E342" s="147" t="str">
        <f t="shared" si="37"/>
        <v>HoustonOsaka</v>
      </c>
      <c r="F342" s="167">
        <v>900</v>
      </c>
      <c r="G342" s="148">
        <f>COSTS!$AA$29</f>
        <v>350</v>
      </c>
      <c r="H342" s="149">
        <f t="shared" si="40"/>
        <v>1250</v>
      </c>
      <c r="I342" s="150">
        <f t="shared" si="39"/>
        <v>284.09090909090912</v>
      </c>
      <c r="J342" s="162">
        <v>46044</v>
      </c>
      <c r="K342" s="149">
        <v>950</v>
      </c>
      <c r="L342" s="38">
        <f t="shared" si="38"/>
        <v>-50</v>
      </c>
    </row>
    <row r="343" spans="1:12">
      <c r="A343" s="147" t="s">
        <v>439</v>
      </c>
      <c r="B343" s="160" t="s">
        <v>1734</v>
      </c>
      <c r="C343" s="160" t="s">
        <v>1637</v>
      </c>
      <c r="D343" s="147" t="s">
        <v>12</v>
      </c>
      <c r="E343" s="147" t="str">
        <f t="shared" si="37"/>
        <v>HoustonNantong</v>
      </c>
      <c r="F343" s="167">
        <v>667</v>
      </c>
      <c r="G343" s="148">
        <f>COSTS!$AA$29</f>
        <v>350</v>
      </c>
      <c r="H343" s="149">
        <f t="shared" si="40"/>
        <v>1017</v>
      </c>
      <c r="I343" s="150">
        <f t="shared" si="39"/>
        <v>231.13636363636363</v>
      </c>
      <c r="J343" s="162">
        <v>46044</v>
      </c>
      <c r="K343" s="149">
        <v>700</v>
      </c>
      <c r="L343" s="38">
        <f t="shared" si="38"/>
        <v>-33</v>
      </c>
    </row>
    <row r="344" spans="1:12">
      <c r="A344" s="147" t="s">
        <v>439</v>
      </c>
      <c r="B344" s="160" t="s">
        <v>1806</v>
      </c>
      <c r="C344" s="160" t="s">
        <v>1646</v>
      </c>
      <c r="D344" s="147" t="s">
        <v>12</v>
      </c>
      <c r="E344" s="147" t="str">
        <f t="shared" si="37"/>
        <v>HoustonNagoya/Kobe</v>
      </c>
      <c r="F344" s="167">
        <v>900</v>
      </c>
      <c r="G344" s="148">
        <f>COSTS!$AA$29</f>
        <v>350</v>
      </c>
      <c r="H344" s="149">
        <f t="shared" si="40"/>
        <v>1250</v>
      </c>
      <c r="I344" s="150">
        <f t="shared" si="39"/>
        <v>284.09090909090912</v>
      </c>
      <c r="J344" s="162">
        <v>46044</v>
      </c>
      <c r="K344" s="149">
        <v>1000</v>
      </c>
      <c r="L344" s="38">
        <f t="shared" si="38"/>
        <v>-100</v>
      </c>
    </row>
    <row r="345" spans="1:12">
      <c r="A345" s="147" t="s">
        <v>439</v>
      </c>
      <c r="B345" s="160" t="s">
        <v>517</v>
      </c>
      <c r="C345" s="160" t="s">
        <v>1797</v>
      </c>
      <c r="D345" s="147" t="s">
        <v>12</v>
      </c>
      <c r="E345" s="147" t="str">
        <f t="shared" si="37"/>
        <v>HoustonManila</v>
      </c>
      <c r="F345" s="167">
        <v>1095</v>
      </c>
      <c r="G345" s="148">
        <f>COSTS!$AA$29</f>
        <v>350</v>
      </c>
      <c r="H345" s="149">
        <f t="shared" si="40"/>
        <v>1445</v>
      </c>
      <c r="I345" s="150">
        <f t="shared" si="39"/>
        <v>328.40909090909093</v>
      </c>
      <c r="J345" s="162">
        <v>46044</v>
      </c>
      <c r="K345" s="149">
        <v>1250</v>
      </c>
      <c r="L345" s="38">
        <f t="shared" si="38"/>
        <v>-155</v>
      </c>
    </row>
    <row r="346" spans="1:12">
      <c r="A346" s="147" t="s">
        <v>439</v>
      </c>
      <c r="B346" s="160" t="s">
        <v>1838</v>
      </c>
      <c r="C346" s="160" t="s">
        <v>1839</v>
      </c>
      <c r="D346" s="147" t="s">
        <v>12</v>
      </c>
      <c r="E346" s="147" t="str">
        <f t="shared" si="37"/>
        <v>HoustonManagua, Nicaragua</v>
      </c>
      <c r="F346" s="167">
        <v>4055</v>
      </c>
      <c r="G346" s="148">
        <f>COSTS!$AA$29</f>
        <v>350</v>
      </c>
      <c r="H346" s="149">
        <f t="shared" si="40"/>
        <v>4405</v>
      </c>
      <c r="I346" s="150">
        <f t="shared" si="39"/>
        <v>1001.1363636363636</v>
      </c>
      <c r="J346" s="162">
        <v>46044</v>
      </c>
      <c r="K346" s="149">
        <v>2700</v>
      </c>
      <c r="L346" s="38">
        <f t="shared" si="38"/>
        <v>1355</v>
      </c>
    </row>
    <row r="347" spans="1:12">
      <c r="A347" s="147" t="s">
        <v>439</v>
      </c>
      <c r="B347" s="160" t="s">
        <v>1768</v>
      </c>
      <c r="C347" s="160" t="s">
        <v>1637</v>
      </c>
      <c r="D347" s="147" t="s">
        <v>12</v>
      </c>
      <c r="E347" s="147" t="str">
        <f t="shared" si="37"/>
        <v>HoustonLianyungang</v>
      </c>
      <c r="F347" s="167">
        <v>551</v>
      </c>
      <c r="G347" s="148">
        <f>COSTS!$AA$29</f>
        <v>350</v>
      </c>
      <c r="H347" s="149">
        <f t="shared" si="40"/>
        <v>901</v>
      </c>
      <c r="I347" s="150">
        <f t="shared" si="39"/>
        <v>204.77272727272725</v>
      </c>
      <c r="J347" s="162">
        <v>46044</v>
      </c>
      <c r="K347" s="149">
        <v>810</v>
      </c>
      <c r="L347" s="38">
        <f t="shared" si="38"/>
        <v>-259</v>
      </c>
    </row>
    <row r="348" spans="1:12">
      <c r="A348" s="147" t="s">
        <v>439</v>
      </c>
      <c r="B348" s="160" t="s">
        <v>1737</v>
      </c>
      <c r="C348" s="160" t="s">
        <v>1644</v>
      </c>
      <c r="D348" s="147" t="s">
        <v>12</v>
      </c>
      <c r="E348" s="147" t="str">
        <f t="shared" si="37"/>
        <v>HoustonKwangyang</v>
      </c>
      <c r="F348" s="167">
        <v>760</v>
      </c>
      <c r="G348" s="148">
        <f>COSTS!$AA$29</f>
        <v>350</v>
      </c>
      <c r="H348" s="149">
        <f t="shared" si="40"/>
        <v>1110</v>
      </c>
      <c r="I348" s="150">
        <f t="shared" si="39"/>
        <v>252.27272727272725</v>
      </c>
      <c r="J348" s="162">
        <v>46044</v>
      </c>
      <c r="K348" s="149">
        <v>775</v>
      </c>
      <c r="L348" s="38">
        <f t="shared" si="38"/>
        <v>-15</v>
      </c>
    </row>
    <row r="349" spans="1:12">
      <c r="A349" s="147" t="s">
        <v>439</v>
      </c>
      <c r="B349" s="160" t="s">
        <v>1781</v>
      </c>
      <c r="C349" s="160" t="s">
        <v>1652</v>
      </c>
      <c r="D349" s="147" t="s">
        <v>12</v>
      </c>
      <c r="E349" s="147" t="str">
        <f t="shared" si="37"/>
        <v>HoustonTaichung</v>
      </c>
      <c r="F349" s="167">
        <v>300</v>
      </c>
      <c r="G349" s="148">
        <f>COSTS!$AA$29</f>
        <v>350</v>
      </c>
      <c r="H349" s="149">
        <f t="shared" si="40"/>
        <v>650</v>
      </c>
      <c r="I349" s="150">
        <f t="shared" si="39"/>
        <v>147.72727272727275</v>
      </c>
      <c r="J349" s="162">
        <v>46044</v>
      </c>
      <c r="K349" s="149">
        <v>960</v>
      </c>
      <c r="L349" s="38">
        <f t="shared" si="38"/>
        <v>-660</v>
      </c>
    </row>
    <row r="350" spans="1:12">
      <c r="A350" s="147" t="s">
        <v>439</v>
      </c>
      <c r="B350" s="160" t="s">
        <v>1799</v>
      </c>
      <c r="C350" s="160" t="s">
        <v>1637</v>
      </c>
      <c r="D350" s="147" t="s">
        <v>12</v>
      </c>
      <c r="E350" s="147" t="str">
        <f t="shared" si="37"/>
        <v>HoustonHuangpu</v>
      </c>
      <c r="F350" s="167">
        <v>601</v>
      </c>
      <c r="G350" s="148">
        <f>COSTS!$AA$29</f>
        <v>350</v>
      </c>
      <c r="H350" s="149">
        <f t="shared" si="40"/>
        <v>951</v>
      </c>
      <c r="I350" s="150">
        <f t="shared" si="39"/>
        <v>216.13636363636363</v>
      </c>
      <c r="J350" s="162">
        <v>46044</v>
      </c>
      <c r="K350" s="149">
        <v>750</v>
      </c>
      <c r="L350" s="38">
        <f t="shared" si="38"/>
        <v>-149</v>
      </c>
    </row>
    <row r="351" spans="1:12">
      <c r="A351" s="147" t="s">
        <v>439</v>
      </c>
      <c r="B351" s="160" t="s">
        <v>1800</v>
      </c>
      <c r="C351" s="160" t="s">
        <v>1800</v>
      </c>
      <c r="D351" s="147" t="s">
        <v>12</v>
      </c>
      <c r="E351" s="147" t="str">
        <f t="shared" si="37"/>
        <v>HoustonHong Kong</v>
      </c>
      <c r="F351" s="167">
        <v>250</v>
      </c>
      <c r="G351" s="148">
        <f>COSTS!$AA$29</f>
        <v>350</v>
      </c>
      <c r="H351" s="149">
        <f t="shared" si="40"/>
        <v>600</v>
      </c>
      <c r="I351" s="150">
        <f t="shared" si="39"/>
        <v>136.36363636363637</v>
      </c>
      <c r="J351" s="162">
        <v>46044</v>
      </c>
      <c r="K351" s="149" t="s">
        <v>1793</v>
      </c>
      <c r="L351" s="38" t="e">
        <f t="shared" si="38"/>
        <v>#VALUE!</v>
      </c>
    </row>
    <row r="352" spans="1:12">
      <c r="A352" s="147" t="s">
        <v>439</v>
      </c>
      <c r="B352" s="160" t="s">
        <v>1801</v>
      </c>
      <c r="C352" s="160" t="s">
        <v>1640</v>
      </c>
      <c r="D352" s="147" t="s">
        <v>12</v>
      </c>
      <c r="E352" s="147" t="str">
        <f t="shared" si="37"/>
        <v>HoustonHo Chi Minh</v>
      </c>
      <c r="F352" s="167">
        <v>640</v>
      </c>
      <c r="G352" s="148">
        <f>COSTS!$AA$29</f>
        <v>350</v>
      </c>
      <c r="H352" s="149">
        <f t="shared" si="40"/>
        <v>990</v>
      </c>
      <c r="I352" s="150">
        <f t="shared" si="39"/>
        <v>225</v>
      </c>
      <c r="J352" s="162">
        <v>46044</v>
      </c>
      <c r="K352" s="149">
        <v>750</v>
      </c>
      <c r="L352" s="38">
        <f t="shared" si="38"/>
        <v>-110</v>
      </c>
    </row>
    <row r="353" spans="1:12">
      <c r="A353" s="147" t="s">
        <v>439</v>
      </c>
      <c r="B353" s="160" t="s">
        <v>1740</v>
      </c>
      <c r="C353" s="160" t="s">
        <v>1640</v>
      </c>
      <c r="D353" s="147" t="s">
        <v>12</v>
      </c>
      <c r="E353" s="147" t="str">
        <f t="shared" si="37"/>
        <v>HoustonHaiphong</v>
      </c>
      <c r="F353" s="167">
        <v>578</v>
      </c>
      <c r="G353" s="148">
        <f>COSTS!$AA$29</f>
        <v>350</v>
      </c>
      <c r="H353" s="149">
        <f t="shared" si="40"/>
        <v>928</v>
      </c>
      <c r="I353" s="150">
        <f t="shared" si="39"/>
        <v>210.90909090909091</v>
      </c>
      <c r="J353" s="162">
        <v>46044</v>
      </c>
      <c r="K353" s="149">
        <v>900</v>
      </c>
      <c r="L353" s="38">
        <f t="shared" si="38"/>
        <v>-322</v>
      </c>
    </row>
    <row r="354" spans="1:12">
      <c r="A354" s="147" t="s">
        <v>439</v>
      </c>
      <c r="B354" s="160" t="s">
        <v>1840</v>
      </c>
      <c r="C354" s="160" t="s">
        <v>1841</v>
      </c>
      <c r="D354" s="147" t="s">
        <v>12</v>
      </c>
      <c r="E354" s="147" t="str">
        <f t="shared" si="37"/>
        <v>HoustonGuayaquil</v>
      </c>
      <c r="F354" s="167">
        <v>1410</v>
      </c>
      <c r="G354" s="148">
        <f>COSTS!$AA$29</f>
        <v>350</v>
      </c>
      <c r="H354" s="149">
        <f t="shared" si="40"/>
        <v>1760</v>
      </c>
      <c r="I354" s="150">
        <f t="shared" si="39"/>
        <v>400</v>
      </c>
      <c r="J354" s="162">
        <v>46044</v>
      </c>
      <c r="K354" s="149">
        <v>1600</v>
      </c>
      <c r="L354" s="38">
        <f t="shared" si="38"/>
        <v>-190</v>
      </c>
    </row>
    <row r="355" spans="1:12">
      <c r="A355" s="147" t="s">
        <v>439</v>
      </c>
      <c r="B355" s="160" t="s">
        <v>1814</v>
      </c>
      <c r="C355" s="160" t="s">
        <v>1679</v>
      </c>
      <c r="D355" s="147" t="s">
        <v>12</v>
      </c>
      <c r="E355" s="147" t="str">
        <f t="shared" si="37"/>
        <v>HoustonGuatemala City</v>
      </c>
      <c r="F355" s="167">
        <v>2522</v>
      </c>
      <c r="G355" s="148">
        <f>COSTS!$AA$29</f>
        <v>350</v>
      </c>
      <c r="H355" s="149">
        <f t="shared" si="40"/>
        <v>2872</v>
      </c>
      <c r="I355" s="150">
        <f t="shared" si="39"/>
        <v>652.72727272727263</v>
      </c>
      <c r="J355" s="162">
        <v>46044</v>
      </c>
      <c r="K355" s="149">
        <v>2250</v>
      </c>
      <c r="L355" s="38">
        <f t="shared" si="38"/>
        <v>272</v>
      </c>
    </row>
    <row r="356" spans="1:12">
      <c r="A356" s="147" t="s">
        <v>439</v>
      </c>
      <c r="B356" s="160" t="s">
        <v>1805</v>
      </c>
      <c r="C356" s="160" t="s">
        <v>1830</v>
      </c>
      <c r="D356" s="147" t="s">
        <v>12</v>
      </c>
      <c r="E356" s="147" t="str">
        <f t="shared" si="37"/>
        <v>HoustonGazzaniga</v>
      </c>
      <c r="F356" s="167" t="s">
        <v>1811</v>
      </c>
      <c r="G356" s="148">
        <f>COSTS!$AA$29</f>
        <v>350</v>
      </c>
      <c r="H356" s="149" t="e">
        <f t="shared" si="40"/>
        <v>#VALUE!</v>
      </c>
      <c r="I356" s="150" t="str">
        <f t="shared" si="39"/>
        <v>No Quote</v>
      </c>
      <c r="J356" s="162">
        <v>45796</v>
      </c>
      <c r="K356" s="149">
        <v>2940</v>
      </c>
      <c r="L356" s="38" t="e">
        <f t="shared" si="38"/>
        <v>#VALUE!</v>
      </c>
    </row>
    <row r="357" spans="1:12">
      <c r="A357" s="147" t="s">
        <v>439</v>
      </c>
      <c r="B357" s="160" t="s">
        <v>1842</v>
      </c>
      <c r="C357" s="160" t="s">
        <v>1830</v>
      </c>
      <c r="D357" s="147" t="s">
        <v>12</v>
      </c>
      <c r="E357" s="147" t="str">
        <f t="shared" si="37"/>
        <v>HoustonGadino</v>
      </c>
      <c r="F357" s="167" t="s">
        <v>1843</v>
      </c>
      <c r="G357" s="148">
        <f>COSTS!$AA$29</f>
        <v>350</v>
      </c>
      <c r="H357" s="149" t="e">
        <f t="shared" si="40"/>
        <v>#VALUE!</v>
      </c>
      <c r="I357" s="150" t="str">
        <f t="shared" si="39"/>
        <v>No Quote</v>
      </c>
      <c r="J357" s="162">
        <v>45796</v>
      </c>
      <c r="K357" s="149">
        <v>1230</v>
      </c>
      <c r="L357" s="38" t="e">
        <f t="shared" si="38"/>
        <v>#VALUE!</v>
      </c>
    </row>
    <row r="358" spans="1:12">
      <c r="A358" s="147" t="s">
        <v>439</v>
      </c>
      <c r="B358" s="160" t="s">
        <v>1802</v>
      </c>
      <c r="C358" s="160" t="s">
        <v>1637</v>
      </c>
      <c r="D358" s="147" t="s">
        <v>12</v>
      </c>
      <c r="E358" s="147" t="str">
        <f t="shared" si="37"/>
        <v>HoustonFangcheng</v>
      </c>
      <c r="F358" s="167" t="s">
        <v>1811</v>
      </c>
      <c r="G358" s="148">
        <f>COSTS!$AA$29</f>
        <v>350</v>
      </c>
      <c r="H358" s="149" t="e">
        <f t="shared" si="40"/>
        <v>#VALUE!</v>
      </c>
      <c r="I358" s="150" t="str">
        <f t="shared" si="39"/>
        <v>No Quote</v>
      </c>
      <c r="J358" s="162"/>
      <c r="K358" s="149" t="s">
        <v>1793</v>
      </c>
      <c r="L358" s="38" t="e">
        <f t="shared" si="38"/>
        <v>#VALUE!</v>
      </c>
    </row>
    <row r="359" spans="1:12">
      <c r="A359" s="147" t="s">
        <v>439</v>
      </c>
      <c r="B359" s="160" t="s">
        <v>1844</v>
      </c>
      <c r="C359" s="160" t="s">
        <v>1845</v>
      </c>
      <c r="D359" s="147" t="s">
        <v>12</v>
      </c>
      <c r="E359" s="147" t="str">
        <f t="shared" si="37"/>
        <v>HoustonDurban</v>
      </c>
      <c r="F359" s="167">
        <v>3250</v>
      </c>
      <c r="G359" s="148">
        <f>COSTS!$AA$29</f>
        <v>350</v>
      </c>
      <c r="H359" s="149">
        <f t="shared" si="40"/>
        <v>3600</v>
      </c>
      <c r="I359" s="150">
        <f t="shared" si="39"/>
        <v>818.18181818181813</v>
      </c>
      <c r="J359" s="162">
        <v>45796</v>
      </c>
      <c r="K359" s="149">
        <v>3250</v>
      </c>
      <c r="L359" s="38">
        <f t="shared" si="38"/>
        <v>0</v>
      </c>
    </row>
    <row r="360" spans="1:12">
      <c r="A360" s="147" t="s">
        <v>439</v>
      </c>
      <c r="B360" s="160" t="s">
        <v>1846</v>
      </c>
      <c r="C360" s="160" t="s">
        <v>1847</v>
      </c>
      <c r="D360" s="147" t="s">
        <v>12</v>
      </c>
      <c r="E360" s="147" t="str">
        <f t="shared" si="37"/>
        <v>HoustonDjibouti</v>
      </c>
      <c r="F360" s="167">
        <v>4718</v>
      </c>
      <c r="G360" s="148">
        <f>COSTS!$AA$29</f>
        <v>350</v>
      </c>
      <c r="H360" s="149">
        <f t="shared" si="40"/>
        <v>5068</v>
      </c>
      <c r="I360" s="150">
        <f t="shared" si="39"/>
        <v>1151.818181818182</v>
      </c>
      <c r="J360" s="162">
        <v>45796</v>
      </c>
      <c r="K360" s="149">
        <v>4718</v>
      </c>
      <c r="L360" s="38">
        <f t="shared" si="38"/>
        <v>0</v>
      </c>
    </row>
    <row r="361" spans="1:12">
      <c r="A361" s="147" t="s">
        <v>439</v>
      </c>
      <c r="B361" s="160" t="s">
        <v>1803</v>
      </c>
      <c r="C361" s="160" t="s">
        <v>1640</v>
      </c>
      <c r="D361" s="147" t="s">
        <v>12</v>
      </c>
      <c r="E361" s="147" t="str">
        <f t="shared" si="37"/>
        <v>HoustonDaNang</v>
      </c>
      <c r="F361" s="167">
        <v>978</v>
      </c>
      <c r="G361" s="148">
        <f>COSTS!$AA$29</f>
        <v>350</v>
      </c>
      <c r="H361" s="149">
        <f t="shared" si="40"/>
        <v>1328</v>
      </c>
      <c r="I361" s="150">
        <f t="shared" si="39"/>
        <v>301.81818181818181</v>
      </c>
      <c r="J361" s="162">
        <v>46044</v>
      </c>
      <c r="K361" s="149">
        <v>1245</v>
      </c>
      <c r="L361" s="38">
        <f t="shared" si="38"/>
        <v>-267</v>
      </c>
    </row>
    <row r="362" spans="1:12">
      <c r="A362" s="147" t="s">
        <v>439</v>
      </c>
      <c r="B362" s="160" t="s">
        <v>1848</v>
      </c>
      <c r="C362" s="160" t="s">
        <v>1772</v>
      </c>
      <c r="D362" s="147" t="s">
        <v>12</v>
      </c>
      <c r="E362" s="147" t="str">
        <f t="shared" si="37"/>
        <v>HoustonDamietta</v>
      </c>
      <c r="F362" s="167">
        <v>1550</v>
      </c>
      <c r="G362" s="148">
        <f>COSTS!$AA$29</f>
        <v>350</v>
      </c>
      <c r="H362" s="149">
        <f t="shared" si="40"/>
        <v>1900</v>
      </c>
      <c r="I362" s="150">
        <f t="shared" si="39"/>
        <v>431.81818181818181</v>
      </c>
      <c r="J362" s="162">
        <v>46057</v>
      </c>
      <c r="K362" s="149">
        <v>1550</v>
      </c>
      <c r="L362" s="38">
        <f t="shared" si="38"/>
        <v>0</v>
      </c>
    </row>
    <row r="363" spans="1:12">
      <c r="A363" s="147" t="s">
        <v>439</v>
      </c>
      <c r="B363" s="160" t="s">
        <v>1759</v>
      </c>
      <c r="C363" s="160" t="s">
        <v>1637</v>
      </c>
      <c r="D363" s="147" t="s">
        <v>12</v>
      </c>
      <c r="E363" s="147" t="str">
        <f t="shared" si="37"/>
        <v>HoustonDalian</v>
      </c>
      <c r="F363" s="167">
        <v>788</v>
      </c>
      <c r="G363" s="148">
        <f>COSTS!$AA$29</f>
        <v>350</v>
      </c>
      <c r="H363" s="149">
        <f t="shared" si="40"/>
        <v>1138</v>
      </c>
      <c r="I363" s="150">
        <f t="shared" si="39"/>
        <v>258.63636363636363</v>
      </c>
      <c r="J363" s="162">
        <v>46044</v>
      </c>
      <c r="K363" s="149">
        <v>1200</v>
      </c>
      <c r="L363" s="38">
        <f t="shared" si="38"/>
        <v>-412</v>
      </c>
    </row>
    <row r="364" spans="1:12">
      <c r="A364" s="147" t="s">
        <v>439</v>
      </c>
      <c r="B364" s="160" t="s">
        <v>1849</v>
      </c>
      <c r="C364" s="160" t="s">
        <v>1681</v>
      </c>
      <c r="D364" s="147" t="s">
        <v>12</v>
      </c>
      <c r="E364" s="147" t="str">
        <f t="shared" si="37"/>
        <v>HoustonPuerto Cortes, Honduras</v>
      </c>
      <c r="F364" s="167" t="s">
        <v>1811</v>
      </c>
      <c r="G364" s="148">
        <f>COSTS!$AA$29</f>
        <v>350</v>
      </c>
      <c r="H364" s="149" t="e">
        <f t="shared" si="40"/>
        <v>#VALUE!</v>
      </c>
      <c r="I364" s="150" t="str">
        <f t="shared" si="39"/>
        <v>No Quote</v>
      </c>
      <c r="J364" s="162">
        <v>46044</v>
      </c>
      <c r="K364" s="149" t="s">
        <v>1793</v>
      </c>
      <c r="L364" s="38" t="e">
        <f t="shared" si="38"/>
        <v>#VALUE!</v>
      </c>
    </row>
    <row r="365" spans="1:12">
      <c r="A365" s="147" t="s">
        <v>439</v>
      </c>
      <c r="B365" s="160" t="s">
        <v>1804</v>
      </c>
      <c r="C365" s="160" t="s">
        <v>1637</v>
      </c>
      <c r="D365" s="147" t="s">
        <v>12</v>
      </c>
      <c r="E365" s="147" t="str">
        <f t="shared" si="37"/>
        <v>HoustonChangzhou</v>
      </c>
      <c r="F365" s="167" t="s">
        <v>1811</v>
      </c>
      <c r="G365" s="148">
        <f>COSTS!$AA$29</f>
        <v>350</v>
      </c>
      <c r="H365" s="149" t="e">
        <f t="shared" si="40"/>
        <v>#VALUE!</v>
      </c>
      <c r="I365" s="150" t="str">
        <f t="shared" si="39"/>
        <v>No Quote</v>
      </c>
      <c r="J365" s="162">
        <v>46044</v>
      </c>
      <c r="K365" s="149">
        <v>750</v>
      </c>
      <c r="L365" s="38" t="e">
        <f t="shared" si="38"/>
        <v>#VALUE!</v>
      </c>
    </row>
    <row r="366" spans="1:12">
      <c r="A366" s="147" t="s">
        <v>439</v>
      </c>
      <c r="B366" s="160" t="s">
        <v>1816</v>
      </c>
      <c r="C366" s="160" t="s">
        <v>1817</v>
      </c>
      <c r="D366" s="147" t="s">
        <v>12</v>
      </c>
      <c r="E366" s="147" t="str">
        <f t="shared" si="37"/>
        <v>HoustonCartegena</v>
      </c>
      <c r="F366" s="167">
        <v>1041</v>
      </c>
      <c r="G366" s="148">
        <f>COSTS!$AA$29</f>
        <v>350</v>
      </c>
      <c r="H366" s="149">
        <f t="shared" si="40"/>
        <v>1391</v>
      </c>
      <c r="I366" s="150">
        <f t="shared" si="39"/>
        <v>316.13636363636363</v>
      </c>
      <c r="J366" s="162">
        <v>46044</v>
      </c>
      <c r="K366" s="149" t="s">
        <v>1793</v>
      </c>
      <c r="L366" s="38" t="e">
        <f t="shared" si="38"/>
        <v>#VALUE!</v>
      </c>
    </row>
    <row r="367" spans="1:12">
      <c r="A367" s="147" t="s">
        <v>439</v>
      </c>
      <c r="B367" s="160" t="s">
        <v>1850</v>
      </c>
      <c r="C367" s="160" t="s">
        <v>1817</v>
      </c>
      <c r="D367" s="147" t="s">
        <v>12</v>
      </c>
      <c r="E367" s="147" t="str">
        <f t="shared" si="37"/>
        <v>HoustonCartago</v>
      </c>
      <c r="F367" s="167">
        <v>2862</v>
      </c>
      <c r="G367" s="148">
        <f>COSTS!$AA$29</f>
        <v>350</v>
      </c>
      <c r="H367" s="149">
        <f t="shared" si="40"/>
        <v>3212</v>
      </c>
      <c r="I367" s="150">
        <f t="shared" ref="I367:I380" si="41">IFERROR(H367/88*20,"No Quote")</f>
        <v>730</v>
      </c>
      <c r="J367" s="162">
        <v>46044</v>
      </c>
      <c r="K367" s="149">
        <v>2370</v>
      </c>
      <c r="L367" s="38">
        <f t="shared" si="38"/>
        <v>492</v>
      </c>
    </row>
    <row r="368" spans="1:12">
      <c r="A368" s="147" t="s">
        <v>439</v>
      </c>
      <c r="B368" s="160" t="s">
        <v>1851</v>
      </c>
      <c r="C368" s="160" t="s">
        <v>1677</v>
      </c>
      <c r="D368" s="147" t="s">
        <v>12</v>
      </c>
      <c r="E368" s="147" t="str">
        <f t="shared" si="37"/>
        <v>HoustonCallao</v>
      </c>
      <c r="F368" s="167">
        <v>1105</v>
      </c>
      <c r="G368" s="148">
        <f>COSTS!$AA$29</f>
        <v>350</v>
      </c>
      <c r="H368" s="149">
        <f t="shared" si="40"/>
        <v>1455</v>
      </c>
      <c r="I368" s="150">
        <f t="shared" si="41"/>
        <v>330.68181818181819</v>
      </c>
      <c r="J368" s="162">
        <v>46044</v>
      </c>
      <c r="K368" s="149">
        <v>1300</v>
      </c>
      <c r="L368" s="38">
        <f t="shared" si="38"/>
        <v>-195</v>
      </c>
    </row>
    <row r="369" spans="1:12">
      <c r="A369" s="147" t="s">
        <v>439</v>
      </c>
      <c r="B369" s="160" t="s">
        <v>1852</v>
      </c>
      <c r="C369" s="160" t="s">
        <v>1853</v>
      </c>
      <c r="D369" s="147" t="s">
        <v>12</v>
      </c>
      <c r="E369" s="147" t="str">
        <f t="shared" si="37"/>
        <v>HoustonCaldera</v>
      </c>
      <c r="F369" s="167" t="s">
        <v>1811</v>
      </c>
      <c r="G369" s="148">
        <f>COSTS!$AA$29</f>
        <v>350</v>
      </c>
      <c r="H369" s="149" t="e">
        <f t="shared" ref="H369:H389" si="42">F369+G369</f>
        <v>#VALUE!</v>
      </c>
      <c r="I369" s="150" t="str">
        <f t="shared" si="41"/>
        <v>No Quote</v>
      </c>
      <c r="J369" s="162">
        <v>46044</v>
      </c>
      <c r="K369" s="149" t="s">
        <v>1793</v>
      </c>
      <c r="L369" s="38" t="e">
        <f t="shared" si="38"/>
        <v>#VALUE!</v>
      </c>
    </row>
    <row r="370" spans="1:12">
      <c r="A370" s="147" t="s">
        <v>439</v>
      </c>
      <c r="B370" s="160" t="s">
        <v>1736</v>
      </c>
      <c r="C370" s="160" t="s">
        <v>1644</v>
      </c>
      <c r="D370" s="147" t="s">
        <v>12</v>
      </c>
      <c r="E370" s="147" t="str">
        <f t="shared" si="37"/>
        <v>HoustonBusan</v>
      </c>
      <c r="F370" s="167">
        <v>397</v>
      </c>
      <c r="G370" s="148">
        <f>COSTS!$AA$29</f>
        <v>350</v>
      </c>
      <c r="H370" s="149">
        <f t="shared" si="42"/>
        <v>747</v>
      </c>
      <c r="I370" s="150">
        <f t="shared" si="41"/>
        <v>169.77272727272725</v>
      </c>
      <c r="J370" s="162">
        <v>46044</v>
      </c>
      <c r="K370" s="149">
        <v>1000</v>
      </c>
      <c r="L370" s="38">
        <f t="shared" si="38"/>
        <v>-603</v>
      </c>
    </row>
    <row r="371" spans="1:12">
      <c r="A371" s="147" t="s">
        <v>439</v>
      </c>
      <c r="B371" s="160" t="s">
        <v>1854</v>
      </c>
      <c r="C371" s="160" t="s">
        <v>1830</v>
      </c>
      <c r="D371" s="147" t="s">
        <v>12</v>
      </c>
      <c r="E371" s="147" t="str">
        <f t="shared" si="37"/>
        <v>HoustonBuccino</v>
      </c>
      <c r="F371" s="167">
        <v>2850</v>
      </c>
      <c r="G371" s="148">
        <f>COSTS!$AA$29</f>
        <v>350</v>
      </c>
      <c r="H371" s="149">
        <f t="shared" si="42"/>
        <v>3200</v>
      </c>
      <c r="I371" s="150">
        <f t="shared" si="41"/>
        <v>727.27272727272737</v>
      </c>
      <c r="J371" s="162">
        <v>46044</v>
      </c>
      <c r="K371" s="149">
        <v>1370</v>
      </c>
      <c r="L371" s="38">
        <f t="shared" si="38"/>
        <v>1480</v>
      </c>
    </row>
    <row r="372" spans="1:12">
      <c r="A372" s="147" t="s">
        <v>439</v>
      </c>
      <c r="B372" s="160" t="s">
        <v>1855</v>
      </c>
      <c r="C372" s="160" t="s">
        <v>1830</v>
      </c>
      <c r="D372" s="147" t="s">
        <v>12</v>
      </c>
      <c r="E372" s="147" t="str">
        <f t="shared" si="37"/>
        <v>HoustonBergamo</v>
      </c>
      <c r="F372" s="167">
        <v>1620</v>
      </c>
      <c r="G372" s="148">
        <f>COSTS!$AA$29</f>
        <v>350</v>
      </c>
      <c r="H372" s="149">
        <f t="shared" si="42"/>
        <v>1970</v>
      </c>
      <c r="I372" s="150">
        <f t="shared" si="41"/>
        <v>447.72727272727275</v>
      </c>
      <c r="J372" s="162">
        <v>46044</v>
      </c>
      <c r="K372" s="149">
        <v>2640</v>
      </c>
      <c r="L372" s="38">
        <f t="shared" si="38"/>
        <v>-1020</v>
      </c>
    </row>
    <row r="373" spans="1:12">
      <c r="A373" s="147" t="s">
        <v>439</v>
      </c>
      <c r="B373" s="160" t="s">
        <v>1809</v>
      </c>
      <c r="C373" s="160" t="s">
        <v>1683</v>
      </c>
      <c r="D373" s="147" t="s">
        <v>12</v>
      </c>
      <c r="E373" s="147" t="str">
        <f t="shared" si="37"/>
        <v>HoustonBarcelona</v>
      </c>
      <c r="F373" s="167" t="s">
        <v>1811</v>
      </c>
      <c r="G373" s="148">
        <f>COSTS!$AA$29</f>
        <v>350</v>
      </c>
      <c r="H373" s="149" t="e">
        <f t="shared" si="42"/>
        <v>#VALUE!</v>
      </c>
      <c r="I373" s="150" t="str">
        <f t="shared" si="41"/>
        <v>No Quote</v>
      </c>
      <c r="J373" s="162">
        <v>46044</v>
      </c>
      <c r="K373" s="149" t="s">
        <v>1793</v>
      </c>
      <c r="L373" s="38" t="e">
        <f t="shared" si="38"/>
        <v>#VALUE!</v>
      </c>
    </row>
    <row r="374" spans="1:12">
      <c r="A374" s="147" t="s">
        <v>439</v>
      </c>
      <c r="B374" s="160" t="s">
        <v>1856</v>
      </c>
      <c r="C374" s="160" t="s">
        <v>1856</v>
      </c>
      <c r="D374" s="147" t="s">
        <v>12</v>
      </c>
      <c r="E374" s="147" t="str">
        <f t="shared" si="37"/>
        <v>HoustonBahrain</v>
      </c>
      <c r="F374" s="167" t="s">
        <v>1793</v>
      </c>
      <c r="G374" s="148">
        <f>COSTS!$AA$29</f>
        <v>350</v>
      </c>
      <c r="H374" s="149" t="e">
        <f t="shared" si="42"/>
        <v>#VALUE!</v>
      </c>
      <c r="I374" s="150" t="str">
        <f t="shared" si="41"/>
        <v>No Quote</v>
      </c>
      <c r="J374" s="162">
        <v>46044</v>
      </c>
      <c r="K374" s="149" t="s">
        <v>1793</v>
      </c>
      <c r="L374" s="38" t="e">
        <f t="shared" si="38"/>
        <v>#VALUE!</v>
      </c>
    </row>
    <row r="375" spans="1:12">
      <c r="A375" s="147" t="s">
        <v>439</v>
      </c>
      <c r="B375" s="160" t="s">
        <v>1857</v>
      </c>
      <c r="C375" s="160" t="s">
        <v>1679</v>
      </c>
      <c r="D375" s="147" t="s">
        <v>12</v>
      </c>
      <c r="E375" s="147" t="str">
        <f t="shared" si="37"/>
        <v>HoustonAmatitlan</v>
      </c>
      <c r="F375" s="167">
        <v>2552</v>
      </c>
      <c r="G375" s="148">
        <f>COSTS!$AA$29</f>
        <v>350</v>
      </c>
      <c r="H375" s="149">
        <f t="shared" si="42"/>
        <v>2902</v>
      </c>
      <c r="I375" s="150">
        <f t="shared" si="41"/>
        <v>659.5454545454545</v>
      </c>
      <c r="J375" s="162">
        <v>46044</v>
      </c>
      <c r="K375" s="149">
        <v>2100</v>
      </c>
      <c r="L375" s="38">
        <f t="shared" si="38"/>
        <v>452</v>
      </c>
    </row>
    <row r="376" spans="1:12">
      <c r="A376" s="147" t="s">
        <v>439</v>
      </c>
      <c r="B376" s="160" t="s">
        <v>1858</v>
      </c>
      <c r="C376" s="160" t="s">
        <v>1859</v>
      </c>
      <c r="D376" s="147" t="s">
        <v>12</v>
      </c>
      <c r="E376" s="147" t="str">
        <f t="shared" si="37"/>
        <v>HoustonAlgiers</v>
      </c>
      <c r="F376" s="167">
        <v>3068</v>
      </c>
      <c r="G376" s="148">
        <f>COSTS!$AA$29</f>
        <v>350</v>
      </c>
      <c r="H376" s="149">
        <f t="shared" si="42"/>
        <v>3418</v>
      </c>
      <c r="I376" s="150">
        <f t="shared" si="41"/>
        <v>776.81818181818187</v>
      </c>
      <c r="J376" s="162">
        <v>46044</v>
      </c>
      <c r="K376" s="149" t="s">
        <v>1793</v>
      </c>
      <c r="L376" s="38" t="e">
        <f t="shared" si="38"/>
        <v>#VALUE!</v>
      </c>
    </row>
    <row r="377" spans="1:12">
      <c r="A377" s="147" t="s">
        <v>439</v>
      </c>
      <c r="B377" s="160" t="s">
        <v>1860</v>
      </c>
      <c r="C377" s="160" t="s">
        <v>1772</v>
      </c>
      <c r="D377" s="147" t="s">
        <v>12</v>
      </c>
      <c r="E377" s="147" t="str">
        <f t="shared" si="37"/>
        <v>HoustonAlexandria Egypt</v>
      </c>
      <c r="F377" s="167">
        <v>1550</v>
      </c>
      <c r="G377" s="148">
        <f>COSTS!$AA$29</f>
        <v>350</v>
      </c>
      <c r="H377" s="149">
        <f t="shared" si="42"/>
        <v>1900</v>
      </c>
      <c r="I377" s="150">
        <f t="shared" si="41"/>
        <v>431.81818181818181</v>
      </c>
      <c r="J377" s="162">
        <v>46057</v>
      </c>
      <c r="K377" s="149">
        <v>1550</v>
      </c>
      <c r="L377" s="38">
        <f t="shared" si="38"/>
        <v>0</v>
      </c>
    </row>
    <row r="378" spans="1:12">
      <c r="A378" s="147" t="s">
        <v>439</v>
      </c>
      <c r="B378" s="160" t="s">
        <v>1745</v>
      </c>
      <c r="C378" s="160" t="s">
        <v>1660</v>
      </c>
      <c r="D378" s="147" t="s">
        <v>12</v>
      </c>
      <c r="E378" s="147" t="str">
        <f t="shared" si="37"/>
        <v>HoustonLat Krabang</v>
      </c>
      <c r="F378" s="167">
        <v>700</v>
      </c>
      <c r="G378" s="148">
        <f>COSTS!$AA$29</f>
        <v>350</v>
      </c>
      <c r="H378" s="149">
        <f t="shared" si="42"/>
        <v>1050</v>
      </c>
      <c r="I378" s="150">
        <f t="shared" si="41"/>
        <v>238.63636363636363</v>
      </c>
      <c r="J378" s="162">
        <v>46044</v>
      </c>
      <c r="K378" s="149">
        <v>1213</v>
      </c>
      <c r="L378" s="38">
        <f t="shared" si="38"/>
        <v>-513</v>
      </c>
    </row>
    <row r="379" spans="1:12">
      <c r="A379" s="147" t="s">
        <v>439</v>
      </c>
      <c r="B379" s="160" t="s">
        <v>1798</v>
      </c>
      <c r="C379" s="160" t="s">
        <v>1652</v>
      </c>
      <c r="D379" s="147" t="s">
        <v>12</v>
      </c>
      <c r="E379" s="147" t="str">
        <f t="shared" si="37"/>
        <v>HoustonTao Yuan</v>
      </c>
      <c r="F379" s="167">
        <v>700</v>
      </c>
      <c r="G379" s="148">
        <f>COSTS!$AA$29</f>
        <v>350</v>
      </c>
      <c r="H379" s="149">
        <f t="shared" si="42"/>
        <v>1050</v>
      </c>
      <c r="I379" s="150">
        <f t="shared" si="41"/>
        <v>238.63636363636363</v>
      </c>
      <c r="J379" s="162">
        <v>46044</v>
      </c>
      <c r="K379" s="149">
        <v>980</v>
      </c>
      <c r="L379" s="38">
        <f t="shared" si="38"/>
        <v>-280</v>
      </c>
    </row>
    <row r="380" spans="1:12">
      <c r="A380" s="147" t="s">
        <v>439</v>
      </c>
      <c r="B380" s="160" t="s">
        <v>1747</v>
      </c>
      <c r="C380" s="160" t="s">
        <v>1658</v>
      </c>
      <c r="D380" s="147" t="s">
        <v>12</v>
      </c>
      <c r="E380" s="147" t="str">
        <f t="shared" si="37"/>
        <v>HoustonSemarang</v>
      </c>
      <c r="F380" s="167">
        <v>832</v>
      </c>
      <c r="G380" s="148">
        <f>COSTS!$AA$29</f>
        <v>350</v>
      </c>
      <c r="H380" s="149">
        <f t="shared" si="42"/>
        <v>1182</v>
      </c>
      <c r="I380" s="150">
        <f t="shared" si="41"/>
        <v>268.63636363636363</v>
      </c>
      <c r="J380" s="162">
        <v>46044</v>
      </c>
      <c r="K380" s="149">
        <v>1575</v>
      </c>
      <c r="L380" s="38">
        <f t="shared" si="38"/>
        <v>-743</v>
      </c>
    </row>
    <row r="381" spans="1:12">
      <c r="A381" s="147" t="s">
        <v>439</v>
      </c>
      <c r="B381" s="160" t="s">
        <v>1749</v>
      </c>
      <c r="C381" s="160" t="s">
        <v>1646</v>
      </c>
      <c r="D381" s="147" t="s">
        <v>12</v>
      </c>
      <c r="E381" s="147" t="str">
        <f t="shared" si="37"/>
        <v>HoustonKobe</v>
      </c>
      <c r="F381" s="167">
        <v>900</v>
      </c>
      <c r="G381" s="148">
        <f>COSTS!$AA$29</f>
        <v>350</v>
      </c>
      <c r="H381" s="149">
        <f t="shared" si="42"/>
        <v>1250</v>
      </c>
      <c r="I381" s="150">
        <v>227.27272727272725</v>
      </c>
      <c r="J381" s="162">
        <v>46044</v>
      </c>
      <c r="K381" s="149">
        <v>1000</v>
      </c>
      <c r="L381" s="38">
        <f t="shared" si="38"/>
        <v>-100</v>
      </c>
    </row>
    <row r="382" spans="1:12">
      <c r="A382" s="147" t="s">
        <v>439</v>
      </c>
      <c r="B382" s="160" t="s">
        <v>1787</v>
      </c>
      <c r="C382" s="160" t="s">
        <v>1646</v>
      </c>
      <c r="D382" s="147" t="s">
        <v>12</v>
      </c>
      <c r="E382" s="147" t="str">
        <f t="shared" si="37"/>
        <v>HoustonNagoya</v>
      </c>
      <c r="F382" s="167">
        <v>900</v>
      </c>
      <c r="G382" s="148">
        <f>COSTS!$AA$29</f>
        <v>350</v>
      </c>
      <c r="H382" s="149">
        <f t="shared" si="42"/>
        <v>1250</v>
      </c>
      <c r="I382" s="150">
        <v>227.27272727272725</v>
      </c>
      <c r="J382" s="162">
        <v>46044</v>
      </c>
      <c r="K382" s="149">
        <v>1000</v>
      </c>
      <c r="L382" s="38">
        <f t="shared" si="38"/>
        <v>-100</v>
      </c>
    </row>
    <row r="383" spans="1:12">
      <c r="A383" s="147" t="s">
        <v>439</v>
      </c>
      <c r="B383" s="160" t="s">
        <v>1776</v>
      </c>
      <c r="C383" s="160" t="s">
        <v>1648</v>
      </c>
      <c r="D383" s="147" t="s">
        <v>12</v>
      </c>
      <c r="E383" s="147" t="str">
        <f t="shared" si="37"/>
        <v>HoustonPasir Gudang</v>
      </c>
      <c r="F383" s="167">
        <v>964</v>
      </c>
      <c r="G383" s="148">
        <f>COSTS!$AA$29</f>
        <v>350</v>
      </c>
      <c r="H383" s="149">
        <f t="shared" si="42"/>
        <v>1314</v>
      </c>
      <c r="I383" s="150">
        <f>IFERROR(H383/88*20,"No Quote")</f>
        <v>298.63636363636363</v>
      </c>
      <c r="J383" s="162">
        <v>46044</v>
      </c>
      <c r="K383" s="149">
        <v>1150</v>
      </c>
      <c r="L383" s="38">
        <f t="shared" si="38"/>
        <v>-186</v>
      </c>
    </row>
    <row r="384" spans="1:12">
      <c r="A384" s="147" t="s">
        <v>439</v>
      </c>
      <c r="B384" s="160" t="s">
        <v>1786</v>
      </c>
      <c r="C384" s="160" t="s">
        <v>1648</v>
      </c>
      <c r="D384" s="147" t="s">
        <v>12</v>
      </c>
      <c r="E384" s="147" t="str">
        <f t="shared" si="37"/>
        <v>HoustonPenang</v>
      </c>
      <c r="F384" s="167">
        <v>1087</v>
      </c>
      <c r="G384" s="148">
        <f>COSTS!$AA$29</f>
        <v>350</v>
      </c>
      <c r="H384" s="149">
        <f t="shared" si="42"/>
        <v>1437</v>
      </c>
      <c r="I384" s="150">
        <f>IFERROR(H384/88*20,"No Quote")</f>
        <v>326.59090909090907</v>
      </c>
      <c r="J384" s="162">
        <v>46044</v>
      </c>
      <c r="K384" s="149">
        <v>1150</v>
      </c>
      <c r="L384" s="38">
        <f t="shared" si="38"/>
        <v>-63</v>
      </c>
    </row>
    <row r="385" spans="1:12">
      <c r="A385" s="147" t="s">
        <v>439</v>
      </c>
      <c r="B385" s="160" t="s">
        <v>1748</v>
      </c>
      <c r="C385" s="160" t="s">
        <v>1658</v>
      </c>
      <c r="D385" s="147" t="s">
        <v>12</v>
      </c>
      <c r="E385" s="147" t="str">
        <f t="shared" si="37"/>
        <v>HoustonSurabaya</v>
      </c>
      <c r="F385" s="167">
        <v>832</v>
      </c>
      <c r="G385" s="148">
        <f>COSTS!$AA$29</f>
        <v>350</v>
      </c>
      <c r="H385" s="149">
        <f t="shared" si="42"/>
        <v>1182</v>
      </c>
      <c r="I385" s="150">
        <f>IFERROR(H385/88*20,"No Quote")</f>
        <v>268.63636363636363</v>
      </c>
      <c r="J385" s="162">
        <v>46044</v>
      </c>
      <c r="K385" s="149">
        <v>1575</v>
      </c>
      <c r="L385" s="38">
        <f t="shared" si="38"/>
        <v>-743</v>
      </c>
    </row>
    <row r="386" spans="1:12">
      <c r="A386" s="147" t="s">
        <v>439</v>
      </c>
      <c r="B386" s="160" t="s">
        <v>1745</v>
      </c>
      <c r="C386" s="160" t="s">
        <v>1660</v>
      </c>
      <c r="D386" s="147" t="s">
        <v>12</v>
      </c>
      <c r="E386" s="147" t="str">
        <f t="shared" si="37"/>
        <v>HoustonLat Krabang</v>
      </c>
      <c r="F386" s="167">
        <v>700</v>
      </c>
      <c r="G386" s="148">
        <f>COSTS!$AA$29</f>
        <v>350</v>
      </c>
      <c r="H386" s="149">
        <f t="shared" si="42"/>
        <v>1050</v>
      </c>
      <c r="I386" s="150">
        <v>275.68181818181819</v>
      </c>
      <c r="J386" s="162">
        <v>46044</v>
      </c>
      <c r="K386" s="149">
        <v>1213</v>
      </c>
      <c r="L386" s="38">
        <f t="shared" si="38"/>
        <v>-513</v>
      </c>
    </row>
    <row r="387" spans="1:12">
      <c r="A387" s="147" t="s">
        <v>439</v>
      </c>
      <c r="B387" s="160" t="s">
        <v>1745</v>
      </c>
      <c r="C387" s="160" t="s">
        <v>1660</v>
      </c>
      <c r="D387" s="147" t="s">
        <v>12</v>
      </c>
      <c r="E387" s="147" t="str">
        <f t="shared" si="37"/>
        <v>HoustonLat Krabang</v>
      </c>
      <c r="F387" s="167">
        <v>700</v>
      </c>
      <c r="G387" s="148">
        <f>COSTS!$AA$29</f>
        <v>350</v>
      </c>
      <c r="H387" s="149">
        <f t="shared" si="42"/>
        <v>1050</v>
      </c>
      <c r="I387" s="150">
        <v>275.68181818181819</v>
      </c>
      <c r="J387" s="162">
        <v>46044</v>
      </c>
      <c r="K387" s="149">
        <v>1213</v>
      </c>
      <c r="L387" s="38">
        <f t="shared" si="38"/>
        <v>-513</v>
      </c>
    </row>
    <row r="388" spans="1:12">
      <c r="A388" s="147" t="s">
        <v>439</v>
      </c>
      <c r="B388" s="160" t="s">
        <v>1744</v>
      </c>
      <c r="C388" s="160" t="s">
        <v>1660</v>
      </c>
      <c r="D388" s="147" t="s">
        <v>12</v>
      </c>
      <c r="E388" s="147" t="str">
        <f t="shared" ref="E388:E451" si="43">CONCATENATE(,A388,B388)</f>
        <v>HoustonLaem Chabang</v>
      </c>
      <c r="F388" s="167">
        <v>450</v>
      </c>
      <c r="G388" s="148">
        <f>COSTS!$AA$29</f>
        <v>350</v>
      </c>
      <c r="H388" s="149">
        <f t="shared" si="42"/>
        <v>800</v>
      </c>
      <c r="I388" s="150">
        <v>275.68181818181819</v>
      </c>
      <c r="J388" s="162">
        <v>46044</v>
      </c>
      <c r="K388" s="149">
        <v>1213</v>
      </c>
      <c r="L388" s="38">
        <f t="shared" ref="L388:L451" si="44">F388-K388</f>
        <v>-763</v>
      </c>
    </row>
    <row r="389" spans="1:12">
      <c r="A389" s="147" t="s">
        <v>439</v>
      </c>
      <c r="B389" s="160" t="s">
        <v>1783</v>
      </c>
      <c r="C389" s="160" t="s">
        <v>1670</v>
      </c>
      <c r="D389" s="147" t="s">
        <v>12</v>
      </c>
      <c r="E389" s="147" t="str">
        <f t="shared" si="43"/>
        <v>HoustonIzmir</v>
      </c>
      <c r="F389" s="167">
        <v>1734</v>
      </c>
      <c r="G389" s="148">
        <f>COSTS!$AA$29</f>
        <v>350</v>
      </c>
      <c r="H389" s="149">
        <f t="shared" si="42"/>
        <v>2084</v>
      </c>
      <c r="I389" s="150">
        <f>H389/88*20</f>
        <v>473.63636363636368</v>
      </c>
      <c r="J389" s="162">
        <v>46044</v>
      </c>
      <c r="K389" s="149">
        <v>1600</v>
      </c>
      <c r="L389" s="38">
        <f t="shared" si="44"/>
        <v>134</v>
      </c>
    </row>
    <row r="390" spans="1:12">
      <c r="A390" s="147" t="s">
        <v>439</v>
      </c>
      <c r="B390" s="159" t="s">
        <v>1733</v>
      </c>
      <c r="C390" s="160" t="s">
        <v>1637</v>
      </c>
      <c r="D390" s="147" t="s">
        <v>12</v>
      </c>
      <c r="E390" s="147" t="str">
        <f t="shared" si="43"/>
        <v>HoustonXiamen</v>
      </c>
      <c r="F390" s="167">
        <v>501</v>
      </c>
      <c r="G390" s="148">
        <f>COSTS!$AA$29</f>
        <v>350</v>
      </c>
      <c r="H390" s="149">
        <v>750</v>
      </c>
      <c r="I390" s="150">
        <f t="shared" ref="I390:I425" si="45">IFERROR(H390/88*20,"No Quote")</f>
        <v>170.45454545454547</v>
      </c>
      <c r="J390" s="162">
        <v>46044</v>
      </c>
      <c r="K390" s="149">
        <v>700</v>
      </c>
      <c r="L390" s="38">
        <f t="shared" si="44"/>
        <v>-199</v>
      </c>
    </row>
    <row r="391" spans="1:12">
      <c r="A391" s="147" t="s">
        <v>439</v>
      </c>
      <c r="B391" s="160" t="s">
        <v>1861</v>
      </c>
      <c r="C391" s="160" t="s">
        <v>1681</v>
      </c>
      <c r="D391" s="147" t="s">
        <v>12</v>
      </c>
      <c r="E391" s="147" t="str">
        <f t="shared" si="43"/>
        <v>HoustonSanta Barbara</v>
      </c>
      <c r="F391" s="167">
        <v>2330</v>
      </c>
      <c r="G391" s="148">
        <f>COSTS!$AA$29</f>
        <v>350</v>
      </c>
      <c r="H391" s="149">
        <f t="shared" ref="H391:H431" si="46">F391+G391</f>
        <v>2680</v>
      </c>
      <c r="I391" s="150">
        <f t="shared" si="45"/>
        <v>609.09090909090901</v>
      </c>
      <c r="J391" s="162">
        <v>46044</v>
      </c>
      <c r="K391" s="149">
        <v>2390</v>
      </c>
      <c r="L391" s="38">
        <f t="shared" si="44"/>
        <v>-60</v>
      </c>
    </row>
    <row r="392" spans="1:12">
      <c r="A392" s="147" t="s">
        <v>439</v>
      </c>
      <c r="B392" s="160" t="s">
        <v>1862</v>
      </c>
      <c r="C392" s="160" t="s">
        <v>1681</v>
      </c>
      <c r="D392" s="147" t="s">
        <v>12</v>
      </c>
      <c r="E392" s="147" t="str">
        <f t="shared" si="43"/>
        <v>HoustonNaco</v>
      </c>
      <c r="F392" s="167">
        <v>2447</v>
      </c>
      <c r="G392" s="148">
        <f>COSTS!$AA$29</f>
        <v>350</v>
      </c>
      <c r="H392" s="149">
        <f t="shared" si="46"/>
        <v>2797</v>
      </c>
      <c r="I392" s="150">
        <f t="shared" si="45"/>
        <v>635.68181818181824</v>
      </c>
      <c r="J392" s="162">
        <v>46044</v>
      </c>
      <c r="K392" s="149">
        <v>1496</v>
      </c>
      <c r="L392" s="38">
        <f t="shared" si="44"/>
        <v>951</v>
      </c>
    </row>
    <row r="393" spans="1:12">
      <c r="A393" s="147" t="s">
        <v>80</v>
      </c>
      <c r="B393" s="160" t="s">
        <v>1743</v>
      </c>
      <c r="C393" s="160" t="s">
        <v>1660</v>
      </c>
      <c r="D393" s="147" t="s">
        <v>12</v>
      </c>
      <c r="E393" s="147" t="str">
        <f t="shared" si="43"/>
        <v>LABangkok</v>
      </c>
      <c r="F393" s="167"/>
      <c r="G393" s="148">
        <f>COSTS!$AA$29</f>
        <v>350</v>
      </c>
      <c r="H393" s="149">
        <f t="shared" si="46"/>
        <v>350</v>
      </c>
      <c r="I393" s="150">
        <f t="shared" si="45"/>
        <v>79.545454545454547</v>
      </c>
      <c r="J393" s="162"/>
      <c r="K393" s="149"/>
      <c r="L393" s="38">
        <f t="shared" si="44"/>
        <v>0</v>
      </c>
    </row>
    <row r="394" spans="1:12">
      <c r="A394" s="154" t="s">
        <v>80</v>
      </c>
      <c r="B394" s="153" t="s">
        <v>1635</v>
      </c>
      <c r="C394" s="153" t="s">
        <v>1635</v>
      </c>
      <c r="D394" s="154" t="s">
        <v>12</v>
      </c>
      <c r="E394" s="154" t="str">
        <f t="shared" si="43"/>
        <v>LACIF FE</v>
      </c>
      <c r="F394" s="168"/>
      <c r="G394" s="176">
        <f>COSTS!$AA$29</f>
        <v>350</v>
      </c>
      <c r="H394" s="155">
        <f t="shared" si="46"/>
        <v>350</v>
      </c>
      <c r="I394" s="156">
        <f t="shared" si="45"/>
        <v>79.545454545454547</v>
      </c>
      <c r="J394" s="165">
        <v>45796</v>
      </c>
      <c r="K394" s="177"/>
      <c r="L394" s="158">
        <f t="shared" si="44"/>
        <v>0</v>
      </c>
    </row>
    <row r="395" spans="1:12">
      <c r="A395" s="147" t="s">
        <v>80</v>
      </c>
      <c r="B395" s="160" t="s">
        <v>1790</v>
      </c>
      <c r="C395" s="160" t="s">
        <v>1637</v>
      </c>
      <c r="D395" s="147" t="s">
        <v>12</v>
      </c>
      <c r="E395" s="147" t="str">
        <f t="shared" si="43"/>
        <v>LAZhuhai</v>
      </c>
      <c r="F395" s="167"/>
      <c r="G395" s="148">
        <f>COSTS!$AA$29</f>
        <v>350</v>
      </c>
      <c r="H395" s="149">
        <f t="shared" si="46"/>
        <v>350</v>
      </c>
      <c r="I395" s="150">
        <f t="shared" si="45"/>
        <v>79.545454545454547</v>
      </c>
      <c r="J395" s="162"/>
      <c r="K395" s="149"/>
      <c r="L395" s="38">
        <f t="shared" si="44"/>
        <v>0</v>
      </c>
    </row>
    <row r="396" spans="1:12">
      <c r="A396" s="147" t="s">
        <v>80</v>
      </c>
      <c r="B396" s="160" t="s">
        <v>1791</v>
      </c>
      <c r="C396" s="160" t="s">
        <v>1637</v>
      </c>
      <c r="D396" s="147" t="s">
        <v>12</v>
      </c>
      <c r="E396" s="147" t="str">
        <f t="shared" si="43"/>
        <v>LAZhanjiang</v>
      </c>
      <c r="F396" s="167"/>
      <c r="G396" s="148">
        <f>COSTS!$AA$29</f>
        <v>350</v>
      </c>
      <c r="H396" s="149">
        <f t="shared" si="46"/>
        <v>350</v>
      </c>
      <c r="I396" s="150">
        <f t="shared" si="45"/>
        <v>79.545454545454547</v>
      </c>
      <c r="J396" s="162"/>
      <c r="K396" s="149"/>
      <c r="L396" s="38">
        <f t="shared" si="44"/>
        <v>0</v>
      </c>
    </row>
    <row r="397" spans="1:12">
      <c r="A397" s="147" t="s">
        <v>80</v>
      </c>
      <c r="B397" s="160" t="s">
        <v>1731</v>
      </c>
      <c r="C397" s="160" t="s">
        <v>1637</v>
      </c>
      <c r="D397" s="147" t="s">
        <v>12</v>
      </c>
      <c r="E397" s="147" t="str">
        <f t="shared" si="43"/>
        <v>LAZhangjiagang</v>
      </c>
      <c r="F397" s="167"/>
      <c r="G397" s="148">
        <f>COSTS!$AA$29</f>
        <v>350</v>
      </c>
      <c r="H397" s="149">
        <f t="shared" si="46"/>
        <v>350</v>
      </c>
      <c r="I397" s="150">
        <f t="shared" si="45"/>
        <v>79.545454545454547</v>
      </c>
      <c r="J397" s="162"/>
      <c r="K397" s="149"/>
      <c r="L397" s="38">
        <f t="shared" si="44"/>
        <v>0</v>
      </c>
    </row>
    <row r="398" spans="1:12">
      <c r="A398" s="147" t="s">
        <v>80</v>
      </c>
      <c r="B398" s="160" t="s">
        <v>1792</v>
      </c>
      <c r="C398" s="160" t="s">
        <v>1637</v>
      </c>
      <c r="D398" s="147" t="s">
        <v>12</v>
      </c>
      <c r="E398" s="147" t="str">
        <f t="shared" si="43"/>
        <v>LAXinhui</v>
      </c>
      <c r="F398" s="167"/>
      <c r="G398" s="148">
        <f>COSTS!$AA$29</f>
        <v>350</v>
      </c>
      <c r="H398" s="149">
        <f t="shared" si="46"/>
        <v>350</v>
      </c>
      <c r="I398" s="150">
        <f t="shared" si="45"/>
        <v>79.545454545454547</v>
      </c>
      <c r="J398" s="162"/>
      <c r="K398" s="149"/>
      <c r="L398" s="38">
        <f t="shared" si="44"/>
        <v>0</v>
      </c>
    </row>
    <row r="399" spans="1:12">
      <c r="A399" s="147" t="s">
        <v>80</v>
      </c>
      <c r="B399" s="160" t="s">
        <v>1763</v>
      </c>
      <c r="C399" s="160" t="s">
        <v>1637</v>
      </c>
      <c r="D399" s="147" t="s">
        <v>12</v>
      </c>
      <c r="E399" s="147" t="str">
        <f t="shared" si="43"/>
        <v>LAWuhan</v>
      </c>
      <c r="F399" s="167"/>
      <c r="G399" s="148">
        <f>COSTS!$AA$29</f>
        <v>350</v>
      </c>
      <c r="H399" s="149">
        <f t="shared" si="46"/>
        <v>350</v>
      </c>
      <c r="I399" s="150">
        <f t="shared" si="45"/>
        <v>79.545454545454547</v>
      </c>
      <c r="J399" s="162"/>
      <c r="K399" s="149"/>
      <c r="L399" s="38">
        <f t="shared" si="44"/>
        <v>0</v>
      </c>
    </row>
    <row r="400" spans="1:12">
      <c r="A400" s="147" t="s">
        <v>80</v>
      </c>
      <c r="B400" s="160" t="s">
        <v>1742</v>
      </c>
      <c r="C400" s="160" t="s">
        <v>1648</v>
      </c>
      <c r="D400" s="147" t="s">
        <v>12</v>
      </c>
      <c r="E400" s="147" t="str">
        <f t="shared" si="43"/>
        <v>LAPort Klang</v>
      </c>
      <c r="F400" s="167">
        <v>284</v>
      </c>
      <c r="G400" s="148">
        <f>COSTS!$AA$29</f>
        <v>350</v>
      </c>
      <c r="H400" s="149">
        <f t="shared" si="46"/>
        <v>634</v>
      </c>
      <c r="I400" s="150">
        <f t="shared" si="45"/>
        <v>144.09090909090909</v>
      </c>
      <c r="J400" s="162">
        <v>46057</v>
      </c>
      <c r="K400" s="149"/>
      <c r="L400" s="38">
        <f t="shared" si="44"/>
        <v>284</v>
      </c>
    </row>
    <row r="401" spans="1:12">
      <c r="A401" s="147" t="s">
        <v>80</v>
      </c>
      <c r="B401" s="160" t="s">
        <v>1812</v>
      </c>
      <c r="C401" s="160" t="s">
        <v>1813</v>
      </c>
      <c r="D401" s="147" t="s">
        <v>12</v>
      </c>
      <c r="E401" s="147" t="str">
        <f t="shared" si="43"/>
        <v>LASohar Oman</v>
      </c>
      <c r="F401" s="167"/>
      <c r="G401" s="148">
        <f>COSTS!$AA$29</f>
        <v>350</v>
      </c>
      <c r="H401" s="149">
        <f t="shared" si="46"/>
        <v>350</v>
      </c>
      <c r="I401" s="150">
        <f t="shared" si="45"/>
        <v>79.545454545454547</v>
      </c>
      <c r="J401" s="162"/>
      <c r="K401" s="149"/>
      <c r="L401" s="38">
        <f t="shared" si="44"/>
        <v>0</v>
      </c>
    </row>
    <row r="402" spans="1:12">
      <c r="A402" s="147" t="s">
        <v>80</v>
      </c>
      <c r="B402" s="160" t="s">
        <v>1794</v>
      </c>
      <c r="C402" s="160" t="s">
        <v>1637</v>
      </c>
      <c r="D402" s="147" t="s">
        <v>12</v>
      </c>
      <c r="E402" s="147" t="str">
        <f t="shared" si="43"/>
        <v>LAShanghai/Qingdao/Xiamen/Ningbo/Xingang</v>
      </c>
      <c r="F402" s="167"/>
      <c r="G402" s="148">
        <f>COSTS!$AA$29</f>
        <v>350</v>
      </c>
      <c r="H402" s="149">
        <f t="shared" si="46"/>
        <v>350</v>
      </c>
      <c r="I402" s="150">
        <f t="shared" si="45"/>
        <v>79.545454545454547</v>
      </c>
      <c r="J402" s="162"/>
      <c r="K402" s="149"/>
      <c r="L402" s="38">
        <f t="shared" si="44"/>
        <v>0</v>
      </c>
    </row>
    <row r="403" spans="1:12">
      <c r="A403" s="147" t="s">
        <v>80</v>
      </c>
      <c r="B403" s="160" t="s">
        <v>1795</v>
      </c>
      <c r="C403" s="160" t="s">
        <v>1637</v>
      </c>
      <c r="D403" s="147" t="s">
        <v>12</v>
      </c>
      <c r="E403" s="147" t="str">
        <f t="shared" si="43"/>
        <v>LAQinzhou</v>
      </c>
      <c r="F403" s="167">
        <v>1353</v>
      </c>
      <c r="G403" s="148">
        <f>COSTS!$AA$29</f>
        <v>350</v>
      </c>
      <c r="H403" s="149">
        <f t="shared" si="46"/>
        <v>1703</v>
      </c>
      <c r="I403" s="150">
        <f t="shared" si="45"/>
        <v>387.0454545454545</v>
      </c>
      <c r="J403" s="162">
        <v>46057</v>
      </c>
      <c r="K403" s="149"/>
      <c r="L403" s="38">
        <f t="shared" si="44"/>
        <v>1353</v>
      </c>
    </row>
    <row r="404" spans="1:12">
      <c r="A404" s="147" t="s">
        <v>80</v>
      </c>
      <c r="B404" s="160" t="s">
        <v>1729</v>
      </c>
      <c r="C404" s="160" t="s">
        <v>1637</v>
      </c>
      <c r="D404" s="147" t="s">
        <v>12</v>
      </c>
      <c r="E404" s="147" t="str">
        <f t="shared" si="43"/>
        <v>LAQingdao</v>
      </c>
      <c r="F404" s="167">
        <v>50</v>
      </c>
      <c r="G404" s="148">
        <f>COSTS!$AA$29</f>
        <v>350</v>
      </c>
      <c r="H404" s="149">
        <f t="shared" si="46"/>
        <v>400</v>
      </c>
      <c r="I404" s="150">
        <f t="shared" si="45"/>
        <v>90.909090909090921</v>
      </c>
      <c r="J404" s="162">
        <v>46057</v>
      </c>
      <c r="K404" s="149"/>
      <c r="L404" s="38">
        <f t="shared" si="44"/>
        <v>50</v>
      </c>
    </row>
    <row r="405" spans="1:12">
      <c r="A405" s="147" t="s">
        <v>80</v>
      </c>
      <c r="B405" s="160" t="s">
        <v>1775</v>
      </c>
      <c r="C405" s="160" t="s">
        <v>1648</v>
      </c>
      <c r="D405" s="147" t="s">
        <v>12</v>
      </c>
      <c r="E405" s="147" t="str">
        <f t="shared" si="43"/>
        <v>LATanjung Pelepas</v>
      </c>
      <c r="F405" s="167"/>
      <c r="G405" s="148">
        <f>COSTS!$AA$29</f>
        <v>350</v>
      </c>
      <c r="H405" s="149">
        <f t="shared" si="46"/>
        <v>350</v>
      </c>
      <c r="I405" s="150">
        <f t="shared" si="45"/>
        <v>79.545454545454547</v>
      </c>
      <c r="J405" s="162"/>
      <c r="K405" s="149"/>
      <c r="L405" s="38">
        <f t="shared" si="44"/>
        <v>0</v>
      </c>
    </row>
    <row r="406" spans="1:12">
      <c r="A406" s="147" t="s">
        <v>80</v>
      </c>
      <c r="B406" s="160" t="s">
        <v>1796</v>
      </c>
      <c r="C406" s="160" t="s">
        <v>1646</v>
      </c>
      <c r="D406" s="147" t="s">
        <v>12</v>
      </c>
      <c r="E406" s="147" t="str">
        <f t="shared" si="43"/>
        <v>LAOsaka</v>
      </c>
      <c r="F406" s="167"/>
      <c r="G406" s="148">
        <f>COSTS!$AA$29</f>
        <v>350</v>
      </c>
      <c r="H406" s="149">
        <f t="shared" si="46"/>
        <v>350</v>
      </c>
      <c r="I406" s="150">
        <f t="shared" si="45"/>
        <v>79.545454545454547</v>
      </c>
      <c r="J406" s="162"/>
      <c r="K406" s="149"/>
      <c r="L406" s="38">
        <f t="shared" si="44"/>
        <v>0</v>
      </c>
    </row>
    <row r="407" spans="1:12">
      <c r="A407" s="147" t="s">
        <v>80</v>
      </c>
      <c r="B407" s="160" t="s">
        <v>1734</v>
      </c>
      <c r="C407" s="160" t="s">
        <v>1637</v>
      </c>
      <c r="D407" s="147" t="s">
        <v>12</v>
      </c>
      <c r="E407" s="147" t="str">
        <f t="shared" si="43"/>
        <v>LANantong</v>
      </c>
      <c r="F407" s="167"/>
      <c r="G407" s="148">
        <f>COSTS!$AA$29</f>
        <v>350</v>
      </c>
      <c r="H407" s="149">
        <f t="shared" si="46"/>
        <v>350</v>
      </c>
      <c r="I407" s="150">
        <f t="shared" si="45"/>
        <v>79.545454545454547</v>
      </c>
      <c r="J407" s="162"/>
      <c r="K407" s="149"/>
      <c r="L407" s="38">
        <f t="shared" si="44"/>
        <v>0</v>
      </c>
    </row>
    <row r="408" spans="1:12">
      <c r="A408" s="147" t="s">
        <v>80</v>
      </c>
      <c r="B408" s="160" t="s">
        <v>1806</v>
      </c>
      <c r="C408" s="160" t="s">
        <v>1646</v>
      </c>
      <c r="D408" s="147" t="s">
        <v>12</v>
      </c>
      <c r="E408" s="147" t="str">
        <f t="shared" si="43"/>
        <v>LANagoya/Kobe</v>
      </c>
      <c r="F408" s="167"/>
      <c r="G408" s="148">
        <f>COSTS!$AA$29</f>
        <v>350</v>
      </c>
      <c r="H408" s="149">
        <f t="shared" si="46"/>
        <v>350</v>
      </c>
      <c r="I408" s="150">
        <f t="shared" si="45"/>
        <v>79.545454545454547</v>
      </c>
      <c r="J408" s="162"/>
      <c r="K408" s="149"/>
      <c r="L408" s="38">
        <f t="shared" si="44"/>
        <v>0</v>
      </c>
    </row>
    <row r="409" spans="1:12">
      <c r="A409" s="147" t="s">
        <v>80</v>
      </c>
      <c r="B409" s="160" t="s">
        <v>517</v>
      </c>
      <c r="C409" s="160" t="s">
        <v>1797</v>
      </c>
      <c r="D409" s="147" t="s">
        <v>12</v>
      </c>
      <c r="E409" s="147" t="str">
        <f t="shared" si="43"/>
        <v>LAManila</v>
      </c>
      <c r="F409" s="167"/>
      <c r="G409" s="148">
        <f>COSTS!$AA$29</f>
        <v>350</v>
      </c>
      <c r="H409" s="149">
        <f t="shared" si="46"/>
        <v>350</v>
      </c>
      <c r="I409" s="150">
        <f t="shared" si="45"/>
        <v>79.545454545454547</v>
      </c>
      <c r="J409" s="162"/>
      <c r="K409" s="149"/>
      <c r="L409" s="38">
        <f t="shared" si="44"/>
        <v>0</v>
      </c>
    </row>
    <row r="410" spans="1:12">
      <c r="A410" s="147" t="s">
        <v>80</v>
      </c>
      <c r="B410" s="160" t="s">
        <v>1768</v>
      </c>
      <c r="C410" s="160" t="s">
        <v>1637</v>
      </c>
      <c r="D410" s="147" t="s">
        <v>12</v>
      </c>
      <c r="E410" s="147" t="str">
        <f t="shared" si="43"/>
        <v>LALianyungang</v>
      </c>
      <c r="F410" s="167"/>
      <c r="G410" s="148">
        <f>COSTS!$AA$29</f>
        <v>350</v>
      </c>
      <c r="H410" s="149">
        <f t="shared" si="46"/>
        <v>350</v>
      </c>
      <c r="I410" s="150">
        <f t="shared" si="45"/>
        <v>79.545454545454547</v>
      </c>
      <c r="J410" s="162"/>
      <c r="K410" s="149"/>
      <c r="L410" s="38">
        <f t="shared" si="44"/>
        <v>0</v>
      </c>
    </row>
    <row r="411" spans="1:12">
      <c r="A411" s="147" t="s">
        <v>80</v>
      </c>
      <c r="B411" s="160" t="s">
        <v>1746</v>
      </c>
      <c r="C411" s="160" t="s">
        <v>1658</v>
      </c>
      <c r="D411" s="147" t="s">
        <v>12</v>
      </c>
      <c r="E411" s="147" t="str">
        <f t="shared" si="43"/>
        <v>LAJakarta</v>
      </c>
      <c r="F411" s="167"/>
      <c r="G411" s="148">
        <f>COSTS!$AA$29</f>
        <v>350</v>
      </c>
      <c r="H411" s="149">
        <f t="shared" si="46"/>
        <v>350</v>
      </c>
      <c r="I411" s="150">
        <f t="shared" si="45"/>
        <v>79.545454545454547</v>
      </c>
      <c r="J411" s="162"/>
      <c r="K411" s="149"/>
      <c r="L411" s="38">
        <f t="shared" si="44"/>
        <v>0</v>
      </c>
    </row>
    <row r="412" spans="1:12">
      <c r="A412" s="147" t="s">
        <v>80</v>
      </c>
      <c r="B412" s="160" t="s">
        <v>1799</v>
      </c>
      <c r="C412" s="160" t="s">
        <v>1637</v>
      </c>
      <c r="D412" s="147" t="s">
        <v>12</v>
      </c>
      <c r="E412" s="147" t="str">
        <f t="shared" si="43"/>
        <v>LAHuangpu</v>
      </c>
      <c r="F412" s="167"/>
      <c r="G412" s="148">
        <f>COSTS!$AA$29</f>
        <v>350</v>
      </c>
      <c r="H412" s="149">
        <f t="shared" si="46"/>
        <v>350</v>
      </c>
      <c r="I412" s="150">
        <f t="shared" si="45"/>
        <v>79.545454545454547</v>
      </c>
      <c r="J412" s="162"/>
      <c r="K412" s="149"/>
      <c r="L412" s="38">
        <f t="shared" si="44"/>
        <v>0</v>
      </c>
    </row>
    <row r="413" spans="1:12">
      <c r="A413" s="147" t="s">
        <v>80</v>
      </c>
      <c r="B413" s="160" t="s">
        <v>1800</v>
      </c>
      <c r="C413" s="160" t="s">
        <v>1800</v>
      </c>
      <c r="D413" s="147" t="s">
        <v>12</v>
      </c>
      <c r="E413" s="147" t="str">
        <f t="shared" si="43"/>
        <v>LAHong Kong</v>
      </c>
      <c r="F413" s="167"/>
      <c r="G413" s="148">
        <f>COSTS!$AA$29</f>
        <v>350</v>
      </c>
      <c r="H413" s="149">
        <f t="shared" si="46"/>
        <v>350</v>
      </c>
      <c r="I413" s="150">
        <f t="shared" si="45"/>
        <v>79.545454545454547</v>
      </c>
      <c r="J413" s="162"/>
      <c r="K413" s="149"/>
      <c r="L413" s="38">
        <f t="shared" si="44"/>
        <v>0</v>
      </c>
    </row>
    <row r="414" spans="1:12">
      <c r="A414" s="147" t="s">
        <v>80</v>
      </c>
      <c r="B414" s="160" t="s">
        <v>1801</v>
      </c>
      <c r="C414" s="160" t="s">
        <v>1640</v>
      </c>
      <c r="D414" s="147" t="s">
        <v>12</v>
      </c>
      <c r="E414" s="147" t="str">
        <f t="shared" si="43"/>
        <v>LAHo Chi Minh</v>
      </c>
      <c r="F414" s="167"/>
      <c r="G414" s="148">
        <f>COSTS!$AA$29</f>
        <v>350</v>
      </c>
      <c r="H414" s="149">
        <f t="shared" si="46"/>
        <v>350</v>
      </c>
      <c r="I414" s="150">
        <f t="shared" si="45"/>
        <v>79.545454545454547</v>
      </c>
      <c r="J414" s="162"/>
      <c r="K414" s="149"/>
      <c r="L414" s="38">
        <f t="shared" si="44"/>
        <v>0</v>
      </c>
    </row>
    <row r="415" spans="1:12">
      <c r="A415" s="147" t="s">
        <v>80</v>
      </c>
      <c r="B415" s="160" t="s">
        <v>1740</v>
      </c>
      <c r="C415" s="160" t="s">
        <v>1640</v>
      </c>
      <c r="D415" s="147" t="s">
        <v>12</v>
      </c>
      <c r="E415" s="147" t="str">
        <f t="shared" si="43"/>
        <v>LAHaiphong</v>
      </c>
      <c r="F415" s="167"/>
      <c r="G415" s="148">
        <f>COSTS!$AA$29</f>
        <v>350</v>
      </c>
      <c r="H415" s="149">
        <f t="shared" si="46"/>
        <v>350</v>
      </c>
      <c r="I415" s="150">
        <f t="shared" si="45"/>
        <v>79.545454545454547</v>
      </c>
      <c r="J415" s="162"/>
      <c r="K415" s="149"/>
      <c r="L415" s="38">
        <f t="shared" si="44"/>
        <v>0</v>
      </c>
    </row>
    <row r="416" spans="1:12">
      <c r="A416" s="147" t="s">
        <v>80</v>
      </c>
      <c r="B416" s="160" t="s">
        <v>1802</v>
      </c>
      <c r="C416" s="160" t="s">
        <v>1637</v>
      </c>
      <c r="D416" s="147" t="s">
        <v>12</v>
      </c>
      <c r="E416" s="147" t="str">
        <f t="shared" si="43"/>
        <v>LAFangcheng</v>
      </c>
      <c r="F416" s="167"/>
      <c r="G416" s="148">
        <f>COSTS!$AA$29</f>
        <v>350</v>
      </c>
      <c r="H416" s="149">
        <f t="shared" si="46"/>
        <v>350</v>
      </c>
      <c r="I416" s="150">
        <f t="shared" si="45"/>
        <v>79.545454545454547</v>
      </c>
      <c r="J416" s="162"/>
      <c r="K416" s="149"/>
      <c r="L416" s="38">
        <f t="shared" si="44"/>
        <v>0</v>
      </c>
    </row>
    <row r="417" spans="1:12">
      <c r="A417" s="147" t="s">
        <v>80</v>
      </c>
      <c r="B417" s="160" t="s">
        <v>1803</v>
      </c>
      <c r="C417" s="160" t="s">
        <v>1640</v>
      </c>
      <c r="D417" s="147" t="s">
        <v>12</v>
      </c>
      <c r="E417" s="147" t="str">
        <f t="shared" si="43"/>
        <v>LADaNang</v>
      </c>
      <c r="F417" s="167"/>
      <c r="G417" s="148">
        <f>COSTS!$AA$29</f>
        <v>350</v>
      </c>
      <c r="H417" s="149">
        <f t="shared" si="46"/>
        <v>350</v>
      </c>
      <c r="I417" s="150">
        <f t="shared" si="45"/>
        <v>79.545454545454547</v>
      </c>
      <c r="J417" s="162"/>
      <c r="K417" s="149"/>
      <c r="L417" s="38">
        <f t="shared" si="44"/>
        <v>0</v>
      </c>
    </row>
    <row r="418" spans="1:12">
      <c r="A418" s="147" t="s">
        <v>80</v>
      </c>
      <c r="B418" s="160" t="s">
        <v>1759</v>
      </c>
      <c r="C418" s="160" t="s">
        <v>1637</v>
      </c>
      <c r="D418" s="147" t="s">
        <v>12</v>
      </c>
      <c r="E418" s="147" t="str">
        <f t="shared" si="43"/>
        <v>LADalian</v>
      </c>
      <c r="F418" s="167"/>
      <c r="G418" s="148">
        <f>COSTS!$AA$29</f>
        <v>350</v>
      </c>
      <c r="H418" s="149">
        <f t="shared" si="46"/>
        <v>350</v>
      </c>
      <c r="I418" s="150">
        <f t="shared" si="45"/>
        <v>79.545454545454547</v>
      </c>
      <c r="J418" s="162"/>
      <c r="K418" s="149"/>
      <c r="L418" s="38">
        <f t="shared" si="44"/>
        <v>0</v>
      </c>
    </row>
    <row r="419" spans="1:12">
      <c r="A419" s="147" t="s">
        <v>80</v>
      </c>
      <c r="B419" s="160" t="s">
        <v>1804</v>
      </c>
      <c r="C419" s="160" t="s">
        <v>1637</v>
      </c>
      <c r="D419" s="147" t="s">
        <v>12</v>
      </c>
      <c r="E419" s="147" t="str">
        <f t="shared" si="43"/>
        <v>LAChangzhou</v>
      </c>
      <c r="F419" s="167"/>
      <c r="G419" s="148">
        <f>COSTS!$AA$29</f>
        <v>350</v>
      </c>
      <c r="H419" s="149">
        <f t="shared" si="46"/>
        <v>350</v>
      </c>
      <c r="I419" s="150">
        <f t="shared" si="45"/>
        <v>79.545454545454547</v>
      </c>
      <c r="J419" s="162"/>
      <c r="K419" s="149"/>
      <c r="L419" s="38">
        <f t="shared" si="44"/>
        <v>0</v>
      </c>
    </row>
    <row r="420" spans="1:12">
      <c r="A420" s="147" t="s">
        <v>80</v>
      </c>
      <c r="B420" s="160" t="s">
        <v>1864</v>
      </c>
      <c r="C420" s="160" t="s">
        <v>1644</v>
      </c>
      <c r="D420" s="147" t="s">
        <v>12</v>
      </c>
      <c r="E420" s="147" t="str">
        <f t="shared" si="43"/>
        <v>LABusan/Kwangyang</v>
      </c>
      <c r="F420" s="167"/>
      <c r="G420" s="148">
        <f>COSTS!$AA$29</f>
        <v>350</v>
      </c>
      <c r="H420" s="149">
        <f t="shared" si="46"/>
        <v>350</v>
      </c>
      <c r="I420" s="150">
        <f t="shared" si="45"/>
        <v>79.545454545454547</v>
      </c>
      <c r="J420" s="162"/>
      <c r="K420" s="149"/>
      <c r="L420" s="38">
        <f t="shared" si="44"/>
        <v>0</v>
      </c>
    </row>
    <row r="421" spans="1:12">
      <c r="A421" s="147" t="s">
        <v>80</v>
      </c>
      <c r="B421" s="160" t="s">
        <v>1743</v>
      </c>
      <c r="C421" s="160" t="s">
        <v>1660</v>
      </c>
      <c r="D421" s="147" t="s">
        <v>12</v>
      </c>
      <c r="E421" s="147" t="str">
        <f t="shared" si="43"/>
        <v>LABangkok</v>
      </c>
      <c r="F421" s="167"/>
      <c r="G421" s="148">
        <f>COSTS!$AA$29</f>
        <v>350</v>
      </c>
      <c r="H421" s="149">
        <f t="shared" si="46"/>
        <v>350</v>
      </c>
      <c r="I421" s="150">
        <f t="shared" si="45"/>
        <v>79.545454545454547</v>
      </c>
      <c r="J421" s="162"/>
      <c r="K421" s="149"/>
      <c r="L421" s="38">
        <f t="shared" si="44"/>
        <v>0</v>
      </c>
    </row>
    <row r="422" spans="1:12">
      <c r="A422" s="147" t="s">
        <v>80</v>
      </c>
      <c r="B422" s="160" t="s">
        <v>1727</v>
      </c>
      <c r="C422" s="160" t="s">
        <v>1668</v>
      </c>
      <c r="D422" s="147" t="s">
        <v>12</v>
      </c>
      <c r="E422" s="147" t="str">
        <f t="shared" si="43"/>
        <v>LATuticorin</v>
      </c>
      <c r="F422" s="167"/>
      <c r="G422" s="148">
        <f>COSTS!$AA$29</f>
        <v>350</v>
      </c>
      <c r="H422" s="149">
        <f t="shared" si="46"/>
        <v>350</v>
      </c>
      <c r="I422" s="150">
        <f t="shared" si="45"/>
        <v>79.545454545454547</v>
      </c>
      <c r="J422" s="162"/>
      <c r="K422" s="149"/>
      <c r="L422" s="38">
        <f t="shared" si="44"/>
        <v>0</v>
      </c>
    </row>
    <row r="423" spans="1:12">
      <c r="A423" s="147" t="s">
        <v>80</v>
      </c>
      <c r="B423" s="160" t="s">
        <v>1781</v>
      </c>
      <c r="C423" s="160" t="s">
        <v>1652</v>
      </c>
      <c r="D423" s="147" t="s">
        <v>12</v>
      </c>
      <c r="E423" s="147" t="str">
        <f t="shared" si="43"/>
        <v>LATaichung</v>
      </c>
      <c r="F423" s="167"/>
      <c r="G423" s="148">
        <f>COSTS!$AA$29</f>
        <v>350</v>
      </c>
      <c r="H423" s="149">
        <f t="shared" si="46"/>
        <v>350</v>
      </c>
      <c r="I423" s="150">
        <f t="shared" si="45"/>
        <v>79.545454545454547</v>
      </c>
      <c r="J423" s="162"/>
      <c r="K423" s="149"/>
      <c r="L423" s="38">
        <f t="shared" si="44"/>
        <v>0</v>
      </c>
    </row>
    <row r="424" spans="1:12">
      <c r="A424" s="147" t="s">
        <v>80</v>
      </c>
      <c r="B424" s="160" t="s">
        <v>1747</v>
      </c>
      <c r="C424" s="160" t="s">
        <v>1658</v>
      </c>
      <c r="D424" s="147" t="s">
        <v>12</v>
      </c>
      <c r="E424" s="147" t="str">
        <f t="shared" si="43"/>
        <v>LASemarang</v>
      </c>
      <c r="F424" s="167"/>
      <c r="G424" s="148">
        <f>COSTS!$AA$29</f>
        <v>350</v>
      </c>
      <c r="H424" s="149">
        <f t="shared" si="46"/>
        <v>350</v>
      </c>
      <c r="I424" s="150">
        <f t="shared" si="45"/>
        <v>79.545454545454547</v>
      </c>
      <c r="J424" s="162"/>
      <c r="K424" s="149"/>
      <c r="L424" s="38">
        <f t="shared" si="44"/>
        <v>0</v>
      </c>
    </row>
    <row r="425" spans="1:12">
      <c r="A425" s="147" t="s">
        <v>80</v>
      </c>
      <c r="B425" s="160" t="s">
        <v>1798</v>
      </c>
      <c r="C425" s="160" t="s">
        <v>1652</v>
      </c>
      <c r="D425" s="147" t="s">
        <v>12</v>
      </c>
      <c r="E425" s="147" t="str">
        <f t="shared" si="43"/>
        <v>LATao Yuan</v>
      </c>
      <c r="F425" s="167"/>
      <c r="G425" s="148">
        <f>COSTS!$AA$29</f>
        <v>350</v>
      </c>
      <c r="H425" s="149">
        <f t="shared" si="46"/>
        <v>350</v>
      </c>
      <c r="I425" s="150">
        <f t="shared" si="45"/>
        <v>79.545454545454547</v>
      </c>
      <c r="J425" s="162"/>
      <c r="K425" s="149"/>
      <c r="L425" s="38">
        <f t="shared" si="44"/>
        <v>0</v>
      </c>
    </row>
    <row r="426" spans="1:12">
      <c r="A426" s="147" t="s">
        <v>80</v>
      </c>
      <c r="B426" s="160" t="s">
        <v>1749</v>
      </c>
      <c r="C426" s="160" t="s">
        <v>1646</v>
      </c>
      <c r="D426" s="147" t="s">
        <v>12</v>
      </c>
      <c r="E426" s="147" t="str">
        <f t="shared" si="43"/>
        <v>LAKobe</v>
      </c>
      <c r="F426" s="167"/>
      <c r="G426" s="148">
        <f>COSTS!$AA$29</f>
        <v>350</v>
      </c>
      <c r="H426" s="149">
        <f t="shared" si="46"/>
        <v>350</v>
      </c>
      <c r="I426" s="150">
        <v>0</v>
      </c>
      <c r="J426" s="162"/>
      <c r="K426" s="149"/>
      <c r="L426" s="38">
        <f t="shared" si="44"/>
        <v>0</v>
      </c>
    </row>
    <row r="427" spans="1:12">
      <c r="A427" s="147" t="s">
        <v>80</v>
      </c>
      <c r="B427" s="160" t="s">
        <v>1787</v>
      </c>
      <c r="C427" s="160" t="s">
        <v>1646</v>
      </c>
      <c r="D427" s="147" t="s">
        <v>12</v>
      </c>
      <c r="E427" s="147" t="str">
        <f t="shared" si="43"/>
        <v>LANagoya</v>
      </c>
      <c r="F427" s="167"/>
      <c r="G427" s="148">
        <f>COSTS!$AA$29</f>
        <v>350</v>
      </c>
      <c r="H427" s="149">
        <f t="shared" si="46"/>
        <v>350</v>
      </c>
      <c r="I427" s="150">
        <v>0</v>
      </c>
      <c r="J427" s="162"/>
      <c r="K427" s="149"/>
      <c r="L427" s="38">
        <f t="shared" si="44"/>
        <v>0</v>
      </c>
    </row>
    <row r="428" spans="1:12">
      <c r="A428" s="147" t="s">
        <v>80</v>
      </c>
      <c r="B428" s="160" t="s">
        <v>1776</v>
      </c>
      <c r="C428" s="160" t="s">
        <v>1648</v>
      </c>
      <c r="D428" s="147" t="s">
        <v>12</v>
      </c>
      <c r="E428" s="147" t="str">
        <f t="shared" si="43"/>
        <v>LAPasir Gudang</v>
      </c>
      <c r="F428" s="167">
        <v>619</v>
      </c>
      <c r="G428" s="148">
        <f>COSTS!$AA$29</f>
        <v>350</v>
      </c>
      <c r="H428" s="149">
        <f t="shared" si="46"/>
        <v>969</v>
      </c>
      <c r="I428" s="150">
        <f t="shared" ref="I428:I461" si="47">IFERROR(H428/88*20,"No Quote")</f>
        <v>220.22727272727275</v>
      </c>
      <c r="J428" s="162">
        <v>46057</v>
      </c>
      <c r="K428" s="149"/>
      <c r="L428" s="38">
        <f t="shared" si="44"/>
        <v>619</v>
      </c>
    </row>
    <row r="429" spans="1:12">
      <c r="A429" s="147" t="s">
        <v>80</v>
      </c>
      <c r="B429" s="160" t="s">
        <v>1786</v>
      </c>
      <c r="C429" s="160" t="s">
        <v>1648</v>
      </c>
      <c r="D429" s="147" t="s">
        <v>12</v>
      </c>
      <c r="E429" s="147" t="str">
        <f t="shared" si="43"/>
        <v>LAPenang</v>
      </c>
      <c r="F429" s="167">
        <v>660</v>
      </c>
      <c r="G429" s="148">
        <f>COSTS!$AA$29</f>
        <v>350</v>
      </c>
      <c r="H429" s="149">
        <f t="shared" si="46"/>
        <v>1010</v>
      </c>
      <c r="I429" s="150">
        <f t="shared" si="47"/>
        <v>229.54545454545453</v>
      </c>
      <c r="J429" s="162">
        <v>46057</v>
      </c>
      <c r="K429" s="149"/>
      <c r="L429" s="38">
        <f t="shared" si="44"/>
        <v>660</v>
      </c>
    </row>
    <row r="430" spans="1:12">
      <c r="A430" s="147" t="s">
        <v>80</v>
      </c>
      <c r="B430" s="160" t="s">
        <v>1752</v>
      </c>
      <c r="C430" s="160" t="s">
        <v>1652</v>
      </c>
      <c r="D430" s="147" t="s">
        <v>12</v>
      </c>
      <c r="E430" s="147" t="str">
        <f t="shared" si="43"/>
        <v>LAKeelung</v>
      </c>
      <c r="F430" s="167"/>
      <c r="G430" s="148">
        <f>COSTS!$AA$29</f>
        <v>350</v>
      </c>
      <c r="H430" s="149">
        <f t="shared" si="46"/>
        <v>350</v>
      </c>
      <c r="I430" s="150">
        <f t="shared" si="47"/>
        <v>79.545454545454547</v>
      </c>
      <c r="J430" s="162"/>
      <c r="K430" s="149"/>
      <c r="L430" s="38">
        <f t="shared" si="44"/>
        <v>0</v>
      </c>
    </row>
    <row r="431" spans="1:12">
      <c r="A431" s="147" t="s">
        <v>80</v>
      </c>
      <c r="B431" s="160" t="s">
        <v>1748</v>
      </c>
      <c r="C431" s="160" t="s">
        <v>1658</v>
      </c>
      <c r="D431" s="147" t="s">
        <v>12</v>
      </c>
      <c r="E431" s="147" t="str">
        <f t="shared" si="43"/>
        <v>LASurabaya</v>
      </c>
      <c r="F431" s="167"/>
      <c r="G431" s="148">
        <f>COSTS!$AA$29</f>
        <v>350</v>
      </c>
      <c r="H431" s="149">
        <f t="shared" si="46"/>
        <v>350</v>
      </c>
      <c r="I431" s="150">
        <f t="shared" si="47"/>
        <v>79.545454545454547</v>
      </c>
      <c r="J431" s="162"/>
      <c r="K431" s="149"/>
      <c r="L431" s="38">
        <f t="shared" si="44"/>
        <v>0</v>
      </c>
    </row>
    <row r="432" spans="1:12">
      <c r="A432" s="147" t="s">
        <v>80</v>
      </c>
      <c r="B432" s="159" t="s">
        <v>1733</v>
      </c>
      <c r="C432" s="160" t="s">
        <v>1637</v>
      </c>
      <c r="D432" s="147" t="s">
        <v>12</v>
      </c>
      <c r="E432" s="147" t="str">
        <f t="shared" si="43"/>
        <v>LAXiamen</v>
      </c>
      <c r="F432" s="167"/>
      <c r="G432" s="148">
        <f>COSTS!$AA$29</f>
        <v>350</v>
      </c>
      <c r="H432" s="149">
        <v>50</v>
      </c>
      <c r="I432" s="150">
        <f t="shared" si="47"/>
        <v>11.363636363636365</v>
      </c>
      <c r="J432" s="162"/>
      <c r="K432" s="149"/>
      <c r="L432" s="38">
        <f t="shared" si="44"/>
        <v>0</v>
      </c>
    </row>
    <row r="433" spans="1:12">
      <c r="A433" s="147" t="s">
        <v>537</v>
      </c>
      <c r="B433" s="160" t="s">
        <v>1860</v>
      </c>
      <c r="C433" s="160" t="s">
        <v>1772</v>
      </c>
      <c r="D433" s="147" t="s">
        <v>12</v>
      </c>
      <c r="E433" s="147" t="str">
        <f t="shared" si="43"/>
        <v>MemphisAlexandria Egypt</v>
      </c>
      <c r="F433" s="167">
        <v>1600</v>
      </c>
      <c r="G433" s="148">
        <f>COSTS!$AA$29</f>
        <v>350</v>
      </c>
      <c r="H433" s="149">
        <f>F433+G433</f>
        <v>1950</v>
      </c>
      <c r="I433" s="150">
        <f t="shared" si="47"/>
        <v>443.18181818181819</v>
      </c>
      <c r="J433" s="162">
        <v>46044</v>
      </c>
      <c r="K433" s="149">
        <v>2500</v>
      </c>
      <c r="L433" s="38">
        <f t="shared" si="44"/>
        <v>-900</v>
      </c>
    </row>
    <row r="434" spans="1:12">
      <c r="A434" s="147" t="s">
        <v>537</v>
      </c>
      <c r="B434" s="160" t="s">
        <v>1858</v>
      </c>
      <c r="C434" s="160" t="s">
        <v>1859</v>
      </c>
      <c r="D434" s="147" t="s">
        <v>12</v>
      </c>
      <c r="E434" s="147" t="str">
        <f t="shared" si="43"/>
        <v>MemphisAlgiers</v>
      </c>
      <c r="F434" s="167" t="s">
        <v>1793</v>
      </c>
      <c r="G434" s="148">
        <f>COSTS!$AA$29</f>
        <v>350</v>
      </c>
      <c r="H434" s="149" t="e">
        <f>F434+G434</f>
        <v>#VALUE!</v>
      </c>
      <c r="I434" s="150" t="str">
        <f t="shared" si="47"/>
        <v>No Quote</v>
      </c>
      <c r="J434" s="162">
        <v>46044</v>
      </c>
      <c r="K434" s="149" t="s">
        <v>1793</v>
      </c>
      <c r="L434" s="38" t="e">
        <f t="shared" si="44"/>
        <v>#VALUE!</v>
      </c>
    </row>
    <row r="435" spans="1:12">
      <c r="A435" s="147" t="s">
        <v>537</v>
      </c>
      <c r="B435" s="160" t="s">
        <v>1857</v>
      </c>
      <c r="C435" s="160" t="s">
        <v>1679</v>
      </c>
      <c r="D435" s="147" t="s">
        <v>12</v>
      </c>
      <c r="E435" s="147" t="str">
        <f t="shared" si="43"/>
        <v>MemphisAmatitlan</v>
      </c>
      <c r="F435" s="167">
        <v>4022</v>
      </c>
      <c r="G435" s="148">
        <f>COSTS!$AA$29</f>
        <v>350</v>
      </c>
      <c r="H435" s="149">
        <f>F435+G435</f>
        <v>4372</v>
      </c>
      <c r="I435" s="150">
        <f t="shared" si="47"/>
        <v>993.63636363636363</v>
      </c>
      <c r="J435" s="162">
        <v>46044</v>
      </c>
      <c r="K435" s="149">
        <v>2550</v>
      </c>
      <c r="L435" s="38">
        <f t="shared" si="44"/>
        <v>1472</v>
      </c>
    </row>
    <row r="436" spans="1:12">
      <c r="A436" s="147" t="s">
        <v>537</v>
      </c>
      <c r="B436" s="160" t="s">
        <v>1743</v>
      </c>
      <c r="C436" s="160" t="s">
        <v>1660</v>
      </c>
      <c r="D436" s="147" t="s">
        <v>12</v>
      </c>
      <c r="E436" s="147" t="str">
        <f t="shared" si="43"/>
        <v>MemphisBangkok</v>
      </c>
      <c r="F436" s="167">
        <v>1116</v>
      </c>
      <c r="G436" s="148">
        <f>COSTS!$AA$29</f>
        <v>350</v>
      </c>
      <c r="H436" s="149">
        <f>F436+G436</f>
        <v>1466</v>
      </c>
      <c r="I436" s="150">
        <f t="shared" si="47"/>
        <v>333.18181818181819</v>
      </c>
      <c r="J436" s="162">
        <v>46044</v>
      </c>
      <c r="K436" s="149">
        <v>1250</v>
      </c>
      <c r="L436" s="38">
        <f t="shared" si="44"/>
        <v>-134</v>
      </c>
    </row>
    <row r="437" spans="1:12">
      <c r="A437" s="147" t="s">
        <v>537</v>
      </c>
      <c r="B437" s="160" t="s">
        <v>1809</v>
      </c>
      <c r="C437" s="160" t="s">
        <v>1683</v>
      </c>
      <c r="D437" s="147" t="s">
        <v>12</v>
      </c>
      <c r="E437" s="147" t="str">
        <f t="shared" si="43"/>
        <v>MemphisBarcelona</v>
      </c>
      <c r="F437" s="167">
        <v>2631.13</v>
      </c>
      <c r="G437" s="148">
        <f>COSTS!$AA$29</f>
        <v>350</v>
      </c>
      <c r="H437" s="149">
        <v>2544</v>
      </c>
      <c r="I437" s="150">
        <f t="shared" si="47"/>
        <v>578.18181818181824</v>
      </c>
      <c r="J437" s="162">
        <v>46044</v>
      </c>
      <c r="K437" s="149">
        <v>2631</v>
      </c>
      <c r="L437" s="38">
        <f t="shared" si="44"/>
        <v>0.13000000000010914</v>
      </c>
    </row>
    <row r="438" spans="1:12">
      <c r="A438" s="147" t="s">
        <v>537</v>
      </c>
      <c r="B438" s="160" t="s">
        <v>1855</v>
      </c>
      <c r="C438" s="160" t="s">
        <v>1830</v>
      </c>
      <c r="D438" s="147" t="s">
        <v>12</v>
      </c>
      <c r="E438" s="147" t="str">
        <f t="shared" si="43"/>
        <v>MemphisBergamo</v>
      </c>
      <c r="F438" s="167">
        <v>2451</v>
      </c>
      <c r="G438" s="148">
        <f>COSTS!$AA$29</f>
        <v>350</v>
      </c>
      <c r="H438" s="149">
        <f t="shared" ref="H438:H469" si="48">F438+G438</f>
        <v>2801</v>
      </c>
      <c r="I438" s="150">
        <f t="shared" si="47"/>
        <v>636.59090909090901</v>
      </c>
      <c r="J438" s="162">
        <v>46044</v>
      </c>
      <c r="K438" s="149">
        <v>3720</v>
      </c>
      <c r="L438" s="38">
        <f t="shared" si="44"/>
        <v>-1269</v>
      </c>
    </row>
    <row r="439" spans="1:12">
      <c r="A439" s="147" t="s">
        <v>537</v>
      </c>
      <c r="B439" s="160" t="s">
        <v>1854</v>
      </c>
      <c r="C439" s="160" t="s">
        <v>1830</v>
      </c>
      <c r="D439" s="147" t="s">
        <v>12</v>
      </c>
      <c r="E439" s="147" t="str">
        <f t="shared" si="43"/>
        <v>MemphisBuccino</v>
      </c>
      <c r="F439" s="167">
        <v>2300</v>
      </c>
      <c r="G439" s="148">
        <f>COSTS!$AA$29</f>
        <v>350</v>
      </c>
      <c r="H439" s="149">
        <f t="shared" si="48"/>
        <v>2650</v>
      </c>
      <c r="I439" s="150">
        <f t="shared" si="47"/>
        <v>602.27272727272725</v>
      </c>
      <c r="J439" s="162">
        <v>46044</v>
      </c>
      <c r="K439" s="149">
        <v>2488</v>
      </c>
      <c r="L439" s="38">
        <f t="shared" si="44"/>
        <v>-188</v>
      </c>
    </row>
    <row r="440" spans="1:12">
      <c r="A440" s="147" t="s">
        <v>537</v>
      </c>
      <c r="B440" s="160" t="s">
        <v>1865</v>
      </c>
      <c r="C440" s="160" t="s">
        <v>1866</v>
      </c>
      <c r="D440" s="147" t="s">
        <v>12</v>
      </c>
      <c r="E440" s="147" t="str">
        <f t="shared" si="43"/>
        <v>MemphisBuenos Aires/Montevideo/La Guaria</v>
      </c>
      <c r="F440" s="167" t="s">
        <v>1793</v>
      </c>
      <c r="G440" s="148">
        <f>COSTS!$AA$29</f>
        <v>350</v>
      </c>
      <c r="H440" s="149" t="e">
        <f t="shared" si="48"/>
        <v>#VALUE!</v>
      </c>
      <c r="I440" s="150" t="str">
        <f t="shared" si="47"/>
        <v>No Quote</v>
      </c>
      <c r="J440" s="173"/>
      <c r="K440" s="149" t="s">
        <v>1793</v>
      </c>
      <c r="L440" s="38" t="e">
        <f t="shared" si="44"/>
        <v>#VALUE!</v>
      </c>
    </row>
    <row r="441" spans="1:12">
      <c r="A441" s="147" t="s">
        <v>537</v>
      </c>
      <c r="B441" s="160" t="s">
        <v>1736</v>
      </c>
      <c r="C441" s="160" t="s">
        <v>1644</v>
      </c>
      <c r="D441" s="147" t="s">
        <v>12</v>
      </c>
      <c r="E441" s="147" t="str">
        <f t="shared" si="43"/>
        <v>MemphisBusan</v>
      </c>
      <c r="F441" s="167">
        <v>508</v>
      </c>
      <c r="G441" s="148">
        <f>COSTS!$AA$29</f>
        <v>350</v>
      </c>
      <c r="H441" s="149">
        <f t="shared" si="48"/>
        <v>858</v>
      </c>
      <c r="I441" s="150">
        <f t="shared" si="47"/>
        <v>195</v>
      </c>
      <c r="J441" s="162">
        <v>46044</v>
      </c>
      <c r="K441" s="149">
        <v>1120</v>
      </c>
      <c r="L441" s="38">
        <f t="shared" si="44"/>
        <v>-612</v>
      </c>
    </row>
    <row r="442" spans="1:12">
      <c r="A442" s="147" t="s">
        <v>537</v>
      </c>
      <c r="B442" s="160" t="s">
        <v>1852</v>
      </c>
      <c r="C442" s="160" t="s">
        <v>1853</v>
      </c>
      <c r="D442" s="147" t="s">
        <v>12</v>
      </c>
      <c r="E442" s="147" t="str">
        <f t="shared" si="43"/>
        <v>MemphisCaldera</v>
      </c>
      <c r="F442" s="167" t="s">
        <v>1793</v>
      </c>
      <c r="G442" s="148">
        <f>COSTS!$AA$29</f>
        <v>350</v>
      </c>
      <c r="H442" s="149" t="e">
        <f t="shared" si="48"/>
        <v>#VALUE!</v>
      </c>
      <c r="I442" s="150" t="str">
        <f t="shared" si="47"/>
        <v>No Quote</v>
      </c>
      <c r="J442" s="173"/>
      <c r="K442" s="149" t="s">
        <v>1793</v>
      </c>
      <c r="L442" s="38" t="e">
        <f t="shared" si="44"/>
        <v>#VALUE!</v>
      </c>
    </row>
    <row r="443" spans="1:12">
      <c r="A443" s="147" t="s">
        <v>537</v>
      </c>
      <c r="B443" s="160" t="s">
        <v>1851</v>
      </c>
      <c r="C443" s="160" t="s">
        <v>1677</v>
      </c>
      <c r="D443" s="147" t="s">
        <v>12</v>
      </c>
      <c r="E443" s="147" t="str">
        <f t="shared" si="43"/>
        <v>MemphisCallao</v>
      </c>
      <c r="F443" s="167">
        <v>1505</v>
      </c>
      <c r="G443" s="148">
        <f>COSTS!$AA$29</f>
        <v>350</v>
      </c>
      <c r="H443" s="149">
        <f t="shared" si="48"/>
        <v>1855</v>
      </c>
      <c r="I443" s="150">
        <f t="shared" si="47"/>
        <v>421.59090909090907</v>
      </c>
      <c r="J443" s="162">
        <v>46044</v>
      </c>
      <c r="K443" s="149">
        <v>1863</v>
      </c>
      <c r="L443" s="38">
        <f t="shared" si="44"/>
        <v>-358</v>
      </c>
    </row>
    <row r="444" spans="1:12">
      <c r="A444" s="147" t="s">
        <v>537</v>
      </c>
      <c r="B444" s="160" t="s">
        <v>1850</v>
      </c>
      <c r="C444" s="160" t="s">
        <v>1817</v>
      </c>
      <c r="D444" s="147" t="s">
        <v>12</v>
      </c>
      <c r="E444" s="147" t="str">
        <f t="shared" si="43"/>
        <v>MemphisCartago</v>
      </c>
      <c r="F444" s="167">
        <v>3829</v>
      </c>
      <c r="G444" s="148">
        <f>COSTS!$AA$29</f>
        <v>350</v>
      </c>
      <c r="H444" s="149">
        <f t="shared" si="48"/>
        <v>4179</v>
      </c>
      <c r="I444" s="150">
        <f t="shared" si="47"/>
        <v>949.77272727272737</v>
      </c>
      <c r="J444" s="162">
        <v>46044</v>
      </c>
      <c r="K444" s="149">
        <v>2820</v>
      </c>
      <c r="L444" s="38">
        <f t="shared" si="44"/>
        <v>1009</v>
      </c>
    </row>
    <row r="445" spans="1:12">
      <c r="A445" s="147" t="s">
        <v>537</v>
      </c>
      <c r="B445" s="160" t="s">
        <v>1816</v>
      </c>
      <c r="C445" s="160" t="s">
        <v>1817</v>
      </c>
      <c r="D445" s="147" t="s">
        <v>12</v>
      </c>
      <c r="E445" s="147" t="str">
        <f t="shared" si="43"/>
        <v>MemphisCartegena</v>
      </c>
      <c r="F445" s="167">
        <v>2323</v>
      </c>
      <c r="G445" s="148">
        <f>COSTS!$AA$29</f>
        <v>350</v>
      </c>
      <c r="H445" s="149">
        <f t="shared" si="48"/>
        <v>2673</v>
      </c>
      <c r="I445" s="150">
        <f t="shared" si="47"/>
        <v>607.5</v>
      </c>
      <c r="J445" s="162">
        <v>46044</v>
      </c>
      <c r="K445" s="149">
        <v>2041</v>
      </c>
      <c r="L445" s="38">
        <f t="shared" si="44"/>
        <v>282</v>
      </c>
    </row>
    <row r="446" spans="1:12">
      <c r="A446" s="147" t="s">
        <v>537</v>
      </c>
      <c r="B446" s="160" t="s">
        <v>1804</v>
      </c>
      <c r="C446" s="160" t="s">
        <v>1637</v>
      </c>
      <c r="D446" s="147" t="s">
        <v>12</v>
      </c>
      <c r="E446" s="147" t="str">
        <f t="shared" si="43"/>
        <v>MemphisChangzhou</v>
      </c>
      <c r="F446" s="167">
        <v>1247</v>
      </c>
      <c r="G446" s="148">
        <f>COSTS!$AA$29</f>
        <v>350</v>
      </c>
      <c r="H446" s="149">
        <f t="shared" si="48"/>
        <v>1597</v>
      </c>
      <c r="I446" s="150">
        <f t="shared" si="47"/>
        <v>362.9545454545455</v>
      </c>
      <c r="J446" s="162">
        <v>46044</v>
      </c>
      <c r="K446" s="149">
        <v>1320</v>
      </c>
      <c r="L446" s="38">
        <f t="shared" si="44"/>
        <v>-73</v>
      </c>
    </row>
    <row r="447" spans="1:12">
      <c r="A447" s="147" t="s">
        <v>537</v>
      </c>
      <c r="B447" s="160" t="s">
        <v>1823</v>
      </c>
      <c r="C447" s="160" t="s">
        <v>1681</v>
      </c>
      <c r="D447" s="147" t="s">
        <v>12</v>
      </c>
      <c r="E447" s="147" t="str">
        <f t="shared" si="43"/>
        <v>MemphisCofradia</v>
      </c>
      <c r="F447" s="167">
        <v>2544</v>
      </c>
      <c r="G447" s="148">
        <f>COSTS!$AA$29</f>
        <v>350</v>
      </c>
      <c r="H447" s="149">
        <f t="shared" si="48"/>
        <v>2894</v>
      </c>
      <c r="I447" s="150">
        <f t="shared" si="47"/>
        <v>657.72727272727263</v>
      </c>
      <c r="J447" s="162">
        <v>46044</v>
      </c>
      <c r="K447" s="149">
        <v>3000</v>
      </c>
      <c r="L447" s="38">
        <f t="shared" si="44"/>
        <v>-456</v>
      </c>
    </row>
    <row r="448" spans="1:12">
      <c r="A448" s="147" t="s">
        <v>537</v>
      </c>
      <c r="B448" s="160" t="s">
        <v>1759</v>
      </c>
      <c r="C448" s="160" t="s">
        <v>1637</v>
      </c>
      <c r="D448" s="147" t="s">
        <v>12</v>
      </c>
      <c r="E448" s="147" t="str">
        <f t="shared" si="43"/>
        <v>MemphisDalian</v>
      </c>
      <c r="F448" s="167">
        <v>1097</v>
      </c>
      <c r="G448" s="148">
        <f>COSTS!$AA$29</f>
        <v>350</v>
      </c>
      <c r="H448" s="149">
        <f t="shared" si="48"/>
        <v>1447</v>
      </c>
      <c r="I448" s="150">
        <f t="shared" si="47"/>
        <v>328.86363636363632</v>
      </c>
      <c r="J448" s="162">
        <v>46044</v>
      </c>
      <c r="K448" s="149">
        <v>1100</v>
      </c>
      <c r="L448" s="38">
        <f t="shared" si="44"/>
        <v>-3</v>
      </c>
    </row>
    <row r="449" spans="1:12">
      <c r="A449" s="147" t="s">
        <v>537</v>
      </c>
      <c r="B449" s="160" t="s">
        <v>1848</v>
      </c>
      <c r="C449" s="160" t="s">
        <v>1772</v>
      </c>
      <c r="D449" s="147" t="s">
        <v>12</v>
      </c>
      <c r="E449" s="147" t="str">
        <f t="shared" si="43"/>
        <v>MemphisDamietta</v>
      </c>
      <c r="F449" s="167">
        <v>1650</v>
      </c>
      <c r="G449" s="148">
        <f>COSTS!$AA$29</f>
        <v>350</v>
      </c>
      <c r="H449" s="149">
        <f t="shared" si="48"/>
        <v>2000</v>
      </c>
      <c r="I449" s="150">
        <f t="shared" si="47"/>
        <v>454.5454545454545</v>
      </c>
      <c r="J449" s="162">
        <v>46057</v>
      </c>
      <c r="K449" s="149">
        <v>1650</v>
      </c>
      <c r="L449" s="38">
        <f t="shared" si="44"/>
        <v>0</v>
      </c>
    </row>
    <row r="450" spans="1:12">
      <c r="A450" s="147" t="s">
        <v>537</v>
      </c>
      <c r="B450" s="160" t="s">
        <v>1803</v>
      </c>
      <c r="C450" s="160" t="s">
        <v>1640</v>
      </c>
      <c r="D450" s="147" t="s">
        <v>12</v>
      </c>
      <c r="E450" s="147" t="str">
        <f t="shared" si="43"/>
        <v>MemphisDaNang</v>
      </c>
      <c r="F450" s="167">
        <v>1170</v>
      </c>
      <c r="G450" s="148">
        <f>COSTS!$AA$29</f>
        <v>350</v>
      </c>
      <c r="H450" s="149">
        <f t="shared" si="48"/>
        <v>1520</v>
      </c>
      <c r="I450" s="150">
        <f t="shared" si="47"/>
        <v>345.4545454545455</v>
      </c>
      <c r="J450" s="162">
        <v>46057</v>
      </c>
      <c r="K450" s="149">
        <v>1220</v>
      </c>
      <c r="L450" s="38">
        <f t="shared" si="44"/>
        <v>-50</v>
      </c>
    </row>
    <row r="451" spans="1:12">
      <c r="A451" s="147" t="s">
        <v>537</v>
      </c>
      <c r="B451" s="160" t="s">
        <v>1846</v>
      </c>
      <c r="C451" s="160" t="s">
        <v>1847</v>
      </c>
      <c r="D451" s="147" t="s">
        <v>12</v>
      </c>
      <c r="E451" s="147" t="str">
        <f t="shared" si="43"/>
        <v>MemphisDjibouti</v>
      </c>
      <c r="F451" s="167">
        <v>3200</v>
      </c>
      <c r="G451" s="148">
        <f>COSTS!$AA$29</f>
        <v>350</v>
      </c>
      <c r="H451" s="149">
        <f t="shared" si="48"/>
        <v>3550</v>
      </c>
      <c r="I451" s="150">
        <f t="shared" si="47"/>
        <v>806.81818181818187</v>
      </c>
      <c r="J451" s="162">
        <v>45980</v>
      </c>
      <c r="K451" s="149">
        <v>5800</v>
      </c>
      <c r="L451" s="38">
        <f t="shared" si="44"/>
        <v>-2600</v>
      </c>
    </row>
    <row r="452" spans="1:12">
      <c r="A452" s="147" t="s">
        <v>537</v>
      </c>
      <c r="B452" s="160" t="s">
        <v>1844</v>
      </c>
      <c r="C452" s="160" t="s">
        <v>1845</v>
      </c>
      <c r="D452" s="147" t="s">
        <v>12</v>
      </c>
      <c r="E452" s="147" t="str">
        <f t="shared" ref="E452:E515" si="49">CONCATENATE(,A452,B452)</f>
        <v>MemphisDurban</v>
      </c>
      <c r="F452" s="167">
        <v>3480</v>
      </c>
      <c r="G452" s="148">
        <f>COSTS!$AA$29</f>
        <v>350</v>
      </c>
      <c r="H452" s="149">
        <f t="shared" si="48"/>
        <v>3830</v>
      </c>
      <c r="I452" s="150">
        <f t="shared" si="47"/>
        <v>870.4545454545455</v>
      </c>
      <c r="J452" s="162">
        <v>45980</v>
      </c>
      <c r="K452" s="149">
        <v>3800</v>
      </c>
      <c r="L452" s="38">
        <f t="shared" ref="L452:L515" si="50">F452-K452</f>
        <v>-320</v>
      </c>
    </row>
    <row r="453" spans="1:12">
      <c r="A453" s="147" t="s">
        <v>537</v>
      </c>
      <c r="B453" s="160" t="s">
        <v>1802</v>
      </c>
      <c r="C453" s="160" t="s">
        <v>1637</v>
      </c>
      <c r="D453" s="147" t="s">
        <v>12</v>
      </c>
      <c r="E453" s="147" t="str">
        <f t="shared" si="49"/>
        <v>MemphisFangcheng</v>
      </c>
      <c r="F453" s="167" t="s">
        <v>1793</v>
      </c>
      <c r="G453" s="148">
        <f>COSTS!$AA$29</f>
        <v>350</v>
      </c>
      <c r="H453" s="149" t="e">
        <f t="shared" si="48"/>
        <v>#VALUE!</v>
      </c>
      <c r="I453" s="150" t="str">
        <f t="shared" si="47"/>
        <v>No Quote</v>
      </c>
      <c r="J453" s="173"/>
      <c r="K453" s="149" t="s">
        <v>1793</v>
      </c>
      <c r="L453" s="38" t="e">
        <f t="shared" si="50"/>
        <v>#VALUE!</v>
      </c>
    </row>
    <row r="454" spans="1:12">
      <c r="A454" s="147" t="s">
        <v>537</v>
      </c>
      <c r="B454" s="160" t="s">
        <v>1805</v>
      </c>
      <c r="C454" s="160" t="s">
        <v>1830</v>
      </c>
      <c r="D454" s="147" t="s">
        <v>12</v>
      </c>
      <c r="E454" s="147" t="str">
        <f t="shared" si="49"/>
        <v>MemphisGazzaniga</v>
      </c>
      <c r="F454" s="167">
        <v>4020</v>
      </c>
      <c r="G454" s="148">
        <f>COSTS!$AA$29</f>
        <v>350</v>
      </c>
      <c r="H454" s="149">
        <f t="shared" si="48"/>
        <v>4370</v>
      </c>
      <c r="I454" s="150">
        <f t="shared" si="47"/>
        <v>993.18181818181813</v>
      </c>
      <c r="J454" s="162">
        <v>45796</v>
      </c>
      <c r="K454" s="149">
        <v>4020</v>
      </c>
      <c r="L454" s="38">
        <f t="shared" si="50"/>
        <v>0</v>
      </c>
    </row>
    <row r="455" spans="1:12">
      <c r="A455" s="147" t="s">
        <v>537</v>
      </c>
      <c r="B455" s="160" t="s">
        <v>1814</v>
      </c>
      <c r="C455" s="160" t="s">
        <v>1679</v>
      </c>
      <c r="D455" s="147" t="s">
        <v>12</v>
      </c>
      <c r="E455" s="147" t="str">
        <f t="shared" si="49"/>
        <v>MemphisGuatemala City</v>
      </c>
      <c r="F455" s="167">
        <v>3992</v>
      </c>
      <c r="G455" s="148">
        <f>COSTS!$AA$29</f>
        <v>350</v>
      </c>
      <c r="H455" s="149">
        <f t="shared" si="48"/>
        <v>4342</v>
      </c>
      <c r="I455" s="150">
        <f t="shared" si="47"/>
        <v>986.81818181818187</v>
      </c>
      <c r="J455" s="162">
        <v>46044</v>
      </c>
      <c r="K455" s="149">
        <v>3500</v>
      </c>
      <c r="L455" s="38">
        <f t="shared" si="50"/>
        <v>492</v>
      </c>
    </row>
    <row r="456" spans="1:12">
      <c r="A456" s="147" t="s">
        <v>537</v>
      </c>
      <c r="B456" s="160" t="s">
        <v>1840</v>
      </c>
      <c r="C456" s="160" t="s">
        <v>1841</v>
      </c>
      <c r="D456" s="147" t="s">
        <v>12</v>
      </c>
      <c r="E456" s="147" t="str">
        <f t="shared" si="49"/>
        <v>MemphisGuayaquil</v>
      </c>
      <c r="F456" s="167">
        <v>2120</v>
      </c>
      <c r="G456" s="148">
        <f>COSTS!$AA$29</f>
        <v>350</v>
      </c>
      <c r="H456" s="149">
        <f t="shared" si="48"/>
        <v>2470</v>
      </c>
      <c r="I456" s="150">
        <f t="shared" si="47"/>
        <v>561.36363636363637</v>
      </c>
      <c r="J456" s="162">
        <v>46044</v>
      </c>
      <c r="K456" s="149">
        <v>2378</v>
      </c>
      <c r="L456" s="38">
        <f t="shared" si="50"/>
        <v>-258</v>
      </c>
    </row>
    <row r="457" spans="1:12">
      <c r="A457" s="147" t="s">
        <v>537</v>
      </c>
      <c r="B457" s="160" t="s">
        <v>1740</v>
      </c>
      <c r="C457" s="160" t="s">
        <v>1640</v>
      </c>
      <c r="D457" s="147" t="s">
        <v>12</v>
      </c>
      <c r="E457" s="147" t="str">
        <f t="shared" si="49"/>
        <v>MemphisHaiphong</v>
      </c>
      <c r="F457" s="167">
        <v>786</v>
      </c>
      <c r="G457" s="148">
        <f>COSTS!$AA$29</f>
        <v>350</v>
      </c>
      <c r="H457" s="149">
        <f t="shared" si="48"/>
        <v>1136</v>
      </c>
      <c r="I457" s="150">
        <f t="shared" si="47"/>
        <v>258.18181818181819</v>
      </c>
      <c r="J457" s="162">
        <v>46044</v>
      </c>
      <c r="K457" s="149">
        <v>1000</v>
      </c>
      <c r="L457" s="38">
        <f t="shared" si="50"/>
        <v>-214</v>
      </c>
    </row>
    <row r="458" spans="1:12">
      <c r="A458" s="147" t="s">
        <v>537</v>
      </c>
      <c r="B458" s="160" t="s">
        <v>1801</v>
      </c>
      <c r="C458" s="160" t="s">
        <v>1640</v>
      </c>
      <c r="D458" s="147" t="s">
        <v>12</v>
      </c>
      <c r="E458" s="147" t="str">
        <f t="shared" si="49"/>
        <v>MemphisHo Chi Minh</v>
      </c>
      <c r="F458" s="167">
        <v>812</v>
      </c>
      <c r="G458" s="148">
        <f>COSTS!$AA$29</f>
        <v>350</v>
      </c>
      <c r="H458" s="149">
        <f t="shared" si="48"/>
        <v>1162</v>
      </c>
      <c r="I458" s="150">
        <f t="shared" si="47"/>
        <v>264.09090909090912</v>
      </c>
      <c r="J458" s="162">
        <v>46044</v>
      </c>
      <c r="K458" s="149">
        <v>850</v>
      </c>
      <c r="L458" s="38">
        <f t="shared" si="50"/>
        <v>-38</v>
      </c>
    </row>
    <row r="459" spans="1:12">
      <c r="A459" s="147" t="s">
        <v>537</v>
      </c>
      <c r="B459" s="160" t="s">
        <v>1800</v>
      </c>
      <c r="C459" s="160" t="s">
        <v>1800</v>
      </c>
      <c r="D459" s="147" t="s">
        <v>12</v>
      </c>
      <c r="E459" s="147" t="str">
        <f t="shared" si="49"/>
        <v>MemphisHong Kong</v>
      </c>
      <c r="F459" s="167" t="s">
        <v>1793</v>
      </c>
      <c r="G459" s="148">
        <f>COSTS!$AA$29</f>
        <v>350</v>
      </c>
      <c r="H459" s="149" t="e">
        <f t="shared" si="48"/>
        <v>#VALUE!</v>
      </c>
      <c r="I459" s="150" t="str">
        <f t="shared" si="47"/>
        <v>No Quote</v>
      </c>
      <c r="J459" s="173"/>
      <c r="K459" s="149" t="s">
        <v>1793</v>
      </c>
      <c r="L459" s="38" t="e">
        <f t="shared" si="50"/>
        <v>#VALUE!</v>
      </c>
    </row>
    <row r="460" spans="1:12">
      <c r="A460" s="147" t="s">
        <v>537</v>
      </c>
      <c r="B460" s="160" t="s">
        <v>1799</v>
      </c>
      <c r="C460" s="160" t="s">
        <v>1637</v>
      </c>
      <c r="D460" s="147" t="s">
        <v>12</v>
      </c>
      <c r="E460" s="147" t="str">
        <f t="shared" si="49"/>
        <v>MemphisHuangpu</v>
      </c>
      <c r="F460" s="167">
        <v>814</v>
      </c>
      <c r="G460" s="148">
        <f>COSTS!$AA$29</f>
        <v>350</v>
      </c>
      <c r="H460" s="149">
        <f t="shared" si="48"/>
        <v>1164</v>
      </c>
      <c r="I460" s="150">
        <f t="shared" si="47"/>
        <v>264.5454545454545</v>
      </c>
      <c r="J460" s="162">
        <v>46044</v>
      </c>
      <c r="K460" s="149">
        <v>850</v>
      </c>
      <c r="L460" s="38">
        <f t="shared" si="50"/>
        <v>-36</v>
      </c>
    </row>
    <row r="461" spans="1:12">
      <c r="A461" s="147" t="s">
        <v>537</v>
      </c>
      <c r="B461" s="160" t="s">
        <v>1750</v>
      </c>
      <c r="C461" s="160" t="s">
        <v>1670</v>
      </c>
      <c r="D461" s="147" t="s">
        <v>12</v>
      </c>
      <c r="E461" s="147" t="str">
        <f t="shared" si="49"/>
        <v>MemphisIskenderun</v>
      </c>
      <c r="F461" s="167">
        <v>1525</v>
      </c>
      <c r="G461" s="148">
        <f>COSTS!$AA$29</f>
        <v>350</v>
      </c>
      <c r="H461" s="149">
        <f t="shared" si="48"/>
        <v>1875</v>
      </c>
      <c r="I461" s="150">
        <f t="shared" si="47"/>
        <v>426.13636363636368</v>
      </c>
      <c r="J461" s="162">
        <v>46044</v>
      </c>
      <c r="K461" s="149">
        <v>1300</v>
      </c>
      <c r="L461" s="38">
        <f t="shared" si="50"/>
        <v>225</v>
      </c>
    </row>
    <row r="462" spans="1:12">
      <c r="A462" s="147" t="s">
        <v>537</v>
      </c>
      <c r="B462" s="160" t="s">
        <v>1783</v>
      </c>
      <c r="C462" s="160" t="s">
        <v>1670</v>
      </c>
      <c r="D462" s="147" t="s">
        <v>12</v>
      </c>
      <c r="E462" s="147" t="str">
        <f t="shared" si="49"/>
        <v>MemphisIzmir</v>
      </c>
      <c r="F462" s="167">
        <v>1802</v>
      </c>
      <c r="G462" s="148">
        <f>COSTS!$AA$29</f>
        <v>350</v>
      </c>
      <c r="H462" s="149">
        <f t="shared" si="48"/>
        <v>2152</v>
      </c>
      <c r="I462" s="150">
        <f>H462/88*20</f>
        <v>489.09090909090907</v>
      </c>
      <c r="J462" s="162">
        <v>46044</v>
      </c>
      <c r="K462" s="149">
        <v>1765</v>
      </c>
      <c r="L462" s="38">
        <f t="shared" si="50"/>
        <v>37</v>
      </c>
    </row>
    <row r="463" spans="1:12">
      <c r="A463" s="147" t="s">
        <v>537</v>
      </c>
      <c r="B463" s="160" t="s">
        <v>1746</v>
      </c>
      <c r="C463" s="160" t="s">
        <v>1658</v>
      </c>
      <c r="D463" s="147" t="s">
        <v>12</v>
      </c>
      <c r="E463" s="147" t="str">
        <f t="shared" si="49"/>
        <v>MemphisJakarta</v>
      </c>
      <c r="F463" s="167">
        <v>1045</v>
      </c>
      <c r="G463" s="148">
        <f>COSTS!$AA$29</f>
        <v>350</v>
      </c>
      <c r="H463" s="149">
        <f t="shared" si="48"/>
        <v>1395</v>
      </c>
      <c r="I463" s="150">
        <f>IFERROR(H463/88*20,"No Quote")</f>
        <v>317.0454545454545</v>
      </c>
      <c r="J463" s="162">
        <v>46044</v>
      </c>
      <c r="K463" s="149">
        <v>1240</v>
      </c>
      <c r="L463" s="38">
        <f t="shared" si="50"/>
        <v>-195</v>
      </c>
    </row>
    <row r="464" spans="1:12">
      <c r="A464" s="147" t="s">
        <v>537</v>
      </c>
      <c r="B464" s="160" t="s">
        <v>1752</v>
      </c>
      <c r="C464" s="160" t="s">
        <v>1652</v>
      </c>
      <c r="D464" s="147" t="s">
        <v>12</v>
      </c>
      <c r="E464" s="147" t="str">
        <f t="shared" si="49"/>
        <v>MemphisKeelung</v>
      </c>
      <c r="F464" s="167">
        <v>899</v>
      </c>
      <c r="G464" s="148">
        <f>COSTS!$AA$29</f>
        <v>350</v>
      </c>
      <c r="H464" s="149">
        <f t="shared" si="48"/>
        <v>1249</v>
      </c>
      <c r="I464" s="150">
        <f>IFERROR(H464/88*20,"No Quote")</f>
        <v>283.86363636363637</v>
      </c>
      <c r="J464" s="162">
        <v>46044</v>
      </c>
      <c r="K464" s="149">
        <v>1160</v>
      </c>
      <c r="L464" s="38">
        <f t="shared" si="50"/>
        <v>-261</v>
      </c>
    </row>
    <row r="465" spans="1:12">
      <c r="A465" s="147" t="s">
        <v>537</v>
      </c>
      <c r="B465" s="160" t="s">
        <v>1749</v>
      </c>
      <c r="C465" s="160" t="s">
        <v>1646</v>
      </c>
      <c r="D465" s="147" t="s">
        <v>12</v>
      </c>
      <c r="E465" s="147" t="str">
        <f t="shared" si="49"/>
        <v>MemphisKobe</v>
      </c>
      <c r="F465" s="167">
        <v>808</v>
      </c>
      <c r="G465" s="148">
        <f>COSTS!$AA$29</f>
        <v>350</v>
      </c>
      <c r="H465" s="149">
        <f t="shared" si="48"/>
        <v>1158</v>
      </c>
      <c r="I465" s="150">
        <v>284.09090909090912</v>
      </c>
      <c r="J465" s="162">
        <v>46044</v>
      </c>
      <c r="K465" s="149">
        <v>1250</v>
      </c>
      <c r="L465" s="38">
        <f t="shared" si="50"/>
        <v>-442</v>
      </c>
    </row>
    <row r="466" spans="1:12">
      <c r="A466" s="147" t="s">
        <v>537</v>
      </c>
      <c r="B466" s="160" t="s">
        <v>1737</v>
      </c>
      <c r="C466" s="160" t="s">
        <v>1644</v>
      </c>
      <c r="D466" s="147" t="s">
        <v>12</v>
      </c>
      <c r="E466" s="147" t="str">
        <f t="shared" si="49"/>
        <v>MemphisKwangyang</v>
      </c>
      <c r="F466" s="167">
        <v>783</v>
      </c>
      <c r="G466" s="148">
        <f>COSTS!$AA$29</f>
        <v>350</v>
      </c>
      <c r="H466" s="149">
        <f t="shared" si="48"/>
        <v>1133</v>
      </c>
      <c r="I466" s="150">
        <f>IFERROR(H466/88*20,"No Quote")</f>
        <v>257.5</v>
      </c>
      <c r="J466" s="162">
        <v>46044</v>
      </c>
      <c r="K466" s="149">
        <v>1150</v>
      </c>
      <c r="L466" s="38">
        <f t="shared" si="50"/>
        <v>-367</v>
      </c>
    </row>
    <row r="467" spans="1:12">
      <c r="A467" s="147" t="s">
        <v>537</v>
      </c>
      <c r="B467" s="160" t="s">
        <v>1744</v>
      </c>
      <c r="C467" s="160" t="s">
        <v>1660</v>
      </c>
      <c r="D467" s="147" t="s">
        <v>12</v>
      </c>
      <c r="E467" s="147" t="str">
        <f t="shared" si="49"/>
        <v>MemphisLaem Chabang</v>
      </c>
      <c r="F467" s="167">
        <v>508</v>
      </c>
      <c r="G467" s="148">
        <f>COSTS!$AA$29</f>
        <v>350</v>
      </c>
      <c r="H467" s="149">
        <f t="shared" si="48"/>
        <v>858</v>
      </c>
      <c r="I467" s="150">
        <v>295.4545454545455</v>
      </c>
      <c r="J467" s="162">
        <v>46044</v>
      </c>
      <c r="K467" s="149">
        <v>1125</v>
      </c>
      <c r="L467" s="38">
        <f t="shared" si="50"/>
        <v>-617</v>
      </c>
    </row>
    <row r="468" spans="1:12">
      <c r="A468" s="147" t="s">
        <v>537</v>
      </c>
      <c r="B468" s="160" t="s">
        <v>1745</v>
      </c>
      <c r="C468" s="160" t="s">
        <v>1660</v>
      </c>
      <c r="D468" s="147" t="s">
        <v>12</v>
      </c>
      <c r="E468" s="147" t="str">
        <f t="shared" si="49"/>
        <v>MemphisLat Krabang</v>
      </c>
      <c r="F468" s="167">
        <v>780</v>
      </c>
      <c r="G468" s="148">
        <f>COSTS!$AA$29</f>
        <v>350</v>
      </c>
      <c r="H468" s="149">
        <f t="shared" si="48"/>
        <v>1130</v>
      </c>
      <c r="I468" s="150">
        <f>IFERROR(H468/88*20,"No Quote")</f>
        <v>256.81818181818181</v>
      </c>
      <c r="J468" s="162">
        <v>46044</v>
      </c>
      <c r="K468" s="149">
        <v>1300</v>
      </c>
      <c r="L468" s="38">
        <f t="shared" si="50"/>
        <v>-520</v>
      </c>
    </row>
    <row r="469" spans="1:12">
      <c r="A469" s="147" t="s">
        <v>537</v>
      </c>
      <c r="B469" s="160" t="s">
        <v>1745</v>
      </c>
      <c r="C469" s="160" t="s">
        <v>1660</v>
      </c>
      <c r="D469" s="147" t="s">
        <v>12</v>
      </c>
      <c r="E469" s="147" t="str">
        <f t="shared" si="49"/>
        <v>MemphisLat Krabang</v>
      </c>
      <c r="F469" s="167">
        <v>780</v>
      </c>
      <c r="G469" s="148">
        <f>COSTS!$AA$29</f>
        <v>350</v>
      </c>
      <c r="H469" s="149">
        <f t="shared" si="48"/>
        <v>1130</v>
      </c>
      <c r="I469" s="150">
        <v>295.4545454545455</v>
      </c>
      <c r="J469" s="162">
        <v>46044</v>
      </c>
      <c r="K469" s="149">
        <v>1300</v>
      </c>
      <c r="L469" s="38">
        <f t="shared" si="50"/>
        <v>-520</v>
      </c>
    </row>
    <row r="470" spans="1:12">
      <c r="A470" s="147" t="s">
        <v>537</v>
      </c>
      <c r="B470" s="160" t="s">
        <v>1745</v>
      </c>
      <c r="C470" s="160" t="s">
        <v>1660</v>
      </c>
      <c r="D470" s="147" t="s">
        <v>12</v>
      </c>
      <c r="E470" s="147" t="str">
        <f t="shared" si="49"/>
        <v>MemphisLat Krabang</v>
      </c>
      <c r="F470" s="167">
        <v>780</v>
      </c>
      <c r="G470" s="148">
        <f>COSTS!$AA$29</f>
        <v>350</v>
      </c>
      <c r="H470" s="149">
        <f t="shared" ref="H470:H501" si="51">F470+G470</f>
        <v>1130</v>
      </c>
      <c r="I470" s="150">
        <v>295.4545454545455</v>
      </c>
      <c r="J470" s="162">
        <v>46044</v>
      </c>
      <c r="K470" s="149">
        <v>1300</v>
      </c>
      <c r="L470" s="38">
        <f t="shared" si="50"/>
        <v>-520</v>
      </c>
    </row>
    <row r="471" spans="1:12">
      <c r="A471" s="147" t="s">
        <v>537</v>
      </c>
      <c r="B471" s="160" t="s">
        <v>1768</v>
      </c>
      <c r="C471" s="160" t="s">
        <v>1637</v>
      </c>
      <c r="D471" s="147" t="s">
        <v>12</v>
      </c>
      <c r="E471" s="147" t="str">
        <f t="shared" si="49"/>
        <v>MemphisLianyungang</v>
      </c>
      <c r="F471" s="167">
        <v>780</v>
      </c>
      <c r="G471" s="148">
        <f>COSTS!$AA$29</f>
        <v>350</v>
      </c>
      <c r="H471" s="149">
        <f t="shared" si="51"/>
        <v>1130</v>
      </c>
      <c r="I471" s="150">
        <f>IFERROR(H471/88*20,"No Quote")</f>
        <v>256.81818181818181</v>
      </c>
      <c r="J471" s="162">
        <v>46044</v>
      </c>
      <c r="K471" s="149">
        <v>1200</v>
      </c>
      <c r="L471" s="38">
        <f t="shared" si="50"/>
        <v>-420</v>
      </c>
    </row>
    <row r="472" spans="1:12">
      <c r="A472" s="147" t="s">
        <v>537</v>
      </c>
      <c r="B472" s="160" t="s">
        <v>1838</v>
      </c>
      <c r="C472" s="160" t="s">
        <v>1839</v>
      </c>
      <c r="D472" s="147" t="s">
        <v>12</v>
      </c>
      <c r="E472" s="147" t="str">
        <f t="shared" si="49"/>
        <v>MemphisManagua, Nicaragua</v>
      </c>
      <c r="F472" s="167" t="s">
        <v>1793</v>
      </c>
      <c r="G472" s="148">
        <f>COSTS!$AA$29</f>
        <v>350</v>
      </c>
      <c r="H472" s="149" t="e">
        <f t="shared" si="51"/>
        <v>#VALUE!</v>
      </c>
      <c r="I472" s="150" t="str">
        <f>IFERROR(H472/88*20,"No Quote")</f>
        <v>No Quote</v>
      </c>
      <c r="J472" s="162">
        <v>46044</v>
      </c>
      <c r="K472" s="149">
        <v>3500</v>
      </c>
      <c r="L472" s="38" t="e">
        <f t="shared" si="50"/>
        <v>#VALUE!</v>
      </c>
    </row>
    <row r="473" spans="1:12">
      <c r="A473" s="147" t="s">
        <v>537</v>
      </c>
      <c r="B473" s="160" t="s">
        <v>517</v>
      </c>
      <c r="C473" s="160" t="s">
        <v>1797</v>
      </c>
      <c r="D473" s="147" t="s">
        <v>12</v>
      </c>
      <c r="E473" s="147" t="str">
        <f t="shared" si="49"/>
        <v>MemphisManila</v>
      </c>
      <c r="F473" s="167">
        <v>1230</v>
      </c>
      <c r="G473" s="148">
        <f>COSTS!$AA$29</f>
        <v>350</v>
      </c>
      <c r="H473" s="149">
        <f t="shared" si="51"/>
        <v>1580</v>
      </c>
      <c r="I473" s="150">
        <f>IFERROR(H473/88*20,"No Quote")</f>
        <v>359.09090909090907</v>
      </c>
      <c r="J473" s="162">
        <v>46044</v>
      </c>
      <c r="K473" s="149">
        <v>1400</v>
      </c>
      <c r="L473" s="38">
        <f t="shared" si="50"/>
        <v>-170</v>
      </c>
    </row>
    <row r="474" spans="1:12">
      <c r="A474" s="147" t="s">
        <v>537</v>
      </c>
      <c r="B474" s="160" t="s">
        <v>1751</v>
      </c>
      <c r="C474" s="160" t="s">
        <v>1670</v>
      </c>
      <c r="D474" s="147" t="s">
        <v>12</v>
      </c>
      <c r="E474" s="147" t="str">
        <f t="shared" si="49"/>
        <v>MemphisMersin</v>
      </c>
      <c r="F474" s="167">
        <v>1694</v>
      </c>
      <c r="G474" s="148">
        <f>COSTS!$AA$29</f>
        <v>350</v>
      </c>
      <c r="H474" s="149">
        <f t="shared" si="51"/>
        <v>2044</v>
      </c>
      <c r="I474" s="150">
        <f>IFERROR(H474/88*20,"No Quote")</f>
        <v>464.5454545454545</v>
      </c>
      <c r="J474" s="162">
        <v>46044</v>
      </c>
      <c r="K474" s="149">
        <v>1750</v>
      </c>
      <c r="L474" s="38">
        <f t="shared" si="50"/>
        <v>-56</v>
      </c>
    </row>
    <row r="475" spans="1:12">
      <c r="A475" s="147" t="s">
        <v>537</v>
      </c>
      <c r="B475" s="160" t="s">
        <v>1862</v>
      </c>
      <c r="C475" s="160" t="s">
        <v>1681</v>
      </c>
      <c r="D475" s="147" t="s">
        <v>12</v>
      </c>
      <c r="E475" s="147" t="str">
        <f t="shared" si="49"/>
        <v>MemphisNaco</v>
      </c>
      <c r="F475" s="167" t="s">
        <v>1793</v>
      </c>
      <c r="G475" s="148">
        <f>COSTS!$AA$29</f>
        <v>350</v>
      </c>
      <c r="H475" s="149" t="e">
        <f t="shared" si="51"/>
        <v>#VALUE!</v>
      </c>
      <c r="I475" s="150" t="str">
        <f>IFERROR(H475/88*20,"No Quote")</f>
        <v>No Quote</v>
      </c>
      <c r="J475" s="162">
        <v>46044</v>
      </c>
      <c r="K475" s="149">
        <v>2796</v>
      </c>
      <c r="L475" s="38" t="e">
        <f t="shared" si="50"/>
        <v>#VALUE!</v>
      </c>
    </row>
    <row r="476" spans="1:12">
      <c r="A476" s="147" t="s">
        <v>537</v>
      </c>
      <c r="B476" s="160" t="s">
        <v>1787</v>
      </c>
      <c r="C476" s="160" t="s">
        <v>1646</v>
      </c>
      <c r="D476" s="147" t="s">
        <v>12</v>
      </c>
      <c r="E476" s="147" t="str">
        <f t="shared" si="49"/>
        <v>MemphisNagoya</v>
      </c>
      <c r="F476" s="167">
        <v>771</v>
      </c>
      <c r="G476" s="148">
        <f>COSTS!$AA$29</f>
        <v>350</v>
      </c>
      <c r="H476" s="149">
        <f t="shared" si="51"/>
        <v>1121</v>
      </c>
      <c r="I476" s="150">
        <v>284.09090909090912</v>
      </c>
      <c r="J476" s="162">
        <v>46044</v>
      </c>
      <c r="K476" s="149">
        <v>1250</v>
      </c>
      <c r="L476" s="38">
        <f t="shared" si="50"/>
        <v>-479</v>
      </c>
    </row>
    <row r="477" spans="1:12">
      <c r="A477" s="147" t="s">
        <v>537</v>
      </c>
      <c r="B477" s="160" t="s">
        <v>1806</v>
      </c>
      <c r="C477" s="160" t="s">
        <v>1646</v>
      </c>
      <c r="D477" s="147" t="s">
        <v>12</v>
      </c>
      <c r="E477" s="147" t="str">
        <f t="shared" si="49"/>
        <v>MemphisNagoya/Kobe</v>
      </c>
      <c r="F477" s="167">
        <v>771</v>
      </c>
      <c r="G477" s="148">
        <f>COSTS!$AA$29</f>
        <v>350</v>
      </c>
      <c r="H477" s="149">
        <f t="shared" si="51"/>
        <v>1121</v>
      </c>
      <c r="I477" s="150">
        <f t="shared" ref="I477:I517" si="52">IFERROR(H477/88*20,"No Quote")</f>
        <v>254.77272727272725</v>
      </c>
      <c r="J477" s="162">
        <v>46044</v>
      </c>
      <c r="K477" s="149">
        <v>1250</v>
      </c>
      <c r="L477" s="38">
        <f t="shared" si="50"/>
        <v>-479</v>
      </c>
    </row>
    <row r="478" spans="1:12">
      <c r="A478" s="147" t="s">
        <v>537</v>
      </c>
      <c r="B478" s="160" t="s">
        <v>1734</v>
      </c>
      <c r="C478" s="160" t="s">
        <v>1637</v>
      </c>
      <c r="D478" s="147" t="s">
        <v>12</v>
      </c>
      <c r="E478" s="147" t="str">
        <f t="shared" si="49"/>
        <v>MemphisNantong</v>
      </c>
      <c r="F478" s="167">
        <v>659</v>
      </c>
      <c r="G478" s="148">
        <f>COSTS!$AA$29</f>
        <v>350</v>
      </c>
      <c r="H478" s="149">
        <f t="shared" si="51"/>
        <v>1009</v>
      </c>
      <c r="I478" s="150">
        <f t="shared" si="52"/>
        <v>229.31818181818184</v>
      </c>
      <c r="J478" s="162">
        <v>46044</v>
      </c>
      <c r="K478" s="149">
        <v>790</v>
      </c>
      <c r="L478" s="38">
        <f t="shared" si="50"/>
        <v>-131</v>
      </c>
    </row>
    <row r="479" spans="1:12">
      <c r="A479" s="147" t="s">
        <v>537</v>
      </c>
      <c r="B479" s="160" t="s">
        <v>1796</v>
      </c>
      <c r="C479" s="160" t="s">
        <v>1646</v>
      </c>
      <c r="D479" s="147" t="s">
        <v>12</v>
      </c>
      <c r="E479" s="147" t="str">
        <f t="shared" si="49"/>
        <v>MemphisOsaka</v>
      </c>
      <c r="F479" s="167">
        <v>900</v>
      </c>
      <c r="G479" s="148">
        <f>COSTS!$AA$29</f>
        <v>350</v>
      </c>
      <c r="H479" s="149">
        <f t="shared" si="51"/>
        <v>1250</v>
      </c>
      <c r="I479" s="150">
        <f t="shared" si="52"/>
        <v>284.09090909090912</v>
      </c>
      <c r="J479" s="162">
        <v>46044</v>
      </c>
      <c r="K479" s="149">
        <v>1280</v>
      </c>
      <c r="L479" s="38">
        <f t="shared" si="50"/>
        <v>-380</v>
      </c>
    </row>
    <row r="480" spans="1:12">
      <c r="A480" s="147" t="s">
        <v>537</v>
      </c>
      <c r="B480" s="160" t="s">
        <v>1837</v>
      </c>
      <c r="C480" s="160" t="s">
        <v>1679</v>
      </c>
      <c r="D480" s="147" t="s">
        <v>12</v>
      </c>
      <c r="E480" s="147" t="str">
        <f t="shared" si="49"/>
        <v>MemphisPalin</v>
      </c>
      <c r="F480" s="167">
        <v>4122</v>
      </c>
      <c r="G480" s="148">
        <f>COSTS!$AA$29</f>
        <v>350</v>
      </c>
      <c r="H480" s="149">
        <f t="shared" si="51"/>
        <v>4472</v>
      </c>
      <c r="I480" s="150">
        <f t="shared" si="52"/>
        <v>1016.3636363636364</v>
      </c>
      <c r="J480" s="162">
        <v>46044</v>
      </c>
      <c r="K480" s="149">
        <v>2800</v>
      </c>
      <c r="L480" s="38">
        <f t="shared" si="50"/>
        <v>1322</v>
      </c>
    </row>
    <row r="481" spans="1:12">
      <c r="A481" s="147" t="s">
        <v>537</v>
      </c>
      <c r="B481" s="160" t="s">
        <v>1776</v>
      </c>
      <c r="C481" s="160" t="s">
        <v>1648</v>
      </c>
      <c r="D481" s="147" t="s">
        <v>12</v>
      </c>
      <c r="E481" s="147" t="str">
        <f t="shared" si="49"/>
        <v>MemphisPasir Gudang</v>
      </c>
      <c r="F481" s="167">
        <v>1264</v>
      </c>
      <c r="G481" s="148">
        <f>COSTS!$AA$29</f>
        <v>350</v>
      </c>
      <c r="H481" s="149">
        <f t="shared" si="51"/>
        <v>1614</v>
      </c>
      <c r="I481" s="150">
        <f t="shared" si="52"/>
        <v>366.81818181818181</v>
      </c>
      <c r="J481" s="162">
        <v>46044</v>
      </c>
      <c r="K481" s="149">
        <v>1500</v>
      </c>
      <c r="L481" s="38">
        <f t="shared" si="50"/>
        <v>-236</v>
      </c>
    </row>
    <row r="482" spans="1:12">
      <c r="A482" s="147" t="s">
        <v>537</v>
      </c>
      <c r="B482" s="160" t="s">
        <v>1836</v>
      </c>
      <c r="C482" s="160" t="s">
        <v>1831</v>
      </c>
      <c r="D482" s="147" t="s">
        <v>12</v>
      </c>
      <c r="E482" s="147" t="str">
        <f t="shared" si="49"/>
        <v>MemphisPecem</v>
      </c>
      <c r="F482" s="167" t="s">
        <v>1793</v>
      </c>
      <c r="G482" s="148">
        <f>COSTS!$AA$29</f>
        <v>350</v>
      </c>
      <c r="H482" s="149" t="e">
        <f t="shared" si="51"/>
        <v>#VALUE!</v>
      </c>
      <c r="I482" s="150" t="str">
        <f t="shared" si="52"/>
        <v>No Quote</v>
      </c>
      <c r="J482" s="173"/>
      <c r="K482" s="149" t="s">
        <v>1793</v>
      </c>
      <c r="L482" s="38" t="e">
        <f t="shared" si="50"/>
        <v>#VALUE!</v>
      </c>
    </row>
    <row r="483" spans="1:12">
      <c r="A483" s="147" t="s">
        <v>537</v>
      </c>
      <c r="B483" s="160" t="s">
        <v>1742</v>
      </c>
      <c r="C483" s="160" t="s">
        <v>1648</v>
      </c>
      <c r="D483" s="147" t="s">
        <v>12</v>
      </c>
      <c r="E483" s="147" t="str">
        <f t="shared" si="49"/>
        <v>MemphisPort Klang</v>
      </c>
      <c r="F483" s="167">
        <v>834</v>
      </c>
      <c r="G483" s="148">
        <f>COSTS!$AA$29</f>
        <v>350</v>
      </c>
      <c r="H483" s="149">
        <f t="shared" si="51"/>
        <v>1184</v>
      </c>
      <c r="I483" s="150">
        <f t="shared" si="52"/>
        <v>269.09090909090912</v>
      </c>
      <c r="J483" s="162">
        <v>46057</v>
      </c>
      <c r="K483" s="149">
        <v>834</v>
      </c>
      <c r="L483" s="38">
        <f t="shared" si="50"/>
        <v>0</v>
      </c>
    </row>
    <row r="484" spans="1:12">
      <c r="A484" s="147" t="s">
        <v>537</v>
      </c>
      <c r="B484" s="160" t="s">
        <v>1738</v>
      </c>
      <c r="C484" s="160" t="s">
        <v>1666</v>
      </c>
      <c r="D484" s="147" t="s">
        <v>12</v>
      </c>
      <c r="E484" s="147" t="str">
        <f t="shared" si="49"/>
        <v>MemphisPort Qasim/Karachi</v>
      </c>
      <c r="F484" s="167">
        <v>1497</v>
      </c>
      <c r="G484" s="148">
        <f>COSTS!$AA$29</f>
        <v>350</v>
      </c>
      <c r="H484" s="149">
        <f t="shared" si="51"/>
        <v>1847</v>
      </c>
      <c r="I484" s="150">
        <f t="shared" si="52"/>
        <v>419.77272727272725</v>
      </c>
      <c r="J484" s="162">
        <v>46044</v>
      </c>
      <c r="K484" s="149">
        <v>2000</v>
      </c>
      <c r="L484" s="38">
        <f t="shared" si="50"/>
        <v>-503</v>
      </c>
    </row>
    <row r="485" spans="1:12">
      <c r="A485" s="147" t="s">
        <v>537</v>
      </c>
      <c r="B485" s="160" t="s">
        <v>1835</v>
      </c>
      <c r="C485" s="160" t="s">
        <v>1679</v>
      </c>
      <c r="D485" s="147" t="s">
        <v>12</v>
      </c>
      <c r="E485" s="147" t="str">
        <f t="shared" si="49"/>
        <v>MemphisPuerto Barrios, Guatemala</v>
      </c>
      <c r="F485" s="167" t="s">
        <v>1793</v>
      </c>
      <c r="G485" s="148">
        <f>COSTS!$AA$29</f>
        <v>350</v>
      </c>
      <c r="H485" s="149" t="e">
        <f t="shared" si="51"/>
        <v>#VALUE!</v>
      </c>
      <c r="I485" s="150" t="str">
        <f t="shared" si="52"/>
        <v>No Quote</v>
      </c>
      <c r="J485" s="162">
        <v>46044</v>
      </c>
      <c r="K485" s="149">
        <v>1650</v>
      </c>
      <c r="L485" s="38" t="e">
        <f t="shared" si="50"/>
        <v>#VALUE!</v>
      </c>
    </row>
    <row r="486" spans="1:12">
      <c r="A486" s="147" t="s">
        <v>537</v>
      </c>
      <c r="B486" s="160" t="s">
        <v>1849</v>
      </c>
      <c r="C486" s="160" t="s">
        <v>1681</v>
      </c>
      <c r="D486" s="147" t="s">
        <v>12</v>
      </c>
      <c r="E486" s="147" t="str">
        <f t="shared" si="49"/>
        <v>MemphisPuerto Cortes, Honduras</v>
      </c>
      <c r="F486" s="167" t="s">
        <v>1793</v>
      </c>
      <c r="G486" s="148">
        <f>COSTS!$AA$29</f>
        <v>350</v>
      </c>
      <c r="H486" s="149" t="e">
        <f t="shared" si="51"/>
        <v>#VALUE!</v>
      </c>
      <c r="I486" s="150" t="str">
        <f t="shared" si="52"/>
        <v>No Quote</v>
      </c>
      <c r="J486" s="173"/>
      <c r="K486" s="149" t="s">
        <v>1793</v>
      </c>
      <c r="L486" s="38" t="e">
        <f t="shared" si="50"/>
        <v>#VALUE!</v>
      </c>
    </row>
    <row r="487" spans="1:12">
      <c r="A487" s="147" t="s">
        <v>537</v>
      </c>
      <c r="B487" s="160" t="s">
        <v>1833</v>
      </c>
      <c r="C487" s="160" t="s">
        <v>1834</v>
      </c>
      <c r="D487" s="147" t="s">
        <v>12</v>
      </c>
      <c r="E487" s="147" t="str">
        <f t="shared" si="49"/>
        <v>MemphisPuerto Limon</v>
      </c>
      <c r="F487" s="167" t="s">
        <v>1793</v>
      </c>
      <c r="G487" s="148">
        <f>COSTS!$AA$29</f>
        <v>350</v>
      </c>
      <c r="H487" s="149" t="e">
        <f t="shared" si="51"/>
        <v>#VALUE!</v>
      </c>
      <c r="I487" s="150" t="str">
        <f t="shared" si="52"/>
        <v>No Quote</v>
      </c>
      <c r="J487" s="173"/>
      <c r="K487" s="149" t="s">
        <v>1793</v>
      </c>
      <c r="L487" s="38" t="e">
        <f t="shared" si="50"/>
        <v>#VALUE!</v>
      </c>
    </row>
    <row r="488" spans="1:12">
      <c r="A488" s="154" t="s">
        <v>537</v>
      </c>
      <c r="B488" s="153" t="s">
        <v>1635</v>
      </c>
      <c r="C488" s="153" t="s">
        <v>1635</v>
      </c>
      <c r="D488" s="154" t="s">
        <v>12</v>
      </c>
      <c r="E488" s="154" t="str">
        <f t="shared" si="49"/>
        <v>MemphisCIF FE</v>
      </c>
      <c r="F488" s="168">
        <v>454</v>
      </c>
      <c r="G488" s="176">
        <f>COSTS!$AA$29</f>
        <v>350</v>
      </c>
      <c r="H488" s="155">
        <f t="shared" si="51"/>
        <v>804</v>
      </c>
      <c r="I488" s="156">
        <f t="shared" si="52"/>
        <v>182.72727272727275</v>
      </c>
      <c r="J488" s="165">
        <v>45796</v>
      </c>
      <c r="K488" s="177">
        <v>600</v>
      </c>
      <c r="L488" s="158">
        <f t="shared" si="50"/>
        <v>-146</v>
      </c>
    </row>
    <row r="489" spans="1:12">
      <c r="A489" s="147" t="s">
        <v>537</v>
      </c>
      <c r="B489" s="160" t="s">
        <v>1795</v>
      </c>
      <c r="C489" s="160" t="s">
        <v>1637</v>
      </c>
      <c r="D489" s="147" t="s">
        <v>12</v>
      </c>
      <c r="E489" s="147" t="str">
        <f t="shared" si="49"/>
        <v>MemphisQinzhou</v>
      </c>
      <c r="F489" s="167">
        <v>1207</v>
      </c>
      <c r="G489" s="148">
        <f>COSTS!$AA$29</f>
        <v>350</v>
      </c>
      <c r="H489" s="149">
        <f t="shared" si="51"/>
        <v>1557</v>
      </c>
      <c r="I489" s="150">
        <f t="shared" si="52"/>
        <v>353.86363636363632</v>
      </c>
      <c r="J489" s="162">
        <v>46044</v>
      </c>
      <c r="K489" s="149">
        <v>1350</v>
      </c>
      <c r="L489" s="38">
        <f t="shared" si="50"/>
        <v>-143</v>
      </c>
    </row>
    <row r="490" spans="1:12">
      <c r="A490" s="147" t="s">
        <v>537</v>
      </c>
      <c r="B490" s="160" t="s">
        <v>1832</v>
      </c>
      <c r="C490" s="160" t="s">
        <v>1830</v>
      </c>
      <c r="D490" s="147" t="s">
        <v>12</v>
      </c>
      <c r="E490" s="147" t="str">
        <f t="shared" si="49"/>
        <v>MemphisSalerno</v>
      </c>
      <c r="F490" s="167">
        <v>1876</v>
      </c>
      <c r="G490" s="148">
        <f>COSTS!$AA$29</f>
        <v>350</v>
      </c>
      <c r="H490" s="149">
        <f t="shared" si="51"/>
        <v>2226</v>
      </c>
      <c r="I490" s="150">
        <f t="shared" si="52"/>
        <v>505.90909090909093</v>
      </c>
      <c r="J490" s="162">
        <v>46044</v>
      </c>
      <c r="K490" s="149">
        <v>2235</v>
      </c>
      <c r="L490" s="38">
        <f t="shared" si="50"/>
        <v>-359</v>
      </c>
    </row>
    <row r="491" spans="1:12">
      <c r="A491" s="147" t="s">
        <v>537</v>
      </c>
      <c r="B491" s="160" t="s">
        <v>1861</v>
      </c>
      <c r="C491" s="160" t="s">
        <v>1681</v>
      </c>
      <c r="D491" s="147" t="s">
        <v>12</v>
      </c>
      <c r="E491" s="147" t="str">
        <f t="shared" si="49"/>
        <v>MemphisSanta Barbara</v>
      </c>
      <c r="F491" s="167">
        <v>3792</v>
      </c>
      <c r="G491" s="148">
        <f>COSTS!$AA$29</f>
        <v>350</v>
      </c>
      <c r="H491" s="149">
        <f t="shared" si="51"/>
        <v>4142</v>
      </c>
      <c r="I491" s="150">
        <f t="shared" si="52"/>
        <v>941.36363636363637</v>
      </c>
      <c r="J491" s="174">
        <v>46044</v>
      </c>
      <c r="K491" s="149">
        <v>3470</v>
      </c>
      <c r="L491" s="38">
        <f t="shared" si="50"/>
        <v>322</v>
      </c>
    </row>
    <row r="492" spans="1:12">
      <c r="A492" s="147" t="s">
        <v>537</v>
      </c>
      <c r="B492" s="160" t="s">
        <v>1747</v>
      </c>
      <c r="C492" s="160" t="s">
        <v>1658</v>
      </c>
      <c r="D492" s="147" t="s">
        <v>12</v>
      </c>
      <c r="E492" s="147" t="str">
        <f t="shared" si="49"/>
        <v>MemphisSemarang</v>
      </c>
      <c r="F492" s="167">
        <v>1045</v>
      </c>
      <c r="G492" s="148">
        <f>COSTS!$AA$29</f>
        <v>350</v>
      </c>
      <c r="H492" s="149">
        <f t="shared" si="51"/>
        <v>1395</v>
      </c>
      <c r="I492" s="150">
        <f t="shared" si="52"/>
        <v>317.0454545454545</v>
      </c>
      <c r="J492" s="162">
        <v>46044</v>
      </c>
      <c r="K492" s="149">
        <v>1450</v>
      </c>
      <c r="L492" s="38">
        <f t="shared" si="50"/>
        <v>-405</v>
      </c>
    </row>
    <row r="493" spans="1:12">
      <c r="A493" s="147" t="s">
        <v>537</v>
      </c>
      <c r="B493" s="160" t="s">
        <v>1729</v>
      </c>
      <c r="C493" s="160" t="s">
        <v>1637</v>
      </c>
      <c r="D493" s="147" t="s">
        <v>12</v>
      </c>
      <c r="E493" s="147" t="str">
        <f t="shared" si="49"/>
        <v>MemphisQingdao</v>
      </c>
      <c r="F493" s="167">
        <v>454</v>
      </c>
      <c r="G493" s="148">
        <f>COSTS!$AA$29</f>
        <v>350</v>
      </c>
      <c r="H493" s="149">
        <f t="shared" si="51"/>
        <v>804</v>
      </c>
      <c r="I493" s="150">
        <f t="shared" si="52"/>
        <v>182.72727272727275</v>
      </c>
      <c r="J493" s="162">
        <v>46044</v>
      </c>
      <c r="K493" s="149">
        <v>600</v>
      </c>
      <c r="L493" s="38">
        <f t="shared" si="50"/>
        <v>-146</v>
      </c>
    </row>
    <row r="494" spans="1:12">
      <c r="A494" s="147" t="s">
        <v>537</v>
      </c>
      <c r="B494" s="160" t="s">
        <v>1824</v>
      </c>
      <c r="C494" s="160" t="s">
        <v>1668</v>
      </c>
      <c r="D494" s="147" t="s">
        <v>12</v>
      </c>
      <c r="E494" s="147" t="str">
        <f t="shared" si="49"/>
        <v>MemphisCochin</v>
      </c>
      <c r="F494" s="167">
        <v>2233</v>
      </c>
      <c r="G494" s="148">
        <f>COSTS!$AA$29</f>
        <v>350</v>
      </c>
      <c r="H494" s="149">
        <f t="shared" si="51"/>
        <v>2583</v>
      </c>
      <c r="I494" s="150">
        <f t="shared" si="52"/>
        <v>587.0454545454545</v>
      </c>
      <c r="J494" s="162">
        <v>46057</v>
      </c>
      <c r="K494" s="149">
        <v>2500</v>
      </c>
      <c r="L494" s="38">
        <f t="shared" si="50"/>
        <v>-267</v>
      </c>
    </row>
    <row r="495" spans="1:12">
      <c r="A495" s="147" t="s">
        <v>537</v>
      </c>
      <c r="B495" s="160" t="s">
        <v>1794</v>
      </c>
      <c r="C495" s="160" t="s">
        <v>1637</v>
      </c>
      <c r="D495" s="147" t="s">
        <v>12</v>
      </c>
      <c r="E495" s="147" t="str">
        <f t="shared" si="49"/>
        <v>MemphisShanghai/Qingdao/Xiamen/Ningbo/Xingang</v>
      </c>
      <c r="F495" s="167">
        <v>738</v>
      </c>
      <c r="G495" s="148">
        <f>COSTS!$AA$29</f>
        <v>350</v>
      </c>
      <c r="H495" s="149">
        <f t="shared" si="51"/>
        <v>1088</v>
      </c>
      <c r="I495" s="150">
        <f t="shared" si="52"/>
        <v>247.27272727272725</v>
      </c>
      <c r="J495" s="162">
        <v>46044</v>
      </c>
      <c r="K495" s="149">
        <v>600</v>
      </c>
      <c r="L495" s="38">
        <f t="shared" si="50"/>
        <v>138</v>
      </c>
    </row>
    <row r="496" spans="1:12">
      <c r="A496" s="147" t="s">
        <v>537</v>
      </c>
      <c r="B496" s="160" t="s">
        <v>1812</v>
      </c>
      <c r="C496" s="160" t="s">
        <v>1813</v>
      </c>
      <c r="D496" s="147" t="s">
        <v>12</v>
      </c>
      <c r="E496" s="147" t="str">
        <f t="shared" si="49"/>
        <v>MemphisSohar Oman</v>
      </c>
      <c r="F496" s="167" t="s">
        <v>1793</v>
      </c>
      <c r="G496" s="148">
        <f>COSTS!$AA$29</f>
        <v>350</v>
      </c>
      <c r="H496" s="149" t="e">
        <f t="shared" si="51"/>
        <v>#VALUE!</v>
      </c>
      <c r="I496" s="150" t="str">
        <f t="shared" si="52"/>
        <v>No Quote</v>
      </c>
      <c r="J496" s="173"/>
      <c r="K496" s="149" t="s">
        <v>1793</v>
      </c>
      <c r="L496" s="38" t="e">
        <f t="shared" si="50"/>
        <v>#VALUE!</v>
      </c>
    </row>
    <row r="497" spans="1:12">
      <c r="A497" s="147" t="s">
        <v>537</v>
      </c>
      <c r="B497" s="136" t="s">
        <v>1726</v>
      </c>
      <c r="C497" s="160" t="s">
        <v>1668</v>
      </c>
      <c r="D497" s="147" t="s">
        <v>12</v>
      </c>
      <c r="E497" s="147" t="str">
        <f t="shared" si="49"/>
        <v>MemphisMundra</v>
      </c>
      <c r="F497" s="167">
        <v>1229</v>
      </c>
      <c r="G497" s="148">
        <f>COSTS!$AA$29</f>
        <v>350</v>
      </c>
      <c r="H497" s="149">
        <f t="shared" si="51"/>
        <v>1579</v>
      </c>
      <c r="I497" s="150">
        <f t="shared" si="52"/>
        <v>358.86363636363632</v>
      </c>
      <c r="J497" s="162">
        <v>46044</v>
      </c>
      <c r="K497" s="149">
        <v>1424</v>
      </c>
      <c r="L497" s="38">
        <f t="shared" si="50"/>
        <v>-195</v>
      </c>
    </row>
    <row r="498" spans="1:12">
      <c r="A498" s="147" t="s">
        <v>537</v>
      </c>
      <c r="B498" s="160" t="s">
        <v>1820</v>
      </c>
      <c r="C498" s="160" t="s">
        <v>1831</v>
      </c>
      <c r="D498" s="147" t="s">
        <v>12</v>
      </c>
      <c r="E498" s="147" t="str">
        <f t="shared" si="49"/>
        <v>MemphisSuape</v>
      </c>
      <c r="F498" s="167" t="s">
        <v>1793</v>
      </c>
      <c r="G498" s="148">
        <f>COSTS!$AA$29</f>
        <v>350</v>
      </c>
      <c r="H498" s="149" t="e">
        <f t="shared" si="51"/>
        <v>#VALUE!</v>
      </c>
      <c r="I498" s="150" t="str">
        <f t="shared" si="52"/>
        <v>No Quote</v>
      </c>
      <c r="J498" s="173"/>
      <c r="K498" s="149" t="s">
        <v>1793</v>
      </c>
      <c r="L498" s="38" t="e">
        <f t="shared" si="50"/>
        <v>#VALUE!</v>
      </c>
    </row>
    <row r="499" spans="1:12">
      <c r="A499" s="147" t="s">
        <v>537</v>
      </c>
      <c r="B499" s="160" t="s">
        <v>1748</v>
      </c>
      <c r="C499" s="160" t="s">
        <v>1658</v>
      </c>
      <c r="D499" s="147" t="s">
        <v>12</v>
      </c>
      <c r="E499" s="147" t="str">
        <f t="shared" si="49"/>
        <v>MemphisSurabaya</v>
      </c>
      <c r="F499" s="167">
        <v>1045</v>
      </c>
      <c r="G499" s="148">
        <f>COSTS!$AA$29</f>
        <v>350</v>
      </c>
      <c r="H499" s="149">
        <f t="shared" si="51"/>
        <v>1395</v>
      </c>
      <c r="I499" s="150">
        <f t="shared" si="52"/>
        <v>317.0454545454545</v>
      </c>
      <c r="J499" s="162">
        <v>46044</v>
      </c>
      <c r="K499" s="149">
        <v>1450</v>
      </c>
      <c r="L499" s="38">
        <f t="shared" si="50"/>
        <v>-405</v>
      </c>
    </row>
    <row r="500" spans="1:12">
      <c r="A500" s="147" t="s">
        <v>537</v>
      </c>
      <c r="B500" s="160" t="s">
        <v>1781</v>
      </c>
      <c r="C500" s="160" t="s">
        <v>1652</v>
      </c>
      <c r="D500" s="147" t="s">
        <v>12</v>
      </c>
      <c r="E500" s="147" t="str">
        <f t="shared" si="49"/>
        <v>MemphisTaichung</v>
      </c>
      <c r="F500" s="167">
        <v>806</v>
      </c>
      <c r="G500" s="148">
        <f>COSTS!$AA$29</f>
        <v>350</v>
      </c>
      <c r="H500" s="149">
        <f t="shared" si="51"/>
        <v>1156</v>
      </c>
      <c r="I500" s="150">
        <f t="shared" si="52"/>
        <v>262.72727272727275</v>
      </c>
      <c r="J500" s="162">
        <v>46044</v>
      </c>
      <c r="K500" s="149">
        <v>1250</v>
      </c>
      <c r="L500" s="38">
        <f t="shared" si="50"/>
        <v>-444</v>
      </c>
    </row>
    <row r="501" spans="1:12">
      <c r="A501" s="147" t="s">
        <v>537</v>
      </c>
      <c r="B501" s="136" t="s">
        <v>1725</v>
      </c>
      <c r="C501" s="160" t="s">
        <v>1668</v>
      </c>
      <c r="D501" s="147" t="s">
        <v>12</v>
      </c>
      <c r="E501" s="147" t="str">
        <f t="shared" si="49"/>
        <v>MemphisNhava Sheva</v>
      </c>
      <c r="F501" s="167">
        <v>1229</v>
      </c>
      <c r="G501" s="148">
        <f>COSTS!$AA$29</f>
        <v>350</v>
      </c>
      <c r="H501" s="149">
        <f t="shared" si="51"/>
        <v>1579</v>
      </c>
      <c r="I501" s="150">
        <f t="shared" si="52"/>
        <v>358.86363636363632</v>
      </c>
      <c r="J501" s="162">
        <v>46044</v>
      </c>
      <c r="K501" s="149">
        <v>1700</v>
      </c>
      <c r="L501" s="38">
        <f t="shared" si="50"/>
        <v>-471</v>
      </c>
    </row>
    <row r="502" spans="1:12">
      <c r="A502" s="147" t="s">
        <v>537</v>
      </c>
      <c r="B502" s="160" t="s">
        <v>1810</v>
      </c>
      <c r="C502" s="160" t="s">
        <v>1637</v>
      </c>
      <c r="D502" s="147" t="s">
        <v>12</v>
      </c>
      <c r="E502" s="147" t="str">
        <f t="shared" si="49"/>
        <v>MemphisTaizhou</v>
      </c>
      <c r="F502" s="167" t="s">
        <v>1793</v>
      </c>
      <c r="G502" s="148">
        <f>COSTS!$AA$29</f>
        <v>350</v>
      </c>
      <c r="H502" s="149" t="e">
        <f t="shared" ref="H502:H511" si="53">F502+G502</f>
        <v>#VALUE!</v>
      </c>
      <c r="I502" s="150" t="str">
        <f t="shared" si="52"/>
        <v>No Quote</v>
      </c>
      <c r="J502" s="162">
        <v>46044</v>
      </c>
      <c r="K502" s="149">
        <v>1400</v>
      </c>
      <c r="L502" s="38" t="e">
        <f t="shared" si="50"/>
        <v>#VALUE!</v>
      </c>
    </row>
    <row r="503" spans="1:12">
      <c r="A503" s="147" t="s">
        <v>537</v>
      </c>
      <c r="B503" s="160" t="s">
        <v>1775</v>
      </c>
      <c r="C503" s="160" t="s">
        <v>1648</v>
      </c>
      <c r="D503" s="147" t="s">
        <v>12</v>
      </c>
      <c r="E503" s="147" t="str">
        <f t="shared" si="49"/>
        <v>MemphisTanjung Pelepas</v>
      </c>
      <c r="F503" s="167">
        <v>1119</v>
      </c>
      <c r="G503" s="148">
        <f>COSTS!$AA$29</f>
        <v>350</v>
      </c>
      <c r="H503" s="149">
        <f t="shared" si="53"/>
        <v>1469</v>
      </c>
      <c r="I503" s="150">
        <f t="shared" si="52"/>
        <v>333.86363636363632</v>
      </c>
      <c r="J503" s="162">
        <v>46044</v>
      </c>
      <c r="K503" s="149">
        <v>1500</v>
      </c>
      <c r="L503" s="38">
        <f t="shared" si="50"/>
        <v>-381</v>
      </c>
    </row>
    <row r="504" spans="1:12">
      <c r="A504" s="147" t="s">
        <v>537</v>
      </c>
      <c r="B504" s="160" t="s">
        <v>1798</v>
      </c>
      <c r="C504" s="160" t="s">
        <v>1652</v>
      </c>
      <c r="D504" s="147" t="s">
        <v>12</v>
      </c>
      <c r="E504" s="147" t="str">
        <f t="shared" si="49"/>
        <v>MemphisTao Yuan</v>
      </c>
      <c r="F504" s="167">
        <v>1000</v>
      </c>
      <c r="G504" s="148">
        <f>COSTS!$AA$29</f>
        <v>350</v>
      </c>
      <c r="H504" s="149">
        <f t="shared" si="53"/>
        <v>1350</v>
      </c>
      <c r="I504" s="150">
        <f t="shared" si="52"/>
        <v>306.81818181818181</v>
      </c>
      <c r="J504" s="162">
        <v>46044</v>
      </c>
      <c r="K504" s="149">
        <v>1450</v>
      </c>
      <c r="L504" s="38">
        <f t="shared" si="50"/>
        <v>-450</v>
      </c>
    </row>
    <row r="505" spans="1:12">
      <c r="A505" s="147" t="s">
        <v>537</v>
      </c>
      <c r="B505" s="160" t="s">
        <v>1807</v>
      </c>
      <c r="C505" s="160" t="s">
        <v>1830</v>
      </c>
      <c r="D505" s="147" t="s">
        <v>12</v>
      </c>
      <c r="E505" s="147" t="str">
        <f t="shared" si="49"/>
        <v>MemphisTrieste</v>
      </c>
      <c r="F505" s="167" t="s">
        <v>1793</v>
      </c>
      <c r="G505" s="148">
        <f>COSTS!$AA$29</f>
        <v>350</v>
      </c>
      <c r="H505" s="149" t="e">
        <f t="shared" si="53"/>
        <v>#VALUE!</v>
      </c>
      <c r="I505" s="150" t="str">
        <f t="shared" si="52"/>
        <v>No Quote</v>
      </c>
      <c r="J505" s="173"/>
      <c r="K505" s="149" t="s">
        <v>1793</v>
      </c>
      <c r="L505" s="38" t="e">
        <f t="shared" si="50"/>
        <v>#VALUE!</v>
      </c>
    </row>
    <row r="506" spans="1:12">
      <c r="A506" s="147" t="s">
        <v>537</v>
      </c>
      <c r="B506" s="160" t="s">
        <v>1786</v>
      </c>
      <c r="C506" s="160" t="s">
        <v>1648</v>
      </c>
      <c r="D506" s="147" t="s">
        <v>12</v>
      </c>
      <c r="E506" s="147" t="str">
        <f t="shared" si="49"/>
        <v>MemphisPenang</v>
      </c>
      <c r="F506" s="167">
        <v>1264</v>
      </c>
      <c r="G506" s="148">
        <f>COSTS!$AA$29</f>
        <v>350</v>
      </c>
      <c r="H506" s="149">
        <f t="shared" si="53"/>
        <v>1614</v>
      </c>
      <c r="I506" s="150">
        <f t="shared" si="52"/>
        <v>366.81818181818181</v>
      </c>
      <c r="J506" s="162">
        <v>46044</v>
      </c>
      <c r="K506" s="149">
        <v>1500</v>
      </c>
      <c r="L506" s="38">
        <f t="shared" si="50"/>
        <v>-236</v>
      </c>
    </row>
    <row r="507" spans="1:12">
      <c r="A507" s="147" t="s">
        <v>537</v>
      </c>
      <c r="B507" s="160" t="s">
        <v>1828</v>
      </c>
      <c r="C507" s="160" t="s">
        <v>1829</v>
      </c>
      <c r="D507" s="147" t="s">
        <v>12</v>
      </c>
      <c r="E507" s="147" t="str">
        <f t="shared" si="49"/>
        <v>MemphisTunis</v>
      </c>
      <c r="F507" s="167" t="s">
        <v>1793</v>
      </c>
      <c r="G507" s="148">
        <f>COSTS!$AA$29</f>
        <v>350</v>
      </c>
      <c r="H507" s="149" t="e">
        <f t="shared" si="53"/>
        <v>#VALUE!</v>
      </c>
      <c r="I507" s="150" t="str">
        <f t="shared" si="52"/>
        <v>No Quote</v>
      </c>
      <c r="J507" s="173"/>
      <c r="K507" s="149" t="s">
        <v>1793</v>
      </c>
      <c r="L507" s="38" t="e">
        <f t="shared" si="50"/>
        <v>#VALUE!</v>
      </c>
    </row>
    <row r="508" spans="1:12">
      <c r="A508" s="147" t="s">
        <v>537</v>
      </c>
      <c r="B508" s="160" t="s">
        <v>1825</v>
      </c>
      <c r="C508" s="160" t="s">
        <v>1826</v>
      </c>
      <c r="D508" s="147" t="s">
        <v>12</v>
      </c>
      <c r="E508" s="147" t="str">
        <f t="shared" si="49"/>
        <v>MemphisPipavav</v>
      </c>
      <c r="F508" s="167">
        <v>1869</v>
      </c>
      <c r="G508" s="148">
        <f>COSTS!$AA$29</f>
        <v>350</v>
      </c>
      <c r="H508" s="149">
        <f t="shared" si="53"/>
        <v>2219</v>
      </c>
      <c r="I508" s="150">
        <f t="shared" si="52"/>
        <v>504.31818181818181</v>
      </c>
      <c r="J508" s="162">
        <v>46044</v>
      </c>
      <c r="K508" s="149">
        <v>1858</v>
      </c>
      <c r="L508" s="38">
        <f t="shared" si="50"/>
        <v>11</v>
      </c>
    </row>
    <row r="509" spans="1:12">
      <c r="A509" s="147" t="s">
        <v>537</v>
      </c>
      <c r="B509" s="160" t="s">
        <v>1727</v>
      </c>
      <c r="C509" s="160" t="s">
        <v>1668</v>
      </c>
      <c r="D509" s="147" t="s">
        <v>12</v>
      </c>
      <c r="E509" s="147" t="str">
        <f t="shared" si="49"/>
        <v>MemphisTuticorin</v>
      </c>
      <c r="F509" s="167">
        <v>1719</v>
      </c>
      <c r="G509" s="148">
        <f>COSTS!$AA$29</f>
        <v>350</v>
      </c>
      <c r="H509" s="149">
        <f t="shared" si="53"/>
        <v>2069</v>
      </c>
      <c r="I509" s="150">
        <f t="shared" si="52"/>
        <v>470.22727272727275</v>
      </c>
      <c r="J509" s="162">
        <v>46044</v>
      </c>
      <c r="K509" s="149">
        <v>2900</v>
      </c>
      <c r="L509" s="38">
        <f t="shared" si="50"/>
        <v>-1181</v>
      </c>
    </row>
    <row r="510" spans="1:12">
      <c r="A510" s="147" t="s">
        <v>537</v>
      </c>
      <c r="B510" s="160" t="s">
        <v>1827</v>
      </c>
      <c r="C510" s="160" t="s">
        <v>1683</v>
      </c>
      <c r="D510" s="147" t="s">
        <v>12</v>
      </c>
      <c r="E510" s="147" t="str">
        <f t="shared" si="49"/>
        <v>MemphisVitoria</v>
      </c>
      <c r="F510" s="167" t="s">
        <v>1793</v>
      </c>
      <c r="G510" s="148">
        <f>COSTS!$AA$29</f>
        <v>350</v>
      </c>
      <c r="H510" s="149" t="e">
        <f t="shared" si="53"/>
        <v>#VALUE!</v>
      </c>
      <c r="I510" s="150" t="str">
        <f t="shared" si="52"/>
        <v>No Quote</v>
      </c>
      <c r="J510" s="173"/>
      <c r="K510" s="149" t="s">
        <v>1793</v>
      </c>
      <c r="L510" s="38" t="e">
        <f t="shared" si="50"/>
        <v>#VALUE!</v>
      </c>
    </row>
    <row r="511" spans="1:12">
      <c r="A511" s="147" t="s">
        <v>537</v>
      </c>
      <c r="B511" s="160" t="s">
        <v>1763</v>
      </c>
      <c r="C511" s="160" t="s">
        <v>1637</v>
      </c>
      <c r="D511" s="147" t="s">
        <v>12</v>
      </c>
      <c r="E511" s="147" t="str">
        <f t="shared" si="49"/>
        <v>MemphisWuhan</v>
      </c>
      <c r="F511" s="167">
        <v>749</v>
      </c>
      <c r="G511" s="148">
        <f>COSTS!$AA$29</f>
        <v>350</v>
      </c>
      <c r="H511" s="149">
        <f t="shared" si="53"/>
        <v>1099</v>
      </c>
      <c r="I511" s="150">
        <f t="shared" si="52"/>
        <v>249.77272727272725</v>
      </c>
      <c r="J511" s="162">
        <v>46044</v>
      </c>
      <c r="K511" s="149">
        <v>1080</v>
      </c>
      <c r="L511" s="38">
        <f t="shared" si="50"/>
        <v>-331</v>
      </c>
    </row>
    <row r="512" spans="1:12">
      <c r="A512" s="147" t="s">
        <v>537</v>
      </c>
      <c r="B512" s="159" t="s">
        <v>1733</v>
      </c>
      <c r="C512" s="160" t="s">
        <v>1637</v>
      </c>
      <c r="D512" s="147" t="s">
        <v>12</v>
      </c>
      <c r="E512" s="147" t="str">
        <f t="shared" si="49"/>
        <v>MemphisXiamen</v>
      </c>
      <c r="F512" s="167">
        <v>614</v>
      </c>
      <c r="G512" s="148">
        <f>COSTS!$AA$29</f>
        <v>350</v>
      </c>
      <c r="H512" s="149">
        <v>650</v>
      </c>
      <c r="I512" s="150">
        <f t="shared" si="52"/>
        <v>147.72727272727275</v>
      </c>
      <c r="J512" s="162">
        <v>46044</v>
      </c>
      <c r="K512" s="149">
        <v>600</v>
      </c>
      <c r="L512" s="38">
        <f t="shared" si="50"/>
        <v>14</v>
      </c>
    </row>
    <row r="513" spans="1:12">
      <c r="A513" s="147" t="s">
        <v>537</v>
      </c>
      <c r="B513" s="160" t="s">
        <v>1730</v>
      </c>
      <c r="C513" s="160" t="s">
        <v>1637</v>
      </c>
      <c r="D513" s="147" t="s">
        <v>12</v>
      </c>
      <c r="E513" s="147" t="str">
        <f t="shared" si="49"/>
        <v>MemphisXingang</v>
      </c>
      <c r="F513" s="167">
        <v>433</v>
      </c>
      <c r="G513" s="148">
        <f>COSTS!$AA$29</f>
        <v>350</v>
      </c>
      <c r="H513" s="149">
        <f t="shared" ref="H513:H544" si="54">F513+G513</f>
        <v>783</v>
      </c>
      <c r="I513" s="150">
        <f t="shared" si="52"/>
        <v>177.95454545454547</v>
      </c>
      <c r="J513" s="162">
        <v>46044</v>
      </c>
      <c r="K513" s="149">
        <v>1080</v>
      </c>
      <c r="L513" s="38">
        <f t="shared" si="50"/>
        <v>-647</v>
      </c>
    </row>
    <row r="514" spans="1:12">
      <c r="A514" s="147" t="s">
        <v>537</v>
      </c>
      <c r="B514" s="160" t="s">
        <v>1792</v>
      </c>
      <c r="C514" s="160" t="s">
        <v>1637</v>
      </c>
      <c r="D514" s="147" t="s">
        <v>12</v>
      </c>
      <c r="E514" s="147" t="str">
        <f t="shared" si="49"/>
        <v>MemphisXinhui</v>
      </c>
      <c r="F514" s="167" t="s">
        <v>1793</v>
      </c>
      <c r="G514" s="148">
        <f>COSTS!$AA$29</f>
        <v>350</v>
      </c>
      <c r="H514" s="149" t="e">
        <f t="shared" si="54"/>
        <v>#VALUE!</v>
      </c>
      <c r="I514" s="150" t="str">
        <f t="shared" si="52"/>
        <v>No Quote</v>
      </c>
      <c r="J514" s="162">
        <v>46044</v>
      </c>
      <c r="K514" s="149">
        <v>1675</v>
      </c>
      <c r="L514" s="38" t="e">
        <f t="shared" si="50"/>
        <v>#VALUE!</v>
      </c>
    </row>
    <row r="515" spans="1:12">
      <c r="A515" s="147" t="s">
        <v>537</v>
      </c>
      <c r="B515" s="160" t="s">
        <v>1731</v>
      </c>
      <c r="C515" s="160" t="s">
        <v>1637</v>
      </c>
      <c r="D515" s="147" t="s">
        <v>12</v>
      </c>
      <c r="E515" s="147" t="str">
        <f t="shared" si="49"/>
        <v>MemphisZhangjiagang</v>
      </c>
      <c r="F515" s="167">
        <v>999</v>
      </c>
      <c r="G515" s="148">
        <f>COSTS!$AA$29</f>
        <v>350</v>
      </c>
      <c r="H515" s="149">
        <f t="shared" si="54"/>
        <v>1349</v>
      </c>
      <c r="I515" s="150">
        <f t="shared" si="52"/>
        <v>306.59090909090912</v>
      </c>
      <c r="J515" s="174">
        <v>46044</v>
      </c>
      <c r="K515" s="149">
        <v>1000</v>
      </c>
      <c r="L515" s="38">
        <f t="shared" si="50"/>
        <v>-1</v>
      </c>
    </row>
    <row r="516" spans="1:12">
      <c r="A516" s="147" t="s">
        <v>537</v>
      </c>
      <c r="B516" s="160" t="s">
        <v>1791</v>
      </c>
      <c r="C516" s="160" t="s">
        <v>1637</v>
      </c>
      <c r="D516" s="147" t="s">
        <v>12</v>
      </c>
      <c r="E516" s="147" t="str">
        <f t="shared" ref="E516:E579" si="55">CONCATENATE(,A516,B516)</f>
        <v>MemphisZhanjiang</v>
      </c>
      <c r="F516" s="167">
        <v>1467</v>
      </c>
      <c r="G516" s="148">
        <f>COSTS!$AA$29</f>
        <v>350</v>
      </c>
      <c r="H516" s="149">
        <f t="shared" si="54"/>
        <v>1817</v>
      </c>
      <c r="I516" s="150">
        <f t="shared" si="52"/>
        <v>412.9545454545455</v>
      </c>
      <c r="J516" s="174">
        <v>46044</v>
      </c>
      <c r="K516" s="149">
        <v>1400</v>
      </c>
      <c r="L516" s="38">
        <f t="shared" ref="L516:L577" si="56">F516-K516</f>
        <v>67</v>
      </c>
    </row>
    <row r="517" spans="1:12">
      <c r="A517" s="147" t="s">
        <v>537</v>
      </c>
      <c r="B517" s="160" t="s">
        <v>1790</v>
      </c>
      <c r="C517" s="160" t="s">
        <v>1637</v>
      </c>
      <c r="D517" s="147" t="s">
        <v>12</v>
      </c>
      <c r="E517" s="147" t="str">
        <f t="shared" si="55"/>
        <v>MemphisZhuhai</v>
      </c>
      <c r="F517" s="167">
        <v>1624</v>
      </c>
      <c r="G517" s="148">
        <f>COSTS!$AA$29</f>
        <v>350</v>
      </c>
      <c r="H517" s="149">
        <f t="shared" si="54"/>
        <v>1974</v>
      </c>
      <c r="I517" s="150">
        <f t="shared" si="52"/>
        <v>448.63636363636368</v>
      </c>
      <c r="J517" s="174">
        <v>46044</v>
      </c>
      <c r="K517" s="149">
        <v>1650</v>
      </c>
      <c r="L517" s="38">
        <f t="shared" si="56"/>
        <v>-26</v>
      </c>
    </row>
    <row r="518" spans="1:12">
      <c r="A518" s="1" t="s">
        <v>1674</v>
      </c>
      <c r="B518" s="1" t="s">
        <v>1869</v>
      </c>
      <c r="E518" s="1" t="str">
        <f t="shared" si="55"/>
        <v>MXPuebla</v>
      </c>
      <c r="F518" s="1">
        <v>1625</v>
      </c>
      <c r="G518" s="148">
        <f>COSTS!$AA$29</f>
        <v>350</v>
      </c>
      <c r="H518" s="38">
        <f t="shared" si="54"/>
        <v>1975</v>
      </c>
      <c r="I518" s="1">
        <f t="shared" ref="I518:I534" si="57">(H518/88)*20</f>
        <v>448.86363636363632</v>
      </c>
      <c r="J518" s="151">
        <v>45957</v>
      </c>
      <c r="K518" s="1">
        <v>1625</v>
      </c>
      <c r="L518" s="38">
        <f t="shared" si="56"/>
        <v>0</v>
      </c>
    </row>
    <row r="519" spans="1:12">
      <c r="A519" s="1" t="s">
        <v>1674</v>
      </c>
      <c r="B519" s="1" t="s">
        <v>1789</v>
      </c>
      <c r="E519" s="1" t="str">
        <f t="shared" si="55"/>
        <v>MXTlaxcala</v>
      </c>
      <c r="F519" s="1">
        <v>1625</v>
      </c>
      <c r="G519" s="148">
        <f>COSTS!$AA$29</f>
        <v>350</v>
      </c>
      <c r="H519" s="38">
        <f t="shared" si="54"/>
        <v>1975</v>
      </c>
      <c r="I519" s="1">
        <f t="shared" si="57"/>
        <v>448.86363636363632</v>
      </c>
      <c r="J519" s="151">
        <v>45957</v>
      </c>
      <c r="K519" s="1">
        <v>1625</v>
      </c>
      <c r="L519" s="38">
        <f t="shared" si="56"/>
        <v>0</v>
      </c>
    </row>
    <row r="520" spans="1:12">
      <c r="A520" s="1" t="s">
        <v>1674</v>
      </c>
      <c r="B520" s="1" t="s">
        <v>1863</v>
      </c>
      <c r="E520" s="1" t="str">
        <f t="shared" si="55"/>
        <v>MXLerma</v>
      </c>
      <c r="F520" s="1">
        <v>1450</v>
      </c>
      <c r="G520" s="148">
        <f>COSTS!$AA$29</f>
        <v>350</v>
      </c>
      <c r="H520" s="38">
        <f t="shared" si="54"/>
        <v>1800</v>
      </c>
      <c r="I520" s="1">
        <f t="shared" si="57"/>
        <v>409.09090909090907</v>
      </c>
      <c r="J520" s="151">
        <v>45957</v>
      </c>
      <c r="K520" s="1">
        <v>1450</v>
      </c>
      <c r="L520" s="38">
        <f t="shared" si="56"/>
        <v>0</v>
      </c>
    </row>
    <row r="521" spans="1:12">
      <c r="A521" s="1" t="s">
        <v>1674</v>
      </c>
      <c r="B521" s="1" t="s">
        <v>1870</v>
      </c>
      <c r="E521" s="1" t="str">
        <f t="shared" si="55"/>
        <v>MXTepeji</v>
      </c>
      <c r="F521" s="1">
        <v>1350</v>
      </c>
      <c r="G521" s="148">
        <f>COSTS!$AA$29</f>
        <v>350</v>
      </c>
      <c r="H521" s="38">
        <f t="shared" si="54"/>
        <v>1700</v>
      </c>
      <c r="I521" s="1">
        <f t="shared" si="57"/>
        <v>386.36363636363632</v>
      </c>
      <c r="J521" s="151">
        <v>45957</v>
      </c>
      <c r="K521" s="1">
        <v>1350</v>
      </c>
      <c r="L521" s="38">
        <f t="shared" si="56"/>
        <v>0</v>
      </c>
    </row>
    <row r="522" spans="1:12">
      <c r="A522" s="1" t="s">
        <v>1674</v>
      </c>
      <c r="B522" s="1" t="s">
        <v>1871</v>
      </c>
      <c r="E522" s="1" t="str">
        <f t="shared" si="55"/>
        <v>MXMexico City</v>
      </c>
      <c r="F522" s="1">
        <v>1550</v>
      </c>
      <c r="G522" s="148">
        <f>COSTS!$AA$29</f>
        <v>350</v>
      </c>
      <c r="H522" s="38">
        <f t="shared" si="54"/>
        <v>1900</v>
      </c>
      <c r="I522" s="1">
        <f t="shared" si="57"/>
        <v>431.81818181818181</v>
      </c>
      <c r="J522" s="151">
        <v>45957</v>
      </c>
      <c r="K522" s="1">
        <v>1550</v>
      </c>
      <c r="L522" s="38">
        <f t="shared" si="56"/>
        <v>0</v>
      </c>
    </row>
    <row r="523" spans="1:12">
      <c r="A523" s="1" t="s">
        <v>1674</v>
      </c>
      <c r="B523" s="1" t="s">
        <v>1872</v>
      </c>
      <c r="E523" s="1" t="str">
        <f t="shared" si="55"/>
        <v>MXParras</v>
      </c>
      <c r="F523" s="1">
        <v>925</v>
      </c>
      <c r="G523" s="148">
        <f>COSTS!$AA$29</f>
        <v>350</v>
      </c>
      <c r="H523" s="38">
        <f t="shared" si="54"/>
        <v>1275</v>
      </c>
      <c r="I523" s="1">
        <f t="shared" si="57"/>
        <v>289.77272727272725</v>
      </c>
      <c r="J523" s="151">
        <v>45957</v>
      </c>
      <c r="K523" s="1">
        <v>925</v>
      </c>
      <c r="L523" s="38">
        <f t="shared" si="56"/>
        <v>0</v>
      </c>
    </row>
    <row r="524" spans="1:12">
      <c r="A524" s="1" t="s">
        <v>1674</v>
      </c>
      <c r="B524" s="1" t="s">
        <v>1867</v>
      </c>
      <c r="E524" s="1" t="str">
        <f t="shared" si="55"/>
        <v>MXCD Victoria</v>
      </c>
      <c r="F524" s="1">
        <v>850</v>
      </c>
      <c r="G524" s="148">
        <f>COSTS!$AA$29</f>
        <v>350</v>
      </c>
      <c r="H524" s="38">
        <f t="shared" si="54"/>
        <v>1200</v>
      </c>
      <c r="I524" s="1">
        <f t="shared" si="57"/>
        <v>272.72727272727275</v>
      </c>
      <c r="J524" s="151">
        <v>45957</v>
      </c>
      <c r="K524" s="1">
        <v>850</v>
      </c>
      <c r="L524" s="38">
        <f t="shared" si="56"/>
        <v>0</v>
      </c>
    </row>
    <row r="525" spans="1:12">
      <c r="A525" s="1" t="s">
        <v>1674</v>
      </c>
      <c r="B525" s="1" t="s">
        <v>1873</v>
      </c>
      <c r="E525" s="1" t="str">
        <f t="shared" si="55"/>
        <v>MXTOLUCA</v>
      </c>
      <c r="F525" s="1">
        <v>1450</v>
      </c>
      <c r="G525" s="148">
        <f>COSTS!$AA$29</f>
        <v>350</v>
      </c>
      <c r="H525" s="38">
        <f t="shared" si="54"/>
        <v>1800</v>
      </c>
      <c r="I525" s="1">
        <f t="shared" si="57"/>
        <v>409.09090909090907</v>
      </c>
      <c r="J525" s="151">
        <v>45957</v>
      </c>
      <c r="K525" s="1">
        <v>1450</v>
      </c>
      <c r="L525" s="38">
        <f t="shared" si="56"/>
        <v>0</v>
      </c>
    </row>
    <row r="526" spans="1:12">
      <c r="A526" s="1" t="s">
        <v>1674</v>
      </c>
      <c r="B526" s="136" t="s">
        <v>1874</v>
      </c>
      <c r="E526" s="1" t="str">
        <f t="shared" si="55"/>
        <v>MXTizayuca</v>
      </c>
      <c r="F526" s="1">
        <v>1350</v>
      </c>
      <c r="G526" s="148">
        <f>COSTS!$AA$29</f>
        <v>350</v>
      </c>
      <c r="H526" s="38">
        <f t="shared" si="54"/>
        <v>1700</v>
      </c>
      <c r="I526" s="1">
        <f t="shared" si="57"/>
        <v>386.36363636363632</v>
      </c>
      <c r="J526" s="151">
        <v>45957</v>
      </c>
      <c r="K526" s="1">
        <v>1350</v>
      </c>
      <c r="L526" s="38">
        <f t="shared" si="56"/>
        <v>0</v>
      </c>
    </row>
    <row r="527" spans="1:12">
      <c r="A527" s="1" t="s">
        <v>1674</v>
      </c>
      <c r="B527" s="136" t="s">
        <v>1875</v>
      </c>
      <c r="E527" s="1" t="str">
        <f t="shared" si="55"/>
        <v>MXToltepec</v>
      </c>
      <c r="F527" s="1">
        <v>1450</v>
      </c>
      <c r="G527" s="148">
        <f>COSTS!$AA$29</f>
        <v>350</v>
      </c>
      <c r="H527" s="38">
        <f t="shared" si="54"/>
        <v>1800</v>
      </c>
      <c r="I527" s="1">
        <f t="shared" si="57"/>
        <v>409.09090909090907</v>
      </c>
      <c r="J527" s="151">
        <v>45957</v>
      </c>
      <c r="K527" s="1">
        <v>1450</v>
      </c>
      <c r="L527" s="38">
        <f t="shared" si="56"/>
        <v>0</v>
      </c>
    </row>
    <row r="528" spans="1:12">
      <c r="A528" s="1" t="s">
        <v>1674</v>
      </c>
      <c r="B528" s="136" t="s">
        <v>1876</v>
      </c>
      <c r="E528" s="1" t="str">
        <f t="shared" si="55"/>
        <v>MXCuautitlan</v>
      </c>
      <c r="F528" s="1">
        <v>1550</v>
      </c>
      <c r="G528" s="148">
        <f>COSTS!$AA$29</f>
        <v>350</v>
      </c>
      <c r="H528" s="38">
        <f t="shared" si="54"/>
        <v>1900</v>
      </c>
      <c r="I528" s="1">
        <f t="shared" si="57"/>
        <v>431.81818181818181</v>
      </c>
      <c r="J528" s="151">
        <v>45957</v>
      </c>
      <c r="K528" s="1">
        <v>1550</v>
      </c>
      <c r="L528" s="38">
        <f t="shared" si="56"/>
        <v>0</v>
      </c>
    </row>
    <row r="529" spans="1:12">
      <c r="A529" s="1" t="s">
        <v>1674</v>
      </c>
      <c r="B529" s="136" t="s">
        <v>1877</v>
      </c>
      <c r="E529" s="1" t="str">
        <f t="shared" si="55"/>
        <v>MXCD Obregon</v>
      </c>
      <c r="G529" s="148">
        <f>COSTS!$AA$29</f>
        <v>350</v>
      </c>
      <c r="H529" s="38">
        <f t="shared" si="54"/>
        <v>350</v>
      </c>
      <c r="I529" s="1">
        <f t="shared" si="57"/>
        <v>79.545454545454547</v>
      </c>
      <c r="J529" s="151">
        <v>45957</v>
      </c>
      <c r="L529" s="38">
        <f t="shared" si="56"/>
        <v>0</v>
      </c>
    </row>
    <row r="530" spans="1:12">
      <c r="A530" s="1" t="s">
        <v>1674</v>
      </c>
      <c r="B530" s="136" t="s">
        <v>1878</v>
      </c>
      <c r="E530" s="1" t="str">
        <f t="shared" si="55"/>
        <v>MXHuejotzingo</v>
      </c>
      <c r="F530" s="1">
        <v>1700</v>
      </c>
      <c r="G530" s="148">
        <f>COSTS!$AA$29</f>
        <v>350</v>
      </c>
      <c r="H530" s="38">
        <f t="shared" si="54"/>
        <v>2050</v>
      </c>
      <c r="I530" s="1">
        <f t="shared" si="57"/>
        <v>465.90909090909093</v>
      </c>
      <c r="J530" s="151">
        <v>45957</v>
      </c>
      <c r="K530" s="1">
        <v>1700</v>
      </c>
      <c r="L530" s="38">
        <f t="shared" si="56"/>
        <v>0</v>
      </c>
    </row>
    <row r="531" spans="1:12">
      <c r="A531" s="1" t="s">
        <v>1674</v>
      </c>
      <c r="B531" s="136" t="s">
        <v>1821</v>
      </c>
      <c r="E531" s="1" t="str">
        <f t="shared" si="55"/>
        <v>MXSalvatierra</v>
      </c>
      <c r="F531" s="1">
        <v>1100</v>
      </c>
      <c r="G531" s="148">
        <f>COSTS!$AA$29</f>
        <v>350</v>
      </c>
      <c r="H531" s="38">
        <f t="shared" si="54"/>
        <v>1450</v>
      </c>
      <c r="I531" s="1">
        <f t="shared" si="57"/>
        <v>329.5454545454545</v>
      </c>
      <c r="J531" s="151">
        <v>45957</v>
      </c>
      <c r="K531" s="1">
        <v>1100</v>
      </c>
      <c r="L531" s="38">
        <f t="shared" si="56"/>
        <v>0</v>
      </c>
    </row>
    <row r="532" spans="1:12">
      <c r="A532" s="1" t="s">
        <v>1674</v>
      </c>
      <c r="B532" s="136" t="s">
        <v>1822</v>
      </c>
      <c r="E532" s="1" t="str">
        <f t="shared" si="55"/>
        <v>MXTlalnepantla</v>
      </c>
      <c r="F532" s="1">
        <v>1550</v>
      </c>
      <c r="G532" s="148">
        <f>COSTS!$AA$29</f>
        <v>350</v>
      </c>
      <c r="H532" s="38">
        <f t="shared" si="54"/>
        <v>1900</v>
      </c>
      <c r="I532" s="1">
        <f t="shared" si="57"/>
        <v>431.81818181818181</v>
      </c>
      <c r="J532" s="151">
        <v>45957</v>
      </c>
      <c r="K532" s="1">
        <v>1550</v>
      </c>
      <c r="L532" s="38">
        <f t="shared" si="56"/>
        <v>0</v>
      </c>
    </row>
    <row r="533" spans="1:12">
      <c r="A533" s="1" t="s">
        <v>1674</v>
      </c>
      <c r="B533" s="136" t="s">
        <v>1879</v>
      </c>
      <c r="E533" s="1" t="str">
        <f t="shared" si="55"/>
        <v>MXYecapixtla</v>
      </c>
      <c r="F533" s="1">
        <v>1750</v>
      </c>
      <c r="G533" s="148">
        <f>COSTS!$AA$29</f>
        <v>350</v>
      </c>
      <c r="H533" s="38">
        <f t="shared" si="54"/>
        <v>2100</v>
      </c>
      <c r="I533" s="1">
        <f t="shared" si="57"/>
        <v>477.27272727272725</v>
      </c>
      <c r="J533" s="151">
        <v>45957</v>
      </c>
      <c r="K533" s="1">
        <v>1750</v>
      </c>
      <c r="L533" s="38">
        <f t="shared" si="56"/>
        <v>0</v>
      </c>
    </row>
    <row r="534" spans="1:12">
      <c r="A534" s="1" t="s">
        <v>1674</v>
      </c>
      <c r="B534" s="136" t="s">
        <v>1880</v>
      </c>
      <c r="E534" s="1" t="str">
        <f t="shared" si="55"/>
        <v>MXGomez Palacios</v>
      </c>
      <c r="F534" s="1">
        <v>1000</v>
      </c>
      <c r="G534" s="148">
        <f>COSTS!$AA$29</f>
        <v>350</v>
      </c>
      <c r="H534" s="38">
        <f t="shared" si="54"/>
        <v>1350</v>
      </c>
      <c r="I534" s="1">
        <f t="shared" si="57"/>
        <v>306.81818181818181</v>
      </c>
      <c r="J534" s="151">
        <v>45957</v>
      </c>
      <c r="K534" s="1">
        <v>1000</v>
      </c>
      <c r="L534" s="38">
        <f t="shared" si="56"/>
        <v>0</v>
      </c>
    </row>
    <row r="535" spans="1:12">
      <c r="A535" s="147" t="s">
        <v>591</v>
      </c>
      <c r="B535" s="160" t="s">
        <v>1827</v>
      </c>
      <c r="C535" s="160" t="s">
        <v>1683</v>
      </c>
      <c r="D535" s="147" t="s">
        <v>12</v>
      </c>
      <c r="E535" s="147" t="str">
        <f t="shared" si="55"/>
        <v>New OrleansVitoria</v>
      </c>
      <c r="F535" s="167"/>
      <c r="G535" s="148">
        <f>COSTS!$AA$29</f>
        <v>350</v>
      </c>
      <c r="H535" s="149">
        <f t="shared" si="54"/>
        <v>350</v>
      </c>
      <c r="I535" s="150">
        <f t="shared" ref="I535:I566" si="58">IFERROR(H535/88*20,"No Quote")</f>
        <v>79.545454545454547</v>
      </c>
      <c r="J535" s="162"/>
      <c r="K535" s="149"/>
      <c r="L535" s="38">
        <f t="shared" si="56"/>
        <v>0</v>
      </c>
    </row>
    <row r="536" spans="1:12">
      <c r="A536" s="147" t="s">
        <v>591</v>
      </c>
      <c r="B536" s="160" t="s">
        <v>1828</v>
      </c>
      <c r="C536" s="160" t="s">
        <v>1829</v>
      </c>
      <c r="D536" s="147" t="s">
        <v>12</v>
      </c>
      <c r="E536" s="147" t="str">
        <f t="shared" si="55"/>
        <v>New OrleansTunis</v>
      </c>
      <c r="F536" s="167"/>
      <c r="G536" s="148">
        <f>COSTS!$AA$29</f>
        <v>350</v>
      </c>
      <c r="H536" s="149">
        <f t="shared" si="54"/>
        <v>350</v>
      </c>
      <c r="I536" s="150">
        <f t="shared" si="58"/>
        <v>79.545454545454547</v>
      </c>
      <c r="J536" s="162"/>
      <c r="K536" s="149"/>
      <c r="L536" s="38">
        <f t="shared" si="56"/>
        <v>0</v>
      </c>
    </row>
    <row r="537" spans="1:12">
      <c r="A537" s="147" t="s">
        <v>591</v>
      </c>
      <c r="B537" s="160" t="s">
        <v>1807</v>
      </c>
      <c r="C537" s="160" t="s">
        <v>1830</v>
      </c>
      <c r="D537" s="147" t="s">
        <v>12</v>
      </c>
      <c r="E537" s="147" t="str">
        <f t="shared" si="55"/>
        <v>New OrleansTrieste</v>
      </c>
      <c r="F537" s="167"/>
      <c r="G537" s="148">
        <f>COSTS!$AA$29</f>
        <v>350</v>
      </c>
      <c r="H537" s="149">
        <f t="shared" si="54"/>
        <v>350</v>
      </c>
      <c r="I537" s="150">
        <f t="shared" si="58"/>
        <v>79.545454545454547</v>
      </c>
      <c r="J537" s="162"/>
      <c r="K537" s="149"/>
      <c r="L537" s="38">
        <f t="shared" si="56"/>
        <v>0</v>
      </c>
    </row>
    <row r="538" spans="1:12">
      <c r="A538" s="147" t="s">
        <v>591</v>
      </c>
      <c r="B538" s="160" t="s">
        <v>1820</v>
      </c>
      <c r="C538" s="160" t="s">
        <v>1831</v>
      </c>
      <c r="D538" s="147" t="s">
        <v>12</v>
      </c>
      <c r="E538" s="147" t="str">
        <f t="shared" si="55"/>
        <v>New OrleansSuape</v>
      </c>
      <c r="F538" s="167"/>
      <c r="G538" s="148">
        <f>COSTS!$AA$29</f>
        <v>350</v>
      </c>
      <c r="H538" s="149">
        <f t="shared" si="54"/>
        <v>350</v>
      </c>
      <c r="I538" s="150">
        <f t="shared" si="58"/>
        <v>79.545454545454547</v>
      </c>
      <c r="J538" s="162"/>
      <c r="K538" s="149"/>
      <c r="L538" s="38">
        <f t="shared" si="56"/>
        <v>0</v>
      </c>
    </row>
    <row r="539" spans="1:12">
      <c r="A539" s="147" t="s">
        <v>591</v>
      </c>
      <c r="B539" s="160" t="s">
        <v>1832</v>
      </c>
      <c r="C539" s="160" t="s">
        <v>1830</v>
      </c>
      <c r="D539" s="147" t="s">
        <v>12</v>
      </c>
      <c r="E539" s="147" t="str">
        <f t="shared" si="55"/>
        <v>New OrleansSalerno</v>
      </c>
      <c r="F539" s="167"/>
      <c r="G539" s="148">
        <f>COSTS!$AA$29</f>
        <v>350</v>
      </c>
      <c r="H539" s="149">
        <f t="shared" si="54"/>
        <v>350</v>
      </c>
      <c r="I539" s="150">
        <f t="shared" si="58"/>
        <v>79.545454545454547</v>
      </c>
      <c r="J539" s="162"/>
      <c r="K539" s="149"/>
      <c r="L539" s="38">
        <f t="shared" si="56"/>
        <v>0</v>
      </c>
    </row>
    <row r="540" spans="1:12">
      <c r="A540" s="147" t="s">
        <v>591</v>
      </c>
      <c r="B540" s="160" t="s">
        <v>1833</v>
      </c>
      <c r="C540" s="160" t="s">
        <v>1834</v>
      </c>
      <c r="D540" s="147" t="s">
        <v>12</v>
      </c>
      <c r="E540" s="147" t="str">
        <f t="shared" si="55"/>
        <v>New OrleansPuerto Limon</v>
      </c>
      <c r="F540" s="167"/>
      <c r="G540" s="148">
        <f>COSTS!$AA$29</f>
        <v>350</v>
      </c>
      <c r="H540" s="149">
        <f t="shared" si="54"/>
        <v>350</v>
      </c>
      <c r="I540" s="150">
        <f t="shared" si="58"/>
        <v>79.545454545454547</v>
      </c>
      <c r="J540" s="173"/>
      <c r="K540" s="149"/>
      <c r="L540" s="38">
        <f t="shared" si="56"/>
        <v>0</v>
      </c>
    </row>
    <row r="541" spans="1:12">
      <c r="A541" s="147" t="s">
        <v>591</v>
      </c>
      <c r="B541" s="160" t="s">
        <v>1835</v>
      </c>
      <c r="C541" s="160" t="s">
        <v>1679</v>
      </c>
      <c r="D541" s="147" t="s">
        <v>12</v>
      </c>
      <c r="E541" s="147" t="str">
        <f t="shared" si="55"/>
        <v>New OrleansPuerto Barrios, Guatemala</v>
      </c>
      <c r="F541" s="167"/>
      <c r="G541" s="148">
        <f>COSTS!$AA$29</f>
        <v>350</v>
      </c>
      <c r="H541" s="149">
        <f t="shared" si="54"/>
        <v>350</v>
      </c>
      <c r="I541" s="150">
        <f t="shared" si="58"/>
        <v>79.545454545454547</v>
      </c>
      <c r="J541" s="173"/>
      <c r="K541" s="149"/>
      <c r="L541" s="38">
        <f t="shared" si="56"/>
        <v>0</v>
      </c>
    </row>
    <row r="542" spans="1:12">
      <c r="A542" s="147" t="s">
        <v>591</v>
      </c>
      <c r="B542" s="160" t="s">
        <v>1738</v>
      </c>
      <c r="C542" s="160" t="s">
        <v>1666</v>
      </c>
      <c r="D542" s="147" t="s">
        <v>12</v>
      </c>
      <c r="E542" s="147" t="str">
        <f t="shared" si="55"/>
        <v>New OrleansPort Qasim/Karachi</v>
      </c>
      <c r="F542" s="167"/>
      <c r="G542" s="148">
        <f>COSTS!$AA$29</f>
        <v>350</v>
      </c>
      <c r="H542" s="149">
        <f t="shared" si="54"/>
        <v>350</v>
      </c>
      <c r="I542" s="150">
        <f t="shared" si="58"/>
        <v>79.545454545454547</v>
      </c>
      <c r="J542" s="173"/>
      <c r="K542" s="149"/>
      <c r="L542" s="38">
        <f t="shared" si="56"/>
        <v>0</v>
      </c>
    </row>
    <row r="543" spans="1:12">
      <c r="A543" s="147" t="s">
        <v>591</v>
      </c>
      <c r="B543" s="160" t="s">
        <v>1836</v>
      </c>
      <c r="C543" s="160" t="s">
        <v>1831</v>
      </c>
      <c r="D543" s="147" t="s">
        <v>12</v>
      </c>
      <c r="E543" s="147" t="str">
        <f t="shared" si="55"/>
        <v>New OrleansPecem</v>
      </c>
      <c r="F543" s="167"/>
      <c r="G543" s="148">
        <f>COSTS!$AA$29</f>
        <v>350</v>
      </c>
      <c r="H543" s="149">
        <f t="shared" si="54"/>
        <v>350</v>
      </c>
      <c r="I543" s="150">
        <f t="shared" si="58"/>
        <v>79.545454545454547</v>
      </c>
      <c r="J543" s="173"/>
      <c r="K543" s="149"/>
      <c r="L543" s="38">
        <f t="shared" si="56"/>
        <v>0</v>
      </c>
    </row>
    <row r="544" spans="1:12">
      <c r="A544" s="147" t="s">
        <v>591</v>
      </c>
      <c r="B544" s="160" t="s">
        <v>1838</v>
      </c>
      <c r="C544" s="160" t="s">
        <v>1839</v>
      </c>
      <c r="D544" s="147" t="s">
        <v>12</v>
      </c>
      <c r="E544" s="147" t="str">
        <f t="shared" si="55"/>
        <v>New OrleansManagua, Nicaragua</v>
      </c>
      <c r="F544" s="167"/>
      <c r="G544" s="148">
        <f>COSTS!$AA$29</f>
        <v>350</v>
      </c>
      <c r="H544" s="149">
        <f t="shared" si="54"/>
        <v>350</v>
      </c>
      <c r="I544" s="150">
        <f t="shared" si="58"/>
        <v>79.545454545454547</v>
      </c>
      <c r="J544" s="173"/>
      <c r="K544" s="149"/>
      <c r="L544" s="38">
        <f t="shared" si="56"/>
        <v>0</v>
      </c>
    </row>
    <row r="545" spans="1:12">
      <c r="A545" s="147" t="s">
        <v>591</v>
      </c>
      <c r="B545" s="160" t="s">
        <v>1840</v>
      </c>
      <c r="C545" s="160" t="s">
        <v>1841</v>
      </c>
      <c r="D545" s="147" t="s">
        <v>12</v>
      </c>
      <c r="E545" s="147" t="str">
        <f t="shared" si="55"/>
        <v>New OrleansGuayaquil</v>
      </c>
      <c r="F545" s="167"/>
      <c r="G545" s="148">
        <f>COSTS!$AA$29</f>
        <v>350</v>
      </c>
      <c r="H545" s="149">
        <f t="shared" ref="H545:H576" si="59">F545+G545</f>
        <v>350</v>
      </c>
      <c r="I545" s="150">
        <f t="shared" si="58"/>
        <v>79.545454545454547</v>
      </c>
      <c r="J545" s="173"/>
      <c r="K545" s="149"/>
      <c r="L545" s="38">
        <f t="shared" si="56"/>
        <v>0</v>
      </c>
    </row>
    <row r="546" spans="1:12">
      <c r="A546" s="147" t="s">
        <v>591</v>
      </c>
      <c r="B546" s="160" t="s">
        <v>1814</v>
      </c>
      <c r="C546" s="160" t="s">
        <v>1679</v>
      </c>
      <c r="D546" s="147" t="s">
        <v>12</v>
      </c>
      <c r="E546" s="147" t="str">
        <f t="shared" si="55"/>
        <v>New OrleansGuatemala City</v>
      </c>
      <c r="F546" s="167"/>
      <c r="G546" s="148">
        <f>COSTS!$AA$29</f>
        <v>350</v>
      </c>
      <c r="H546" s="149">
        <f t="shared" si="59"/>
        <v>350</v>
      </c>
      <c r="I546" s="150">
        <f t="shared" si="58"/>
        <v>79.545454545454547</v>
      </c>
      <c r="J546" s="173"/>
      <c r="K546" s="149"/>
      <c r="L546" s="38">
        <f t="shared" si="56"/>
        <v>0</v>
      </c>
    </row>
    <row r="547" spans="1:12">
      <c r="A547" s="147" t="s">
        <v>591</v>
      </c>
      <c r="B547" s="160" t="s">
        <v>1750</v>
      </c>
      <c r="C547" s="160" t="s">
        <v>1670</v>
      </c>
      <c r="D547" s="147" t="s">
        <v>12</v>
      </c>
      <c r="E547" s="147" t="str">
        <f t="shared" si="55"/>
        <v>New OrleansIskenderun</v>
      </c>
      <c r="F547" s="167"/>
      <c r="G547" s="148">
        <f>COSTS!$AA$29</f>
        <v>350</v>
      </c>
      <c r="H547" s="149">
        <f t="shared" si="59"/>
        <v>350</v>
      </c>
      <c r="I547" s="150">
        <f t="shared" si="58"/>
        <v>79.545454545454547</v>
      </c>
      <c r="J547" s="173"/>
      <c r="K547" s="149"/>
      <c r="L547" s="38">
        <f t="shared" si="56"/>
        <v>0</v>
      </c>
    </row>
    <row r="548" spans="1:12">
      <c r="A548" s="147" t="s">
        <v>591</v>
      </c>
      <c r="B548" s="160" t="s">
        <v>1805</v>
      </c>
      <c r="C548" s="160" t="s">
        <v>1830</v>
      </c>
      <c r="D548" s="147" t="s">
        <v>12</v>
      </c>
      <c r="E548" s="147" t="str">
        <f t="shared" si="55"/>
        <v>New OrleansGazzaniga</v>
      </c>
      <c r="F548" s="167"/>
      <c r="G548" s="148">
        <f>COSTS!$AA$29</f>
        <v>350</v>
      </c>
      <c r="H548" s="149">
        <f t="shared" si="59"/>
        <v>350</v>
      </c>
      <c r="I548" s="150">
        <f t="shared" si="58"/>
        <v>79.545454545454547</v>
      </c>
      <c r="J548" s="173"/>
      <c r="K548" s="149"/>
      <c r="L548" s="38">
        <f t="shared" si="56"/>
        <v>0</v>
      </c>
    </row>
    <row r="549" spans="1:12">
      <c r="A549" s="147" t="s">
        <v>591</v>
      </c>
      <c r="B549" s="160" t="s">
        <v>1844</v>
      </c>
      <c r="C549" s="160" t="s">
        <v>1845</v>
      </c>
      <c r="D549" s="147" t="s">
        <v>12</v>
      </c>
      <c r="E549" s="147" t="str">
        <f t="shared" si="55"/>
        <v>New OrleansDurban</v>
      </c>
      <c r="F549" s="167"/>
      <c r="G549" s="148">
        <f>COSTS!$AA$29</f>
        <v>350</v>
      </c>
      <c r="H549" s="149">
        <f t="shared" si="59"/>
        <v>350</v>
      </c>
      <c r="I549" s="150">
        <f t="shared" si="58"/>
        <v>79.545454545454547</v>
      </c>
      <c r="J549" s="173"/>
      <c r="K549" s="149"/>
      <c r="L549" s="38">
        <f t="shared" si="56"/>
        <v>0</v>
      </c>
    </row>
    <row r="550" spans="1:12">
      <c r="A550" s="147" t="s">
        <v>591</v>
      </c>
      <c r="B550" s="160" t="s">
        <v>1846</v>
      </c>
      <c r="C550" s="160" t="s">
        <v>1847</v>
      </c>
      <c r="D550" s="147" t="s">
        <v>12</v>
      </c>
      <c r="E550" s="147" t="str">
        <f t="shared" si="55"/>
        <v>New OrleansDjibouti</v>
      </c>
      <c r="F550" s="167"/>
      <c r="G550" s="148">
        <f>COSTS!$AA$29</f>
        <v>350</v>
      </c>
      <c r="H550" s="149">
        <f t="shared" si="59"/>
        <v>350</v>
      </c>
      <c r="I550" s="150">
        <f t="shared" si="58"/>
        <v>79.545454545454547</v>
      </c>
      <c r="J550" s="173"/>
      <c r="K550" s="149"/>
      <c r="L550" s="38">
        <f t="shared" si="56"/>
        <v>0</v>
      </c>
    </row>
    <row r="551" spans="1:12">
      <c r="A551" s="147" t="s">
        <v>591</v>
      </c>
      <c r="B551" s="160" t="s">
        <v>1848</v>
      </c>
      <c r="C551" s="160" t="s">
        <v>1772</v>
      </c>
      <c r="D551" s="147" t="s">
        <v>12</v>
      </c>
      <c r="E551" s="147" t="str">
        <f t="shared" si="55"/>
        <v>New OrleansDamietta</v>
      </c>
      <c r="F551" s="167"/>
      <c r="G551" s="148">
        <f>COSTS!$AA$29</f>
        <v>350</v>
      </c>
      <c r="H551" s="149">
        <f t="shared" si="59"/>
        <v>350</v>
      </c>
      <c r="I551" s="150">
        <f t="shared" si="58"/>
        <v>79.545454545454547</v>
      </c>
      <c r="J551" s="173"/>
      <c r="K551" s="149"/>
      <c r="L551" s="38">
        <f t="shared" si="56"/>
        <v>0</v>
      </c>
    </row>
    <row r="552" spans="1:12">
      <c r="A552" s="147" t="s">
        <v>591</v>
      </c>
      <c r="B552" s="160" t="s">
        <v>1816</v>
      </c>
      <c r="C552" s="160" t="s">
        <v>1817</v>
      </c>
      <c r="D552" s="147" t="s">
        <v>12</v>
      </c>
      <c r="E552" s="147" t="str">
        <f t="shared" si="55"/>
        <v>New OrleansCartegena</v>
      </c>
      <c r="F552" s="167"/>
      <c r="G552" s="148">
        <f>COSTS!$AA$29</f>
        <v>350</v>
      </c>
      <c r="H552" s="149">
        <f t="shared" si="59"/>
        <v>350</v>
      </c>
      <c r="I552" s="150">
        <f t="shared" si="58"/>
        <v>79.545454545454547</v>
      </c>
      <c r="J552" s="173"/>
      <c r="K552" s="149"/>
      <c r="L552" s="38">
        <f t="shared" si="56"/>
        <v>0</v>
      </c>
    </row>
    <row r="553" spans="1:12">
      <c r="A553" s="147" t="s">
        <v>591</v>
      </c>
      <c r="B553" s="160" t="s">
        <v>1850</v>
      </c>
      <c r="C553" s="160" t="s">
        <v>1817</v>
      </c>
      <c r="D553" s="147" t="s">
        <v>12</v>
      </c>
      <c r="E553" s="147" t="str">
        <f t="shared" si="55"/>
        <v>New OrleansCartago</v>
      </c>
      <c r="F553" s="167"/>
      <c r="G553" s="148">
        <f>COSTS!$AA$29</f>
        <v>350</v>
      </c>
      <c r="H553" s="149">
        <f t="shared" si="59"/>
        <v>350</v>
      </c>
      <c r="I553" s="150">
        <f t="shared" si="58"/>
        <v>79.545454545454547</v>
      </c>
      <c r="J553" s="173"/>
      <c r="K553" s="149"/>
      <c r="L553" s="38">
        <f t="shared" si="56"/>
        <v>0</v>
      </c>
    </row>
    <row r="554" spans="1:12">
      <c r="A554" s="147" t="s">
        <v>591</v>
      </c>
      <c r="B554" s="160" t="s">
        <v>1851</v>
      </c>
      <c r="C554" s="160" t="s">
        <v>1677</v>
      </c>
      <c r="D554" s="147" t="s">
        <v>12</v>
      </c>
      <c r="E554" s="147" t="str">
        <f t="shared" si="55"/>
        <v>New OrleansCallao</v>
      </c>
      <c r="F554" s="167"/>
      <c r="G554" s="148">
        <f>COSTS!$AA$29</f>
        <v>350</v>
      </c>
      <c r="H554" s="149">
        <f t="shared" si="59"/>
        <v>350</v>
      </c>
      <c r="I554" s="150">
        <f t="shared" si="58"/>
        <v>79.545454545454547</v>
      </c>
      <c r="J554" s="173"/>
      <c r="K554" s="149"/>
      <c r="L554" s="38">
        <f t="shared" si="56"/>
        <v>0</v>
      </c>
    </row>
    <row r="555" spans="1:12">
      <c r="A555" s="147" t="s">
        <v>591</v>
      </c>
      <c r="B555" s="160" t="s">
        <v>1852</v>
      </c>
      <c r="C555" s="160" t="s">
        <v>1853</v>
      </c>
      <c r="D555" s="147" t="s">
        <v>12</v>
      </c>
      <c r="E555" s="147" t="str">
        <f t="shared" si="55"/>
        <v>New OrleansCaldera</v>
      </c>
      <c r="F555" s="167"/>
      <c r="G555" s="148">
        <f>COSTS!$AA$29</f>
        <v>350</v>
      </c>
      <c r="H555" s="149">
        <f t="shared" si="59"/>
        <v>350</v>
      </c>
      <c r="I555" s="150">
        <f t="shared" si="58"/>
        <v>79.545454545454547</v>
      </c>
      <c r="J555" s="174"/>
      <c r="K555" s="149"/>
      <c r="L555" s="38">
        <f t="shared" si="56"/>
        <v>0</v>
      </c>
    </row>
    <row r="556" spans="1:12">
      <c r="A556" s="147" t="s">
        <v>591</v>
      </c>
      <c r="B556" s="160" t="s">
        <v>1865</v>
      </c>
      <c r="C556" s="160" t="s">
        <v>1866</v>
      </c>
      <c r="D556" s="147" t="s">
        <v>12</v>
      </c>
      <c r="E556" s="147" t="str">
        <f t="shared" si="55"/>
        <v>New OrleansBuenos Aires/Montevideo/La Guaria</v>
      </c>
      <c r="F556" s="167"/>
      <c r="G556" s="148">
        <f>COSTS!$AA$29</f>
        <v>350</v>
      </c>
      <c r="H556" s="149">
        <f t="shared" si="59"/>
        <v>350</v>
      </c>
      <c r="I556" s="150">
        <f t="shared" si="58"/>
        <v>79.545454545454547</v>
      </c>
      <c r="J556" s="174"/>
      <c r="K556" s="149"/>
      <c r="L556" s="38">
        <f t="shared" si="56"/>
        <v>0</v>
      </c>
    </row>
    <row r="557" spans="1:12">
      <c r="A557" s="147" t="s">
        <v>591</v>
      </c>
      <c r="B557" s="160" t="s">
        <v>1881</v>
      </c>
      <c r="C557" s="160" t="s">
        <v>1882</v>
      </c>
      <c r="D557" s="147" t="s">
        <v>12</v>
      </c>
      <c r="E557" s="147" t="str">
        <f t="shared" si="55"/>
        <v>New OrleansBremen</v>
      </c>
      <c r="F557" s="167"/>
      <c r="G557" s="148">
        <f>COSTS!$AA$29</f>
        <v>350</v>
      </c>
      <c r="H557" s="149">
        <f t="shared" si="59"/>
        <v>350</v>
      </c>
      <c r="I557" s="150">
        <f t="shared" si="58"/>
        <v>79.545454545454547</v>
      </c>
      <c r="J557" s="174"/>
      <c r="K557" s="149"/>
      <c r="L557" s="38">
        <f t="shared" si="56"/>
        <v>0</v>
      </c>
    </row>
    <row r="558" spans="1:12">
      <c r="A558" s="147" t="s">
        <v>591</v>
      </c>
      <c r="B558" s="160" t="s">
        <v>1855</v>
      </c>
      <c r="C558" s="160" t="s">
        <v>1830</v>
      </c>
      <c r="D558" s="147" t="s">
        <v>12</v>
      </c>
      <c r="E558" s="147" t="str">
        <f t="shared" si="55"/>
        <v>New OrleansBergamo</v>
      </c>
      <c r="F558" s="167"/>
      <c r="G558" s="148">
        <f>COSTS!$AA$29</f>
        <v>350</v>
      </c>
      <c r="H558" s="149">
        <f t="shared" si="59"/>
        <v>350</v>
      </c>
      <c r="I558" s="150">
        <f t="shared" si="58"/>
        <v>79.545454545454547</v>
      </c>
      <c r="J558" s="174"/>
      <c r="K558" s="149"/>
      <c r="L558" s="38">
        <f t="shared" si="56"/>
        <v>0</v>
      </c>
    </row>
    <row r="559" spans="1:12">
      <c r="A559" s="147" t="s">
        <v>591</v>
      </c>
      <c r="B559" s="160" t="s">
        <v>1809</v>
      </c>
      <c r="C559" s="160" t="s">
        <v>1683</v>
      </c>
      <c r="D559" s="147" t="s">
        <v>12</v>
      </c>
      <c r="E559" s="147" t="str">
        <f t="shared" si="55"/>
        <v>New OrleansBarcelona</v>
      </c>
      <c r="F559" s="167"/>
      <c r="G559" s="148">
        <f>COSTS!$AA$29</f>
        <v>350</v>
      </c>
      <c r="H559" s="149">
        <f t="shared" si="59"/>
        <v>350</v>
      </c>
      <c r="I559" s="150">
        <f t="shared" si="58"/>
        <v>79.545454545454547</v>
      </c>
      <c r="J559" s="174"/>
      <c r="K559" s="149"/>
      <c r="L559" s="38">
        <f t="shared" si="56"/>
        <v>0</v>
      </c>
    </row>
    <row r="560" spans="1:12">
      <c r="A560" s="147" t="s">
        <v>591</v>
      </c>
      <c r="B560" s="160" t="s">
        <v>1856</v>
      </c>
      <c r="C560" s="160" t="s">
        <v>1856</v>
      </c>
      <c r="D560" s="147" t="s">
        <v>12</v>
      </c>
      <c r="E560" s="147" t="str">
        <f t="shared" si="55"/>
        <v>New OrleansBahrain</v>
      </c>
      <c r="F560" s="167"/>
      <c r="G560" s="148">
        <f>COSTS!$AA$29</f>
        <v>350</v>
      </c>
      <c r="H560" s="149">
        <f t="shared" si="59"/>
        <v>350</v>
      </c>
      <c r="I560" s="150">
        <f t="shared" si="58"/>
        <v>79.545454545454547</v>
      </c>
      <c r="J560" s="174"/>
      <c r="K560" s="149"/>
      <c r="L560" s="38">
        <f t="shared" si="56"/>
        <v>0</v>
      </c>
    </row>
    <row r="561" spans="1:12">
      <c r="A561" s="147" t="s">
        <v>591</v>
      </c>
      <c r="B561" s="160" t="s">
        <v>1857</v>
      </c>
      <c r="C561" s="160" t="s">
        <v>1679</v>
      </c>
      <c r="D561" s="147" t="s">
        <v>12</v>
      </c>
      <c r="E561" s="147" t="str">
        <f t="shared" si="55"/>
        <v>New OrleansAmatitlan</v>
      </c>
      <c r="F561" s="167"/>
      <c r="G561" s="148">
        <f>COSTS!$AA$29</f>
        <v>350</v>
      </c>
      <c r="H561" s="149">
        <f t="shared" si="59"/>
        <v>350</v>
      </c>
      <c r="I561" s="150">
        <f t="shared" si="58"/>
        <v>79.545454545454547</v>
      </c>
      <c r="J561" s="174"/>
      <c r="K561" s="149"/>
      <c r="L561" s="38">
        <f t="shared" si="56"/>
        <v>0</v>
      </c>
    </row>
    <row r="562" spans="1:12">
      <c r="A562" s="147" t="s">
        <v>591</v>
      </c>
      <c r="B562" s="160" t="s">
        <v>1858</v>
      </c>
      <c r="C562" s="160" t="s">
        <v>1859</v>
      </c>
      <c r="D562" s="147" t="s">
        <v>12</v>
      </c>
      <c r="E562" s="147" t="str">
        <f t="shared" si="55"/>
        <v>New OrleansAlgiers</v>
      </c>
      <c r="F562" s="167"/>
      <c r="G562" s="148">
        <f>COSTS!$AA$29</f>
        <v>350</v>
      </c>
      <c r="H562" s="149">
        <f t="shared" si="59"/>
        <v>350</v>
      </c>
      <c r="I562" s="150">
        <f t="shared" si="58"/>
        <v>79.545454545454547</v>
      </c>
      <c r="J562" s="174"/>
      <c r="K562" s="149"/>
      <c r="L562" s="38">
        <f t="shared" si="56"/>
        <v>0</v>
      </c>
    </row>
    <row r="563" spans="1:12">
      <c r="A563" s="147" t="s">
        <v>591</v>
      </c>
      <c r="B563" s="160" t="s">
        <v>1860</v>
      </c>
      <c r="C563" s="160" t="s">
        <v>1772</v>
      </c>
      <c r="D563" s="147" t="s">
        <v>12</v>
      </c>
      <c r="E563" s="147" t="str">
        <f t="shared" si="55"/>
        <v>New OrleansAlexandria Egypt</v>
      </c>
      <c r="F563" s="167"/>
      <c r="G563" s="148">
        <f>COSTS!$AA$29</f>
        <v>350</v>
      </c>
      <c r="H563" s="149">
        <f t="shared" si="59"/>
        <v>350</v>
      </c>
      <c r="I563" s="150">
        <f t="shared" si="58"/>
        <v>79.545454545454547</v>
      </c>
      <c r="J563" s="174"/>
      <c r="K563" s="149"/>
      <c r="L563" s="38">
        <f t="shared" si="56"/>
        <v>0</v>
      </c>
    </row>
    <row r="564" spans="1:12">
      <c r="A564" s="147" t="s">
        <v>591</v>
      </c>
      <c r="B564" s="160" t="s">
        <v>1849</v>
      </c>
      <c r="C564" s="160" t="s">
        <v>1681</v>
      </c>
      <c r="D564" s="147" t="s">
        <v>12</v>
      </c>
      <c r="E564" s="147" t="str">
        <f t="shared" si="55"/>
        <v>New OrleansPuerto Cortes, Honduras</v>
      </c>
      <c r="F564" s="167"/>
      <c r="G564" s="148">
        <f>COSTS!$AA$29</f>
        <v>350</v>
      </c>
      <c r="H564" s="149">
        <f t="shared" si="59"/>
        <v>350</v>
      </c>
      <c r="I564" s="150">
        <f t="shared" si="58"/>
        <v>79.545454545454547</v>
      </c>
      <c r="J564" s="173"/>
      <c r="K564" s="149"/>
      <c r="L564" s="38">
        <f t="shared" si="56"/>
        <v>0</v>
      </c>
    </row>
    <row r="565" spans="1:12">
      <c r="A565" s="147" t="s">
        <v>591</v>
      </c>
      <c r="B565" s="160" t="s">
        <v>1751</v>
      </c>
      <c r="C565" s="160" t="s">
        <v>1670</v>
      </c>
      <c r="D565" s="147" t="s">
        <v>12</v>
      </c>
      <c r="E565" s="147" t="str">
        <f t="shared" si="55"/>
        <v>New OrleansMersin</v>
      </c>
      <c r="F565" s="167"/>
      <c r="G565" s="148">
        <f>COSTS!$AA$29</f>
        <v>350</v>
      </c>
      <c r="H565" s="149">
        <f t="shared" si="59"/>
        <v>350</v>
      </c>
      <c r="I565" s="150">
        <f t="shared" si="58"/>
        <v>79.545454545454547</v>
      </c>
      <c r="J565" s="173"/>
      <c r="K565" s="149"/>
      <c r="L565" s="38">
        <f t="shared" si="56"/>
        <v>0</v>
      </c>
    </row>
    <row r="566" spans="1:12">
      <c r="A566" s="147" t="s">
        <v>591</v>
      </c>
      <c r="B566" s="160" t="s">
        <v>1824</v>
      </c>
      <c r="C566" s="160" t="s">
        <v>1668</v>
      </c>
      <c r="D566" s="147" t="s">
        <v>12</v>
      </c>
      <c r="E566" s="147" t="str">
        <f t="shared" si="55"/>
        <v>New OrleansCochin</v>
      </c>
      <c r="F566" s="167"/>
      <c r="G566" s="148">
        <f>COSTS!$AA$29</f>
        <v>350</v>
      </c>
      <c r="H566" s="149">
        <f t="shared" si="59"/>
        <v>350</v>
      </c>
      <c r="I566" s="150">
        <f t="shared" si="58"/>
        <v>79.545454545454547</v>
      </c>
      <c r="J566" s="173"/>
      <c r="K566" s="149"/>
      <c r="L566" s="38">
        <f t="shared" si="56"/>
        <v>0</v>
      </c>
    </row>
    <row r="567" spans="1:12">
      <c r="A567" s="147" t="s">
        <v>591</v>
      </c>
      <c r="B567" s="160" t="s">
        <v>1783</v>
      </c>
      <c r="C567" s="160" t="s">
        <v>1670</v>
      </c>
      <c r="D567" s="147" t="s">
        <v>12</v>
      </c>
      <c r="E567" s="147" t="str">
        <f t="shared" si="55"/>
        <v>New OrleansIzmir</v>
      </c>
      <c r="F567" s="167" t="s">
        <v>1883</v>
      </c>
      <c r="G567" s="148">
        <f>COSTS!$AA$29</f>
        <v>350</v>
      </c>
      <c r="H567" s="149" t="e">
        <f t="shared" si="59"/>
        <v>#VALUE!</v>
      </c>
      <c r="I567" s="150" t="e">
        <f>H567/88*20</f>
        <v>#VALUE!</v>
      </c>
      <c r="J567" s="162">
        <v>46057</v>
      </c>
      <c r="K567" s="149"/>
      <c r="L567" s="38" t="e">
        <f t="shared" si="56"/>
        <v>#VALUE!</v>
      </c>
    </row>
    <row r="568" spans="1:12">
      <c r="A568" s="147" t="s">
        <v>591</v>
      </c>
      <c r="B568" s="160" t="s">
        <v>1861</v>
      </c>
      <c r="C568" s="160" t="s">
        <v>1681</v>
      </c>
      <c r="D568" s="147" t="s">
        <v>12</v>
      </c>
      <c r="E568" s="147" t="str">
        <f t="shared" si="55"/>
        <v>New OrleansSanta Barbara</v>
      </c>
      <c r="F568" s="167"/>
      <c r="G568" s="148">
        <f>COSTS!$AA$29</f>
        <v>350</v>
      </c>
      <c r="H568" s="149">
        <f t="shared" si="59"/>
        <v>350</v>
      </c>
      <c r="I568" s="150">
        <f t="shared" ref="I568:I606" si="60">IFERROR(H568/88*20,"No Quote")</f>
        <v>79.545454545454547</v>
      </c>
      <c r="J568" s="173"/>
      <c r="K568" s="149"/>
      <c r="L568" s="38">
        <f t="shared" si="56"/>
        <v>0</v>
      </c>
    </row>
    <row r="569" spans="1:12">
      <c r="A569" s="147" t="s">
        <v>1884</v>
      </c>
      <c r="B569" s="160" t="s">
        <v>1800</v>
      </c>
      <c r="C569" s="160" t="s">
        <v>1800</v>
      </c>
      <c r="D569" s="147" t="s">
        <v>12</v>
      </c>
      <c r="E569" s="147" t="str">
        <f t="shared" si="55"/>
        <v>NorfolkHong Kong</v>
      </c>
      <c r="F569" s="167">
        <v>317</v>
      </c>
      <c r="G569" s="148">
        <f>COSTS!$AA$29</f>
        <v>350</v>
      </c>
      <c r="H569" s="149">
        <f t="shared" si="59"/>
        <v>667</v>
      </c>
      <c r="I569" s="150">
        <f t="shared" si="60"/>
        <v>151.59090909090909</v>
      </c>
      <c r="J569" s="162">
        <v>46044</v>
      </c>
      <c r="K569" s="149"/>
      <c r="L569" s="38">
        <f t="shared" si="56"/>
        <v>317</v>
      </c>
    </row>
    <row r="570" spans="1:12">
      <c r="A570" s="147" t="s">
        <v>1884</v>
      </c>
      <c r="B570" s="160" t="s">
        <v>1801</v>
      </c>
      <c r="C570" s="160" t="s">
        <v>1640</v>
      </c>
      <c r="D570" s="147" t="s">
        <v>12</v>
      </c>
      <c r="E570" s="147" t="str">
        <f t="shared" si="55"/>
        <v>NorfolkHo Chi Minh</v>
      </c>
      <c r="F570" s="167">
        <v>485</v>
      </c>
      <c r="G570" s="148">
        <f>COSTS!$AA$29</f>
        <v>350</v>
      </c>
      <c r="H570" s="149">
        <f t="shared" si="59"/>
        <v>835</v>
      </c>
      <c r="I570" s="150">
        <f t="shared" si="60"/>
        <v>189.77272727272725</v>
      </c>
      <c r="J570" s="162">
        <v>46044</v>
      </c>
      <c r="K570" s="149"/>
      <c r="L570" s="38">
        <f t="shared" si="56"/>
        <v>485</v>
      </c>
    </row>
    <row r="571" spans="1:12">
      <c r="A571" s="147" t="s">
        <v>1884</v>
      </c>
      <c r="B571" s="160" t="s">
        <v>1740</v>
      </c>
      <c r="C571" s="160" t="s">
        <v>1640</v>
      </c>
      <c r="D571" s="147" t="s">
        <v>12</v>
      </c>
      <c r="E571" s="147" t="str">
        <f t="shared" si="55"/>
        <v>NorfolkHaiphong</v>
      </c>
      <c r="F571" s="167">
        <v>285</v>
      </c>
      <c r="G571" s="148">
        <f>COSTS!$AA$29</f>
        <v>350</v>
      </c>
      <c r="H571" s="149">
        <f t="shared" si="59"/>
        <v>635</v>
      </c>
      <c r="I571" s="150">
        <f t="shared" si="60"/>
        <v>144.31818181818181</v>
      </c>
      <c r="J571" s="162">
        <v>46044</v>
      </c>
      <c r="K571" s="149"/>
      <c r="L571" s="38">
        <f t="shared" si="56"/>
        <v>285</v>
      </c>
    </row>
    <row r="572" spans="1:12">
      <c r="A572" s="147" t="s">
        <v>1884</v>
      </c>
      <c r="B572" s="160" t="s">
        <v>1840</v>
      </c>
      <c r="C572" s="160" t="s">
        <v>1841</v>
      </c>
      <c r="D572" s="147" t="s">
        <v>12</v>
      </c>
      <c r="E572" s="147" t="str">
        <f t="shared" si="55"/>
        <v>NorfolkGuayaquil</v>
      </c>
      <c r="F572" s="167">
        <v>1610</v>
      </c>
      <c r="G572" s="148">
        <f>COSTS!$AA$29</f>
        <v>350</v>
      </c>
      <c r="H572" s="149">
        <f t="shared" si="59"/>
        <v>1960</v>
      </c>
      <c r="I572" s="150">
        <f t="shared" si="60"/>
        <v>445.4545454545455</v>
      </c>
      <c r="J572" s="162">
        <v>46044</v>
      </c>
      <c r="K572" s="149"/>
      <c r="L572" s="38">
        <f t="shared" si="56"/>
        <v>1610</v>
      </c>
    </row>
    <row r="573" spans="1:12">
      <c r="A573" s="147" t="s">
        <v>1884</v>
      </c>
      <c r="B573" s="160" t="s">
        <v>1814</v>
      </c>
      <c r="C573" s="160" t="s">
        <v>1679</v>
      </c>
      <c r="D573" s="147" t="s">
        <v>12</v>
      </c>
      <c r="E573" s="147" t="str">
        <f t="shared" si="55"/>
        <v>NorfolkGuatemala City</v>
      </c>
      <c r="F573" s="167" t="s">
        <v>1793</v>
      </c>
      <c r="G573" s="148">
        <f>COSTS!$AA$29</f>
        <v>350</v>
      </c>
      <c r="H573" s="149" t="e">
        <f t="shared" si="59"/>
        <v>#VALUE!</v>
      </c>
      <c r="I573" s="150" t="str">
        <f t="shared" si="60"/>
        <v>No Quote</v>
      </c>
      <c r="J573" s="162">
        <v>46044</v>
      </c>
      <c r="K573" s="149"/>
      <c r="L573" s="38" t="e">
        <f t="shared" si="56"/>
        <v>#VALUE!</v>
      </c>
    </row>
    <row r="574" spans="1:12">
      <c r="A574" s="147" t="s">
        <v>1884</v>
      </c>
      <c r="B574" s="160" t="s">
        <v>1805</v>
      </c>
      <c r="C574" s="160" t="s">
        <v>1830</v>
      </c>
      <c r="D574" s="147" t="s">
        <v>12</v>
      </c>
      <c r="E574" s="147" t="str">
        <f t="shared" si="55"/>
        <v>NorfolkGazzaniga</v>
      </c>
      <c r="F574" s="167" t="s">
        <v>1793</v>
      </c>
      <c r="G574" s="148">
        <f>COSTS!$AA$29</f>
        <v>350</v>
      </c>
      <c r="H574" s="149" t="e">
        <f t="shared" si="59"/>
        <v>#VALUE!</v>
      </c>
      <c r="I574" s="150" t="str">
        <f t="shared" si="60"/>
        <v>No Quote</v>
      </c>
      <c r="J574" s="162">
        <v>46044</v>
      </c>
      <c r="K574" s="149"/>
      <c r="L574" s="38" t="e">
        <f t="shared" si="56"/>
        <v>#VALUE!</v>
      </c>
    </row>
    <row r="575" spans="1:12">
      <c r="A575" s="147" t="s">
        <v>1884</v>
      </c>
      <c r="B575" s="160" t="s">
        <v>1802</v>
      </c>
      <c r="C575" s="160" t="s">
        <v>1637</v>
      </c>
      <c r="D575" s="147" t="s">
        <v>12</v>
      </c>
      <c r="E575" s="147" t="str">
        <f t="shared" si="55"/>
        <v>NorfolkFangcheng</v>
      </c>
      <c r="F575" s="167" t="s">
        <v>1793</v>
      </c>
      <c r="G575" s="148">
        <f>COSTS!$AA$29</f>
        <v>350</v>
      </c>
      <c r="H575" s="149" t="e">
        <f t="shared" si="59"/>
        <v>#VALUE!</v>
      </c>
      <c r="I575" s="150" t="str">
        <f t="shared" si="60"/>
        <v>No Quote</v>
      </c>
      <c r="J575" s="162">
        <v>46044</v>
      </c>
      <c r="K575" s="149"/>
      <c r="L575" s="38" t="e">
        <f t="shared" si="56"/>
        <v>#VALUE!</v>
      </c>
    </row>
    <row r="576" spans="1:12">
      <c r="A576" s="147" t="s">
        <v>1884</v>
      </c>
      <c r="B576" s="160" t="s">
        <v>1844</v>
      </c>
      <c r="C576" s="160" t="s">
        <v>1845</v>
      </c>
      <c r="D576" s="147" t="s">
        <v>12</v>
      </c>
      <c r="E576" s="147" t="str">
        <f t="shared" si="55"/>
        <v>NorfolkDurban</v>
      </c>
      <c r="F576" s="167">
        <v>2886</v>
      </c>
      <c r="G576" s="148">
        <f>COSTS!$AA$29</f>
        <v>350</v>
      </c>
      <c r="H576" s="149">
        <f t="shared" si="59"/>
        <v>3236</v>
      </c>
      <c r="I576" s="150">
        <f t="shared" si="60"/>
        <v>735.4545454545455</v>
      </c>
      <c r="J576" s="162">
        <v>46044</v>
      </c>
      <c r="K576" s="149"/>
      <c r="L576" s="38">
        <f t="shared" si="56"/>
        <v>2886</v>
      </c>
    </row>
    <row r="577" spans="1:12">
      <c r="A577" s="147" t="s">
        <v>1884</v>
      </c>
      <c r="B577" s="160" t="s">
        <v>1846</v>
      </c>
      <c r="C577" s="160" t="s">
        <v>1847</v>
      </c>
      <c r="D577" s="147" t="s">
        <v>12</v>
      </c>
      <c r="E577" s="147" t="str">
        <f t="shared" si="55"/>
        <v>NorfolkDjibouti</v>
      </c>
      <c r="F577" s="167" t="s">
        <v>1793</v>
      </c>
      <c r="G577" s="148">
        <f>COSTS!$AA$29</f>
        <v>350</v>
      </c>
      <c r="H577" s="149" t="e">
        <f t="shared" ref="H577" si="61">F577+G577</f>
        <v>#VALUE!</v>
      </c>
      <c r="I577" s="150" t="str">
        <f t="shared" si="60"/>
        <v>No Quote</v>
      </c>
      <c r="J577" s="162">
        <v>46044</v>
      </c>
      <c r="K577" s="149"/>
      <c r="L577" s="38" t="e">
        <f t="shared" si="56"/>
        <v>#VALUE!</v>
      </c>
    </row>
    <row r="578" spans="1:12">
      <c r="A578" s="147" t="s">
        <v>1884</v>
      </c>
      <c r="B578" s="160" t="s">
        <v>1803</v>
      </c>
      <c r="C578" s="160" t="s">
        <v>1640</v>
      </c>
      <c r="D578" s="147" t="s">
        <v>12</v>
      </c>
      <c r="E578" s="147" t="str">
        <f t="shared" si="55"/>
        <v>NorfolkDaNang</v>
      </c>
      <c r="G578" s="148">
        <f>COSTS!$AA$29</f>
        <v>350</v>
      </c>
      <c r="H578" s="149">
        <f>F579+G578</f>
        <v>1770</v>
      </c>
      <c r="I578" s="150">
        <f t="shared" si="60"/>
        <v>402.27272727272725</v>
      </c>
      <c r="J578" s="162">
        <v>46044</v>
      </c>
      <c r="K578" s="149"/>
      <c r="L578" s="38">
        <f>F579-K578</f>
        <v>1420</v>
      </c>
    </row>
    <row r="579" spans="1:12">
      <c r="A579" s="147" t="s">
        <v>1884</v>
      </c>
      <c r="B579" s="160" t="s">
        <v>1848</v>
      </c>
      <c r="C579" s="160" t="s">
        <v>1772</v>
      </c>
      <c r="D579" s="147" t="s">
        <v>12</v>
      </c>
      <c r="E579" s="147" t="str">
        <f t="shared" si="55"/>
        <v>NorfolkDamietta</v>
      </c>
      <c r="F579" s="167">
        <v>1420</v>
      </c>
      <c r="G579" s="148">
        <f>COSTS!$AA$29</f>
        <v>350</v>
      </c>
      <c r="H579" s="149" t="e">
        <f>#REF!+G579</f>
        <v>#REF!</v>
      </c>
      <c r="I579" s="150" t="str">
        <f t="shared" si="60"/>
        <v>No Quote</v>
      </c>
      <c r="J579" s="162">
        <v>46057</v>
      </c>
      <c r="K579" s="149">
        <v>1420</v>
      </c>
      <c r="L579" s="38" t="e">
        <f>#REF!-K579</f>
        <v>#REF!</v>
      </c>
    </row>
    <row r="580" spans="1:12">
      <c r="A580" s="147" t="s">
        <v>1884</v>
      </c>
      <c r="B580" s="160" t="s">
        <v>1759</v>
      </c>
      <c r="C580" s="160" t="s">
        <v>1637</v>
      </c>
      <c r="D580" s="147" t="s">
        <v>12</v>
      </c>
      <c r="E580" s="147" t="str">
        <f t="shared" ref="E580:E648" si="62">CONCATENATE(,A580,B580)</f>
        <v>NorfolkDalian</v>
      </c>
      <c r="F580" s="167">
        <v>398</v>
      </c>
      <c r="G580" s="148">
        <f>COSTS!$AA$29</f>
        <v>350</v>
      </c>
      <c r="H580" s="149">
        <f t="shared" ref="H580:H618" si="63">F580+G580</f>
        <v>748</v>
      </c>
      <c r="I580" s="150">
        <f t="shared" si="60"/>
        <v>170</v>
      </c>
      <c r="J580" s="162">
        <v>46044</v>
      </c>
      <c r="K580" s="149"/>
      <c r="L580" s="38">
        <f t="shared" ref="L580:L611" si="64">F580-K580</f>
        <v>398</v>
      </c>
    </row>
    <row r="581" spans="1:12">
      <c r="A581" s="147" t="s">
        <v>1884</v>
      </c>
      <c r="B581" s="160" t="s">
        <v>1735</v>
      </c>
      <c r="C581" s="159" t="s">
        <v>1664</v>
      </c>
      <c r="D581" s="147" t="s">
        <v>12</v>
      </c>
      <c r="E581" s="147" t="str">
        <f t="shared" si="62"/>
        <v>NorfolkChittagong</v>
      </c>
      <c r="F581" s="167">
        <v>1633</v>
      </c>
      <c r="G581" s="148">
        <f>COSTS!$AA$29</f>
        <v>350</v>
      </c>
      <c r="H581" s="149">
        <f t="shared" si="63"/>
        <v>1983</v>
      </c>
      <c r="I581" s="150">
        <f t="shared" si="60"/>
        <v>450.68181818181819</v>
      </c>
      <c r="J581" s="162">
        <v>46056</v>
      </c>
      <c r="K581" s="149">
        <v>1633</v>
      </c>
      <c r="L581" s="38">
        <f t="shared" si="64"/>
        <v>0</v>
      </c>
    </row>
    <row r="582" spans="1:12">
      <c r="A582" s="147" t="s">
        <v>1884</v>
      </c>
      <c r="B582" s="160" t="s">
        <v>1804</v>
      </c>
      <c r="C582" s="160" t="s">
        <v>1637</v>
      </c>
      <c r="D582" s="147" t="s">
        <v>12</v>
      </c>
      <c r="E582" s="147" t="str">
        <f t="shared" si="62"/>
        <v>NorfolkChangzhou</v>
      </c>
      <c r="F582" s="167">
        <v>848</v>
      </c>
      <c r="G582" s="148">
        <f>COSTS!$AA$29</f>
        <v>350</v>
      </c>
      <c r="H582" s="149">
        <f t="shared" si="63"/>
        <v>1198</v>
      </c>
      <c r="I582" s="150">
        <f t="shared" si="60"/>
        <v>272.27272727272725</v>
      </c>
      <c r="J582" s="162">
        <v>46044</v>
      </c>
      <c r="K582" s="149"/>
      <c r="L582" s="38">
        <f t="shared" si="64"/>
        <v>848</v>
      </c>
    </row>
    <row r="583" spans="1:12">
      <c r="A583" s="147" t="s">
        <v>1884</v>
      </c>
      <c r="B583" s="160" t="s">
        <v>1816</v>
      </c>
      <c r="C583" s="160" t="s">
        <v>1817</v>
      </c>
      <c r="D583" s="147" t="s">
        <v>12</v>
      </c>
      <c r="E583" s="147" t="str">
        <f t="shared" si="62"/>
        <v>NorfolkCartegena</v>
      </c>
      <c r="F583" s="167" t="s">
        <v>1815</v>
      </c>
      <c r="G583" s="148">
        <f>COSTS!$AA$29</f>
        <v>350</v>
      </c>
      <c r="H583" s="149" t="e">
        <f t="shared" si="63"/>
        <v>#VALUE!</v>
      </c>
      <c r="I583" s="150" t="str">
        <f t="shared" si="60"/>
        <v>No Quote</v>
      </c>
      <c r="J583" s="162">
        <v>46044</v>
      </c>
      <c r="K583" s="149"/>
      <c r="L583" s="38" t="e">
        <f t="shared" si="64"/>
        <v>#VALUE!</v>
      </c>
    </row>
    <row r="584" spans="1:12">
      <c r="A584" s="147" t="s">
        <v>1884</v>
      </c>
      <c r="B584" s="160" t="s">
        <v>1850</v>
      </c>
      <c r="C584" s="160" t="s">
        <v>1817</v>
      </c>
      <c r="D584" s="147" t="s">
        <v>12</v>
      </c>
      <c r="E584" s="147" t="str">
        <f t="shared" si="62"/>
        <v>NorfolkCartago</v>
      </c>
      <c r="F584" s="167" t="s">
        <v>1891</v>
      </c>
      <c r="G584" s="148">
        <f>COSTS!$AA$29</f>
        <v>350</v>
      </c>
      <c r="H584" s="149" t="e">
        <f t="shared" si="63"/>
        <v>#VALUE!</v>
      </c>
      <c r="I584" s="150" t="str">
        <f t="shared" si="60"/>
        <v>No Quote</v>
      </c>
      <c r="J584" s="162">
        <v>46044</v>
      </c>
      <c r="K584" s="149"/>
      <c r="L584" s="38" t="e">
        <f t="shared" si="64"/>
        <v>#VALUE!</v>
      </c>
    </row>
    <row r="585" spans="1:12">
      <c r="A585" s="147" t="s">
        <v>1884</v>
      </c>
      <c r="B585" s="160" t="s">
        <v>1851</v>
      </c>
      <c r="C585" s="160" t="s">
        <v>1677</v>
      </c>
      <c r="D585" s="147" t="s">
        <v>12</v>
      </c>
      <c r="E585" s="147" t="str">
        <f t="shared" si="62"/>
        <v>NorfolkCallao</v>
      </c>
      <c r="F585" s="167">
        <v>930</v>
      </c>
      <c r="G585" s="148">
        <f>COSTS!$AA$29</f>
        <v>350</v>
      </c>
      <c r="H585" s="149">
        <f t="shared" si="63"/>
        <v>1280</v>
      </c>
      <c r="I585" s="150">
        <f t="shared" si="60"/>
        <v>290.90909090909088</v>
      </c>
      <c r="J585" s="162">
        <v>46044</v>
      </c>
      <c r="K585" s="149"/>
      <c r="L585" s="38">
        <f t="shared" si="64"/>
        <v>930</v>
      </c>
    </row>
    <row r="586" spans="1:12">
      <c r="A586" s="147" t="s">
        <v>1884</v>
      </c>
      <c r="B586" s="160" t="s">
        <v>1852</v>
      </c>
      <c r="C586" s="160" t="s">
        <v>1853</v>
      </c>
      <c r="D586" s="147" t="s">
        <v>12</v>
      </c>
      <c r="E586" s="147" t="str">
        <f t="shared" si="62"/>
        <v>NorfolkCaldera</v>
      </c>
      <c r="F586" s="167" t="s">
        <v>1815</v>
      </c>
      <c r="G586" s="148">
        <f>COSTS!$AA$29</f>
        <v>350</v>
      </c>
      <c r="H586" s="149" t="e">
        <f t="shared" si="63"/>
        <v>#VALUE!</v>
      </c>
      <c r="I586" s="150" t="str">
        <f t="shared" si="60"/>
        <v>No Quote</v>
      </c>
      <c r="J586" s="162">
        <v>46044</v>
      </c>
      <c r="K586" s="149"/>
      <c r="L586" s="38" t="e">
        <f t="shared" si="64"/>
        <v>#VALUE!</v>
      </c>
    </row>
    <row r="587" spans="1:12">
      <c r="A587" s="147" t="s">
        <v>1884</v>
      </c>
      <c r="B587" s="160" t="s">
        <v>1864</v>
      </c>
      <c r="C587" s="160" t="s">
        <v>1644</v>
      </c>
      <c r="D587" s="147" t="s">
        <v>12</v>
      </c>
      <c r="E587" s="147" t="str">
        <f t="shared" si="62"/>
        <v>NorfolkBusan/Kwangyang</v>
      </c>
      <c r="F587" s="167">
        <v>230</v>
      </c>
      <c r="G587" s="148">
        <f>COSTS!$AA$29</f>
        <v>350</v>
      </c>
      <c r="H587" s="149">
        <f t="shared" si="63"/>
        <v>580</v>
      </c>
      <c r="I587" s="150">
        <f t="shared" si="60"/>
        <v>131.81818181818181</v>
      </c>
      <c r="J587" s="162">
        <v>46044</v>
      </c>
      <c r="K587" s="149"/>
      <c r="L587" s="38">
        <f t="shared" si="64"/>
        <v>230</v>
      </c>
    </row>
    <row r="588" spans="1:12">
      <c r="A588" s="147" t="s">
        <v>1884</v>
      </c>
      <c r="B588" s="160" t="s">
        <v>1865</v>
      </c>
      <c r="C588" s="160" t="s">
        <v>1866</v>
      </c>
      <c r="D588" s="147" t="s">
        <v>12</v>
      </c>
      <c r="E588" s="147" t="str">
        <f t="shared" si="62"/>
        <v>NorfolkBuenos Aires/Montevideo/La Guaria</v>
      </c>
      <c r="F588" s="167" t="s">
        <v>1815</v>
      </c>
      <c r="G588" s="148">
        <f>COSTS!$AA$29</f>
        <v>350</v>
      </c>
      <c r="H588" s="149" t="e">
        <f t="shared" si="63"/>
        <v>#VALUE!</v>
      </c>
      <c r="I588" s="150" t="str">
        <f t="shared" si="60"/>
        <v>No Quote</v>
      </c>
      <c r="J588" s="162">
        <v>46044</v>
      </c>
      <c r="K588" s="149"/>
      <c r="L588" s="38" t="e">
        <f t="shared" si="64"/>
        <v>#VALUE!</v>
      </c>
    </row>
    <row r="589" spans="1:12">
      <c r="A589" s="147" t="s">
        <v>1884</v>
      </c>
      <c r="B589" s="160" t="s">
        <v>1881</v>
      </c>
      <c r="C589" s="160" t="s">
        <v>1882</v>
      </c>
      <c r="D589" s="147" t="s">
        <v>12</v>
      </c>
      <c r="E589" s="147" t="str">
        <f t="shared" si="62"/>
        <v>NorfolkBremen</v>
      </c>
      <c r="F589" s="167" t="s">
        <v>1815</v>
      </c>
      <c r="G589" s="148">
        <f>COSTS!$AA$29</f>
        <v>350</v>
      </c>
      <c r="H589" s="149" t="e">
        <f t="shared" si="63"/>
        <v>#VALUE!</v>
      </c>
      <c r="I589" s="150" t="str">
        <f t="shared" si="60"/>
        <v>No Quote</v>
      </c>
      <c r="J589" s="162">
        <v>46044</v>
      </c>
      <c r="K589" s="149"/>
      <c r="L589" s="38" t="e">
        <f t="shared" si="64"/>
        <v>#VALUE!</v>
      </c>
    </row>
    <row r="590" spans="1:12">
      <c r="A590" s="147" t="s">
        <v>1884</v>
      </c>
      <c r="B590" s="160" t="s">
        <v>1855</v>
      </c>
      <c r="C590" s="160" t="s">
        <v>1830</v>
      </c>
      <c r="D590" s="147" t="s">
        <v>12</v>
      </c>
      <c r="E590" s="147" t="str">
        <f t="shared" si="62"/>
        <v>NorfolkBergamo</v>
      </c>
      <c r="F590" s="167" t="s">
        <v>1815</v>
      </c>
      <c r="G590" s="148">
        <f>COSTS!$AA$29</f>
        <v>350</v>
      </c>
      <c r="H590" s="149" t="e">
        <f t="shared" si="63"/>
        <v>#VALUE!</v>
      </c>
      <c r="I590" s="150" t="str">
        <f t="shared" si="60"/>
        <v>No Quote</v>
      </c>
      <c r="J590" s="162">
        <v>46044</v>
      </c>
      <c r="K590" s="149"/>
      <c r="L590" s="38" t="e">
        <f t="shared" si="64"/>
        <v>#VALUE!</v>
      </c>
    </row>
    <row r="591" spans="1:12">
      <c r="A591" s="147" t="s">
        <v>1884</v>
      </c>
      <c r="B591" s="160" t="s">
        <v>1809</v>
      </c>
      <c r="C591" s="160" t="s">
        <v>1683</v>
      </c>
      <c r="D591" s="147" t="s">
        <v>12</v>
      </c>
      <c r="E591" s="147" t="str">
        <f t="shared" si="62"/>
        <v>NorfolkBarcelona</v>
      </c>
      <c r="F591" s="167" t="s">
        <v>1815</v>
      </c>
      <c r="G591" s="148">
        <f>COSTS!$AA$29</f>
        <v>350</v>
      </c>
      <c r="H591" s="149" t="e">
        <f t="shared" si="63"/>
        <v>#VALUE!</v>
      </c>
      <c r="I591" s="150" t="str">
        <f t="shared" si="60"/>
        <v>No Quote</v>
      </c>
      <c r="J591" s="162">
        <v>46044</v>
      </c>
      <c r="K591" s="149"/>
      <c r="L591" s="38" t="e">
        <f t="shared" si="64"/>
        <v>#VALUE!</v>
      </c>
    </row>
    <row r="592" spans="1:12">
      <c r="A592" s="147" t="s">
        <v>1884</v>
      </c>
      <c r="B592" s="160" t="s">
        <v>1743</v>
      </c>
      <c r="C592" s="160" t="s">
        <v>1660</v>
      </c>
      <c r="D592" s="147" t="s">
        <v>12</v>
      </c>
      <c r="E592" s="147" t="str">
        <f t="shared" si="62"/>
        <v>NorfolkBangkok</v>
      </c>
      <c r="F592" s="167">
        <v>460</v>
      </c>
      <c r="G592" s="148">
        <f>COSTS!$AA$29</f>
        <v>350</v>
      </c>
      <c r="H592" s="149">
        <f t="shared" si="63"/>
        <v>810</v>
      </c>
      <c r="I592" s="150">
        <f t="shared" si="60"/>
        <v>184.09090909090909</v>
      </c>
      <c r="J592" s="162">
        <v>46044</v>
      </c>
      <c r="K592" s="149"/>
      <c r="L592" s="38">
        <f t="shared" si="64"/>
        <v>460</v>
      </c>
    </row>
    <row r="593" spans="1:12">
      <c r="A593" s="147" t="s">
        <v>1884</v>
      </c>
      <c r="B593" s="160" t="s">
        <v>1856</v>
      </c>
      <c r="C593" s="160" t="s">
        <v>1856</v>
      </c>
      <c r="D593" s="147" t="s">
        <v>12</v>
      </c>
      <c r="E593" s="147" t="str">
        <f t="shared" si="62"/>
        <v>NorfolkBahrain</v>
      </c>
      <c r="F593" s="167" t="s">
        <v>1815</v>
      </c>
      <c r="G593" s="148">
        <f>COSTS!$AA$29</f>
        <v>350</v>
      </c>
      <c r="H593" s="149" t="e">
        <f t="shared" si="63"/>
        <v>#VALUE!</v>
      </c>
      <c r="I593" s="150" t="str">
        <f t="shared" si="60"/>
        <v>No Quote</v>
      </c>
      <c r="J593" s="162">
        <v>46044</v>
      </c>
      <c r="K593" s="149"/>
      <c r="L593" s="38" t="e">
        <f t="shared" si="64"/>
        <v>#VALUE!</v>
      </c>
    </row>
    <row r="594" spans="1:12">
      <c r="A594" s="147" t="s">
        <v>1884</v>
      </c>
      <c r="B594" s="160" t="s">
        <v>1857</v>
      </c>
      <c r="C594" s="160" t="s">
        <v>1679</v>
      </c>
      <c r="D594" s="147" t="s">
        <v>12</v>
      </c>
      <c r="E594" s="147" t="str">
        <f t="shared" si="62"/>
        <v>NorfolkAmatitlan</v>
      </c>
      <c r="F594" s="167" t="s">
        <v>1815</v>
      </c>
      <c r="G594" s="148">
        <f>COSTS!$AA$29</f>
        <v>350</v>
      </c>
      <c r="H594" s="149" t="e">
        <f t="shared" si="63"/>
        <v>#VALUE!</v>
      </c>
      <c r="I594" s="150" t="str">
        <f t="shared" si="60"/>
        <v>No Quote</v>
      </c>
      <c r="J594" s="162">
        <v>46044</v>
      </c>
      <c r="K594" s="149"/>
      <c r="L594" s="38" t="e">
        <f t="shared" si="64"/>
        <v>#VALUE!</v>
      </c>
    </row>
    <row r="595" spans="1:12">
      <c r="A595" s="147" t="s">
        <v>1884</v>
      </c>
      <c r="B595" s="160" t="s">
        <v>1858</v>
      </c>
      <c r="C595" s="160" t="s">
        <v>1859</v>
      </c>
      <c r="D595" s="147" t="s">
        <v>12</v>
      </c>
      <c r="E595" s="147" t="str">
        <f t="shared" si="62"/>
        <v>NorfolkAlgiers</v>
      </c>
      <c r="F595" s="167">
        <v>2472</v>
      </c>
      <c r="G595" s="148">
        <f>COSTS!$AA$29</f>
        <v>350</v>
      </c>
      <c r="H595" s="149">
        <f t="shared" si="63"/>
        <v>2822</v>
      </c>
      <c r="I595" s="150">
        <f t="shared" si="60"/>
        <v>641.36363636363637</v>
      </c>
      <c r="J595" s="162">
        <v>46044</v>
      </c>
      <c r="K595" s="149"/>
      <c r="L595" s="38">
        <f t="shared" si="64"/>
        <v>2472</v>
      </c>
    </row>
    <row r="596" spans="1:12">
      <c r="A596" s="147" t="s">
        <v>1884</v>
      </c>
      <c r="B596" s="160" t="s">
        <v>1860</v>
      </c>
      <c r="C596" s="160" t="s">
        <v>1772</v>
      </c>
      <c r="D596" s="147" t="s">
        <v>12</v>
      </c>
      <c r="E596" s="147" t="str">
        <f t="shared" si="62"/>
        <v>NorfolkAlexandria Egypt</v>
      </c>
      <c r="F596" s="167">
        <v>1315</v>
      </c>
      <c r="G596" s="148">
        <f>COSTS!$AA$29</f>
        <v>350</v>
      </c>
      <c r="H596" s="149">
        <f t="shared" si="63"/>
        <v>1665</v>
      </c>
      <c r="I596" s="150">
        <f t="shared" si="60"/>
        <v>378.40909090909093</v>
      </c>
      <c r="J596" s="162">
        <v>46057</v>
      </c>
      <c r="K596" s="149">
        <v>1315</v>
      </c>
      <c r="L596" s="38">
        <f t="shared" si="64"/>
        <v>0</v>
      </c>
    </row>
    <row r="597" spans="1:12">
      <c r="A597" s="147" t="s">
        <v>1884</v>
      </c>
      <c r="B597" s="160" t="s">
        <v>1849</v>
      </c>
      <c r="C597" s="160" t="s">
        <v>1681</v>
      </c>
      <c r="D597" s="147" t="s">
        <v>12</v>
      </c>
      <c r="E597" s="147" t="str">
        <f t="shared" si="62"/>
        <v>NorfolkPuerto Cortes, Honduras</v>
      </c>
      <c r="F597" s="167" t="s">
        <v>1811</v>
      </c>
      <c r="G597" s="148">
        <f>COSTS!$AA$29</f>
        <v>350</v>
      </c>
      <c r="H597" s="149" t="e">
        <f t="shared" si="63"/>
        <v>#VALUE!</v>
      </c>
      <c r="I597" s="150" t="str">
        <f t="shared" si="60"/>
        <v>No Quote</v>
      </c>
      <c r="J597" s="162">
        <v>46044</v>
      </c>
      <c r="K597" s="149"/>
      <c r="L597" s="38" t="e">
        <f t="shared" si="64"/>
        <v>#VALUE!</v>
      </c>
    </row>
    <row r="598" spans="1:12">
      <c r="A598" s="147" t="s">
        <v>1884</v>
      </c>
      <c r="B598" s="160" t="s">
        <v>1742</v>
      </c>
      <c r="C598" s="160" t="s">
        <v>1648</v>
      </c>
      <c r="D598" s="147" t="s">
        <v>12</v>
      </c>
      <c r="E598" s="147" t="str">
        <f t="shared" si="62"/>
        <v>NorfolkPort Klang</v>
      </c>
      <c r="F598" s="167">
        <v>367</v>
      </c>
      <c r="G598" s="148">
        <f>COSTS!$AA$29</f>
        <v>350</v>
      </c>
      <c r="H598" s="149">
        <f t="shared" si="63"/>
        <v>717</v>
      </c>
      <c r="I598" s="150">
        <f t="shared" si="60"/>
        <v>162.95454545454547</v>
      </c>
      <c r="J598" s="162">
        <v>46057</v>
      </c>
      <c r="K598" s="149">
        <v>367</v>
      </c>
      <c r="L598" s="38">
        <f t="shared" si="64"/>
        <v>0</v>
      </c>
    </row>
    <row r="599" spans="1:12">
      <c r="A599" s="147" t="s">
        <v>1884</v>
      </c>
      <c r="B599" s="160" t="s">
        <v>1750</v>
      </c>
      <c r="C599" s="160" t="s">
        <v>1670</v>
      </c>
      <c r="D599" s="147" t="s">
        <v>12</v>
      </c>
      <c r="E599" s="147" t="str">
        <f t="shared" si="62"/>
        <v>NorfolkIskenderun</v>
      </c>
      <c r="F599" s="167">
        <v>824</v>
      </c>
      <c r="G599" s="148">
        <f>COSTS!$AA$29</f>
        <v>350</v>
      </c>
      <c r="H599" s="149">
        <f t="shared" si="63"/>
        <v>1174</v>
      </c>
      <c r="I599" s="150">
        <f t="shared" si="60"/>
        <v>266.81818181818181</v>
      </c>
      <c r="J599" s="162">
        <v>46044</v>
      </c>
      <c r="K599" s="149"/>
      <c r="L599" s="38">
        <f t="shared" si="64"/>
        <v>824</v>
      </c>
    </row>
    <row r="600" spans="1:12">
      <c r="A600" s="147" t="s">
        <v>1884</v>
      </c>
      <c r="B600" s="160" t="s">
        <v>1746</v>
      </c>
      <c r="C600" s="160" t="s">
        <v>1658</v>
      </c>
      <c r="D600" s="147" t="s">
        <v>12</v>
      </c>
      <c r="E600" s="147" t="str">
        <f t="shared" si="62"/>
        <v>NorfolkJakarta</v>
      </c>
      <c r="F600" s="167">
        <v>608</v>
      </c>
      <c r="G600" s="148">
        <f>COSTS!$AA$29</f>
        <v>350</v>
      </c>
      <c r="H600" s="149">
        <f t="shared" si="63"/>
        <v>958</v>
      </c>
      <c r="I600" s="150">
        <f t="shared" si="60"/>
        <v>217.72727272727275</v>
      </c>
      <c r="J600" s="162">
        <v>46044</v>
      </c>
      <c r="K600" s="149"/>
      <c r="L600" s="38">
        <f t="shared" si="64"/>
        <v>608</v>
      </c>
    </row>
    <row r="601" spans="1:12">
      <c r="A601" s="154" t="s">
        <v>1884</v>
      </c>
      <c r="B601" s="153" t="s">
        <v>1635</v>
      </c>
      <c r="C601" s="153" t="s">
        <v>1635</v>
      </c>
      <c r="D601" s="154" t="s">
        <v>12</v>
      </c>
      <c r="E601" s="154" t="str">
        <f t="shared" si="62"/>
        <v>NorfolkCIF FE</v>
      </c>
      <c r="F601" s="168">
        <v>121</v>
      </c>
      <c r="G601" s="176">
        <f>COSTS!$AA$29</f>
        <v>350</v>
      </c>
      <c r="H601" s="155">
        <f t="shared" si="63"/>
        <v>471</v>
      </c>
      <c r="I601" s="156">
        <f t="shared" si="60"/>
        <v>107.04545454545455</v>
      </c>
      <c r="J601" s="165">
        <v>45796</v>
      </c>
      <c r="K601" s="177"/>
      <c r="L601" s="158">
        <f t="shared" si="64"/>
        <v>121</v>
      </c>
    </row>
    <row r="602" spans="1:12">
      <c r="A602" s="147" t="s">
        <v>1884</v>
      </c>
      <c r="B602" s="160" t="s">
        <v>1743</v>
      </c>
      <c r="C602" s="160" t="s">
        <v>1660</v>
      </c>
      <c r="D602" s="147" t="s">
        <v>12</v>
      </c>
      <c r="E602" s="147" t="str">
        <f t="shared" si="62"/>
        <v>NorfolkBangkok</v>
      </c>
      <c r="F602" s="167">
        <v>460</v>
      </c>
      <c r="G602" s="148">
        <f>COSTS!$AA$29</f>
        <v>350</v>
      </c>
      <c r="H602" s="149">
        <f t="shared" si="63"/>
        <v>810</v>
      </c>
      <c r="I602" s="150">
        <f t="shared" si="60"/>
        <v>184.09090909090909</v>
      </c>
      <c r="J602" s="162">
        <v>46044</v>
      </c>
      <c r="K602" s="149"/>
      <c r="L602" s="38">
        <f t="shared" si="64"/>
        <v>460</v>
      </c>
    </row>
    <row r="603" spans="1:12">
      <c r="A603" s="147" t="s">
        <v>1884</v>
      </c>
      <c r="B603" s="160" t="s">
        <v>1781</v>
      </c>
      <c r="C603" s="160" t="s">
        <v>1652</v>
      </c>
      <c r="D603" s="147" t="s">
        <v>12</v>
      </c>
      <c r="E603" s="147" t="str">
        <f t="shared" si="62"/>
        <v>NorfolkTaichung</v>
      </c>
      <c r="F603" s="167">
        <v>158</v>
      </c>
      <c r="G603" s="148">
        <f>COSTS!$AA$29</f>
        <v>350</v>
      </c>
      <c r="H603" s="149">
        <f t="shared" si="63"/>
        <v>508</v>
      </c>
      <c r="I603" s="150">
        <f t="shared" si="60"/>
        <v>115.45454545454545</v>
      </c>
      <c r="J603" s="162">
        <v>46044</v>
      </c>
      <c r="K603" s="149"/>
      <c r="L603" s="38">
        <f t="shared" si="64"/>
        <v>158</v>
      </c>
    </row>
    <row r="604" spans="1:12">
      <c r="A604" s="147" t="s">
        <v>1884</v>
      </c>
      <c r="B604" s="160" t="s">
        <v>1751</v>
      </c>
      <c r="C604" s="160" t="s">
        <v>1670</v>
      </c>
      <c r="D604" s="147" t="s">
        <v>12</v>
      </c>
      <c r="E604" s="147" t="str">
        <f t="shared" si="62"/>
        <v>NorfolkMersin</v>
      </c>
      <c r="F604" s="167">
        <v>1224</v>
      </c>
      <c r="G604" s="148">
        <f>COSTS!$AA$29</f>
        <v>350</v>
      </c>
      <c r="H604" s="149">
        <f t="shared" si="63"/>
        <v>1574</v>
      </c>
      <c r="I604" s="150">
        <f t="shared" si="60"/>
        <v>357.72727272727275</v>
      </c>
      <c r="J604" s="162">
        <v>46044</v>
      </c>
      <c r="K604" s="149"/>
      <c r="L604" s="38">
        <f t="shared" si="64"/>
        <v>1224</v>
      </c>
    </row>
    <row r="605" spans="1:12">
      <c r="A605" s="147" t="s">
        <v>1884</v>
      </c>
      <c r="B605" s="160" t="s">
        <v>1747</v>
      </c>
      <c r="C605" s="160" t="s">
        <v>1658</v>
      </c>
      <c r="D605" s="147" t="s">
        <v>12</v>
      </c>
      <c r="E605" s="147" t="str">
        <f t="shared" si="62"/>
        <v>NorfolkSemarang</v>
      </c>
      <c r="F605" s="167">
        <v>788</v>
      </c>
      <c r="G605" s="148">
        <f>COSTS!$AA$29</f>
        <v>350</v>
      </c>
      <c r="H605" s="149">
        <f t="shared" si="63"/>
        <v>1138</v>
      </c>
      <c r="I605" s="150">
        <f t="shared" si="60"/>
        <v>258.63636363636363</v>
      </c>
      <c r="J605" s="162">
        <v>46044</v>
      </c>
      <c r="K605" s="149"/>
      <c r="L605" s="38">
        <f t="shared" si="64"/>
        <v>788</v>
      </c>
    </row>
    <row r="606" spans="1:12">
      <c r="A606" s="147" t="s">
        <v>1884</v>
      </c>
      <c r="B606" s="160" t="s">
        <v>1798</v>
      </c>
      <c r="C606" s="160" t="s">
        <v>1652</v>
      </c>
      <c r="D606" s="147" t="s">
        <v>12</v>
      </c>
      <c r="E606" s="147" t="str">
        <f t="shared" si="62"/>
        <v>NorfolkTao Yuan</v>
      </c>
      <c r="F606" s="167">
        <v>324</v>
      </c>
      <c r="G606" s="148">
        <f>COSTS!$AA$29</f>
        <v>350</v>
      </c>
      <c r="H606" s="149">
        <f t="shared" si="63"/>
        <v>674</v>
      </c>
      <c r="I606" s="150">
        <f t="shared" si="60"/>
        <v>153.18181818181819</v>
      </c>
      <c r="J606" s="162">
        <v>46044</v>
      </c>
      <c r="K606" s="149"/>
      <c r="L606" s="38">
        <f t="shared" si="64"/>
        <v>324</v>
      </c>
    </row>
    <row r="607" spans="1:12">
      <c r="A607" s="147" t="s">
        <v>1884</v>
      </c>
      <c r="B607" s="160" t="s">
        <v>1749</v>
      </c>
      <c r="C607" s="160" t="s">
        <v>1646</v>
      </c>
      <c r="D607" s="147" t="s">
        <v>12</v>
      </c>
      <c r="E607" s="147" t="str">
        <f t="shared" si="62"/>
        <v>NorfolkKobe</v>
      </c>
      <c r="F607" s="167">
        <v>258</v>
      </c>
      <c r="G607" s="148">
        <f>COSTS!$AA$29</f>
        <v>350</v>
      </c>
      <c r="H607" s="149">
        <f t="shared" si="63"/>
        <v>608</v>
      </c>
      <c r="I607" s="150">
        <v>0</v>
      </c>
      <c r="J607" s="162">
        <v>46044</v>
      </c>
      <c r="K607" s="149"/>
      <c r="L607" s="38">
        <f t="shared" si="64"/>
        <v>258</v>
      </c>
    </row>
    <row r="608" spans="1:12">
      <c r="A608" s="147" t="s">
        <v>1884</v>
      </c>
      <c r="B608" s="160" t="s">
        <v>1787</v>
      </c>
      <c r="C608" s="160" t="s">
        <v>1646</v>
      </c>
      <c r="D608" s="147" t="s">
        <v>12</v>
      </c>
      <c r="E608" s="147" t="str">
        <f t="shared" si="62"/>
        <v>NorfolkNagoya</v>
      </c>
      <c r="F608" s="167">
        <v>258</v>
      </c>
      <c r="G608" s="148">
        <f>COSTS!$AA$29</f>
        <v>350</v>
      </c>
      <c r="H608" s="149">
        <f t="shared" si="63"/>
        <v>608</v>
      </c>
      <c r="I608" s="150">
        <v>0</v>
      </c>
      <c r="J608" s="162">
        <v>46044</v>
      </c>
      <c r="K608" s="149"/>
      <c r="L608" s="38">
        <f t="shared" si="64"/>
        <v>258</v>
      </c>
    </row>
    <row r="609" spans="1:12">
      <c r="A609" s="147" t="s">
        <v>1884</v>
      </c>
      <c r="B609" s="160" t="s">
        <v>1776</v>
      </c>
      <c r="C609" s="160" t="s">
        <v>1648</v>
      </c>
      <c r="D609" s="147" t="s">
        <v>12</v>
      </c>
      <c r="E609" s="147" t="str">
        <f t="shared" si="62"/>
        <v>NorfolkPasir Gudang</v>
      </c>
      <c r="F609" s="167">
        <v>560</v>
      </c>
      <c r="G609" s="148">
        <f>COSTS!$AA$29</f>
        <v>350</v>
      </c>
      <c r="H609" s="149">
        <f t="shared" si="63"/>
        <v>910</v>
      </c>
      <c r="I609" s="150">
        <f>IFERROR(H609/88*20,"No Quote")</f>
        <v>206.81818181818184</v>
      </c>
      <c r="J609" s="162">
        <v>46044</v>
      </c>
      <c r="K609" s="149"/>
      <c r="L609" s="38">
        <f t="shared" si="64"/>
        <v>560</v>
      </c>
    </row>
    <row r="610" spans="1:12">
      <c r="A610" s="147" t="s">
        <v>1884</v>
      </c>
      <c r="B610" s="160" t="s">
        <v>1786</v>
      </c>
      <c r="C610" s="160" t="s">
        <v>1648</v>
      </c>
      <c r="D610" s="147" t="s">
        <v>12</v>
      </c>
      <c r="E610" s="147" t="str">
        <f t="shared" si="62"/>
        <v>NorfolkPenang</v>
      </c>
      <c r="F610" s="167">
        <v>410</v>
      </c>
      <c r="G610" s="148">
        <f>COSTS!$AA$29</f>
        <v>350</v>
      </c>
      <c r="H610" s="149">
        <f t="shared" si="63"/>
        <v>760</v>
      </c>
      <c r="I610" s="150">
        <f>IFERROR(H610/88*20,"No Quote")</f>
        <v>172.72727272727275</v>
      </c>
      <c r="J610" s="162">
        <v>46044</v>
      </c>
      <c r="K610" s="149"/>
      <c r="L610" s="38">
        <f t="shared" si="64"/>
        <v>410</v>
      </c>
    </row>
    <row r="611" spans="1:12">
      <c r="A611" s="147" t="s">
        <v>1884</v>
      </c>
      <c r="B611" s="160" t="s">
        <v>1752</v>
      </c>
      <c r="C611" s="160" t="s">
        <v>1652</v>
      </c>
      <c r="D611" s="147" t="s">
        <v>12</v>
      </c>
      <c r="E611" s="147" t="str">
        <f t="shared" si="62"/>
        <v>NorfolkKeelung</v>
      </c>
      <c r="F611" s="167">
        <v>308</v>
      </c>
      <c r="G611" s="148">
        <f>COSTS!$AA$29</f>
        <v>350</v>
      </c>
      <c r="H611" s="149">
        <f t="shared" si="63"/>
        <v>658</v>
      </c>
      <c r="I611" s="150">
        <f>IFERROR(H611/88*20,"No Quote")</f>
        <v>149.54545454545456</v>
      </c>
      <c r="J611" s="162">
        <v>46044</v>
      </c>
      <c r="K611" s="149"/>
      <c r="L611" s="38">
        <f t="shared" si="64"/>
        <v>308</v>
      </c>
    </row>
    <row r="612" spans="1:12">
      <c r="A612" s="147" t="s">
        <v>1884</v>
      </c>
      <c r="B612" s="160" t="s">
        <v>1748</v>
      </c>
      <c r="C612" s="160" t="s">
        <v>1658</v>
      </c>
      <c r="D612" s="147" t="s">
        <v>12</v>
      </c>
      <c r="E612" s="147" t="str">
        <f t="shared" si="62"/>
        <v>NorfolkSurabaya</v>
      </c>
      <c r="F612" s="167">
        <v>758</v>
      </c>
      <c r="G612" s="148">
        <f>COSTS!$AA$29</f>
        <v>350</v>
      </c>
      <c r="H612" s="149">
        <f t="shared" si="63"/>
        <v>1108</v>
      </c>
      <c r="I612" s="150">
        <f>IFERROR(H612/88*20,"No Quote")</f>
        <v>251.81818181818184</v>
      </c>
      <c r="J612" s="162">
        <v>46044</v>
      </c>
      <c r="K612" s="149"/>
      <c r="L612" s="38">
        <f t="shared" ref="L612:L643" si="65">F612-K612</f>
        <v>758</v>
      </c>
    </row>
    <row r="613" spans="1:12">
      <c r="A613" s="147" t="s">
        <v>1884</v>
      </c>
      <c r="B613" s="160" t="s">
        <v>1824</v>
      </c>
      <c r="C613" s="160" t="s">
        <v>1668</v>
      </c>
      <c r="D613" s="147" t="s">
        <v>12</v>
      </c>
      <c r="E613" s="147" t="str">
        <f t="shared" si="62"/>
        <v>NorfolkCochin</v>
      </c>
      <c r="F613" s="167">
        <v>700</v>
      </c>
      <c r="G613" s="148">
        <f>COSTS!$AA$29</f>
        <v>350</v>
      </c>
      <c r="H613" s="149">
        <f t="shared" si="63"/>
        <v>1050</v>
      </c>
      <c r="I613" s="150">
        <f>IFERROR(H613/88*20,"No Quote")</f>
        <v>238.63636363636363</v>
      </c>
      <c r="J613" s="162">
        <v>46044</v>
      </c>
      <c r="K613" s="149"/>
      <c r="L613" s="38">
        <f t="shared" si="65"/>
        <v>700</v>
      </c>
    </row>
    <row r="614" spans="1:12">
      <c r="A614" s="147" t="s">
        <v>1884</v>
      </c>
      <c r="B614" s="160" t="s">
        <v>1783</v>
      </c>
      <c r="C614" s="160" t="s">
        <v>1670</v>
      </c>
      <c r="D614" s="147" t="s">
        <v>12</v>
      </c>
      <c r="E614" s="147" t="str">
        <f t="shared" si="62"/>
        <v>NorfolkIzmir</v>
      </c>
      <c r="F614" s="167">
        <v>1252</v>
      </c>
      <c r="G614" s="148">
        <f>COSTS!$AA$29</f>
        <v>350</v>
      </c>
      <c r="H614" s="149">
        <f t="shared" si="63"/>
        <v>1602</v>
      </c>
      <c r="I614" s="150">
        <f>H614/88*20</f>
        <v>364.09090909090907</v>
      </c>
      <c r="J614" s="162">
        <v>46044</v>
      </c>
      <c r="K614" s="149"/>
      <c r="L614" s="38">
        <f t="shared" si="65"/>
        <v>1252</v>
      </c>
    </row>
    <row r="615" spans="1:12">
      <c r="A615" s="147" t="s">
        <v>1884</v>
      </c>
      <c r="B615" s="136" t="s">
        <v>1725</v>
      </c>
      <c r="C615" s="160" t="s">
        <v>1668</v>
      </c>
      <c r="D615" s="147" t="s">
        <v>12</v>
      </c>
      <c r="E615" s="147" t="str">
        <f t="shared" si="62"/>
        <v>NorfolkNhava Sheva</v>
      </c>
      <c r="F615" s="167">
        <v>747</v>
      </c>
      <c r="G615" s="148">
        <f>COSTS!$AA$29</f>
        <v>350</v>
      </c>
      <c r="H615" s="149">
        <f t="shared" si="63"/>
        <v>1097</v>
      </c>
      <c r="I615" s="150">
        <f t="shared" ref="I615:I626" si="66">IFERROR(H615/88*20,"No Quote")</f>
        <v>249.31818181818184</v>
      </c>
      <c r="J615" s="162">
        <v>46044</v>
      </c>
      <c r="K615" s="149"/>
      <c r="L615" s="38">
        <f t="shared" si="65"/>
        <v>747</v>
      </c>
    </row>
    <row r="616" spans="1:12">
      <c r="A616" s="147" t="s">
        <v>1884</v>
      </c>
      <c r="B616" s="160" t="s">
        <v>1825</v>
      </c>
      <c r="C616" s="160" t="s">
        <v>1826</v>
      </c>
      <c r="D616" s="147" t="s">
        <v>12</v>
      </c>
      <c r="E616" s="147" t="str">
        <f t="shared" si="62"/>
        <v>NorfolkPipavav</v>
      </c>
      <c r="F616" s="167">
        <v>2000</v>
      </c>
      <c r="G616" s="148">
        <f>COSTS!$AA$29</f>
        <v>350</v>
      </c>
      <c r="H616" s="149">
        <f t="shared" si="63"/>
        <v>2350</v>
      </c>
      <c r="I616" s="150">
        <f t="shared" si="66"/>
        <v>534.09090909090901</v>
      </c>
      <c r="J616" s="162">
        <v>46044</v>
      </c>
      <c r="K616" s="149"/>
      <c r="L616" s="38">
        <f t="shared" si="65"/>
        <v>2000</v>
      </c>
    </row>
    <row r="617" spans="1:12">
      <c r="A617" s="147" t="s">
        <v>1884</v>
      </c>
      <c r="B617" s="160" t="s">
        <v>1727</v>
      </c>
      <c r="C617" s="160" t="s">
        <v>1668</v>
      </c>
      <c r="D617" s="147" t="s">
        <v>12</v>
      </c>
      <c r="E617" s="147" t="str">
        <f t="shared" si="62"/>
        <v>NorfolkTuticorin</v>
      </c>
      <c r="F617" s="167">
        <v>1420</v>
      </c>
      <c r="G617" s="148">
        <f>COSTS!$AA$29</f>
        <v>350</v>
      </c>
      <c r="H617" s="149">
        <f t="shared" si="63"/>
        <v>1770</v>
      </c>
      <c r="I617" s="150">
        <f t="shared" si="66"/>
        <v>402.27272727272725</v>
      </c>
      <c r="J617" s="162">
        <v>46044</v>
      </c>
      <c r="K617" s="149"/>
      <c r="L617" s="38">
        <f t="shared" si="65"/>
        <v>1420</v>
      </c>
    </row>
    <row r="618" spans="1:12">
      <c r="A618" s="147" t="s">
        <v>1884</v>
      </c>
      <c r="B618" s="136" t="s">
        <v>1726</v>
      </c>
      <c r="C618" s="160" t="s">
        <v>1668</v>
      </c>
      <c r="D618" s="147" t="s">
        <v>12</v>
      </c>
      <c r="E618" s="147" t="str">
        <f t="shared" si="62"/>
        <v>NorfolkMundra</v>
      </c>
      <c r="F618" s="167">
        <v>747</v>
      </c>
      <c r="G618" s="148">
        <f>COSTS!$AA$29</f>
        <v>350</v>
      </c>
      <c r="H618" s="149">
        <f t="shared" si="63"/>
        <v>1097</v>
      </c>
      <c r="I618" s="150">
        <f t="shared" si="66"/>
        <v>249.31818181818184</v>
      </c>
      <c r="J618" s="162">
        <v>46044</v>
      </c>
      <c r="K618" s="149"/>
      <c r="L618" s="38">
        <f t="shared" si="65"/>
        <v>747</v>
      </c>
    </row>
    <row r="619" spans="1:12">
      <c r="A619" s="147" t="s">
        <v>1884</v>
      </c>
      <c r="B619" s="159" t="s">
        <v>1733</v>
      </c>
      <c r="C619" s="160" t="s">
        <v>1637</v>
      </c>
      <c r="D619" s="147" t="s">
        <v>12</v>
      </c>
      <c r="E619" s="147" t="str">
        <f t="shared" si="62"/>
        <v>NorfolkXiamen</v>
      </c>
      <c r="F619" s="167">
        <v>301</v>
      </c>
      <c r="G619" s="148">
        <f>COSTS!$AA$29</f>
        <v>350</v>
      </c>
      <c r="H619" s="149">
        <v>50</v>
      </c>
      <c r="I619" s="150">
        <f t="shared" si="66"/>
        <v>11.363636363636365</v>
      </c>
      <c r="J619" s="162">
        <v>46044</v>
      </c>
      <c r="K619" s="149"/>
      <c r="L619" s="38">
        <f t="shared" si="65"/>
        <v>301</v>
      </c>
    </row>
    <row r="620" spans="1:12">
      <c r="A620" s="147" t="s">
        <v>1884</v>
      </c>
      <c r="B620" s="160" t="s">
        <v>1861</v>
      </c>
      <c r="C620" s="160" t="s">
        <v>1681</v>
      </c>
      <c r="D620" s="147" t="s">
        <v>12</v>
      </c>
      <c r="E620" s="147" t="str">
        <f t="shared" si="62"/>
        <v>NorfolkSanta Barbara</v>
      </c>
      <c r="F620" s="167" t="s">
        <v>1891</v>
      </c>
      <c r="G620" s="148">
        <f>COSTS!$AA$29</f>
        <v>350</v>
      </c>
      <c r="H620" s="149" t="e">
        <f t="shared" ref="H620:H649" si="67">F620+G620</f>
        <v>#VALUE!</v>
      </c>
      <c r="I620" s="150" t="str">
        <f t="shared" si="66"/>
        <v>No Quote</v>
      </c>
      <c r="J620" s="162">
        <v>46044</v>
      </c>
      <c r="K620" s="149"/>
      <c r="L620" s="38" t="e">
        <f t="shared" si="65"/>
        <v>#VALUE!</v>
      </c>
    </row>
    <row r="621" spans="1:12">
      <c r="A621" s="147" t="s">
        <v>682</v>
      </c>
      <c r="B621" s="160" t="s">
        <v>1735</v>
      </c>
      <c r="C621" s="159" t="s">
        <v>1664</v>
      </c>
      <c r="D621" s="147" t="s">
        <v>12</v>
      </c>
      <c r="E621" s="147" t="str">
        <f t="shared" si="62"/>
        <v>SavannahChittagong</v>
      </c>
      <c r="F621" s="167">
        <v>1633</v>
      </c>
      <c r="G621" s="148">
        <f>COSTS!$AA$29</f>
        <v>350</v>
      </c>
      <c r="H621" s="149">
        <f t="shared" si="67"/>
        <v>1983</v>
      </c>
      <c r="I621" s="150">
        <f t="shared" si="66"/>
        <v>450.68181818181819</v>
      </c>
      <c r="J621" s="162">
        <v>46056</v>
      </c>
      <c r="K621" s="149">
        <v>1633</v>
      </c>
      <c r="L621" s="38">
        <f t="shared" si="65"/>
        <v>0</v>
      </c>
    </row>
    <row r="622" spans="1:12">
      <c r="A622" s="147" t="s">
        <v>682</v>
      </c>
      <c r="B622" s="160" t="s">
        <v>1750</v>
      </c>
      <c r="C622" s="160" t="s">
        <v>1670</v>
      </c>
      <c r="D622" s="147" t="s">
        <v>12</v>
      </c>
      <c r="E622" s="147" t="str">
        <f t="shared" si="62"/>
        <v>SavannahIskenderun</v>
      </c>
      <c r="F622" s="167">
        <v>824</v>
      </c>
      <c r="G622" s="148">
        <f>COSTS!$AA$29</f>
        <v>350</v>
      </c>
      <c r="H622" s="149">
        <f t="shared" si="67"/>
        <v>1174</v>
      </c>
      <c r="I622" s="150">
        <f t="shared" si="66"/>
        <v>266.81818181818181</v>
      </c>
      <c r="J622" s="162">
        <v>46044</v>
      </c>
      <c r="K622" s="149">
        <v>825</v>
      </c>
      <c r="L622" s="38">
        <f t="shared" si="65"/>
        <v>-1</v>
      </c>
    </row>
    <row r="623" spans="1:12">
      <c r="A623" s="147" t="s">
        <v>682</v>
      </c>
      <c r="B623" s="160" t="s">
        <v>1783</v>
      </c>
      <c r="C623" s="160" t="s">
        <v>1670</v>
      </c>
      <c r="D623" s="147" t="s">
        <v>12</v>
      </c>
      <c r="E623" s="147" t="str">
        <f t="shared" si="62"/>
        <v>SavannahIzmir</v>
      </c>
      <c r="F623" s="167">
        <v>1252</v>
      </c>
      <c r="G623" s="148">
        <f>COSTS!$AA$29</f>
        <v>350</v>
      </c>
      <c r="H623" s="149">
        <f t="shared" si="67"/>
        <v>1602</v>
      </c>
      <c r="I623" s="150">
        <f t="shared" si="66"/>
        <v>364.09090909090907</v>
      </c>
      <c r="J623" s="162">
        <v>46044</v>
      </c>
      <c r="K623" s="149">
        <v>1250</v>
      </c>
      <c r="L623" s="38">
        <f t="shared" si="65"/>
        <v>2</v>
      </c>
    </row>
    <row r="624" spans="1:12">
      <c r="A624" s="147" t="s">
        <v>682</v>
      </c>
      <c r="B624" s="160" t="s">
        <v>1746</v>
      </c>
      <c r="C624" s="160" t="s">
        <v>1658</v>
      </c>
      <c r="D624" s="147" t="s">
        <v>12</v>
      </c>
      <c r="E624" s="147" t="str">
        <f t="shared" si="62"/>
        <v>SavannahJakarta</v>
      </c>
      <c r="F624" s="167">
        <v>608</v>
      </c>
      <c r="G624" s="148">
        <f>COSTS!$AA$29</f>
        <v>350</v>
      </c>
      <c r="H624" s="149">
        <f t="shared" si="67"/>
        <v>958</v>
      </c>
      <c r="I624" s="150">
        <f t="shared" si="66"/>
        <v>217.72727272727275</v>
      </c>
      <c r="J624" s="162">
        <v>46044</v>
      </c>
      <c r="K624" s="149">
        <v>800</v>
      </c>
      <c r="L624" s="38">
        <f t="shared" si="65"/>
        <v>-192</v>
      </c>
    </row>
    <row r="625" spans="1:12">
      <c r="A625" s="147" t="s">
        <v>682</v>
      </c>
      <c r="B625" s="160" t="s">
        <v>1752</v>
      </c>
      <c r="C625" s="160" t="s">
        <v>1652</v>
      </c>
      <c r="D625" s="147" t="s">
        <v>12</v>
      </c>
      <c r="E625" s="147" t="str">
        <f t="shared" si="62"/>
        <v>SavannahKeelung</v>
      </c>
      <c r="F625" s="167">
        <v>308</v>
      </c>
      <c r="G625" s="148">
        <f>COSTS!$AA$29</f>
        <v>350</v>
      </c>
      <c r="H625" s="149">
        <f t="shared" si="67"/>
        <v>658</v>
      </c>
      <c r="I625" s="150">
        <f t="shared" si="66"/>
        <v>149.54545454545456</v>
      </c>
      <c r="J625" s="162">
        <v>46044</v>
      </c>
      <c r="K625" s="149">
        <v>540</v>
      </c>
      <c r="L625" s="38">
        <f t="shared" si="65"/>
        <v>-232</v>
      </c>
    </row>
    <row r="626" spans="1:12">
      <c r="A626" s="147" t="s">
        <v>682</v>
      </c>
      <c r="B626" s="160" t="s">
        <v>1749</v>
      </c>
      <c r="C626" s="160" t="s">
        <v>1646</v>
      </c>
      <c r="D626" s="147" t="s">
        <v>12</v>
      </c>
      <c r="E626" s="147" t="str">
        <f t="shared" si="62"/>
        <v>SavannahKobe</v>
      </c>
      <c r="F626" s="167">
        <v>258</v>
      </c>
      <c r="G626" s="148">
        <f>COSTS!$AA$29</f>
        <v>350</v>
      </c>
      <c r="H626" s="149">
        <f t="shared" si="67"/>
        <v>608</v>
      </c>
      <c r="I626" s="150">
        <f t="shared" si="66"/>
        <v>138.18181818181819</v>
      </c>
      <c r="J626" s="162">
        <v>46044</v>
      </c>
      <c r="K626" s="149">
        <v>805</v>
      </c>
      <c r="L626" s="38">
        <f t="shared" si="65"/>
        <v>-547</v>
      </c>
    </row>
    <row r="627" spans="1:12">
      <c r="A627" s="147" t="s">
        <v>682</v>
      </c>
      <c r="B627" s="160" t="s">
        <v>1744</v>
      </c>
      <c r="C627" s="160" t="s">
        <v>1660</v>
      </c>
      <c r="D627" s="147" t="s">
        <v>12</v>
      </c>
      <c r="E627" s="147" t="str">
        <f t="shared" si="62"/>
        <v>SavannahLaem Chabang</v>
      </c>
      <c r="F627" s="167">
        <v>108</v>
      </c>
      <c r="G627" s="148">
        <f>COSTS!$AA$29</f>
        <v>350</v>
      </c>
      <c r="H627" s="149">
        <f t="shared" si="67"/>
        <v>458</v>
      </c>
      <c r="I627" s="150">
        <v>142.04545454545456</v>
      </c>
      <c r="J627" s="162">
        <v>46044</v>
      </c>
      <c r="K627" s="149">
        <v>450</v>
      </c>
      <c r="L627" s="38">
        <f t="shared" si="65"/>
        <v>-342</v>
      </c>
    </row>
    <row r="628" spans="1:12">
      <c r="A628" s="147" t="s">
        <v>682</v>
      </c>
      <c r="B628" s="160" t="s">
        <v>1745</v>
      </c>
      <c r="C628" s="160" t="s">
        <v>1660</v>
      </c>
      <c r="D628" s="147" t="s">
        <v>12</v>
      </c>
      <c r="E628" s="147" t="str">
        <f t="shared" si="62"/>
        <v>SavannahLat Krabang</v>
      </c>
      <c r="F628" s="167">
        <v>316</v>
      </c>
      <c r="G628" s="148">
        <f>COSTS!$AA$29</f>
        <v>350</v>
      </c>
      <c r="H628" s="149">
        <f t="shared" si="67"/>
        <v>666</v>
      </c>
      <c r="I628" s="150">
        <f>IFERROR(H628/88*20,"No Quote")</f>
        <v>151.36363636363637</v>
      </c>
      <c r="J628" s="162">
        <v>46044</v>
      </c>
      <c r="K628" s="149">
        <v>610</v>
      </c>
      <c r="L628" s="38">
        <f t="shared" si="65"/>
        <v>-294</v>
      </c>
    </row>
    <row r="629" spans="1:12">
      <c r="A629" s="147" t="s">
        <v>682</v>
      </c>
      <c r="B629" s="160" t="s">
        <v>1745</v>
      </c>
      <c r="C629" s="160" t="s">
        <v>1660</v>
      </c>
      <c r="D629" s="147" t="s">
        <v>12</v>
      </c>
      <c r="E629" s="147" t="str">
        <f t="shared" si="62"/>
        <v>SavannahLat Krabang</v>
      </c>
      <c r="F629" s="167">
        <v>316</v>
      </c>
      <c r="G629" s="148">
        <f>COSTS!$AA$29</f>
        <v>350</v>
      </c>
      <c r="H629" s="149">
        <f t="shared" si="67"/>
        <v>666</v>
      </c>
      <c r="I629" s="150">
        <f>IFERROR(H629/88*20,"No Quote")</f>
        <v>151.36363636363637</v>
      </c>
      <c r="J629" s="162">
        <v>46044</v>
      </c>
      <c r="K629" s="149">
        <v>610</v>
      </c>
      <c r="L629" s="38">
        <f t="shared" si="65"/>
        <v>-294</v>
      </c>
    </row>
    <row r="630" spans="1:12">
      <c r="A630" s="147" t="s">
        <v>682</v>
      </c>
      <c r="B630" s="160" t="s">
        <v>1745</v>
      </c>
      <c r="C630" s="160" t="s">
        <v>1660</v>
      </c>
      <c r="D630" s="147" t="s">
        <v>12</v>
      </c>
      <c r="E630" s="147" t="str">
        <f t="shared" si="62"/>
        <v>SavannahLat Krabang</v>
      </c>
      <c r="F630" s="167">
        <v>316</v>
      </c>
      <c r="G630" s="148">
        <f>COSTS!$AA$29</f>
        <v>350</v>
      </c>
      <c r="H630" s="149">
        <f t="shared" si="67"/>
        <v>666</v>
      </c>
      <c r="I630" s="150">
        <v>142.04545454545456</v>
      </c>
      <c r="J630" s="162">
        <v>46044</v>
      </c>
      <c r="K630" s="149">
        <v>625</v>
      </c>
      <c r="L630" s="38">
        <f t="shared" si="65"/>
        <v>-309</v>
      </c>
    </row>
    <row r="631" spans="1:12">
      <c r="A631" s="147" t="s">
        <v>682</v>
      </c>
      <c r="B631" s="160" t="s">
        <v>1751</v>
      </c>
      <c r="C631" s="160" t="s">
        <v>1670</v>
      </c>
      <c r="D631" s="147" t="s">
        <v>12</v>
      </c>
      <c r="E631" s="147" t="str">
        <f t="shared" si="62"/>
        <v>SavannahMersin</v>
      </c>
      <c r="F631" s="167">
        <v>1224</v>
      </c>
      <c r="G631" s="148">
        <f>COSTS!$AA$29</f>
        <v>350</v>
      </c>
      <c r="H631" s="149">
        <f t="shared" si="67"/>
        <v>1574</v>
      </c>
      <c r="I631" s="150">
        <f>H631/88*20</f>
        <v>357.72727272727275</v>
      </c>
      <c r="J631" s="162">
        <v>46044</v>
      </c>
      <c r="K631" s="149">
        <v>1250</v>
      </c>
      <c r="L631" s="38">
        <f t="shared" si="65"/>
        <v>-26</v>
      </c>
    </row>
    <row r="632" spans="1:12">
      <c r="A632" s="147" t="s">
        <v>682</v>
      </c>
      <c r="B632" s="160" t="s">
        <v>1862</v>
      </c>
      <c r="C632" s="160" t="s">
        <v>1681</v>
      </c>
      <c r="D632" s="147" t="s">
        <v>12</v>
      </c>
      <c r="E632" s="147" t="str">
        <f t="shared" si="62"/>
        <v>SavannahNaco</v>
      </c>
      <c r="F632" s="167" t="s">
        <v>1793</v>
      </c>
      <c r="G632" s="148">
        <f>COSTS!$AA$29</f>
        <v>350</v>
      </c>
      <c r="H632" s="149" t="e">
        <f t="shared" si="67"/>
        <v>#VALUE!</v>
      </c>
      <c r="I632" s="150" t="str">
        <f t="shared" ref="I632:I648" si="68">IFERROR(H632/88*20,"No Quote")</f>
        <v>No Quote</v>
      </c>
      <c r="J632" s="162">
        <v>46044</v>
      </c>
      <c r="K632" s="149">
        <v>1996</v>
      </c>
      <c r="L632" s="38" t="e">
        <f t="shared" si="65"/>
        <v>#VALUE!</v>
      </c>
    </row>
    <row r="633" spans="1:12">
      <c r="A633" s="147" t="s">
        <v>682</v>
      </c>
      <c r="B633" s="160" t="s">
        <v>1787</v>
      </c>
      <c r="C633" s="160" t="s">
        <v>1646</v>
      </c>
      <c r="D633" s="147" t="s">
        <v>12</v>
      </c>
      <c r="E633" s="147" t="str">
        <f t="shared" si="62"/>
        <v>SavannahNagoya</v>
      </c>
      <c r="F633" s="167">
        <v>256</v>
      </c>
      <c r="G633" s="148">
        <f>COSTS!$AA$29</f>
        <v>350</v>
      </c>
      <c r="H633" s="149">
        <f t="shared" si="67"/>
        <v>606</v>
      </c>
      <c r="I633" s="150">
        <f t="shared" si="68"/>
        <v>137.72727272727275</v>
      </c>
      <c r="J633" s="162">
        <v>46044</v>
      </c>
      <c r="K633" s="149">
        <v>805</v>
      </c>
      <c r="L633" s="38">
        <f t="shared" si="65"/>
        <v>-549</v>
      </c>
    </row>
    <row r="634" spans="1:12">
      <c r="A634" s="147" t="s">
        <v>682</v>
      </c>
      <c r="B634" s="160" t="s">
        <v>1776</v>
      </c>
      <c r="C634" s="160" t="s">
        <v>1648</v>
      </c>
      <c r="D634" s="147" t="s">
        <v>12</v>
      </c>
      <c r="E634" s="147" t="str">
        <f t="shared" si="62"/>
        <v>SavannahPasir Gudang</v>
      </c>
      <c r="F634" s="167">
        <v>514</v>
      </c>
      <c r="G634" s="148">
        <f>COSTS!$AA$29</f>
        <v>350</v>
      </c>
      <c r="H634" s="149">
        <f t="shared" si="67"/>
        <v>864</v>
      </c>
      <c r="I634" s="150">
        <f t="shared" si="68"/>
        <v>196.36363636363637</v>
      </c>
      <c r="J634" s="162">
        <v>46044</v>
      </c>
      <c r="K634" s="149">
        <v>700</v>
      </c>
      <c r="L634" s="38">
        <f t="shared" si="65"/>
        <v>-186</v>
      </c>
    </row>
    <row r="635" spans="1:12">
      <c r="A635" s="147" t="s">
        <v>682</v>
      </c>
      <c r="B635" s="160" t="s">
        <v>1742</v>
      </c>
      <c r="C635" s="160" t="s">
        <v>1648</v>
      </c>
      <c r="D635" s="147" t="s">
        <v>12</v>
      </c>
      <c r="E635" s="147" t="str">
        <f t="shared" si="62"/>
        <v>SavannahPort Klang</v>
      </c>
      <c r="F635" s="167">
        <v>314</v>
      </c>
      <c r="G635" s="148">
        <f>COSTS!$AA$29</f>
        <v>350</v>
      </c>
      <c r="H635" s="149">
        <f t="shared" si="67"/>
        <v>664</v>
      </c>
      <c r="I635" s="150">
        <f t="shared" si="68"/>
        <v>150.90909090909091</v>
      </c>
      <c r="J635" s="162">
        <v>46057</v>
      </c>
      <c r="K635" s="149">
        <v>650</v>
      </c>
      <c r="L635" s="38">
        <f t="shared" si="65"/>
        <v>-336</v>
      </c>
    </row>
    <row r="636" spans="1:12">
      <c r="A636" s="147" t="s">
        <v>682</v>
      </c>
      <c r="B636" s="160" t="s">
        <v>1849</v>
      </c>
      <c r="C636" s="160" t="s">
        <v>1681</v>
      </c>
      <c r="D636" s="147" t="s">
        <v>12</v>
      </c>
      <c r="E636" s="147" t="str">
        <f t="shared" si="62"/>
        <v>SavannahPuerto Cortes, Honduras</v>
      </c>
      <c r="F636" s="167">
        <v>2690</v>
      </c>
      <c r="G636" s="148">
        <f>COSTS!$AA$29</f>
        <v>350</v>
      </c>
      <c r="H636" s="149">
        <f t="shared" si="67"/>
        <v>3040</v>
      </c>
      <c r="I636" s="150">
        <f t="shared" si="68"/>
        <v>690.90909090909099</v>
      </c>
      <c r="J636" s="162">
        <v>46044</v>
      </c>
      <c r="K636" s="149" t="s">
        <v>1793</v>
      </c>
      <c r="L636" s="38" t="e">
        <f t="shared" si="65"/>
        <v>#VALUE!</v>
      </c>
    </row>
    <row r="637" spans="1:12">
      <c r="A637" s="147" t="s">
        <v>682</v>
      </c>
      <c r="B637" s="160" t="s">
        <v>1861</v>
      </c>
      <c r="C637" s="160" t="s">
        <v>1681</v>
      </c>
      <c r="D637" s="147" t="s">
        <v>12</v>
      </c>
      <c r="E637" s="147" t="str">
        <f t="shared" si="62"/>
        <v>SavannahSanta Barbara</v>
      </c>
      <c r="F637" s="167" t="s">
        <v>1793</v>
      </c>
      <c r="G637" s="148">
        <f>COSTS!$AA$29</f>
        <v>350</v>
      </c>
      <c r="H637" s="149" t="e">
        <f t="shared" si="67"/>
        <v>#VALUE!</v>
      </c>
      <c r="I637" s="150" t="str">
        <f t="shared" si="68"/>
        <v>No Quote</v>
      </c>
      <c r="J637" s="162">
        <v>46044</v>
      </c>
      <c r="K637" s="149" t="s">
        <v>1793</v>
      </c>
      <c r="L637" s="38" t="e">
        <f t="shared" si="65"/>
        <v>#VALUE!</v>
      </c>
    </row>
    <row r="638" spans="1:12">
      <c r="A638" s="147" t="s">
        <v>682</v>
      </c>
      <c r="B638" s="160" t="s">
        <v>1747</v>
      </c>
      <c r="C638" s="160" t="s">
        <v>1658</v>
      </c>
      <c r="D638" s="147" t="s">
        <v>12</v>
      </c>
      <c r="E638" s="147" t="str">
        <f t="shared" si="62"/>
        <v>SavannahSemarang</v>
      </c>
      <c r="F638" s="167">
        <v>788</v>
      </c>
      <c r="G638" s="148">
        <f>COSTS!$AA$29</f>
        <v>350</v>
      </c>
      <c r="H638" s="149">
        <f t="shared" si="67"/>
        <v>1138</v>
      </c>
      <c r="I638" s="150">
        <f t="shared" si="68"/>
        <v>258.63636363636363</v>
      </c>
      <c r="J638" s="162">
        <v>46044</v>
      </c>
      <c r="K638" s="149">
        <v>800</v>
      </c>
      <c r="L638" s="38">
        <f t="shared" si="65"/>
        <v>-12</v>
      </c>
    </row>
    <row r="639" spans="1:12">
      <c r="A639" s="147" t="s">
        <v>682</v>
      </c>
      <c r="B639" s="160" t="s">
        <v>1748</v>
      </c>
      <c r="C639" s="160" t="s">
        <v>1658</v>
      </c>
      <c r="D639" s="147" t="s">
        <v>12</v>
      </c>
      <c r="E639" s="147" t="str">
        <f t="shared" si="62"/>
        <v>SavannahSurabaya</v>
      </c>
      <c r="F639" s="167">
        <v>625</v>
      </c>
      <c r="G639" s="148">
        <f>COSTS!$AA$29</f>
        <v>350</v>
      </c>
      <c r="H639" s="149">
        <f t="shared" si="67"/>
        <v>975</v>
      </c>
      <c r="I639" s="150">
        <f t="shared" si="68"/>
        <v>221.59090909090909</v>
      </c>
      <c r="J639" s="162">
        <v>46044</v>
      </c>
      <c r="K639" s="149">
        <v>800</v>
      </c>
      <c r="L639" s="38">
        <f t="shared" si="65"/>
        <v>-175</v>
      </c>
    </row>
    <row r="640" spans="1:12">
      <c r="A640" s="147" t="s">
        <v>682</v>
      </c>
      <c r="B640" s="160" t="s">
        <v>1781</v>
      </c>
      <c r="C640" s="160" t="s">
        <v>1652</v>
      </c>
      <c r="D640" s="147" t="s">
        <v>12</v>
      </c>
      <c r="E640" s="147" t="str">
        <f t="shared" si="62"/>
        <v>SavannahTaichung</v>
      </c>
      <c r="F640" s="167">
        <v>158</v>
      </c>
      <c r="G640" s="148">
        <f>COSTS!$AA$29</f>
        <v>350</v>
      </c>
      <c r="H640" s="149">
        <f t="shared" si="67"/>
        <v>508</v>
      </c>
      <c r="I640" s="150">
        <f t="shared" si="68"/>
        <v>115.45454545454545</v>
      </c>
      <c r="J640" s="162">
        <v>46044</v>
      </c>
      <c r="K640" s="149">
        <v>385</v>
      </c>
      <c r="L640" s="38">
        <f t="shared" si="65"/>
        <v>-227</v>
      </c>
    </row>
    <row r="641" spans="1:12">
      <c r="A641" s="147" t="s">
        <v>682</v>
      </c>
      <c r="B641" s="160" t="s">
        <v>1798</v>
      </c>
      <c r="C641" s="160" t="s">
        <v>1652</v>
      </c>
      <c r="D641" s="147" t="s">
        <v>12</v>
      </c>
      <c r="E641" s="147" t="str">
        <f t="shared" si="62"/>
        <v>SavannahTao Yuan</v>
      </c>
      <c r="F641" s="167">
        <v>324</v>
      </c>
      <c r="G641" s="148">
        <f>COSTS!$AA$29</f>
        <v>350</v>
      </c>
      <c r="H641" s="149">
        <f t="shared" si="67"/>
        <v>674</v>
      </c>
      <c r="I641" s="150">
        <f t="shared" si="68"/>
        <v>153.18181818181819</v>
      </c>
      <c r="J641" s="162">
        <v>46044</v>
      </c>
      <c r="K641" s="149">
        <v>620</v>
      </c>
      <c r="L641" s="38">
        <f t="shared" si="65"/>
        <v>-296</v>
      </c>
    </row>
    <row r="642" spans="1:12">
      <c r="A642" s="147" t="s">
        <v>682</v>
      </c>
      <c r="B642" s="160" t="s">
        <v>1786</v>
      </c>
      <c r="C642" s="160" t="s">
        <v>1648</v>
      </c>
      <c r="D642" s="147" t="s">
        <v>12</v>
      </c>
      <c r="E642" s="147" t="str">
        <f t="shared" si="62"/>
        <v>SavannahPenang</v>
      </c>
      <c r="F642" s="167">
        <v>410</v>
      </c>
      <c r="G642" s="148">
        <f>COSTS!$AA$29</f>
        <v>350</v>
      </c>
      <c r="H642" s="149">
        <f t="shared" si="67"/>
        <v>760</v>
      </c>
      <c r="I642" s="150">
        <f t="shared" si="68"/>
        <v>172.72727272727275</v>
      </c>
      <c r="J642" s="162">
        <v>46044</v>
      </c>
      <c r="K642" s="149">
        <v>700</v>
      </c>
      <c r="L642" s="38">
        <f t="shared" si="65"/>
        <v>-290</v>
      </c>
    </row>
    <row r="643" spans="1:12">
      <c r="A643" s="147" t="s">
        <v>682</v>
      </c>
      <c r="B643" s="159" t="s">
        <v>1733</v>
      </c>
      <c r="C643" s="160" t="s">
        <v>1637</v>
      </c>
      <c r="D643" s="147" t="s">
        <v>12</v>
      </c>
      <c r="E643" s="147" t="str">
        <f t="shared" si="62"/>
        <v>SavannahXiamen</v>
      </c>
      <c r="F643" s="167">
        <v>301</v>
      </c>
      <c r="G643" s="148">
        <f>COSTS!$AA$29</f>
        <v>350</v>
      </c>
      <c r="H643" s="149">
        <f t="shared" si="67"/>
        <v>651</v>
      </c>
      <c r="I643" s="150">
        <f t="shared" si="68"/>
        <v>147.95454545454544</v>
      </c>
      <c r="J643" s="162">
        <v>46044</v>
      </c>
      <c r="K643" s="149">
        <v>747</v>
      </c>
      <c r="L643" s="38">
        <f t="shared" si="65"/>
        <v>-446</v>
      </c>
    </row>
    <row r="644" spans="1:12">
      <c r="A644" s="147" t="s">
        <v>682</v>
      </c>
      <c r="B644" s="160" t="s">
        <v>1824</v>
      </c>
      <c r="C644" s="160" t="s">
        <v>1668</v>
      </c>
      <c r="D644" s="147" t="s">
        <v>12</v>
      </c>
      <c r="E644" s="147" t="str">
        <f t="shared" si="62"/>
        <v>SavannahCochin</v>
      </c>
      <c r="F644" s="167">
        <v>1764</v>
      </c>
      <c r="G644" s="148">
        <f>COSTS!$AA$29</f>
        <v>350</v>
      </c>
      <c r="H644" s="149">
        <f t="shared" si="67"/>
        <v>2114</v>
      </c>
      <c r="I644" s="150">
        <f t="shared" si="68"/>
        <v>480.4545454545455</v>
      </c>
      <c r="J644" s="162">
        <v>46057</v>
      </c>
      <c r="K644" s="149">
        <v>2250</v>
      </c>
      <c r="L644" s="38">
        <f t="shared" ref="L644:L649" si="69">F644-K644</f>
        <v>-486</v>
      </c>
    </row>
    <row r="645" spans="1:12">
      <c r="A645" s="147" t="s">
        <v>682</v>
      </c>
      <c r="B645" s="136" t="s">
        <v>1726</v>
      </c>
      <c r="C645" s="160" t="s">
        <v>1668</v>
      </c>
      <c r="D645" s="147" t="s">
        <v>12</v>
      </c>
      <c r="E645" s="147" t="str">
        <f t="shared" si="62"/>
        <v>SavannahMundra</v>
      </c>
      <c r="F645" s="167">
        <v>747</v>
      </c>
      <c r="G645" s="148">
        <f>COSTS!$AA$29</f>
        <v>350</v>
      </c>
      <c r="H645" s="149">
        <f t="shared" si="67"/>
        <v>1097</v>
      </c>
      <c r="I645" s="150">
        <f t="shared" si="68"/>
        <v>249.31818181818184</v>
      </c>
      <c r="J645" s="162">
        <v>46044</v>
      </c>
      <c r="K645" s="149">
        <v>1200</v>
      </c>
      <c r="L645" s="38">
        <f t="shared" si="69"/>
        <v>-453</v>
      </c>
    </row>
    <row r="646" spans="1:12">
      <c r="A646" s="147" t="s">
        <v>682</v>
      </c>
      <c r="B646" s="136" t="s">
        <v>1725</v>
      </c>
      <c r="C646" s="160" t="s">
        <v>1668</v>
      </c>
      <c r="D646" s="147" t="s">
        <v>12</v>
      </c>
      <c r="E646" s="147" t="str">
        <f t="shared" si="62"/>
        <v>SavannahNhava Sheva</v>
      </c>
      <c r="F646" s="167">
        <v>747</v>
      </c>
      <c r="G646" s="148">
        <f>COSTS!$AA$29</f>
        <v>350</v>
      </c>
      <c r="H646" s="149">
        <f t="shared" si="67"/>
        <v>1097</v>
      </c>
      <c r="I646" s="150">
        <f t="shared" si="68"/>
        <v>249.31818181818184</v>
      </c>
      <c r="J646" s="162">
        <v>46044</v>
      </c>
      <c r="K646" s="149">
        <v>1450</v>
      </c>
      <c r="L646" s="38">
        <f t="shared" si="69"/>
        <v>-703</v>
      </c>
    </row>
    <row r="647" spans="1:12">
      <c r="A647" s="147" t="s">
        <v>682</v>
      </c>
      <c r="B647" s="160" t="s">
        <v>1825</v>
      </c>
      <c r="C647" s="160" t="s">
        <v>1826</v>
      </c>
      <c r="D647" s="147" t="s">
        <v>12</v>
      </c>
      <c r="E647" s="147" t="str">
        <f t="shared" si="62"/>
        <v>SavannahPipavav</v>
      </c>
      <c r="F647" s="167">
        <v>1420</v>
      </c>
      <c r="G647" s="148">
        <f>COSTS!$AA$29</f>
        <v>350</v>
      </c>
      <c r="H647" s="149">
        <f t="shared" si="67"/>
        <v>1770</v>
      </c>
      <c r="I647" s="150">
        <f t="shared" si="68"/>
        <v>402.27272727272725</v>
      </c>
      <c r="J647" s="162">
        <v>46044</v>
      </c>
      <c r="K647" s="149">
        <v>1700</v>
      </c>
      <c r="L647" s="38">
        <f t="shared" si="69"/>
        <v>-280</v>
      </c>
    </row>
    <row r="648" spans="1:12">
      <c r="A648" s="147" t="s">
        <v>682</v>
      </c>
      <c r="B648" s="160" t="s">
        <v>1727</v>
      </c>
      <c r="C648" s="160" t="s">
        <v>1668</v>
      </c>
      <c r="D648" s="147" t="s">
        <v>12</v>
      </c>
      <c r="E648" s="147" t="str">
        <f t="shared" si="62"/>
        <v>SavannahTuticorin</v>
      </c>
      <c r="F648" s="167">
        <v>1420</v>
      </c>
      <c r="G648" s="148">
        <f>COSTS!$AA$29</f>
        <v>350</v>
      </c>
      <c r="H648" s="149">
        <f t="shared" si="67"/>
        <v>1770</v>
      </c>
      <c r="I648" s="150">
        <f t="shared" si="68"/>
        <v>402.27272727272725</v>
      </c>
      <c r="J648" s="162">
        <v>46044</v>
      </c>
      <c r="K648" s="149">
        <v>1575</v>
      </c>
      <c r="L648" s="38">
        <f t="shared" si="69"/>
        <v>-155</v>
      </c>
    </row>
    <row r="649" spans="1:12">
      <c r="A649" s="1" t="s">
        <v>1724</v>
      </c>
      <c r="B649" s="136" t="s">
        <v>1787</v>
      </c>
      <c r="C649" s="136" t="s">
        <v>1646</v>
      </c>
      <c r="D649" s="147" t="s">
        <v>12</v>
      </c>
      <c r="E649" s="1" t="str">
        <f t="shared" ref="E649" si="70">CONCATENATE(,A649,B649)</f>
        <v>AUSNagoya</v>
      </c>
      <c r="F649" s="1">
        <v>952</v>
      </c>
      <c r="G649" s="148"/>
      <c r="H649" s="149">
        <f t="shared" si="67"/>
        <v>952</v>
      </c>
      <c r="I649" s="148">
        <f t="shared" ref="I649" si="71">(H649/25)/0.22046</f>
        <v>172.72974689286039</v>
      </c>
      <c r="J649" s="151">
        <v>45953</v>
      </c>
      <c r="K649" s="1">
        <v>952</v>
      </c>
      <c r="L649" s="38">
        <f t="shared" si="69"/>
        <v>0</v>
      </c>
    </row>
  </sheetData>
  <autoFilter ref="A3:S649" xr:uid="{041481F1-AD3E-4200-A7F4-ACE0122BC8A2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47BB-78A4-4452-A0B4-939D79D7780D}">
  <sheetPr>
    <tabColor rgb="FFC00000"/>
  </sheetPr>
  <dimension ref="A1:AY51"/>
  <sheetViews>
    <sheetView topLeftCell="X1" workbookViewId="0">
      <selection activeCell="AS39" sqref="AS39"/>
    </sheetView>
  </sheetViews>
  <sheetFormatPr defaultColWidth="9.453125" defaultRowHeight="12"/>
  <cols>
    <col min="1" max="1" width="4.7265625" style="1" customWidth="1"/>
    <col min="2" max="2" width="10" style="1" bestFit="1" customWidth="1"/>
    <col min="3" max="3" width="7.54296875" style="1" customWidth="1"/>
    <col min="4" max="4" width="5" style="1" bestFit="1" customWidth="1"/>
    <col min="5" max="5" width="11.54296875" style="1" customWidth="1"/>
    <col min="6" max="6" width="8" style="1" customWidth="1"/>
    <col min="7" max="7" width="7.7265625" style="1" customWidth="1"/>
    <col min="8" max="8" width="9" style="1" bestFit="1" customWidth="1"/>
    <col min="9" max="9" width="10" style="1" bestFit="1" customWidth="1"/>
    <col min="10" max="10" width="11.1796875" style="1" customWidth="1"/>
    <col min="11" max="11" width="7.81640625" style="1" bestFit="1" customWidth="1"/>
    <col min="12" max="12" width="5.26953125" style="1" bestFit="1" customWidth="1"/>
    <col min="13" max="13" width="4.1796875" style="1" bestFit="1" customWidth="1"/>
    <col min="14" max="14" width="9.1796875" style="1" bestFit="1" customWidth="1"/>
    <col min="15" max="15" width="4.26953125" style="1" bestFit="1" customWidth="1"/>
    <col min="16" max="16" width="5.81640625" style="1" bestFit="1" customWidth="1"/>
    <col min="17" max="17" width="8.54296875" style="1" bestFit="1" customWidth="1"/>
    <col min="18" max="18" width="6" style="1" bestFit="1" customWidth="1"/>
    <col min="19" max="19" width="9" style="1" bestFit="1" customWidth="1"/>
    <col min="20" max="20" width="4.54296875" style="1" bestFit="1" customWidth="1"/>
    <col min="21" max="21" width="8.81640625" style="1" customWidth="1"/>
    <col min="22" max="22" width="6" style="1" bestFit="1" customWidth="1"/>
    <col min="23" max="23" width="4.54296875" style="1" bestFit="1" customWidth="1"/>
    <col min="24" max="24" width="11.1796875" style="1" bestFit="1" customWidth="1"/>
    <col min="25" max="25" width="5.54296875" style="1" bestFit="1" customWidth="1"/>
    <col min="26" max="26" width="10.1796875" style="1" bestFit="1" customWidth="1"/>
    <col min="27" max="27" width="12.26953125" style="1" customWidth="1"/>
    <col min="28" max="28" width="2.453125" style="1" customWidth="1"/>
    <col min="29" max="29" width="5.54296875" style="1" customWidth="1"/>
    <col min="30" max="30" width="5.453125" style="1" customWidth="1"/>
    <col min="31" max="31" width="9.453125" style="1"/>
    <col min="32" max="32" width="9.81640625" style="1" customWidth="1"/>
    <col min="33" max="33" width="8.54296875" style="1" bestFit="1" customWidth="1"/>
    <col min="34" max="34" width="10.26953125" style="1" bestFit="1" customWidth="1"/>
    <col min="35" max="35" width="5.7265625" style="1" bestFit="1" customWidth="1"/>
    <col min="36" max="36" width="9.453125" style="1"/>
    <col min="37" max="37" width="14.453125" style="1" customWidth="1"/>
    <col min="38" max="38" width="9.453125" style="1"/>
    <col min="39" max="39" width="11.54296875" style="1" customWidth="1"/>
    <col min="40" max="40" width="11.453125" style="1" customWidth="1"/>
    <col min="41" max="41" width="10.81640625" style="1" customWidth="1"/>
    <col min="42" max="42" width="10.453125" style="1" customWidth="1"/>
    <col min="43" max="16384" width="9.453125" style="1"/>
  </cols>
  <sheetData>
    <row r="1" spans="1:51" ht="12.5" thickBot="1">
      <c r="C1" s="1" t="s">
        <v>2019</v>
      </c>
      <c r="I1" s="205" t="s">
        <v>2020</v>
      </c>
      <c r="J1" s="268">
        <v>1000</v>
      </c>
      <c r="AE1" s="269"/>
      <c r="AF1" s="269"/>
      <c r="AG1" s="269"/>
      <c r="AH1" s="269"/>
      <c r="AJ1" s="147"/>
      <c r="AK1" s="147"/>
      <c r="AL1" s="147"/>
      <c r="AM1" s="147"/>
      <c r="AN1" s="147"/>
      <c r="AO1" s="147"/>
      <c r="AP1" s="147"/>
      <c r="AQ1" s="147"/>
      <c r="AR1" s="147"/>
    </row>
    <row r="2" spans="1:51" ht="12.5" thickBot="1">
      <c r="AE2" s="269"/>
      <c r="AF2" s="269"/>
      <c r="AG2" s="270">
        <f>COSTS!W3</f>
        <v>0.7</v>
      </c>
      <c r="AH2" s="270" t="s">
        <v>2021</v>
      </c>
      <c r="AI2" s="270" t="s">
        <v>2022</v>
      </c>
      <c r="AJ2" s="147"/>
      <c r="AK2" s="147"/>
      <c r="AL2" s="147"/>
      <c r="AM2" s="147"/>
      <c r="AN2" s="147"/>
      <c r="AO2" s="271">
        <f>65.09+12</f>
        <v>77.09</v>
      </c>
      <c r="AP2" s="271" t="s">
        <v>2021</v>
      </c>
      <c r="AQ2" s="271" t="s">
        <v>2022</v>
      </c>
      <c r="AR2" s="729" t="s">
        <v>2199</v>
      </c>
      <c r="AS2" s="729"/>
      <c r="AT2" s="729"/>
      <c r="AU2" s="730" t="s">
        <v>2197</v>
      </c>
      <c r="AV2" s="730"/>
      <c r="AW2" s="730"/>
    </row>
    <row r="3" spans="1:51" ht="12.75" customHeight="1" thickBot="1">
      <c r="C3" s="272" t="s">
        <v>2023</v>
      </c>
      <c r="D3" s="272" t="s">
        <v>2024</v>
      </c>
      <c r="E3" s="272" t="s">
        <v>2025</v>
      </c>
      <c r="F3" s="272" t="s">
        <v>2026</v>
      </c>
      <c r="G3" s="272" t="s">
        <v>2027</v>
      </c>
      <c r="H3" s="272" t="s">
        <v>2028</v>
      </c>
      <c r="I3" s="272" t="s">
        <v>2029</v>
      </c>
      <c r="J3" s="272" t="s">
        <v>2030</v>
      </c>
      <c r="K3" s="272" t="s">
        <v>2031</v>
      </c>
      <c r="L3" s="272" t="s">
        <v>2032</v>
      </c>
      <c r="M3" s="272" t="s">
        <v>2033</v>
      </c>
      <c r="N3" s="272" t="s">
        <v>2034</v>
      </c>
      <c r="O3" s="272" t="s">
        <v>2035</v>
      </c>
      <c r="P3" s="272" t="s">
        <v>2036</v>
      </c>
      <c r="Q3" s="272" t="s">
        <v>2037</v>
      </c>
      <c r="R3" s="272" t="s">
        <v>2038</v>
      </c>
      <c r="S3" s="272" t="s">
        <v>2039</v>
      </c>
      <c r="T3" s="272" t="s">
        <v>2040</v>
      </c>
      <c r="U3" s="272" t="s">
        <v>2041</v>
      </c>
      <c r="V3" s="272" t="s">
        <v>2042</v>
      </c>
      <c r="W3" s="272" t="s">
        <v>2043</v>
      </c>
      <c r="X3" s="272" t="s">
        <v>2044</v>
      </c>
      <c r="Y3" s="272" t="s">
        <v>2045</v>
      </c>
      <c r="Z3" s="272" t="s">
        <v>2046</v>
      </c>
      <c r="AA3" s="276" t="s">
        <v>2050</v>
      </c>
      <c r="AB3" s="273"/>
      <c r="AF3" s="274" t="s">
        <v>2047</v>
      </c>
      <c r="AG3" s="205" t="s">
        <v>2048</v>
      </c>
      <c r="AH3" s="205" t="s">
        <v>2049</v>
      </c>
      <c r="AJ3" s="147"/>
      <c r="AK3" s="263" t="s">
        <v>1912</v>
      </c>
      <c r="AL3" s="264"/>
      <c r="AM3" s="265" t="s">
        <v>1635</v>
      </c>
      <c r="AN3" s="275" t="s">
        <v>2047</v>
      </c>
      <c r="AO3" s="271" t="s">
        <v>2048</v>
      </c>
      <c r="AP3" s="271" t="s">
        <v>2049</v>
      </c>
      <c r="AQ3" s="147"/>
      <c r="AR3" s="147" t="s">
        <v>2200</v>
      </c>
      <c r="AS3" s="147" t="s">
        <v>1629</v>
      </c>
      <c r="AT3" s="1" t="s">
        <v>2201</v>
      </c>
      <c r="AU3" s="147" t="s">
        <v>2200</v>
      </c>
      <c r="AV3" s="147" t="s">
        <v>1629</v>
      </c>
      <c r="AW3" s="1" t="s">
        <v>2201</v>
      </c>
    </row>
    <row r="4" spans="1:51" ht="12.5" thickBot="1">
      <c r="A4" s="204">
        <v>1</v>
      </c>
      <c r="B4" s="205" t="s">
        <v>1638</v>
      </c>
      <c r="C4" s="276">
        <v>40</v>
      </c>
      <c r="D4" s="277">
        <v>16</v>
      </c>
      <c r="E4" s="276">
        <v>60</v>
      </c>
      <c r="F4" s="277">
        <v>35</v>
      </c>
      <c r="G4" s="276">
        <v>30</v>
      </c>
      <c r="H4" s="276">
        <v>40</v>
      </c>
      <c r="I4" s="276">
        <v>15</v>
      </c>
      <c r="J4" s="276">
        <v>55</v>
      </c>
      <c r="K4" s="276">
        <v>25</v>
      </c>
      <c r="L4" s="276">
        <v>35</v>
      </c>
      <c r="M4" s="276">
        <v>35</v>
      </c>
      <c r="N4" s="276">
        <v>30</v>
      </c>
      <c r="O4" s="276">
        <v>50</v>
      </c>
      <c r="P4" s="276">
        <v>20</v>
      </c>
      <c r="Q4" s="276">
        <v>50</v>
      </c>
      <c r="R4" s="276">
        <v>30</v>
      </c>
      <c r="S4" s="276">
        <v>55</v>
      </c>
      <c r="T4" s="276">
        <v>25</v>
      </c>
      <c r="U4" s="276">
        <v>65</v>
      </c>
      <c r="V4" s="277">
        <v>30</v>
      </c>
      <c r="W4" s="277">
        <v>45</v>
      </c>
      <c r="X4" s="276">
        <v>60</v>
      </c>
      <c r="Y4" s="276">
        <v>80</v>
      </c>
      <c r="Z4" s="276">
        <v>50</v>
      </c>
      <c r="AB4" s="278"/>
      <c r="AD4" s="204">
        <v>1</v>
      </c>
      <c r="AE4" s="205" t="s">
        <v>1638</v>
      </c>
      <c r="AF4" s="279">
        <f>AVERAGE(D4,V4,F4)</f>
        <v>27</v>
      </c>
      <c r="AG4" s="280">
        <f>AF4*0.01%</f>
        <v>2.7000000000000001E-3</v>
      </c>
      <c r="AH4" s="38">
        <v>21</v>
      </c>
      <c r="AI4" s="1">
        <v>5</v>
      </c>
      <c r="AJ4" s="147">
        <v>2</v>
      </c>
      <c r="AK4" s="206" t="s">
        <v>1637</v>
      </c>
      <c r="AL4" s="206" t="s">
        <v>1638</v>
      </c>
      <c r="AM4" s="211" t="s">
        <v>1729</v>
      </c>
      <c r="AN4" s="281">
        <f>_xlfn.XLOOKUP(AL4, AE$4:AE$23, AF$4:AF$23, "",0)</f>
        <v>27</v>
      </c>
      <c r="AO4" s="282">
        <f t="shared" ref="AO4:AO44" si="0">AN4*0.01%</f>
        <v>2.7000000000000001E-3</v>
      </c>
      <c r="AP4" s="282">
        <f t="shared" ref="AP4:AP44" si="1">(AO4*AO$2)*100</f>
        <v>20.814300000000003</v>
      </c>
      <c r="AQ4" s="147"/>
      <c r="AR4" s="147">
        <v>35</v>
      </c>
      <c r="AS4" s="1">
        <v>16</v>
      </c>
      <c r="AT4" s="1">
        <f>AR4+AS4</f>
        <v>51</v>
      </c>
      <c r="AV4" s="1">
        <v>16</v>
      </c>
      <c r="AW4" s="1">
        <f>AU4+AV4</f>
        <v>16</v>
      </c>
    </row>
    <row r="5" spans="1:51" ht="12.5" thickBot="1">
      <c r="A5" s="210">
        <v>5</v>
      </c>
      <c r="B5" s="205" t="s">
        <v>1641</v>
      </c>
      <c r="C5" s="276">
        <v>60</v>
      </c>
      <c r="D5" s="276">
        <v>65</v>
      </c>
      <c r="E5" s="276">
        <v>150</v>
      </c>
      <c r="F5" s="276">
        <v>80</v>
      </c>
      <c r="G5" s="276">
        <v>155</v>
      </c>
      <c r="H5" s="276">
        <v>55</v>
      </c>
      <c r="I5" s="276"/>
      <c r="J5" s="276">
        <v>100</v>
      </c>
      <c r="K5" s="276">
        <v>70</v>
      </c>
      <c r="L5" s="276">
        <v>60</v>
      </c>
      <c r="M5" s="276">
        <v>60</v>
      </c>
      <c r="N5" s="276">
        <v>45</v>
      </c>
      <c r="O5" s="276">
        <v>90</v>
      </c>
      <c r="P5" s="276">
        <v>70</v>
      </c>
      <c r="Q5" s="276">
        <v>90</v>
      </c>
      <c r="R5" s="276"/>
      <c r="S5" s="276">
        <v>120</v>
      </c>
      <c r="T5" s="276">
        <v>70</v>
      </c>
      <c r="U5" s="276">
        <v>85</v>
      </c>
      <c r="V5" s="276">
        <v>70</v>
      </c>
      <c r="W5" s="276">
        <v>115</v>
      </c>
      <c r="X5" s="276"/>
      <c r="Y5" s="276"/>
      <c r="Z5" s="276">
        <v>100</v>
      </c>
      <c r="AB5" s="273"/>
      <c r="AD5" s="210">
        <v>5</v>
      </c>
      <c r="AE5" s="205" t="s">
        <v>1641</v>
      </c>
      <c r="AF5" s="283" cm="1">
        <f t="array" ref="AF5">AVERAGE(SMALL(C5:Z5,{1,2,3}))</f>
        <v>53.333333333333336</v>
      </c>
      <c r="AG5" s="280">
        <f t="shared" ref="AG5:AG6" si="2">AF5*0.01%</f>
        <v>5.333333333333334E-3</v>
      </c>
      <c r="AH5" s="38">
        <f>(AG5*AG$2)*100</f>
        <v>0.37333333333333335</v>
      </c>
      <c r="AJ5" s="147"/>
      <c r="AK5" s="211"/>
      <c r="AL5" s="206" t="s">
        <v>1638</v>
      </c>
      <c r="AM5" s="211" t="s">
        <v>1733</v>
      </c>
      <c r="AN5" s="281">
        <f t="shared" ref="AN5:AN46" si="3">_xlfn.XLOOKUP(AL5, AE$4:AE$23, AF$4:AF$23, "",0)</f>
        <v>27</v>
      </c>
      <c r="AO5" s="282">
        <f t="shared" si="0"/>
        <v>2.7000000000000001E-3</v>
      </c>
      <c r="AP5" s="282">
        <f t="shared" si="1"/>
        <v>20.814300000000003</v>
      </c>
      <c r="AQ5" s="147"/>
      <c r="AR5" s="147"/>
      <c r="AY5" s="1" t="s">
        <v>1958</v>
      </c>
    </row>
    <row r="6" spans="1:51" ht="12.5" thickBot="1">
      <c r="A6" s="210">
        <v>6</v>
      </c>
      <c r="B6" s="205" t="s">
        <v>1645</v>
      </c>
      <c r="C6" s="276">
        <v>30</v>
      </c>
      <c r="D6" s="276">
        <v>50</v>
      </c>
      <c r="E6" s="276">
        <v>70</v>
      </c>
      <c r="F6" s="276">
        <v>30</v>
      </c>
      <c r="G6" s="276">
        <v>15</v>
      </c>
      <c r="H6" s="276">
        <v>40</v>
      </c>
      <c r="I6" s="276">
        <v>5</v>
      </c>
      <c r="J6" s="276">
        <v>55</v>
      </c>
      <c r="K6" s="276">
        <v>20</v>
      </c>
      <c r="L6" s="276">
        <v>28</v>
      </c>
      <c r="M6" s="276">
        <v>40</v>
      </c>
      <c r="N6" s="276">
        <v>20</v>
      </c>
      <c r="O6" s="276">
        <v>50</v>
      </c>
      <c r="P6" s="276">
        <v>20</v>
      </c>
      <c r="Q6" s="276">
        <v>25</v>
      </c>
      <c r="R6" s="276">
        <v>30</v>
      </c>
      <c r="S6" s="276">
        <v>55</v>
      </c>
      <c r="T6" s="276">
        <v>25</v>
      </c>
      <c r="U6" s="276">
        <v>25</v>
      </c>
      <c r="V6" s="276">
        <v>35</v>
      </c>
      <c r="W6" s="276"/>
      <c r="X6" s="276"/>
      <c r="Y6" s="276">
        <v>20</v>
      </c>
      <c r="Z6" s="276">
        <v>50</v>
      </c>
      <c r="AB6" s="273"/>
      <c r="AD6" s="210">
        <v>6</v>
      </c>
      <c r="AE6" s="205" t="s">
        <v>1645</v>
      </c>
      <c r="AF6" s="283" cm="1">
        <f t="array" ref="AF6">AVERAGE(SMALL(C6:Z6,{1,2,3}))</f>
        <v>13.333333333333334</v>
      </c>
      <c r="AG6" s="280">
        <f t="shared" si="2"/>
        <v>1.3333333333333335E-3</v>
      </c>
      <c r="AH6" s="38">
        <f>(AG6*AG$2)*100</f>
        <v>9.3333333333333338E-2</v>
      </c>
      <c r="AJ6" s="147"/>
      <c r="AK6" s="211"/>
      <c r="AL6" s="206" t="s">
        <v>1638</v>
      </c>
      <c r="AM6" s="211" t="s">
        <v>1768</v>
      </c>
      <c r="AN6" s="281">
        <f t="shared" si="3"/>
        <v>27</v>
      </c>
      <c r="AO6" s="282">
        <f t="shared" si="0"/>
        <v>2.7000000000000001E-3</v>
      </c>
      <c r="AP6" s="282">
        <f t="shared" si="1"/>
        <v>20.814300000000003</v>
      </c>
      <c r="AQ6" s="147"/>
      <c r="AR6" s="147"/>
    </row>
    <row r="7" spans="1:51" ht="12.5" thickBot="1">
      <c r="A7" s="210">
        <v>7</v>
      </c>
      <c r="B7" s="284" t="s">
        <v>1647</v>
      </c>
      <c r="C7" s="276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B7" s="273"/>
      <c r="AD7" s="210">
        <v>7</v>
      </c>
      <c r="AE7" s="205" t="s">
        <v>1647</v>
      </c>
      <c r="AF7" s="283"/>
      <c r="AG7" s="280"/>
      <c r="AH7" s="38"/>
      <c r="AJ7" s="147"/>
      <c r="AK7" s="220" t="s">
        <v>1640</v>
      </c>
      <c r="AL7" s="220" t="s">
        <v>1641</v>
      </c>
      <c r="AM7" s="222" t="s">
        <v>1801</v>
      </c>
      <c r="AN7" s="281">
        <f t="shared" si="3"/>
        <v>53.333333333333336</v>
      </c>
      <c r="AO7" s="282">
        <f t="shared" si="0"/>
        <v>5.333333333333334E-3</v>
      </c>
      <c r="AP7" s="282">
        <f t="shared" si="1"/>
        <v>41.114666666666672</v>
      </c>
      <c r="AQ7" s="147"/>
      <c r="AR7" s="147">
        <v>34</v>
      </c>
      <c r="AS7" s="1">
        <v>20</v>
      </c>
      <c r="AT7" s="1">
        <f t="shared" ref="AT7:AT34" si="4">AR7+AS7</f>
        <v>54</v>
      </c>
      <c r="AV7" s="1">
        <v>32</v>
      </c>
      <c r="AW7" s="1">
        <f>AU7+AV7</f>
        <v>32</v>
      </c>
    </row>
    <row r="8" spans="1:51" ht="12.5" thickBot="1">
      <c r="A8" s="210">
        <v>8</v>
      </c>
      <c r="B8" s="284" t="s">
        <v>1649</v>
      </c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B8" s="273"/>
      <c r="AD8" s="210">
        <v>8</v>
      </c>
      <c r="AE8" s="205" t="s">
        <v>1649</v>
      </c>
      <c r="AF8" s="283"/>
      <c r="AG8" s="280"/>
      <c r="AH8" s="38"/>
      <c r="AJ8" s="147"/>
      <c r="AK8" s="222"/>
      <c r="AL8" s="220" t="s">
        <v>1641</v>
      </c>
      <c r="AM8" s="222" t="s">
        <v>1803</v>
      </c>
      <c r="AN8" s="281">
        <f t="shared" si="3"/>
        <v>53.333333333333336</v>
      </c>
      <c r="AO8" s="282">
        <f t="shared" si="0"/>
        <v>5.333333333333334E-3</v>
      </c>
      <c r="AP8" s="282">
        <f t="shared" si="1"/>
        <v>41.114666666666672</v>
      </c>
      <c r="AQ8" s="147"/>
      <c r="AR8" s="147"/>
    </row>
    <row r="9" spans="1:51" ht="12.5" thickBot="1">
      <c r="A9" s="210">
        <v>9</v>
      </c>
      <c r="B9" s="205" t="s">
        <v>1653</v>
      </c>
      <c r="C9" s="276">
        <v>20</v>
      </c>
      <c r="D9" s="276">
        <v>45</v>
      </c>
      <c r="E9" s="276">
        <v>90</v>
      </c>
      <c r="F9" s="276">
        <v>35</v>
      </c>
      <c r="G9" s="276">
        <v>20</v>
      </c>
      <c r="H9" s="276">
        <v>40</v>
      </c>
      <c r="I9" s="276">
        <v>15</v>
      </c>
      <c r="J9" s="276">
        <v>55</v>
      </c>
      <c r="K9" s="276">
        <v>20</v>
      </c>
      <c r="L9" s="276">
        <v>35</v>
      </c>
      <c r="M9" s="276">
        <v>40</v>
      </c>
      <c r="N9" s="276">
        <v>30</v>
      </c>
      <c r="O9" s="276">
        <v>50</v>
      </c>
      <c r="P9" s="276">
        <v>40</v>
      </c>
      <c r="Q9" s="276">
        <v>50</v>
      </c>
      <c r="R9" s="276">
        <v>30</v>
      </c>
      <c r="S9" s="276">
        <v>55</v>
      </c>
      <c r="T9" s="276">
        <v>25</v>
      </c>
      <c r="U9" s="276">
        <v>80</v>
      </c>
      <c r="V9" s="276">
        <v>35</v>
      </c>
      <c r="W9" s="276"/>
      <c r="X9" s="276"/>
      <c r="Y9" s="276">
        <v>55</v>
      </c>
      <c r="Z9" s="276">
        <v>250</v>
      </c>
      <c r="AB9" s="273"/>
      <c r="AD9" s="210">
        <v>9</v>
      </c>
      <c r="AE9" s="205" t="s">
        <v>1653</v>
      </c>
      <c r="AF9" s="283" cm="1">
        <f t="array" ref="AF9">AVERAGE(SMALL(C9:Z9,{1,2,3}))</f>
        <v>18.333333333333332</v>
      </c>
      <c r="AG9" s="280">
        <f t="shared" ref="AG9:AG15" si="5">AF9*0.01%</f>
        <v>1.8333333333333333E-3</v>
      </c>
      <c r="AH9" s="38">
        <f t="shared" ref="AH9:AH15" si="6">(AG9*AG$2)*100</f>
        <v>0.12833333333333333</v>
      </c>
      <c r="AJ9" s="147"/>
      <c r="AK9" s="222"/>
      <c r="AL9" s="220" t="s">
        <v>1641</v>
      </c>
      <c r="AM9" s="222" t="s">
        <v>1740</v>
      </c>
      <c r="AN9" s="281">
        <f t="shared" si="3"/>
        <v>53.333333333333336</v>
      </c>
      <c r="AO9" s="282">
        <f t="shared" si="0"/>
        <v>5.333333333333334E-3</v>
      </c>
      <c r="AP9" s="282">
        <f t="shared" si="1"/>
        <v>41.114666666666672</v>
      </c>
      <c r="AQ9" s="147"/>
      <c r="AR9" s="147"/>
    </row>
    <row r="10" spans="1:51" ht="12.5" thickBot="1">
      <c r="A10" s="210">
        <v>10</v>
      </c>
      <c r="B10" s="205" t="s">
        <v>1659</v>
      </c>
      <c r="C10" s="276">
        <v>30</v>
      </c>
      <c r="D10" s="276">
        <v>50</v>
      </c>
      <c r="E10" s="276">
        <v>80</v>
      </c>
      <c r="F10" s="276">
        <v>40</v>
      </c>
      <c r="G10" s="276">
        <v>40</v>
      </c>
      <c r="H10" s="276">
        <v>45</v>
      </c>
      <c r="I10" s="276">
        <v>25</v>
      </c>
      <c r="J10" s="276">
        <v>55</v>
      </c>
      <c r="K10" s="276">
        <v>25</v>
      </c>
      <c r="L10" s="276">
        <v>40</v>
      </c>
      <c r="M10" s="276">
        <v>40</v>
      </c>
      <c r="N10" s="276">
        <v>35</v>
      </c>
      <c r="O10" s="276">
        <v>60</v>
      </c>
      <c r="P10" s="276">
        <v>40</v>
      </c>
      <c r="Q10" s="276">
        <v>55</v>
      </c>
      <c r="R10" s="276">
        <v>30</v>
      </c>
      <c r="S10" s="276">
        <v>80</v>
      </c>
      <c r="T10" s="276">
        <v>60</v>
      </c>
      <c r="U10" s="276">
        <v>85</v>
      </c>
      <c r="V10" s="276">
        <v>40</v>
      </c>
      <c r="W10" s="276"/>
      <c r="X10" s="276"/>
      <c r="Y10" s="276"/>
      <c r="Z10" s="276">
        <v>150</v>
      </c>
      <c r="AB10" s="273"/>
      <c r="AD10" s="210">
        <v>10</v>
      </c>
      <c r="AE10" s="205" t="s">
        <v>1659</v>
      </c>
      <c r="AF10" s="283" cm="1">
        <f t="array" ref="AF10">AVERAGE(SMALL(C10:Z10,{1,2,3}))</f>
        <v>26.666666666666668</v>
      </c>
      <c r="AG10" s="280">
        <f t="shared" si="5"/>
        <v>2.666666666666667E-3</v>
      </c>
      <c r="AH10" s="38">
        <f t="shared" si="6"/>
        <v>0.18666666666666668</v>
      </c>
      <c r="AJ10" s="147"/>
      <c r="AK10" s="220" t="s">
        <v>1644</v>
      </c>
      <c r="AL10" s="220" t="s">
        <v>1645</v>
      </c>
      <c r="AM10" s="222" t="s">
        <v>1736</v>
      </c>
      <c r="AN10" s="281">
        <f t="shared" si="3"/>
        <v>13.333333333333334</v>
      </c>
      <c r="AO10" s="282">
        <f t="shared" si="0"/>
        <v>1.3333333333333335E-3</v>
      </c>
      <c r="AP10" s="282">
        <f t="shared" si="1"/>
        <v>10.278666666666668</v>
      </c>
      <c r="AQ10" s="147"/>
      <c r="AR10" s="147">
        <v>34</v>
      </c>
      <c r="AS10" s="1">
        <v>20</v>
      </c>
      <c r="AT10" s="1">
        <f t="shared" si="4"/>
        <v>54</v>
      </c>
      <c r="AV10" s="1">
        <v>16</v>
      </c>
      <c r="AW10" s="1">
        <f>AU10+AV10</f>
        <v>16</v>
      </c>
    </row>
    <row r="11" spans="1:51" ht="12.5" thickBot="1">
      <c r="A11" s="223">
        <v>11</v>
      </c>
      <c r="B11" s="205" t="s">
        <v>1661</v>
      </c>
      <c r="C11" s="276">
        <v>40</v>
      </c>
      <c r="D11" s="276">
        <v>55</v>
      </c>
      <c r="E11" s="276">
        <v>80</v>
      </c>
      <c r="F11" s="276">
        <v>40</v>
      </c>
      <c r="G11" s="276">
        <v>50</v>
      </c>
      <c r="H11" s="276">
        <v>50</v>
      </c>
      <c r="I11" s="276">
        <v>25</v>
      </c>
      <c r="J11" s="276">
        <v>55</v>
      </c>
      <c r="K11" s="276">
        <v>30</v>
      </c>
      <c r="L11" s="276">
        <v>40</v>
      </c>
      <c r="M11" s="276">
        <v>40</v>
      </c>
      <c r="N11" s="276">
        <v>40</v>
      </c>
      <c r="O11" s="276">
        <v>60</v>
      </c>
      <c r="P11" s="276">
        <v>30</v>
      </c>
      <c r="Q11" s="276">
        <v>55</v>
      </c>
      <c r="R11" s="276"/>
      <c r="S11" s="276">
        <v>80</v>
      </c>
      <c r="T11" s="276">
        <v>30</v>
      </c>
      <c r="U11" s="276">
        <v>60</v>
      </c>
      <c r="V11" s="276">
        <v>40</v>
      </c>
      <c r="W11" s="276"/>
      <c r="X11" s="276"/>
      <c r="Y11" s="276"/>
      <c r="Z11" s="276">
        <v>50</v>
      </c>
      <c r="AB11" s="273"/>
      <c r="AD11" s="223">
        <v>11</v>
      </c>
      <c r="AE11" s="205" t="s">
        <v>1661</v>
      </c>
      <c r="AF11" s="283" cm="1">
        <f t="array" ref="AF11">AVERAGE(SMALL(C11:Z11,{1,2,3}))</f>
        <v>28.333333333333332</v>
      </c>
      <c r="AG11" s="280">
        <f t="shared" si="5"/>
        <v>2.8333333333333335E-3</v>
      </c>
      <c r="AH11" s="38">
        <f t="shared" si="6"/>
        <v>0.19833333333333336</v>
      </c>
      <c r="AJ11" s="147"/>
      <c r="AK11" s="222"/>
      <c r="AL11" s="220" t="s">
        <v>1645</v>
      </c>
      <c r="AM11" s="222" t="s">
        <v>1737</v>
      </c>
      <c r="AN11" s="281">
        <f t="shared" si="3"/>
        <v>13.333333333333334</v>
      </c>
      <c r="AO11" s="282">
        <f t="shared" si="0"/>
        <v>1.3333333333333335E-3</v>
      </c>
      <c r="AP11" s="282">
        <f t="shared" si="1"/>
        <v>10.278666666666668</v>
      </c>
      <c r="AQ11" s="147"/>
      <c r="AR11" s="147"/>
    </row>
    <row r="12" spans="1:51" ht="12.5" thickBot="1">
      <c r="A12" s="224">
        <v>2</v>
      </c>
      <c r="B12" s="205" t="s">
        <v>1665</v>
      </c>
      <c r="C12" s="276">
        <v>250</v>
      </c>
      <c r="D12" s="276">
        <v>250</v>
      </c>
      <c r="E12" s="276"/>
      <c r="F12" s="276"/>
      <c r="G12" s="276">
        <v>100</v>
      </c>
      <c r="H12" s="276"/>
      <c r="I12" s="276"/>
      <c r="J12" s="276"/>
      <c r="K12" s="276">
        <v>400</v>
      </c>
      <c r="L12" s="276"/>
      <c r="M12" s="276">
        <v>100</v>
      </c>
      <c r="N12" s="276"/>
      <c r="O12" s="276">
        <v>300</v>
      </c>
      <c r="P12" s="276"/>
      <c r="Q12" s="276">
        <v>250</v>
      </c>
      <c r="R12" s="276"/>
      <c r="S12" s="276"/>
      <c r="T12" s="276"/>
      <c r="U12" s="276">
        <v>300</v>
      </c>
      <c r="V12" s="276">
        <v>200</v>
      </c>
      <c r="W12" s="276"/>
      <c r="X12" s="276" t="s">
        <v>2051</v>
      </c>
      <c r="Y12" s="276"/>
      <c r="Z12" s="276">
        <v>400</v>
      </c>
      <c r="AB12" s="273"/>
      <c r="AD12" s="224">
        <v>2</v>
      </c>
      <c r="AE12" s="205" t="s">
        <v>1665</v>
      </c>
      <c r="AF12" s="283" cm="1">
        <f t="array" ref="AF12">AVERAGE(SMALL(C12:Z12,{1,2,3}))</f>
        <v>133.33333333333334</v>
      </c>
      <c r="AG12" s="280">
        <f t="shared" si="5"/>
        <v>1.3333333333333334E-2</v>
      </c>
      <c r="AH12" s="38">
        <f t="shared" si="6"/>
        <v>0.93333333333333346</v>
      </c>
      <c r="AJ12" s="147"/>
      <c r="AK12" s="220" t="s">
        <v>1646</v>
      </c>
      <c r="AL12" s="220" t="s">
        <v>1647</v>
      </c>
      <c r="AM12" s="222" t="s">
        <v>1796</v>
      </c>
      <c r="AN12" s="281">
        <f t="shared" si="3"/>
        <v>0</v>
      </c>
      <c r="AO12" s="282">
        <f t="shared" si="0"/>
        <v>0</v>
      </c>
      <c r="AP12" s="282">
        <f t="shared" si="1"/>
        <v>0</v>
      </c>
      <c r="AQ12" s="147"/>
      <c r="AR12" s="147">
        <v>39</v>
      </c>
      <c r="AS12" s="1">
        <v>20</v>
      </c>
      <c r="AT12" s="1">
        <f t="shared" si="4"/>
        <v>59</v>
      </c>
      <c r="AV12" s="1">
        <v>16</v>
      </c>
      <c r="AW12" s="1">
        <f>AU12+AV12</f>
        <v>16</v>
      </c>
    </row>
    <row r="13" spans="1:51" ht="12.5" thickBot="1">
      <c r="A13" s="224">
        <v>3</v>
      </c>
      <c r="B13" s="205" t="s">
        <v>1667</v>
      </c>
      <c r="C13" s="276"/>
      <c r="D13" s="276"/>
      <c r="E13" s="276"/>
      <c r="F13" s="276"/>
      <c r="G13" s="276">
        <v>350</v>
      </c>
      <c r="H13" s="276"/>
      <c r="I13" s="276"/>
      <c r="J13" s="276">
        <v>160</v>
      </c>
      <c r="K13" s="276">
        <v>250</v>
      </c>
      <c r="L13" s="276"/>
      <c r="M13" s="276"/>
      <c r="N13" s="276"/>
      <c r="O13" s="276">
        <v>350</v>
      </c>
      <c r="P13" s="276"/>
      <c r="Q13" s="276">
        <v>325</v>
      </c>
      <c r="R13" s="276"/>
      <c r="S13" s="276"/>
      <c r="T13" s="276"/>
      <c r="U13" s="276">
        <v>300</v>
      </c>
      <c r="V13" s="276">
        <v>280</v>
      </c>
      <c r="W13" s="276"/>
      <c r="X13" s="276"/>
      <c r="Y13" s="276"/>
      <c r="Z13" s="276">
        <v>450</v>
      </c>
      <c r="AB13" s="273"/>
      <c r="AD13" s="224">
        <v>3</v>
      </c>
      <c r="AE13" s="205" t="s">
        <v>1667</v>
      </c>
      <c r="AF13" s="283" cm="1">
        <f t="array" ref="AF13">AVERAGE(SMALL(C13:Z13,{1,2,3}))</f>
        <v>230</v>
      </c>
      <c r="AG13" s="280">
        <f t="shared" si="5"/>
        <v>2.3E-2</v>
      </c>
      <c r="AH13" s="38">
        <f t="shared" si="6"/>
        <v>1.6099999999999999</v>
      </c>
      <c r="AJ13" s="147"/>
      <c r="AK13" s="222"/>
      <c r="AL13" s="220" t="s">
        <v>1647</v>
      </c>
      <c r="AM13" s="222" t="s">
        <v>1749</v>
      </c>
      <c r="AN13" s="281">
        <f t="shared" si="3"/>
        <v>0</v>
      </c>
      <c r="AO13" s="282">
        <f t="shared" si="0"/>
        <v>0</v>
      </c>
      <c r="AP13" s="282">
        <f t="shared" si="1"/>
        <v>0</v>
      </c>
      <c r="AQ13" s="147"/>
      <c r="AR13" s="147"/>
    </row>
    <row r="14" spans="1:51" ht="12.5" thickBot="1">
      <c r="A14" s="227">
        <v>4</v>
      </c>
      <c r="B14" s="205" t="s">
        <v>1669</v>
      </c>
      <c r="C14" s="276">
        <v>40</v>
      </c>
      <c r="D14" s="276">
        <v>20</v>
      </c>
      <c r="E14" s="276">
        <v>80</v>
      </c>
      <c r="F14" s="276">
        <v>65</v>
      </c>
      <c r="G14" s="276">
        <v>35</v>
      </c>
      <c r="H14" s="276">
        <v>45</v>
      </c>
      <c r="I14" s="276">
        <v>34</v>
      </c>
      <c r="J14" s="276">
        <v>55</v>
      </c>
      <c r="K14" s="276">
        <v>25</v>
      </c>
      <c r="L14" s="276">
        <v>50</v>
      </c>
      <c r="M14" s="276">
        <v>40</v>
      </c>
      <c r="N14" s="276">
        <v>35</v>
      </c>
      <c r="O14" s="276">
        <v>60</v>
      </c>
      <c r="P14" s="276">
        <v>30</v>
      </c>
      <c r="Q14" s="276">
        <v>70</v>
      </c>
      <c r="R14" s="276">
        <v>40</v>
      </c>
      <c r="S14" s="276">
        <v>60</v>
      </c>
      <c r="T14" s="276">
        <v>50</v>
      </c>
      <c r="U14" s="276">
        <v>55</v>
      </c>
      <c r="V14" s="276">
        <v>40</v>
      </c>
      <c r="W14" s="276"/>
      <c r="X14" s="276">
        <v>100</v>
      </c>
      <c r="Y14" s="276">
        <v>80</v>
      </c>
      <c r="Z14" s="276">
        <v>50</v>
      </c>
      <c r="AB14" s="273"/>
      <c r="AD14" s="227">
        <v>4</v>
      </c>
      <c r="AE14" s="205" t="s">
        <v>1669</v>
      </c>
      <c r="AF14" s="283" cm="1">
        <f t="array" ref="AF14">AVERAGE(SMALL(C14:Z14,{1,2,3}))</f>
        <v>25</v>
      </c>
      <c r="AG14" s="280">
        <f t="shared" si="5"/>
        <v>2.5000000000000001E-3</v>
      </c>
      <c r="AH14" s="38">
        <f t="shared" si="6"/>
        <v>0.17499999999999999</v>
      </c>
      <c r="AJ14" s="147"/>
      <c r="AK14" s="222"/>
      <c r="AL14" s="220" t="s">
        <v>1647</v>
      </c>
      <c r="AM14" s="222" t="s">
        <v>1787</v>
      </c>
      <c r="AN14" s="281">
        <f t="shared" si="3"/>
        <v>0</v>
      </c>
      <c r="AO14" s="282">
        <f t="shared" si="0"/>
        <v>0</v>
      </c>
      <c r="AP14" s="282">
        <f t="shared" si="1"/>
        <v>0</v>
      </c>
      <c r="AQ14" s="147"/>
      <c r="AR14" s="147"/>
    </row>
    <row r="15" spans="1:51" ht="12.5" thickBot="1">
      <c r="A15" s="229">
        <v>19</v>
      </c>
      <c r="B15" s="205" t="s">
        <v>1671</v>
      </c>
      <c r="C15" s="276">
        <v>130</v>
      </c>
      <c r="D15" s="276">
        <v>90</v>
      </c>
      <c r="E15" s="276">
        <v>160</v>
      </c>
      <c r="F15" s="276">
        <v>130</v>
      </c>
      <c r="G15" s="276">
        <v>80</v>
      </c>
      <c r="H15" s="276">
        <v>100</v>
      </c>
      <c r="I15" s="276">
        <v>90</v>
      </c>
      <c r="J15" s="276">
        <v>160</v>
      </c>
      <c r="K15" s="276">
        <v>95</v>
      </c>
      <c r="L15" s="276">
        <v>150</v>
      </c>
      <c r="M15" s="276">
        <v>150</v>
      </c>
      <c r="N15" s="276">
        <v>200</v>
      </c>
      <c r="O15" s="276">
        <v>110</v>
      </c>
      <c r="P15" s="276">
        <v>100</v>
      </c>
      <c r="Q15" s="276">
        <v>75</v>
      </c>
      <c r="R15" s="276">
        <v>100</v>
      </c>
      <c r="S15" s="276">
        <v>100</v>
      </c>
      <c r="T15" s="276">
        <v>175</v>
      </c>
      <c r="U15" s="276">
        <v>250</v>
      </c>
      <c r="V15" s="276">
        <v>120</v>
      </c>
      <c r="W15" s="276">
        <v>85</v>
      </c>
      <c r="X15" s="276"/>
      <c r="Y15" s="276">
        <v>170</v>
      </c>
      <c r="Z15" s="276">
        <v>250</v>
      </c>
      <c r="AB15" s="273"/>
      <c r="AD15" s="229">
        <v>19</v>
      </c>
      <c r="AE15" s="205" t="s">
        <v>1671</v>
      </c>
      <c r="AF15" s="283" cm="1">
        <f t="array" ref="AF15">AVERAGE(SMALL(C15:Z15,{1,2,3}))</f>
        <v>80</v>
      </c>
      <c r="AG15" s="280">
        <f t="shared" si="5"/>
        <v>8.0000000000000002E-3</v>
      </c>
      <c r="AH15" s="38">
        <f t="shared" si="6"/>
        <v>0.55999999999999994</v>
      </c>
      <c r="AJ15" s="147"/>
      <c r="AK15" s="220" t="s">
        <v>1648</v>
      </c>
      <c r="AL15" s="220" t="s">
        <v>1649</v>
      </c>
      <c r="AM15" s="222" t="s">
        <v>1775</v>
      </c>
      <c r="AN15" s="281">
        <f t="shared" si="3"/>
        <v>0</v>
      </c>
      <c r="AO15" s="282">
        <f t="shared" si="0"/>
        <v>0</v>
      </c>
      <c r="AP15" s="282">
        <f t="shared" si="1"/>
        <v>0</v>
      </c>
      <c r="AQ15" s="147"/>
      <c r="AR15" s="147">
        <v>38</v>
      </c>
      <c r="AS15" s="1">
        <v>20</v>
      </c>
      <c r="AT15" s="1">
        <f t="shared" si="4"/>
        <v>58</v>
      </c>
      <c r="AV15" s="1">
        <v>20</v>
      </c>
      <c r="AW15" s="1">
        <f>AU15+AV15</f>
        <v>20</v>
      </c>
    </row>
    <row r="16" spans="1:51" ht="12.5" thickBot="1">
      <c r="A16" s="230">
        <v>12</v>
      </c>
      <c r="B16" s="205" t="s">
        <v>1674</v>
      </c>
      <c r="C16" s="276"/>
      <c r="D16" s="276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B16" s="273"/>
      <c r="AD16" s="230">
        <v>12</v>
      </c>
      <c r="AE16" s="205" t="s">
        <v>1674</v>
      </c>
      <c r="AF16" s="283"/>
      <c r="AG16" s="280"/>
      <c r="AH16" s="38"/>
      <c r="AJ16" s="147"/>
      <c r="AK16" s="222"/>
      <c r="AL16" s="220" t="s">
        <v>1649</v>
      </c>
      <c r="AM16" s="222" t="s">
        <v>1786</v>
      </c>
      <c r="AN16" s="281">
        <f t="shared" si="3"/>
        <v>0</v>
      </c>
      <c r="AO16" s="282">
        <f t="shared" si="0"/>
        <v>0</v>
      </c>
      <c r="AP16" s="282">
        <f t="shared" si="1"/>
        <v>0</v>
      </c>
      <c r="AQ16" s="147"/>
      <c r="AR16" s="147"/>
    </row>
    <row r="17" spans="1:49" ht="12.5" thickBot="1">
      <c r="A17" s="230">
        <v>13</v>
      </c>
      <c r="B17" s="205" t="s">
        <v>1678</v>
      </c>
      <c r="C17" s="276"/>
      <c r="D17" s="276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B17" s="273"/>
      <c r="AD17" s="230">
        <v>13</v>
      </c>
      <c r="AE17" s="205" t="s">
        <v>1678</v>
      </c>
      <c r="AF17" s="283"/>
      <c r="AG17" s="280"/>
      <c r="AH17" s="38"/>
      <c r="AJ17" s="147"/>
      <c r="AK17" s="222"/>
      <c r="AL17" s="220" t="s">
        <v>1649</v>
      </c>
      <c r="AM17" s="222" t="s">
        <v>1742</v>
      </c>
      <c r="AN17" s="281">
        <f t="shared" si="3"/>
        <v>0</v>
      </c>
      <c r="AO17" s="282">
        <f t="shared" si="0"/>
        <v>0</v>
      </c>
      <c r="AP17" s="282">
        <f t="shared" si="1"/>
        <v>0</v>
      </c>
      <c r="AQ17" s="147"/>
      <c r="AR17" s="147"/>
    </row>
    <row r="18" spans="1:49" ht="12.5" thickBot="1">
      <c r="A18" s="230">
        <v>14</v>
      </c>
      <c r="B18" s="205" t="s">
        <v>1942</v>
      </c>
      <c r="C18" s="276"/>
      <c r="D18" s="276"/>
      <c r="E18" s="276"/>
      <c r="F18" s="276"/>
      <c r="G18" s="276"/>
      <c r="H18" s="276"/>
      <c r="I18" s="276"/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B18" s="273"/>
      <c r="AD18" s="230">
        <v>14</v>
      </c>
      <c r="AE18" s="205" t="s">
        <v>1942</v>
      </c>
      <c r="AF18" s="283"/>
      <c r="AG18" s="280"/>
      <c r="AH18" s="38"/>
      <c r="AJ18" s="147"/>
      <c r="AK18" s="220" t="s">
        <v>1652</v>
      </c>
      <c r="AL18" s="220" t="s">
        <v>1653</v>
      </c>
      <c r="AM18" s="222" t="s">
        <v>1752</v>
      </c>
      <c r="AN18" s="281">
        <f t="shared" si="3"/>
        <v>18.333333333333332</v>
      </c>
      <c r="AO18" s="282">
        <f t="shared" si="0"/>
        <v>1.8333333333333333E-3</v>
      </c>
      <c r="AP18" s="282">
        <f t="shared" si="1"/>
        <v>14.133166666666666</v>
      </c>
      <c r="AQ18" s="147"/>
      <c r="AR18" s="147">
        <v>35</v>
      </c>
      <c r="AS18" s="1">
        <v>19</v>
      </c>
      <c r="AT18" s="1">
        <f t="shared" si="4"/>
        <v>54</v>
      </c>
      <c r="AV18" s="1">
        <v>19</v>
      </c>
      <c r="AW18" s="1">
        <f>AU18+AV18</f>
        <v>19</v>
      </c>
    </row>
    <row r="19" spans="1:49" ht="12.5" thickBot="1">
      <c r="A19" s="230">
        <v>15</v>
      </c>
      <c r="B19" s="205" t="s">
        <v>1945</v>
      </c>
      <c r="C19" s="276"/>
      <c r="D19" s="276"/>
      <c r="E19" s="276"/>
      <c r="F19" s="276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AB19" s="273"/>
      <c r="AD19" s="230">
        <v>15</v>
      </c>
      <c r="AE19" s="205" t="s">
        <v>1945</v>
      </c>
      <c r="AF19" s="283"/>
      <c r="AG19" s="280"/>
      <c r="AH19" s="38"/>
      <c r="AJ19" s="147"/>
      <c r="AK19" s="222"/>
      <c r="AL19" s="220" t="s">
        <v>1653</v>
      </c>
      <c r="AM19" s="222" t="s">
        <v>1781</v>
      </c>
      <c r="AN19" s="281">
        <f t="shared" si="3"/>
        <v>18.333333333333332</v>
      </c>
      <c r="AO19" s="282">
        <f t="shared" si="0"/>
        <v>1.8333333333333333E-3</v>
      </c>
      <c r="AP19" s="282">
        <f t="shared" si="1"/>
        <v>14.133166666666666</v>
      </c>
      <c r="AQ19" s="147"/>
      <c r="AR19" s="147"/>
    </row>
    <row r="20" spans="1:49" ht="12.5" thickBot="1">
      <c r="A20" s="230">
        <v>16</v>
      </c>
      <c r="B20" s="205" t="s">
        <v>1680</v>
      </c>
      <c r="C20" s="276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AB20" s="273"/>
      <c r="AD20" s="230">
        <v>16</v>
      </c>
      <c r="AE20" s="205" t="s">
        <v>1680</v>
      </c>
      <c r="AF20" s="283"/>
      <c r="AG20" s="280"/>
      <c r="AH20" s="38"/>
      <c r="AJ20" s="147"/>
      <c r="AK20" s="222"/>
      <c r="AL20" s="220" t="s">
        <v>1653</v>
      </c>
      <c r="AM20" s="222" t="s">
        <v>1780</v>
      </c>
      <c r="AN20" s="281">
        <f t="shared" si="3"/>
        <v>18.333333333333332</v>
      </c>
      <c r="AO20" s="282">
        <f t="shared" si="0"/>
        <v>1.8333333333333333E-3</v>
      </c>
      <c r="AP20" s="282">
        <f t="shared" si="1"/>
        <v>14.133166666666666</v>
      </c>
      <c r="AQ20" s="147"/>
      <c r="AR20" s="147"/>
    </row>
    <row r="21" spans="1:49" ht="12.5" thickBot="1">
      <c r="A21" s="230">
        <v>17</v>
      </c>
      <c r="B21" s="205" t="s">
        <v>1682</v>
      </c>
      <c r="AB21" s="273"/>
      <c r="AD21" s="230">
        <v>17</v>
      </c>
      <c r="AE21" s="205" t="s">
        <v>1682</v>
      </c>
      <c r="AF21" s="283"/>
      <c r="AG21" s="280"/>
      <c r="AH21" s="38"/>
      <c r="AJ21" s="147"/>
      <c r="AK21" s="222"/>
      <c r="AL21" s="220" t="s">
        <v>1653</v>
      </c>
      <c r="AM21" s="222" t="s">
        <v>1798</v>
      </c>
      <c r="AN21" s="281">
        <f t="shared" si="3"/>
        <v>18.333333333333332</v>
      </c>
      <c r="AO21" s="282">
        <f t="shared" si="0"/>
        <v>1.8333333333333333E-3</v>
      </c>
      <c r="AP21" s="282">
        <f t="shared" si="1"/>
        <v>14.133166666666666</v>
      </c>
      <c r="AQ21" s="147"/>
      <c r="AR21" s="147"/>
    </row>
    <row r="22" spans="1:49" ht="12.5" thickBot="1">
      <c r="A22" s="231">
        <v>18</v>
      </c>
      <c r="B22" s="205" t="s">
        <v>1684</v>
      </c>
      <c r="AB22" s="273"/>
      <c r="AD22" s="231">
        <v>18</v>
      </c>
      <c r="AE22" s="205" t="s">
        <v>1684</v>
      </c>
      <c r="AF22" s="283"/>
      <c r="AG22" s="280"/>
      <c r="AH22" s="38"/>
      <c r="AJ22" s="147"/>
      <c r="AK22" s="220" t="s">
        <v>1658</v>
      </c>
      <c r="AL22" s="220" t="s">
        <v>1659</v>
      </c>
      <c r="AM22" s="222" t="s">
        <v>1746</v>
      </c>
      <c r="AN22" s="281">
        <f t="shared" si="3"/>
        <v>26.666666666666668</v>
      </c>
      <c r="AO22" s="282">
        <f t="shared" si="0"/>
        <v>2.666666666666667E-3</v>
      </c>
      <c r="AP22" s="282">
        <f t="shared" si="1"/>
        <v>20.557333333333336</v>
      </c>
      <c r="AQ22" s="147"/>
      <c r="AR22" s="147">
        <v>36</v>
      </c>
      <c r="AS22" s="1">
        <v>20</v>
      </c>
      <c r="AT22" s="1">
        <f t="shared" si="4"/>
        <v>56</v>
      </c>
      <c r="AV22" s="1">
        <v>19</v>
      </c>
      <c r="AW22" s="1">
        <f>AU22+AV22</f>
        <v>19</v>
      </c>
    </row>
    <row r="23" spans="1:49" ht="12.5" thickBot="1">
      <c r="A23" s="232">
        <v>20</v>
      </c>
      <c r="B23" s="205" t="s">
        <v>1690</v>
      </c>
      <c r="AB23" s="273"/>
      <c r="AD23" s="232">
        <v>20</v>
      </c>
      <c r="AE23" s="205" t="s">
        <v>1687</v>
      </c>
      <c r="AF23" s="283"/>
      <c r="AG23" s="280"/>
      <c r="AH23" s="38"/>
      <c r="AJ23" s="147"/>
      <c r="AK23" s="222"/>
      <c r="AL23" s="220" t="s">
        <v>1659</v>
      </c>
      <c r="AM23" s="222" t="s">
        <v>1747</v>
      </c>
      <c r="AN23" s="281">
        <f t="shared" si="3"/>
        <v>26.666666666666668</v>
      </c>
      <c r="AO23" s="282">
        <f t="shared" si="0"/>
        <v>2.666666666666667E-3</v>
      </c>
      <c r="AP23" s="282">
        <f t="shared" si="1"/>
        <v>20.557333333333336</v>
      </c>
      <c r="AQ23" s="147"/>
      <c r="AR23" s="147"/>
    </row>
    <row r="24" spans="1:49" ht="12.5" thickBot="1">
      <c r="AB24" s="273"/>
      <c r="AD24" s="232">
        <v>20</v>
      </c>
      <c r="AE24" s="205" t="s">
        <v>1690</v>
      </c>
      <c r="AJ24" s="147"/>
      <c r="AK24" s="222"/>
      <c r="AL24" s="220" t="s">
        <v>1659</v>
      </c>
      <c r="AM24" s="222" t="s">
        <v>1774</v>
      </c>
      <c r="AN24" s="281">
        <f t="shared" si="3"/>
        <v>26.666666666666668</v>
      </c>
      <c r="AO24" s="282">
        <f t="shared" si="0"/>
        <v>2.666666666666667E-3</v>
      </c>
      <c r="AP24" s="282">
        <f t="shared" si="1"/>
        <v>20.557333333333336</v>
      </c>
      <c r="AQ24" s="147"/>
      <c r="AR24" s="147"/>
    </row>
    <row r="25" spans="1:49">
      <c r="B25" s="276"/>
      <c r="C25" s="276"/>
      <c r="AJ25" s="147"/>
      <c r="AK25" s="222"/>
      <c r="AL25" s="220" t="s">
        <v>1659</v>
      </c>
      <c r="AM25" s="222" t="s">
        <v>1748</v>
      </c>
      <c r="AN25" s="281">
        <f t="shared" si="3"/>
        <v>26.666666666666668</v>
      </c>
      <c r="AO25" s="282">
        <f t="shared" si="0"/>
        <v>2.666666666666667E-3</v>
      </c>
      <c r="AP25" s="282">
        <f t="shared" si="1"/>
        <v>20.557333333333336</v>
      </c>
      <c r="AQ25" s="147"/>
      <c r="AR25" s="147"/>
    </row>
    <row r="26" spans="1:49">
      <c r="AJ26" s="147"/>
      <c r="AK26" s="220" t="s">
        <v>1660</v>
      </c>
      <c r="AL26" s="220" t="s">
        <v>1661</v>
      </c>
      <c r="AM26" s="222" t="s">
        <v>1743</v>
      </c>
      <c r="AN26" s="281">
        <f t="shared" si="3"/>
        <v>28.333333333333332</v>
      </c>
      <c r="AO26" s="282">
        <f t="shared" si="0"/>
        <v>2.8333333333333335E-3</v>
      </c>
      <c r="AP26" s="282">
        <f t="shared" si="1"/>
        <v>21.842166666666667</v>
      </c>
      <c r="AQ26" s="147"/>
      <c r="AR26" s="147">
        <v>38</v>
      </c>
      <c r="AS26" s="1">
        <v>20</v>
      </c>
      <c r="AT26" s="1">
        <f t="shared" si="4"/>
        <v>58</v>
      </c>
      <c r="AV26" s="1">
        <v>19</v>
      </c>
      <c r="AW26" s="1">
        <f>AU26+AV26</f>
        <v>19</v>
      </c>
    </row>
    <row r="27" spans="1:49">
      <c r="AJ27" s="147"/>
      <c r="AK27" s="222"/>
      <c r="AL27" s="220" t="s">
        <v>1661</v>
      </c>
      <c r="AM27" s="222" t="s">
        <v>1745</v>
      </c>
      <c r="AN27" s="281">
        <f t="shared" si="3"/>
        <v>28.333333333333332</v>
      </c>
      <c r="AO27" s="282">
        <f t="shared" si="0"/>
        <v>2.8333333333333335E-3</v>
      </c>
      <c r="AP27" s="282">
        <f t="shared" si="1"/>
        <v>21.842166666666667</v>
      </c>
      <c r="AQ27" s="147"/>
      <c r="AR27" s="147"/>
    </row>
    <row r="28" spans="1:49">
      <c r="AJ28" s="147"/>
      <c r="AK28" s="220"/>
      <c r="AL28" s="220" t="s">
        <v>1661</v>
      </c>
      <c r="AM28" s="222" t="s">
        <v>1744</v>
      </c>
      <c r="AN28" s="281">
        <f t="shared" si="3"/>
        <v>28.333333333333332</v>
      </c>
      <c r="AO28" s="282">
        <f t="shared" si="0"/>
        <v>2.8333333333333335E-3</v>
      </c>
      <c r="AP28" s="282">
        <f t="shared" si="1"/>
        <v>21.842166666666667</v>
      </c>
      <c r="AQ28" s="147"/>
      <c r="AR28" s="147"/>
    </row>
    <row r="29" spans="1:49">
      <c r="AJ29" s="147"/>
      <c r="AK29" s="233" t="s">
        <v>1664</v>
      </c>
      <c r="AL29" s="233" t="s">
        <v>1665</v>
      </c>
      <c r="AM29" s="236" t="s">
        <v>1735</v>
      </c>
      <c r="AN29" s="281">
        <f t="shared" si="3"/>
        <v>133.33333333333334</v>
      </c>
      <c r="AO29" s="282">
        <f t="shared" si="0"/>
        <v>1.3333333333333334E-2</v>
      </c>
      <c r="AP29" s="282">
        <f t="shared" si="1"/>
        <v>102.78666666666668</v>
      </c>
      <c r="AQ29" s="147"/>
      <c r="AR29" s="147">
        <v>58</v>
      </c>
      <c r="AS29" s="1">
        <v>60</v>
      </c>
      <c r="AT29" s="1">
        <f t="shared" si="4"/>
        <v>118</v>
      </c>
      <c r="AV29" s="1">
        <v>81</v>
      </c>
      <c r="AW29" s="1">
        <f>AU29+AV29</f>
        <v>81</v>
      </c>
    </row>
    <row r="30" spans="1:49">
      <c r="B30" s="134"/>
      <c r="C30" s="87"/>
      <c r="D30" s="87"/>
      <c r="AJ30" s="147"/>
      <c r="AK30" s="233" t="s">
        <v>1666</v>
      </c>
      <c r="AL30" s="233" t="s">
        <v>1667</v>
      </c>
      <c r="AM30" s="235" t="s">
        <v>1738</v>
      </c>
      <c r="AN30" s="281">
        <f t="shared" si="3"/>
        <v>230</v>
      </c>
      <c r="AO30" s="282">
        <f t="shared" si="0"/>
        <v>2.3E-2</v>
      </c>
      <c r="AP30" s="282">
        <f t="shared" si="1"/>
        <v>177.30700000000002</v>
      </c>
      <c r="AQ30" s="147"/>
      <c r="AR30" s="147">
        <v>57</v>
      </c>
      <c r="AS30" s="1">
        <v>20</v>
      </c>
      <c r="AT30" s="1">
        <f t="shared" si="4"/>
        <v>77</v>
      </c>
      <c r="AV30" s="1">
        <v>32</v>
      </c>
      <c r="AW30" s="1">
        <f>AU30+AV30</f>
        <v>32</v>
      </c>
    </row>
    <row r="31" spans="1:49" ht="12.5" hidden="1" thickBot="1">
      <c r="B31" s="134"/>
      <c r="C31" s="47" t="s">
        <v>2052</v>
      </c>
      <c r="D31" s="49" t="s">
        <v>2053</v>
      </c>
      <c r="AJ31" s="147"/>
      <c r="AK31" s="233" t="s">
        <v>1668</v>
      </c>
      <c r="AL31" s="233" t="s">
        <v>1669</v>
      </c>
      <c r="AM31" s="236" t="s">
        <v>1726</v>
      </c>
      <c r="AN31" s="281">
        <f t="shared" si="3"/>
        <v>25</v>
      </c>
      <c r="AO31" s="282">
        <f t="shared" si="0"/>
        <v>2.5000000000000001E-3</v>
      </c>
      <c r="AP31" s="282">
        <f t="shared" si="1"/>
        <v>19.272500000000001</v>
      </c>
      <c r="AQ31" s="147"/>
      <c r="AR31" s="147"/>
      <c r="AT31" s="1">
        <f t="shared" si="4"/>
        <v>0</v>
      </c>
    </row>
    <row r="32" spans="1:49">
      <c r="AJ32" s="147"/>
      <c r="AK32" s="233" t="s">
        <v>1668</v>
      </c>
      <c r="AL32" s="233" t="s">
        <v>1669</v>
      </c>
      <c r="AM32" s="236" t="s">
        <v>1727</v>
      </c>
      <c r="AN32" s="281">
        <f t="shared" si="3"/>
        <v>25</v>
      </c>
      <c r="AO32" s="282">
        <f t="shared" si="0"/>
        <v>2.5000000000000001E-3</v>
      </c>
      <c r="AP32" s="282">
        <f t="shared" si="1"/>
        <v>19.272500000000001</v>
      </c>
      <c r="AQ32" s="147"/>
      <c r="AR32" s="147">
        <v>58</v>
      </c>
      <c r="AS32" s="1">
        <v>20</v>
      </c>
      <c r="AT32" s="1">
        <f t="shared" si="4"/>
        <v>78</v>
      </c>
      <c r="AV32" s="1">
        <v>28</v>
      </c>
      <c r="AW32" s="1">
        <f>AU32+AV32</f>
        <v>28</v>
      </c>
    </row>
    <row r="33" spans="36:49">
      <c r="AJ33" s="147"/>
      <c r="AK33" s="236"/>
      <c r="AL33" s="233" t="s">
        <v>1669</v>
      </c>
      <c r="AM33" s="236" t="s">
        <v>1725</v>
      </c>
      <c r="AN33" s="281">
        <f t="shared" si="3"/>
        <v>25</v>
      </c>
      <c r="AO33" s="282">
        <f t="shared" si="0"/>
        <v>2.5000000000000001E-3</v>
      </c>
      <c r="AP33" s="282">
        <f t="shared" si="1"/>
        <v>19.272500000000001</v>
      </c>
      <c r="AQ33" s="147"/>
      <c r="AR33" s="147"/>
    </row>
    <row r="34" spans="36:49">
      <c r="AJ34" s="147"/>
      <c r="AK34" s="237" t="s">
        <v>1670</v>
      </c>
      <c r="AL34" s="237" t="s">
        <v>1671</v>
      </c>
      <c r="AM34" s="239" t="s">
        <v>1750</v>
      </c>
      <c r="AN34" s="281">
        <f t="shared" si="3"/>
        <v>80</v>
      </c>
      <c r="AO34" s="282">
        <f t="shared" si="0"/>
        <v>8.0000000000000002E-3</v>
      </c>
      <c r="AP34" s="282">
        <f t="shared" si="1"/>
        <v>61.672000000000004</v>
      </c>
      <c r="AQ34" s="147"/>
      <c r="AR34" s="147">
        <v>63</v>
      </c>
      <c r="AS34" s="1">
        <v>20</v>
      </c>
      <c r="AT34" s="1">
        <f t="shared" si="4"/>
        <v>83</v>
      </c>
      <c r="AV34" s="1">
        <v>16</v>
      </c>
      <c r="AW34" s="1">
        <f>AU34+AV34</f>
        <v>16</v>
      </c>
    </row>
    <row r="35" spans="36:49">
      <c r="AJ35" s="147"/>
      <c r="AK35" s="239"/>
      <c r="AL35" s="237" t="s">
        <v>1671</v>
      </c>
      <c r="AM35" s="239" t="s">
        <v>1751</v>
      </c>
      <c r="AN35" s="281">
        <f t="shared" si="3"/>
        <v>80</v>
      </c>
      <c r="AO35" s="282">
        <f t="shared" si="0"/>
        <v>8.0000000000000002E-3</v>
      </c>
      <c r="AP35" s="282">
        <f t="shared" si="1"/>
        <v>61.672000000000004</v>
      </c>
      <c r="AQ35" s="147"/>
      <c r="AR35" s="147"/>
    </row>
    <row r="36" spans="36:49">
      <c r="AJ36" s="147"/>
      <c r="AK36" s="239"/>
      <c r="AL36" s="237" t="s">
        <v>1671</v>
      </c>
      <c r="AM36" s="239" t="s">
        <v>1783</v>
      </c>
      <c r="AN36" s="281">
        <f t="shared" si="3"/>
        <v>80</v>
      </c>
      <c r="AO36" s="282">
        <f t="shared" si="0"/>
        <v>8.0000000000000002E-3</v>
      </c>
      <c r="AP36" s="282">
        <f t="shared" si="1"/>
        <v>61.672000000000004</v>
      </c>
      <c r="AQ36" s="147"/>
      <c r="AR36" s="147"/>
    </row>
    <row r="37" spans="36:49">
      <c r="AJ37" s="147"/>
      <c r="AK37" s="240" t="s">
        <v>821</v>
      </c>
      <c r="AL37" s="240" t="s">
        <v>1674</v>
      </c>
      <c r="AM37" s="242" t="s">
        <v>1879</v>
      </c>
      <c r="AN37" s="281">
        <f t="shared" si="3"/>
        <v>0</v>
      </c>
      <c r="AO37" s="282">
        <f t="shared" si="0"/>
        <v>0</v>
      </c>
      <c r="AP37" s="282">
        <f t="shared" si="1"/>
        <v>0</v>
      </c>
      <c r="AQ37" s="147"/>
      <c r="AR37" s="147"/>
    </row>
    <row r="38" spans="36:49">
      <c r="AJ38" s="147"/>
      <c r="AK38" s="242"/>
      <c r="AL38" s="240" t="s">
        <v>1674</v>
      </c>
      <c r="AM38" s="242" t="s">
        <v>1872</v>
      </c>
      <c r="AN38" s="281">
        <f t="shared" si="3"/>
        <v>0</v>
      </c>
      <c r="AO38" s="282">
        <f t="shared" si="0"/>
        <v>0</v>
      </c>
      <c r="AP38" s="282">
        <f t="shared" si="1"/>
        <v>0</v>
      </c>
      <c r="AQ38" s="147"/>
      <c r="AR38" s="147"/>
    </row>
    <row r="39" spans="36:49">
      <c r="AJ39" s="147"/>
      <c r="AK39" s="242"/>
      <c r="AL39" s="240" t="s">
        <v>1674</v>
      </c>
      <c r="AM39" s="242" t="s">
        <v>1867</v>
      </c>
      <c r="AN39" s="281">
        <f t="shared" si="3"/>
        <v>0</v>
      </c>
      <c r="AO39" s="282">
        <f t="shared" si="0"/>
        <v>0</v>
      </c>
      <c r="AP39" s="282">
        <f t="shared" si="1"/>
        <v>0</v>
      </c>
      <c r="AQ39" s="147"/>
      <c r="AR39" s="147"/>
    </row>
    <row r="40" spans="36:49">
      <c r="AJ40" s="147"/>
      <c r="AK40" s="240" t="s">
        <v>1677</v>
      </c>
      <c r="AL40" s="240" t="s">
        <v>1678</v>
      </c>
      <c r="AM40" s="242" t="s">
        <v>1851</v>
      </c>
      <c r="AN40" s="281">
        <f t="shared" si="3"/>
        <v>0</v>
      </c>
      <c r="AO40" s="282">
        <f t="shared" si="0"/>
        <v>0</v>
      </c>
      <c r="AP40" s="282">
        <f t="shared" si="1"/>
        <v>0</v>
      </c>
      <c r="AQ40" s="147"/>
      <c r="AR40" s="147"/>
    </row>
    <row r="41" spans="36:49">
      <c r="AJ41" s="147"/>
      <c r="AK41" s="240" t="s">
        <v>1679</v>
      </c>
      <c r="AL41" s="240" t="s">
        <v>1680</v>
      </c>
      <c r="AM41" s="242" t="s">
        <v>1857</v>
      </c>
      <c r="AN41" s="281">
        <f t="shared" si="3"/>
        <v>0</v>
      </c>
      <c r="AO41" s="282">
        <f t="shared" si="0"/>
        <v>0</v>
      </c>
      <c r="AP41" s="282">
        <f t="shared" si="1"/>
        <v>0</v>
      </c>
      <c r="AQ41" s="147"/>
      <c r="AR41" s="147"/>
    </row>
    <row r="42" spans="36:49">
      <c r="AJ42" s="147"/>
      <c r="AK42" s="240"/>
      <c r="AL42" s="240" t="s">
        <v>1680</v>
      </c>
      <c r="AM42" s="242" t="s">
        <v>1837</v>
      </c>
      <c r="AN42" s="281">
        <f t="shared" si="3"/>
        <v>0</v>
      </c>
      <c r="AO42" s="282">
        <f t="shared" si="0"/>
        <v>0</v>
      </c>
      <c r="AP42" s="282">
        <f t="shared" si="1"/>
        <v>0</v>
      </c>
      <c r="AQ42" s="147"/>
      <c r="AR42" s="147"/>
    </row>
    <row r="43" spans="36:49">
      <c r="AJ43" s="147"/>
      <c r="AK43" s="240" t="s">
        <v>1681</v>
      </c>
      <c r="AL43" s="240" t="s">
        <v>1682</v>
      </c>
      <c r="AM43" s="242" t="s">
        <v>1862</v>
      </c>
      <c r="AN43" s="281">
        <f t="shared" si="3"/>
        <v>0</v>
      </c>
      <c r="AO43" s="282">
        <f t="shared" si="0"/>
        <v>0</v>
      </c>
      <c r="AP43" s="282">
        <f t="shared" si="1"/>
        <v>0</v>
      </c>
      <c r="AQ43" s="147"/>
      <c r="AR43" s="147"/>
    </row>
    <row r="44" spans="36:49">
      <c r="AJ44" s="147"/>
      <c r="AK44" s="240" t="s">
        <v>1683</v>
      </c>
      <c r="AL44" s="240" t="s">
        <v>1684</v>
      </c>
      <c r="AM44" s="242" t="s">
        <v>1861</v>
      </c>
      <c r="AN44" s="281">
        <f t="shared" si="3"/>
        <v>0</v>
      </c>
      <c r="AO44" s="282">
        <f t="shared" si="0"/>
        <v>0</v>
      </c>
      <c r="AP44" s="282">
        <f t="shared" si="1"/>
        <v>0</v>
      </c>
      <c r="AQ44" s="147"/>
      <c r="AR44" s="147"/>
    </row>
    <row r="45" spans="36:49">
      <c r="AJ45" s="147"/>
      <c r="AK45" s="244" t="s">
        <v>1686</v>
      </c>
      <c r="AL45" s="244" t="s">
        <v>1687</v>
      </c>
      <c r="AM45" s="266" t="s">
        <v>1855</v>
      </c>
      <c r="AN45" s="281">
        <f t="shared" si="3"/>
        <v>0</v>
      </c>
      <c r="AO45" s="282"/>
      <c r="AP45" s="282"/>
      <c r="AQ45" s="147"/>
      <c r="AR45" s="147"/>
    </row>
    <row r="46" spans="36:49">
      <c r="AJ46" s="147"/>
      <c r="AK46" s="266"/>
      <c r="AL46" s="244" t="s">
        <v>1687</v>
      </c>
      <c r="AM46" s="266" t="s">
        <v>1832</v>
      </c>
      <c r="AN46" s="281">
        <f t="shared" si="3"/>
        <v>0</v>
      </c>
      <c r="AO46" s="282"/>
      <c r="AP46" s="282"/>
      <c r="AQ46" s="147"/>
      <c r="AR46" s="147"/>
    </row>
    <row r="47" spans="36:49">
      <c r="AJ47" s="147"/>
      <c r="AK47" s="285"/>
      <c r="AL47" s="285"/>
      <c r="AM47" s="285"/>
      <c r="AN47" s="267"/>
      <c r="AO47" s="267"/>
      <c r="AP47" s="267"/>
      <c r="AQ47" s="147"/>
      <c r="AR47" s="147"/>
    </row>
    <row r="48" spans="36:49" ht="36">
      <c r="AK48" s="263" t="s">
        <v>1998</v>
      </c>
      <c r="AL48" s="263" t="s">
        <v>1999</v>
      </c>
      <c r="AM48" s="180" t="s">
        <v>2000</v>
      </c>
      <c r="AN48" s="1" cm="1">
        <f t="array" ref="AN48">AVERAGE(
  _xlfn._xlws.FILTER(
    AN4:AN46,
    (ISNUMBER(SEARCH("JP",$AL4:$AL46)) +
     ISNUMBER(SEARCH("MA",$AL4:$AL46)) +
     ISNUMBER(SEARCH("VN",$AL4:$AL46)) +
     ISNUMBER(SEARCH("KO",$AL4:$AL46)) +
     ISNUMBER(SEARCH("TW",$AL4:$AL46)) +
     ISNUMBER(SEARCH("ID",$AL4:$AL46)) +
     ISNUMBER(SEARCH("TH",$AL4:$AL46))) &gt; 0
  )
)</f>
        <v>20.530303030303035</v>
      </c>
      <c r="AO48" s="1" cm="1">
        <f t="array" ref="AO48">AVERAGE(
  _xlfn._xlws.FILTER(
    AO4:AO46,
    (ISNUMBER(SEARCH("JP",$AL4:$AL46)) +
     ISNUMBER(SEARCH("MA",$AL4:$AL46)) +
     ISNUMBER(SEARCH("VN",$AL4:$AL46)) +
     ISNUMBER(SEARCH("KO",$AL4:$AL46)) +
     ISNUMBER(SEARCH("TW",$AL4:$AL46)) +
     ISNUMBER(SEARCH("ID",$AL4:$AL46)) +
     ISNUMBER(SEARCH("TH",$AL4:$AL46))) &gt; 0
  )
)</f>
        <v>2.0530303030303026E-3</v>
      </c>
      <c r="AP48" s="1" cm="1">
        <f t="array" ref="AP48">AVERAGE(
  _xlfn._xlws.FILTER(
    AP4:AP46,
    (ISNUMBER(SEARCH("JP",$AL4:$AL46)) +
     ISNUMBER(SEARCH("MA",$AL4:$AL46)) +
     ISNUMBER(SEARCH("VN",$AL4:$AL46)) +
     ISNUMBER(SEARCH("KO",$AL4:$AL46)) +
     ISNUMBER(SEARCH("TW",$AL4:$AL46)) +
     ISNUMBER(SEARCH("ID",$AL4:$AL46)) +
     ISNUMBER(SEARCH("TH",$AL4:$AL46))) &gt; 0
  )
)</f>
        <v>15.82681060606061</v>
      </c>
    </row>
    <row r="51" spans="39:39">
      <c r="AM51" s="134"/>
    </row>
  </sheetData>
  <mergeCells count="2">
    <mergeCell ref="AR2:AT2"/>
    <mergeCell ref="AU2:AW2"/>
  </mergeCells>
  <conditionalFormatting sqref="C19:V19">
    <cfRule type="top10" dxfId="15" priority="15" bottom="1" rank="3"/>
  </conditionalFormatting>
  <conditionalFormatting sqref="C20:V20">
    <cfRule type="top10" dxfId="14" priority="16" bottom="1" rank="3"/>
  </conditionalFormatting>
  <conditionalFormatting sqref="C5:Z5">
    <cfRule type="top10" dxfId="13" priority="14" bottom="1" rank="3"/>
  </conditionalFormatting>
  <conditionalFormatting sqref="C6:Z6">
    <cfRule type="top10" dxfId="12" priority="13" bottom="1" rank="3"/>
  </conditionalFormatting>
  <conditionalFormatting sqref="C7:Z7">
    <cfRule type="top10" dxfId="11" priority="12" bottom="1" rank="3"/>
  </conditionalFormatting>
  <conditionalFormatting sqref="C8:Z8">
    <cfRule type="top10" dxfId="10" priority="11" bottom="1" rank="3"/>
  </conditionalFormatting>
  <conditionalFormatting sqref="C9:Z9">
    <cfRule type="top10" dxfId="9" priority="10" bottom="1" rank="3"/>
  </conditionalFormatting>
  <conditionalFormatting sqref="C10:Z10">
    <cfRule type="top10" dxfId="8" priority="9" bottom="1" rank="3"/>
  </conditionalFormatting>
  <conditionalFormatting sqref="C11:Z11">
    <cfRule type="top10" dxfId="7" priority="8" bottom="1" rank="3"/>
  </conditionalFormatting>
  <conditionalFormatting sqref="C12:Z12">
    <cfRule type="top10" dxfId="6" priority="7" bottom="1" rank="3"/>
  </conditionalFormatting>
  <conditionalFormatting sqref="C13:Z13">
    <cfRule type="top10" dxfId="5" priority="6" bottom="1" rank="3"/>
  </conditionalFormatting>
  <conditionalFormatting sqref="C14:Z14">
    <cfRule type="top10" dxfId="4" priority="5" bottom="1" rank="3"/>
  </conditionalFormatting>
  <conditionalFormatting sqref="C15:Z15">
    <cfRule type="top10" dxfId="3" priority="4" bottom="1" rank="3"/>
  </conditionalFormatting>
  <conditionalFormatting sqref="C16:Z16">
    <cfRule type="top10" dxfId="2" priority="3" bottom="1" rank="3"/>
  </conditionalFormatting>
  <conditionalFormatting sqref="C17:Z17">
    <cfRule type="top10" dxfId="1" priority="2" bottom="1" rank="3"/>
  </conditionalFormatting>
  <conditionalFormatting sqref="C18:Z18">
    <cfRule type="top10" dxfId="0" priority="1" bottom="1" rank="3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4B9F-6C50-4A85-909F-31F83C731688}">
  <sheetPr>
    <tabColor rgb="FFC00000"/>
  </sheetPr>
  <dimension ref="A2:N12"/>
  <sheetViews>
    <sheetView workbookViewId="0">
      <selection activeCell="K11" sqref="K11"/>
    </sheetView>
  </sheetViews>
  <sheetFormatPr defaultColWidth="9.1796875" defaultRowHeight="13"/>
  <cols>
    <col min="1" max="16384" width="9.1796875" style="262"/>
  </cols>
  <sheetData>
    <row r="2" spans="1:14" ht="15" customHeight="1">
      <c r="E2" s="262" t="s">
        <v>2170</v>
      </c>
      <c r="F2" s="262" t="s">
        <v>2171</v>
      </c>
      <c r="G2" s="262" t="s">
        <v>2171</v>
      </c>
      <c r="H2" s="262" t="s">
        <v>2172</v>
      </c>
    </row>
    <row r="3" spans="1:14">
      <c r="A3" s="262" t="s">
        <v>2198</v>
      </c>
      <c r="E3" s="264" t="s">
        <v>2168</v>
      </c>
      <c r="F3" s="264" t="s">
        <v>1753</v>
      </c>
      <c r="G3" s="264" t="s">
        <v>1724</v>
      </c>
      <c r="H3" s="264" t="s">
        <v>2089</v>
      </c>
      <c r="K3" s="731" t="s">
        <v>2198</v>
      </c>
      <c r="L3" s="731"/>
    </row>
    <row r="4" spans="1:14" ht="14.5">
      <c r="D4" s="262" t="s">
        <v>2169</v>
      </c>
      <c r="E4" s="550">
        <v>1400</v>
      </c>
      <c r="F4" s="550">
        <v>1200</v>
      </c>
      <c r="G4" s="550">
        <v>1400</v>
      </c>
      <c r="H4" s="550"/>
      <c r="I4" s="551"/>
      <c r="K4" s="262" t="str">
        <f>'[2]Futures&amp;Freight'!$B$3</f>
        <v>K6</v>
      </c>
      <c r="L4" s="586">
        <f>'[2]Futures&amp;Freight'!$C$3</f>
        <v>70.19</v>
      </c>
      <c r="N4" s="553" t="s">
        <v>2174</v>
      </c>
    </row>
    <row r="5" spans="1:14" ht="14.5">
      <c r="C5" s="262" t="s">
        <v>36</v>
      </c>
      <c r="D5" s="549">
        <v>8.0000000000000004E-4</v>
      </c>
      <c r="E5" s="263">
        <f>E4*D5</f>
        <v>1.1200000000000001</v>
      </c>
      <c r="F5" s="263">
        <f>F4*D5</f>
        <v>0.96000000000000008</v>
      </c>
      <c r="G5" s="263">
        <f>G4*D5</f>
        <v>1.1200000000000001</v>
      </c>
      <c r="H5" s="263"/>
      <c r="K5" s="262" t="str">
        <f>'[2]Futures&amp;Freight'!$B$4</f>
        <v>N6</v>
      </c>
      <c r="L5" s="586">
        <f>'[2]Futures&amp;Freight'!$C$4</f>
        <v>72.42</v>
      </c>
      <c r="N5" s="554" t="s">
        <v>2175</v>
      </c>
    </row>
    <row r="6" spans="1:14" ht="14.5">
      <c r="E6" s="587">
        <f>(((E4/100)+$L$4)*$D$5)*100</f>
        <v>6.7351999999999999</v>
      </c>
      <c r="F6" s="587">
        <f>(((F4/100)+$L$4)*$D$5)*100</f>
        <v>6.5752000000000006</v>
      </c>
      <c r="G6" s="588">
        <f>(((G4/100)+$L$6)*$D$5)*100</f>
        <v>7.0888000000000009</v>
      </c>
      <c r="H6" s="263"/>
      <c r="K6" s="262" t="str">
        <f>'[2]Futures&amp;Freight'!$B$5</f>
        <v>Z6</v>
      </c>
      <c r="L6" s="586">
        <f>'[2]Futures&amp;Freight'!$C$5</f>
        <v>74.61</v>
      </c>
      <c r="N6" s="554" t="s">
        <v>2176</v>
      </c>
    </row>
    <row r="7" spans="1:14" ht="14.5">
      <c r="K7" s="262" t="str">
        <f>'[2]Futures&amp;Freight'!$B$6</f>
        <v>H7</v>
      </c>
      <c r="L7" s="586">
        <f>'[2]Futures&amp;Freight'!$C$6</f>
        <v>75.55</v>
      </c>
      <c r="N7" s="554" t="s">
        <v>2177</v>
      </c>
    </row>
    <row r="8" spans="1:14" ht="14.5">
      <c r="N8" s="554" t="s">
        <v>2178</v>
      </c>
    </row>
    <row r="9" spans="1:14" ht="14.5">
      <c r="N9" s="554" t="s">
        <v>2179</v>
      </c>
    </row>
    <row r="10" spans="1:14" ht="14.5">
      <c r="N10" s="554" t="s">
        <v>2180</v>
      </c>
    </row>
    <row r="11" spans="1:14" ht="14.5">
      <c r="N11" s="554" t="s">
        <v>2181</v>
      </c>
    </row>
    <row r="12" spans="1:14" ht="14.5">
      <c r="N12" s="554" t="s">
        <v>2182</v>
      </c>
    </row>
  </sheetData>
  <mergeCells count="1">
    <mergeCell ref="K3:L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368A-59E0-4B06-B15E-8CF68BFF9FCF}">
  <sheetPr>
    <tabColor rgb="FFC00000"/>
  </sheetPr>
  <dimension ref="A1:AQ86"/>
  <sheetViews>
    <sheetView topLeftCell="N1" workbookViewId="0">
      <selection activeCell="AC28" sqref="AC28"/>
    </sheetView>
  </sheetViews>
  <sheetFormatPr defaultColWidth="9.1796875" defaultRowHeight="12"/>
  <cols>
    <col min="1" max="1" width="14.7265625" style="102" bestFit="1" customWidth="1"/>
    <col min="2" max="2" width="27.1796875" style="102" bestFit="1" customWidth="1"/>
    <col min="3" max="3" width="10.7265625" style="102" bestFit="1" customWidth="1"/>
    <col min="4" max="4" width="9" style="102" bestFit="1" customWidth="1"/>
    <col min="5" max="5" width="7.54296875" style="102" bestFit="1" customWidth="1"/>
    <col min="6" max="6" width="30" style="102" bestFit="1" customWidth="1"/>
    <col min="7" max="7" width="7.54296875" style="102" bestFit="1" customWidth="1"/>
    <col min="8" max="8" width="6.1796875" style="102" bestFit="1" customWidth="1"/>
    <col min="9" max="9" width="9" style="102" bestFit="1" customWidth="1"/>
    <col min="10" max="10" width="14.1796875" style="102" bestFit="1" customWidth="1"/>
    <col min="11" max="11" width="19.54296875" style="102" bestFit="1" customWidth="1"/>
    <col min="12" max="12" width="7.54296875" style="102" bestFit="1" customWidth="1"/>
    <col min="13" max="13" width="6.54296875" style="102" bestFit="1" customWidth="1"/>
    <col min="14" max="14" width="51.81640625" style="102" bestFit="1" customWidth="1"/>
    <col min="15" max="15" width="8.26953125" style="102" bestFit="1" customWidth="1"/>
    <col min="16" max="16" width="21.7265625" style="102" bestFit="1" customWidth="1"/>
    <col min="17" max="17" width="7.54296875" style="102" bestFit="1" customWidth="1"/>
    <col min="18" max="18" width="8.1796875" style="102" bestFit="1" customWidth="1"/>
    <col min="19" max="19" width="7.54296875" style="102" bestFit="1" customWidth="1"/>
    <col min="20" max="20" width="7.26953125" style="102" bestFit="1" customWidth="1"/>
    <col min="21" max="21" width="11.26953125" style="102" bestFit="1" customWidth="1"/>
    <col min="22" max="22" width="4.81640625" style="109" bestFit="1" customWidth="1"/>
    <col min="23" max="23" width="6.54296875" style="102" bestFit="1" customWidth="1"/>
    <col min="24" max="24" width="9.1796875" style="102"/>
    <col min="25" max="25" width="2.7265625" style="102" bestFit="1" customWidth="1"/>
    <col min="26" max="26" width="3.26953125" style="102" bestFit="1" customWidth="1"/>
    <col min="27" max="27" width="7.7265625" style="102" bestFit="1" customWidth="1"/>
    <col min="28" max="28" width="6.7265625" style="102" bestFit="1" customWidth="1"/>
    <col min="29" max="30" width="9.1796875" style="102"/>
    <col min="31" max="31" width="10.1796875" style="102" bestFit="1" customWidth="1"/>
    <col min="32" max="32" width="4.26953125" style="102" bestFit="1" customWidth="1"/>
    <col min="33" max="33" width="16.81640625" style="102" bestFit="1" customWidth="1"/>
    <col min="34" max="34" width="7.7265625" style="102" bestFit="1" customWidth="1"/>
    <col min="35" max="35" width="5.7265625" style="102" bestFit="1" customWidth="1"/>
    <col min="36" max="42" width="9.1796875" style="102"/>
    <col min="43" max="43" width="1.81640625" style="102" bestFit="1" customWidth="1"/>
    <col min="44" max="16384" width="9.1796875" style="102"/>
  </cols>
  <sheetData>
    <row r="1" spans="1:37" ht="12.5" thickBot="1">
      <c r="B1" s="194" t="s">
        <v>1900</v>
      </c>
    </row>
    <row r="2" spans="1:37" ht="12.5" thickBot="1">
      <c r="B2" s="732" t="s">
        <v>1901</v>
      </c>
      <c r="C2" s="734"/>
      <c r="D2" s="733"/>
      <c r="E2" s="732" t="s">
        <v>1902</v>
      </c>
      <c r="F2" s="733"/>
      <c r="G2" s="732" t="s">
        <v>1903</v>
      </c>
      <c r="H2" s="734"/>
      <c r="I2" s="733"/>
      <c r="J2" s="732" t="s">
        <v>1904</v>
      </c>
      <c r="K2" s="733"/>
      <c r="L2" s="735" t="s">
        <v>1905</v>
      </c>
      <c r="M2" s="736"/>
      <c r="N2" s="736"/>
      <c r="O2" s="732" t="s">
        <v>1906</v>
      </c>
      <c r="P2" s="733"/>
      <c r="Q2" s="732" t="s">
        <v>1907</v>
      </c>
      <c r="R2" s="733"/>
      <c r="S2" s="732" t="s">
        <v>1908</v>
      </c>
      <c r="T2" s="733" t="s">
        <v>1909</v>
      </c>
      <c r="Y2" s="589"/>
      <c r="Z2" s="590"/>
      <c r="AA2" s="591" t="s">
        <v>1910</v>
      </c>
      <c r="AB2" s="595" t="s">
        <v>1911</v>
      </c>
      <c r="AC2" s="592" t="s">
        <v>2202</v>
      </c>
      <c r="AD2" s="593" t="s">
        <v>1724</v>
      </c>
      <c r="AE2" s="198" t="s">
        <v>1912</v>
      </c>
      <c r="AF2" s="199"/>
      <c r="AG2" s="83" t="s">
        <v>1635</v>
      </c>
      <c r="AH2" s="102" t="s">
        <v>1910</v>
      </c>
      <c r="AI2" s="102" t="s">
        <v>1911</v>
      </c>
    </row>
    <row r="3" spans="1:37" ht="24.5" thickBot="1">
      <c r="A3" s="200" t="s">
        <v>1913</v>
      </c>
      <c r="B3" s="195" t="s">
        <v>1914</v>
      </c>
      <c r="C3" s="196" t="s">
        <v>1915</v>
      </c>
      <c r="D3" s="197" t="s">
        <v>1916</v>
      </c>
      <c r="E3" s="200" t="s">
        <v>1914</v>
      </c>
      <c r="F3" s="201" t="s">
        <v>1916</v>
      </c>
      <c r="G3" s="202" t="s">
        <v>1914</v>
      </c>
      <c r="H3" s="200" t="s">
        <v>1917</v>
      </c>
      <c r="I3" s="201" t="s">
        <v>1916</v>
      </c>
      <c r="J3" s="202" t="s">
        <v>1914</v>
      </c>
      <c r="K3" s="201" t="s">
        <v>1916</v>
      </c>
      <c r="L3" s="202" t="s">
        <v>1914</v>
      </c>
      <c r="M3" s="200" t="s">
        <v>1918</v>
      </c>
      <c r="N3" s="201" t="s">
        <v>1916</v>
      </c>
      <c r="O3" s="202" t="s">
        <v>1914</v>
      </c>
      <c r="P3" s="201" t="s">
        <v>1916</v>
      </c>
      <c r="Q3" s="202" t="s">
        <v>1914</v>
      </c>
      <c r="R3" s="201" t="s">
        <v>1919</v>
      </c>
      <c r="S3" s="202" t="s">
        <v>1914</v>
      </c>
      <c r="T3" s="201" t="s">
        <v>1920</v>
      </c>
      <c r="U3" s="200" t="s">
        <v>1913</v>
      </c>
      <c r="W3" s="203" t="s">
        <v>1921</v>
      </c>
      <c r="Y3" s="599">
        <v>1</v>
      </c>
      <c r="Z3" s="205" t="s">
        <v>1638</v>
      </c>
      <c r="AA3" s="600">
        <f t="shared" ref="AA3:AA22" si="0">_xlfn.XLOOKUP(Z3, W:W, V:V, "",0)</f>
        <v>0.6166666666666667</v>
      </c>
      <c r="AB3" s="596">
        <f t="shared" ref="AB3:AB22" si="1">(((AA3*90)/20)/22.046)*100</f>
        <v>12.587317427197679</v>
      </c>
      <c r="AC3" s="592">
        <v>20</v>
      </c>
      <c r="AD3" s="593">
        <v>25</v>
      </c>
      <c r="AE3" s="206" t="s">
        <v>1637</v>
      </c>
      <c r="AF3" s="206" t="s">
        <v>1638</v>
      </c>
      <c r="AG3" s="207" t="s">
        <v>1729</v>
      </c>
      <c r="AH3" s="109">
        <f>_xlfn.XLOOKUP(AF3, Z$3:Z$22, AA$3:AA$22, "",0)</f>
        <v>0.6166666666666667</v>
      </c>
      <c r="AI3" s="208">
        <f t="shared" ref="AI3:AI42" si="2">(((AH3*90)/20)/22.046)*100</f>
        <v>12.587317427197679</v>
      </c>
    </row>
    <row r="4" spans="1:37" ht="12.5" thickBot="1">
      <c r="A4" s="102" t="s">
        <v>1922</v>
      </c>
      <c r="B4" s="101"/>
      <c r="D4" s="105"/>
      <c r="F4" s="105"/>
      <c r="G4" s="101"/>
      <c r="I4" s="105"/>
      <c r="J4" s="101"/>
      <c r="K4" s="105"/>
      <c r="L4" s="64">
        <v>0.8</v>
      </c>
      <c r="M4" s="1"/>
      <c r="N4" s="1" t="s">
        <v>1923</v>
      </c>
      <c r="O4" s="209"/>
      <c r="P4" s="111"/>
      <c r="Q4" s="209"/>
      <c r="R4" s="111"/>
      <c r="S4" s="209" t="s">
        <v>1909</v>
      </c>
      <c r="T4" s="111" t="s">
        <v>1909</v>
      </c>
      <c r="U4" s="102" t="s">
        <v>1922</v>
      </c>
      <c r="Y4" s="601">
        <v>5</v>
      </c>
      <c r="Z4" s="205" t="s">
        <v>1641</v>
      </c>
      <c r="AA4" s="600">
        <f t="shared" si="0"/>
        <v>0.56666666666666676</v>
      </c>
      <c r="AB4" s="597">
        <f t="shared" si="1"/>
        <v>11.566724122289759</v>
      </c>
      <c r="AC4" s="102">
        <v>20</v>
      </c>
      <c r="AD4" s="105">
        <v>25</v>
      </c>
      <c r="AE4" s="211"/>
      <c r="AF4" s="206" t="s">
        <v>1638</v>
      </c>
      <c r="AG4" s="207" t="s">
        <v>1733</v>
      </c>
      <c r="AH4" s="109">
        <f t="shared" ref="AH4:AH42" si="3">_xlfn.XLOOKUP(AF4, Z$3:Z$22, AA$3:AA$22, "",0)</f>
        <v>0.6166666666666667</v>
      </c>
      <c r="AI4" s="208">
        <f t="shared" si="2"/>
        <v>12.587317427197679</v>
      </c>
    </row>
    <row r="5" spans="1:37" ht="12.5" thickBot="1">
      <c r="A5" s="102" t="s">
        <v>1924</v>
      </c>
      <c r="B5" s="101"/>
      <c r="D5" s="105"/>
      <c r="F5" s="105"/>
      <c r="G5" s="101">
        <v>1.32</v>
      </c>
      <c r="H5" s="102">
        <v>1.32</v>
      </c>
      <c r="I5" s="105">
        <v>225</v>
      </c>
      <c r="J5" s="101"/>
      <c r="K5" s="105"/>
      <c r="L5" s="64"/>
      <c r="M5" s="1"/>
      <c r="O5" s="209"/>
      <c r="P5" s="111"/>
      <c r="Q5" s="209"/>
      <c r="R5" s="111"/>
      <c r="S5" s="209" t="s">
        <v>1909</v>
      </c>
      <c r="T5" s="111" t="s">
        <v>1909</v>
      </c>
      <c r="U5" s="102" t="s">
        <v>1924</v>
      </c>
      <c r="Y5" s="601">
        <v>6</v>
      </c>
      <c r="Z5" s="205" t="s">
        <v>1645</v>
      </c>
      <c r="AA5" s="600">
        <f t="shared" si="0"/>
        <v>0.6333333333333333</v>
      </c>
      <c r="AB5" s="597">
        <f t="shared" si="1"/>
        <v>12.92751519550032</v>
      </c>
      <c r="AC5" s="102">
        <v>20</v>
      </c>
      <c r="AD5" s="105">
        <v>25</v>
      </c>
      <c r="AE5" s="211"/>
      <c r="AF5" s="206" t="s">
        <v>1638</v>
      </c>
      <c r="AG5" s="207" t="s">
        <v>1768</v>
      </c>
      <c r="AH5" s="109">
        <f t="shared" si="3"/>
        <v>0.6166666666666667</v>
      </c>
      <c r="AI5" s="208">
        <f t="shared" si="2"/>
        <v>12.587317427197679</v>
      </c>
    </row>
    <row r="6" spans="1:37" ht="12.5" thickBot="1">
      <c r="A6" s="212" t="s">
        <v>1925</v>
      </c>
      <c r="B6" s="213">
        <v>0.4</v>
      </c>
      <c r="C6" s="212">
        <v>0.45</v>
      </c>
      <c r="D6" s="214">
        <v>250</v>
      </c>
      <c r="E6" s="212">
        <v>0.35</v>
      </c>
      <c r="F6" s="214">
        <v>150</v>
      </c>
      <c r="G6" s="213">
        <v>0.4</v>
      </c>
      <c r="H6" s="212">
        <v>0.45</v>
      </c>
      <c r="I6" s="214">
        <v>175</v>
      </c>
      <c r="J6" s="213"/>
      <c r="K6" s="214"/>
      <c r="L6" s="215">
        <v>0.38</v>
      </c>
      <c r="M6" s="216">
        <v>0.38</v>
      </c>
      <c r="N6" s="216" t="s">
        <v>1926</v>
      </c>
      <c r="O6" s="215">
        <v>0.4</v>
      </c>
      <c r="P6" s="217"/>
      <c r="Q6" s="215">
        <v>0.3</v>
      </c>
      <c r="R6" s="218">
        <v>125</v>
      </c>
      <c r="S6" s="215">
        <v>0.4</v>
      </c>
      <c r="T6" s="217" t="s">
        <v>1909</v>
      </c>
      <c r="U6" s="212" t="s">
        <v>1925</v>
      </c>
      <c r="V6" s="219">
        <f>AVERAGE(SMALL((S6,Q6,O6,L6,J6,G6,E6,B6),1), SMALL((S6,Q6,O6,L6,J6,G6,E6,B6),2), SMALL((S6,Q6,O6,L6,J6,G6,E6,B6),3))</f>
        <v>0.34333333333333327</v>
      </c>
      <c r="W6" s="102" t="s">
        <v>1665</v>
      </c>
      <c r="Y6" s="601">
        <v>7</v>
      </c>
      <c r="Z6" s="205" t="s">
        <v>1647</v>
      </c>
      <c r="AA6" s="600">
        <f t="shared" si="0"/>
        <v>1.2</v>
      </c>
      <c r="AB6" s="597">
        <f t="shared" si="1"/>
        <v>24.494239317790079</v>
      </c>
      <c r="AC6" s="102">
        <v>20</v>
      </c>
      <c r="AD6" s="105">
        <v>25</v>
      </c>
      <c r="AE6" s="220" t="s">
        <v>1640</v>
      </c>
      <c r="AF6" s="220" t="s">
        <v>1641</v>
      </c>
      <c r="AG6" s="221" t="s">
        <v>1801</v>
      </c>
      <c r="AH6" s="109">
        <f t="shared" si="3"/>
        <v>0.56666666666666676</v>
      </c>
      <c r="AI6" s="208">
        <f t="shared" si="2"/>
        <v>11.566724122289759</v>
      </c>
    </row>
    <row r="7" spans="1:37" ht="12.5" thickBot="1">
      <c r="A7" s="102" t="s">
        <v>1618</v>
      </c>
      <c r="B7" s="101"/>
      <c r="D7" s="105"/>
      <c r="F7" s="105"/>
      <c r="G7" s="101">
        <v>0</v>
      </c>
      <c r="H7" s="102">
        <v>0</v>
      </c>
      <c r="I7" s="105">
        <v>0</v>
      </c>
      <c r="J7" s="101">
        <v>0.72</v>
      </c>
      <c r="K7" s="105"/>
      <c r="L7" s="64"/>
      <c r="M7" s="1"/>
      <c r="N7" s="1"/>
      <c r="O7" s="64">
        <v>0.6</v>
      </c>
      <c r="P7" s="111" t="s">
        <v>1927</v>
      </c>
      <c r="Q7" s="209"/>
      <c r="R7" s="111"/>
      <c r="S7" s="209" t="s">
        <v>1909</v>
      </c>
      <c r="T7" s="111" t="s">
        <v>1909</v>
      </c>
      <c r="U7" s="102" t="s">
        <v>1618</v>
      </c>
      <c r="V7" s="219">
        <f>AVERAGE(SMALL((S7,Q7,O7,L7,J7,G7,E7,B7),1), SMALL((S7,Q7,O7,L7,J7,G7,E7,B7),2), SMALL((S7,Q7,O7,L7,J7,G7,E7,B7),3))</f>
        <v>0.43999999999999995</v>
      </c>
      <c r="W7" s="102" t="s">
        <v>1928</v>
      </c>
      <c r="Y7" s="601">
        <v>8</v>
      </c>
      <c r="Z7" s="205" t="s">
        <v>1649</v>
      </c>
      <c r="AA7" s="600">
        <f t="shared" si="0"/>
        <v>0.79333333333333333</v>
      </c>
      <c r="AB7" s="597">
        <f t="shared" si="1"/>
        <v>16.193413771205662</v>
      </c>
      <c r="AC7" s="102">
        <v>20</v>
      </c>
      <c r="AD7" s="105">
        <v>25</v>
      </c>
      <c r="AE7" s="222"/>
      <c r="AF7" s="220" t="s">
        <v>1641</v>
      </c>
      <c r="AG7" s="221" t="s">
        <v>1803</v>
      </c>
      <c r="AH7" s="109">
        <f t="shared" si="3"/>
        <v>0.56666666666666676</v>
      </c>
      <c r="AI7" s="208">
        <f t="shared" si="2"/>
        <v>11.566724122289759</v>
      </c>
    </row>
    <row r="8" spans="1:37" ht="12.5" thickBot="1">
      <c r="A8" s="102" t="s">
        <v>1929</v>
      </c>
      <c r="B8" s="101"/>
      <c r="D8" s="105"/>
      <c r="F8" s="105"/>
      <c r="G8" s="101"/>
      <c r="I8" s="105"/>
      <c r="J8" s="101"/>
      <c r="K8" s="105"/>
      <c r="L8" s="64"/>
      <c r="M8" s="1"/>
      <c r="N8" s="1"/>
      <c r="O8" s="209"/>
      <c r="P8" s="111"/>
      <c r="Q8" s="209"/>
      <c r="R8" s="111"/>
      <c r="S8" s="209" t="s">
        <v>1909</v>
      </c>
      <c r="T8" s="111" t="s">
        <v>1909</v>
      </c>
      <c r="U8" s="102" t="s">
        <v>1929</v>
      </c>
      <c r="V8" s="219"/>
      <c r="Y8" s="601">
        <v>9</v>
      </c>
      <c r="Z8" s="205" t="s">
        <v>1653</v>
      </c>
      <c r="AA8" s="600">
        <f t="shared" si="0"/>
        <v>0.6</v>
      </c>
      <c r="AB8" s="597">
        <f t="shared" si="1"/>
        <v>12.24711965889504</v>
      </c>
      <c r="AC8" s="102">
        <v>20</v>
      </c>
      <c r="AD8" s="105">
        <v>25</v>
      </c>
      <c r="AE8" s="222"/>
      <c r="AF8" s="220" t="s">
        <v>1641</v>
      </c>
      <c r="AG8" s="221" t="s">
        <v>1740</v>
      </c>
      <c r="AH8" s="109">
        <f t="shared" si="3"/>
        <v>0.56666666666666676</v>
      </c>
      <c r="AI8" s="208">
        <f t="shared" si="2"/>
        <v>11.566724122289759</v>
      </c>
    </row>
    <row r="9" spans="1:37" ht="12.5" thickBot="1">
      <c r="A9" s="102" t="s">
        <v>1930</v>
      </c>
      <c r="B9" s="101"/>
      <c r="D9" s="105"/>
      <c r="F9" s="105"/>
      <c r="G9" s="101"/>
      <c r="I9" s="105"/>
      <c r="J9" s="101"/>
      <c r="K9" s="105"/>
      <c r="L9" s="64"/>
      <c r="M9" s="1"/>
      <c r="N9" s="1"/>
      <c r="O9" s="209"/>
      <c r="P9" s="111"/>
      <c r="Q9" s="209"/>
      <c r="R9" s="111"/>
      <c r="S9" s="209" t="s">
        <v>1909</v>
      </c>
      <c r="T9" s="111" t="s">
        <v>1909</v>
      </c>
      <c r="U9" s="102" t="s">
        <v>1930</v>
      </c>
      <c r="V9" s="219"/>
      <c r="Y9" s="601">
        <v>10</v>
      </c>
      <c r="Z9" s="205" t="s">
        <v>1659</v>
      </c>
      <c r="AA9" s="600">
        <f t="shared" si="0"/>
        <v>0.69</v>
      </c>
      <c r="AB9" s="597">
        <f t="shared" si="1"/>
        <v>14.084187607729293</v>
      </c>
      <c r="AC9" s="102">
        <v>20</v>
      </c>
      <c r="AD9" s="105">
        <v>25</v>
      </c>
      <c r="AE9" s="220" t="s">
        <v>1644</v>
      </c>
      <c r="AF9" s="220" t="s">
        <v>1645</v>
      </c>
      <c r="AG9" s="221" t="s">
        <v>1736</v>
      </c>
      <c r="AH9" s="109">
        <f t="shared" si="3"/>
        <v>0.6333333333333333</v>
      </c>
      <c r="AI9" s="208">
        <f t="shared" si="2"/>
        <v>12.92751519550032</v>
      </c>
    </row>
    <row r="10" spans="1:37" ht="12.5" thickBot="1">
      <c r="A10" s="102" t="s">
        <v>1931</v>
      </c>
      <c r="B10" s="101"/>
      <c r="D10" s="105"/>
      <c r="F10" s="105"/>
      <c r="G10" s="101"/>
      <c r="I10" s="105"/>
      <c r="J10" s="101"/>
      <c r="K10" s="105"/>
      <c r="L10" s="64"/>
      <c r="M10" s="1"/>
      <c r="N10" s="1"/>
      <c r="O10" s="209"/>
      <c r="P10" s="111"/>
      <c r="Q10" s="209"/>
      <c r="R10" s="111"/>
      <c r="S10" s="209" t="s">
        <v>1909</v>
      </c>
      <c r="T10" s="111" t="s">
        <v>1909</v>
      </c>
      <c r="U10" s="102" t="s">
        <v>1931</v>
      </c>
      <c r="V10" s="219"/>
      <c r="Y10" s="602">
        <v>11</v>
      </c>
      <c r="Z10" s="205" t="s">
        <v>1661</v>
      </c>
      <c r="AA10" s="600">
        <f t="shared" si="0"/>
        <v>0.53333333333333333</v>
      </c>
      <c r="AB10" s="597">
        <f t="shared" si="1"/>
        <v>10.886328585684478</v>
      </c>
      <c r="AC10" s="102">
        <v>20</v>
      </c>
      <c r="AD10" s="105">
        <v>25</v>
      </c>
      <c r="AE10" s="222"/>
      <c r="AF10" s="220" t="s">
        <v>1645</v>
      </c>
      <c r="AG10" s="221" t="s">
        <v>1737</v>
      </c>
      <c r="AH10" s="109">
        <f t="shared" si="3"/>
        <v>0.6333333333333333</v>
      </c>
      <c r="AI10" s="208">
        <f t="shared" si="2"/>
        <v>12.92751519550032</v>
      </c>
    </row>
    <row r="11" spans="1:37" ht="12.5" thickBot="1">
      <c r="A11" s="102" t="s">
        <v>1932</v>
      </c>
      <c r="B11" s="101"/>
      <c r="D11" s="105"/>
      <c r="F11" s="105"/>
      <c r="G11" s="101"/>
      <c r="I11" s="105"/>
      <c r="J11" s="101"/>
      <c r="K11" s="105"/>
      <c r="L11" s="64"/>
      <c r="M11" s="1"/>
      <c r="N11" s="1"/>
      <c r="O11" s="209"/>
      <c r="P11" s="111"/>
      <c r="Q11" s="209"/>
      <c r="R11" s="111"/>
      <c r="S11" s="209" t="s">
        <v>1909</v>
      </c>
      <c r="T11" s="111" t="s">
        <v>1909</v>
      </c>
      <c r="U11" s="102" t="s">
        <v>1932</v>
      </c>
      <c r="V11" s="219"/>
      <c r="Y11" s="603">
        <v>2</v>
      </c>
      <c r="Z11" s="205" t="s">
        <v>1665</v>
      </c>
      <c r="AA11" s="600">
        <f t="shared" si="0"/>
        <v>0.34333333333333327</v>
      </c>
      <c r="AB11" s="597">
        <f t="shared" si="1"/>
        <v>7.0080740270343815</v>
      </c>
      <c r="AC11" s="102">
        <v>20</v>
      </c>
      <c r="AD11" s="105">
        <v>25</v>
      </c>
      <c r="AE11" s="220" t="s">
        <v>1646</v>
      </c>
      <c r="AF11" s="220" t="s">
        <v>1647</v>
      </c>
      <c r="AG11" s="221" t="s">
        <v>1796</v>
      </c>
      <c r="AH11" s="109">
        <f t="shared" si="3"/>
        <v>1.2</v>
      </c>
      <c r="AI11" s="208">
        <f t="shared" si="2"/>
        <v>24.494239317790079</v>
      </c>
    </row>
    <row r="12" spans="1:37" ht="12.5" thickBot="1">
      <c r="A12" s="102" t="s">
        <v>1933</v>
      </c>
      <c r="B12" s="101"/>
      <c r="D12" s="105"/>
      <c r="F12" s="105"/>
      <c r="G12" s="101">
        <v>1.07</v>
      </c>
      <c r="H12" s="102">
        <v>1.07</v>
      </c>
      <c r="I12" s="105">
        <v>225</v>
      </c>
      <c r="J12" s="101"/>
      <c r="K12" s="105"/>
      <c r="L12" s="64"/>
      <c r="M12" s="1"/>
      <c r="N12" s="1"/>
      <c r="O12" s="64">
        <v>1.25</v>
      </c>
      <c r="P12" s="111"/>
      <c r="Q12" s="209"/>
      <c r="R12" s="111"/>
      <c r="S12" s="64">
        <v>0.6</v>
      </c>
      <c r="T12" s="66">
        <v>300</v>
      </c>
      <c r="U12" s="102" t="s">
        <v>1933</v>
      </c>
      <c r="V12" s="219">
        <f>AVERAGE(SMALL((S12,Q12,O12,L12,J12,G12,E12,B12),1), SMALL((S12,Q12,O12,L12,J12,G12,E12,B12),2), SMALL((S12,Q12,O12,L12,J12,G12,E12,B12),3))</f>
        <v>0.97333333333333327</v>
      </c>
      <c r="W12" s="102" t="s">
        <v>1934</v>
      </c>
      <c r="Y12" s="603">
        <v>3</v>
      </c>
      <c r="Z12" s="205" t="s">
        <v>1667</v>
      </c>
      <c r="AA12" s="600">
        <f t="shared" si="0"/>
        <v>0.47333333333333333</v>
      </c>
      <c r="AB12" s="597">
        <f t="shared" si="1"/>
        <v>9.6616166197949749</v>
      </c>
      <c r="AC12" s="102">
        <v>20</v>
      </c>
      <c r="AD12" s="105">
        <v>25</v>
      </c>
      <c r="AE12" s="222"/>
      <c r="AF12" s="220" t="s">
        <v>1647</v>
      </c>
      <c r="AG12" s="221" t="s">
        <v>1749</v>
      </c>
      <c r="AH12" s="109">
        <f t="shared" si="3"/>
        <v>1.2</v>
      </c>
      <c r="AI12" s="208">
        <f t="shared" si="2"/>
        <v>24.494239317790079</v>
      </c>
    </row>
    <row r="13" spans="1:37" ht="55.5" customHeight="1" thickBot="1">
      <c r="A13" s="212" t="s">
        <v>1935</v>
      </c>
      <c r="B13" s="213">
        <v>0.6</v>
      </c>
      <c r="C13" s="212">
        <v>0.68</v>
      </c>
      <c r="D13" s="214">
        <v>350</v>
      </c>
      <c r="E13" s="212">
        <v>0.65</v>
      </c>
      <c r="F13" s="225" t="s">
        <v>1936</v>
      </c>
      <c r="G13" s="213">
        <v>0.6</v>
      </c>
      <c r="H13" s="212">
        <v>0.9</v>
      </c>
      <c r="I13" s="214">
        <v>350</v>
      </c>
      <c r="J13" s="213">
        <v>0.72</v>
      </c>
      <c r="K13" s="214">
        <v>200</v>
      </c>
      <c r="L13" s="215">
        <v>0.75</v>
      </c>
      <c r="M13" s="216">
        <v>0.75</v>
      </c>
      <c r="N13" s="216" t="s">
        <v>1937</v>
      </c>
      <c r="O13" s="215">
        <v>0.75</v>
      </c>
      <c r="P13" s="217"/>
      <c r="Q13" s="226"/>
      <c r="R13" s="217"/>
      <c r="S13" s="226" t="s">
        <v>1909</v>
      </c>
      <c r="T13" s="217" t="s">
        <v>1909</v>
      </c>
      <c r="U13" s="212" t="s">
        <v>1935</v>
      </c>
      <c r="V13" s="219">
        <f>AVERAGE(SMALL((S13,Q13,O13,L13,J13,G13,E13,B13),1), SMALL((S13,Q13,O13,L13,J13,G13,E13,B13),2), SMALL((S13,Q13,O13,L13,J13,G13,E13,B13),3))</f>
        <v>0.6166666666666667</v>
      </c>
      <c r="W13" s="102" t="s">
        <v>1638</v>
      </c>
      <c r="Y13" s="604">
        <v>4</v>
      </c>
      <c r="Z13" s="205" t="s">
        <v>1669</v>
      </c>
      <c r="AA13" s="600">
        <f t="shared" si="0"/>
        <v>0.43</v>
      </c>
      <c r="AB13" s="597">
        <f t="shared" si="1"/>
        <v>8.7771024222081113</v>
      </c>
      <c r="AC13" s="102">
        <v>20</v>
      </c>
      <c r="AD13" s="105">
        <v>25</v>
      </c>
      <c r="AE13" s="222"/>
      <c r="AF13" s="220" t="s">
        <v>1647</v>
      </c>
      <c r="AG13" s="221" t="s">
        <v>1787</v>
      </c>
      <c r="AH13" s="109">
        <f t="shared" si="3"/>
        <v>1.2</v>
      </c>
      <c r="AI13" s="208">
        <f t="shared" si="2"/>
        <v>24.494239317790079</v>
      </c>
      <c r="AK13" s="228"/>
    </row>
    <row r="14" spans="1:37" ht="12.5" thickBot="1">
      <c r="A14" s="102" t="s">
        <v>1938</v>
      </c>
      <c r="B14" s="101"/>
      <c r="D14" s="105"/>
      <c r="F14" s="105"/>
      <c r="G14" s="101"/>
      <c r="I14" s="105"/>
      <c r="J14" s="101"/>
      <c r="K14" s="105"/>
      <c r="L14" s="64"/>
      <c r="M14" s="1"/>
      <c r="N14" s="1"/>
      <c r="O14" s="209"/>
      <c r="P14" s="111"/>
      <c r="Q14" s="209"/>
      <c r="R14" s="111"/>
      <c r="S14" s="209" t="s">
        <v>1909</v>
      </c>
      <c r="T14" s="111" t="s">
        <v>1909</v>
      </c>
      <c r="U14" s="102" t="s">
        <v>1938</v>
      </c>
      <c r="V14" s="219"/>
      <c r="Y14" s="605">
        <v>19</v>
      </c>
      <c r="Z14" s="205" t="s">
        <v>1671</v>
      </c>
      <c r="AA14" s="600">
        <f t="shared" si="0"/>
        <v>0.56666666666666676</v>
      </c>
      <c r="AB14" s="597">
        <f t="shared" si="1"/>
        <v>11.566724122289759</v>
      </c>
      <c r="AC14" s="102">
        <v>20</v>
      </c>
      <c r="AD14" s="105">
        <v>25</v>
      </c>
      <c r="AE14" s="220" t="s">
        <v>1648</v>
      </c>
      <c r="AF14" s="220" t="s">
        <v>1649</v>
      </c>
      <c r="AG14" s="221" t="s">
        <v>1775</v>
      </c>
      <c r="AH14" s="109">
        <f t="shared" si="3"/>
        <v>0.79333333333333333</v>
      </c>
      <c r="AI14" s="208">
        <f t="shared" si="2"/>
        <v>16.193413771205662</v>
      </c>
    </row>
    <row r="15" spans="1:37" ht="12.5" thickBot="1">
      <c r="A15" s="102" t="s">
        <v>1939</v>
      </c>
      <c r="B15" s="101"/>
      <c r="D15" s="105"/>
      <c r="F15" s="105"/>
      <c r="G15" s="101"/>
      <c r="I15" s="105"/>
      <c r="J15" s="101"/>
      <c r="K15" s="105"/>
      <c r="L15" s="64"/>
      <c r="M15" s="1"/>
      <c r="N15" s="1"/>
      <c r="O15" s="209"/>
      <c r="P15" s="111"/>
      <c r="Q15" s="209"/>
      <c r="R15" s="111"/>
      <c r="S15" s="209" t="s">
        <v>1909</v>
      </c>
      <c r="T15" s="111" t="s">
        <v>1909</v>
      </c>
      <c r="U15" s="102" t="s">
        <v>1939</v>
      </c>
      <c r="V15" s="219"/>
      <c r="Y15" s="606">
        <v>12</v>
      </c>
      <c r="Z15" s="205" t="s">
        <v>1674</v>
      </c>
      <c r="AA15" s="600">
        <f t="shared" si="0"/>
        <v>0.75666666666666671</v>
      </c>
      <c r="AB15" s="597">
        <f t="shared" si="1"/>
        <v>15.444978680939855</v>
      </c>
      <c r="AC15" s="102">
        <v>20</v>
      </c>
      <c r="AD15" s="105">
        <v>25</v>
      </c>
      <c r="AE15" s="222"/>
      <c r="AF15" s="220" t="s">
        <v>1649</v>
      </c>
      <c r="AG15" s="221" t="s">
        <v>1786</v>
      </c>
      <c r="AH15" s="109">
        <f t="shared" si="3"/>
        <v>0.79333333333333333</v>
      </c>
      <c r="AI15" s="208">
        <f t="shared" si="2"/>
        <v>16.193413771205662</v>
      </c>
    </row>
    <row r="16" spans="1:37" ht="12.5" thickBot="1">
      <c r="A16" s="102" t="s">
        <v>1940</v>
      </c>
      <c r="B16" s="101"/>
      <c r="D16" s="105"/>
      <c r="F16" s="105"/>
      <c r="G16" s="101">
        <v>0.7</v>
      </c>
      <c r="H16" s="102">
        <v>0.7</v>
      </c>
      <c r="I16" s="105">
        <v>225</v>
      </c>
      <c r="J16" s="101"/>
      <c r="K16" s="105"/>
      <c r="L16" s="64">
        <v>0.7</v>
      </c>
      <c r="M16" s="1"/>
      <c r="N16" s="1" t="s">
        <v>1941</v>
      </c>
      <c r="O16" s="64">
        <v>1.1000000000000001</v>
      </c>
      <c r="P16" s="111"/>
      <c r="Q16" s="209"/>
      <c r="R16" s="111"/>
      <c r="S16" s="64">
        <v>1.1499999999999999</v>
      </c>
      <c r="T16" s="66">
        <v>300</v>
      </c>
      <c r="U16" s="102" t="s">
        <v>1940</v>
      </c>
      <c r="V16" s="219">
        <f>AVERAGE(SMALL((S16,Q16,O16,L16,J16,G16,E16,B16),1), SMALL((S16,Q16,O16,L16,J16,G16,E16,B16),2), SMALL((S16,Q16,O16,L16,J16,G16,E16,B16),3))</f>
        <v>0.83333333333333337</v>
      </c>
      <c r="W16" s="102" t="s">
        <v>1942</v>
      </c>
      <c r="Y16" s="606">
        <v>13</v>
      </c>
      <c r="Z16" s="205" t="s">
        <v>1678</v>
      </c>
      <c r="AA16" s="600">
        <f t="shared" si="0"/>
        <v>1.0066666666666666</v>
      </c>
      <c r="AB16" s="597">
        <f t="shared" si="1"/>
        <v>20.547945205479451</v>
      </c>
      <c r="AC16" s="102">
        <v>20</v>
      </c>
      <c r="AD16" s="105">
        <v>25</v>
      </c>
      <c r="AE16" s="222"/>
      <c r="AF16" s="220" t="s">
        <v>1649</v>
      </c>
      <c r="AG16" s="221" t="s">
        <v>1742</v>
      </c>
      <c r="AH16" s="109">
        <f t="shared" si="3"/>
        <v>0.79333333333333333</v>
      </c>
      <c r="AI16" s="208">
        <f t="shared" si="2"/>
        <v>16.193413771205662</v>
      </c>
    </row>
    <row r="17" spans="1:43" ht="12.5" thickBot="1">
      <c r="A17" s="102" t="s">
        <v>1943</v>
      </c>
      <c r="B17" s="101"/>
      <c r="D17" s="105"/>
      <c r="F17" s="105"/>
      <c r="G17" s="101">
        <v>1.97</v>
      </c>
      <c r="H17" s="102">
        <v>1.97</v>
      </c>
      <c r="I17" s="105">
        <v>225</v>
      </c>
      <c r="J17" s="101"/>
      <c r="K17" s="105"/>
      <c r="L17" s="64">
        <v>1</v>
      </c>
      <c r="M17" s="1"/>
      <c r="N17" s="159" t="s">
        <v>1944</v>
      </c>
      <c r="O17" s="64">
        <v>1.3</v>
      </c>
      <c r="P17" s="111"/>
      <c r="Q17" s="209"/>
      <c r="R17" s="111"/>
      <c r="S17" s="209" t="s">
        <v>1909</v>
      </c>
      <c r="T17" s="111" t="s">
        <v>1909</v>
      </c>
      <c r="U17" s="102" t="s">
        <v>1943</v>
      </c>
      <c r="V17" s="219">
        <f>AVERAGE(SMALL((S17,Q17,O17,L17,J17,G17,E17,B17),1), SMALL((S17,Q17,O17,L17,J17,G17,E17,B17),2), SMALL((S17,Q17,O17,L17,J17,G17,E17,B17),3))</f>
        <v>1.4233333333333331</v>
      </c>
      <c r="W17" s="102" t="s">
        <v>1945</v>
      </c>
      <c r="Y17" s="606">
        <v>14</v>
      </c>
      <c r="Z17" s="205" t="s">
        <v>1942</v>
      </c>
      <c r="AA17" s="600">
        <f t="shared" si="0"/>
        <v>0.83333333333333337</v>
      </c>
      <c r="AB17" s="597">
        <f t="shared" si="1"/>
        <v>17.009888415131996</v>
      </c>
      <c r="AC17" s="102">
        <v>20</v>
      </c>
      <c r="AD17" s="105">
        <v>25</v>
      </c>
      <c r="AE17" s="220" t="s">
        <v>1652</v>
      </c>
      <c r="AF17" s="220" t="s">
        <v>1653</v>
      </c>
      <c r="AG17" s="221" t="s">
        <v>1752</v>
      </c>
      <c r="AH17" s="109">
        <f t="shared" si="3"/>
        <v>0.6</v>
      </c>
      <c r="AI17" s="208">
        <f t="shared" si="2"/>
        <v>12.24711965889504</v>
      </c>
    </row>
    <row r="18" spans="1:43" ht="12.5" thickBot="1">
      <c r="A18" s="102" t="s">
        <v>1946</v>
      </c>
      <c r="B18" s="101"/>
      <c r="D18" s="105"/>
      <c r="E18" s="102">
        <v>0.6</v>
      </c>
      <c r="F18" s="105">
        <v>250</v>
      </c>
      <c r="G18" s="101">
        <v>0.75</v>
      </c>
      <c r="H18" s="102">
        <v>0.75</v>
      </c>
      <c r="I18" s="105">
        <v>275</v>
      </c>
      <c r="J18" s="101"/>
      <c r="K18" s="105"/>
      <c r="L18" s="64">
        <v>0.7</v>
      </c>
      <c r="M18" s="1"/>
      <c r="N18" s="1" t="s">
        <v>1947</v>
      </c>
      <c r="O18" s="209"/>
      <c r="P18" s="111"/>
      <c r="Q18" s="209"/>
      <c r="R18" s="111"/>
      <c r="S18" s="209" t="s">
        <v>1909</v>
      </c>
      <c r="T18" s="111" t="s">
        <v>1909</v>
      </c>
      <c r="U18" s="102" t="s">
        <v>1946</v>
      </c>
      <c r="V18" s="219">
        <f>AVERAGE(SMALL((S18,Q18,O18,L18,J18,G18,E18,B18),1), SMALL((S18,Q18,O18,L18,J18,G18,E18,B18),2), SMALL((S18,Q18,O18,L18,J18,G18,E18,B18),3))</f>
        <v>0.68333333333333324</v>
      </c>
      <c r="W18" s="102" t="s">
        <v>1948</v>
      </c>
      <c r="Y18" s="606">
        <v>15</v>
      </c>
      <c r="Z18" s="205" t="s">
        <v>1945</v>
      </c>
      <c r="AA18" s="600">
        <f t="shared" si="0"/>
        <v>1.4233333333333331</v>
      </c>
      <c r="AB18" s="597">
        <f t="shared" si="1"/>
        <v>29.052889413045445</v>
      </c>
      <c r="AC18" s="102">
        <v>20</v>
      </c>
      <c r="AD18" s="105">
        <v>25</v>
      </c>
      <c r="AE18" s="222"/>
      <c r="AF18" s="220" t="s">
        <v>1653</v>
      </c>
      <c r="AG18" s="221" t="s">
        <v>1781</v>
      </c>
      <c r="AH18" s="109">
        <f t="shared" si="3"/>
        <v>0.6</v>
      </c>
      <c r="AI18" s="208">
        <f t="shared" si="2"/>
        <v>12.24711965889504</v>
      </c>
    </row>
    <row r="19" spans="1:43" ht="12.5" thickBot="1">
      <c r="A19" s="102" t="s">
        <v>1949</v>
      </c>
      <c r="B19" s="101"/>
      <c r="D19" s="105"/>
      <c r="F19" s="105"/>
      <c r="G19" s="101">
        <v>1.02</v>
      </c>
      <c r="H19" s="102">
        <v>1.02</v>
      </c>
      <c r="I19" s="105">
        <v>225</v>
      </c>
      <c r="J19" s="101"/>
      <c r="K19" s="105"/>
      <c r="L19" s="101"/>
      <c r="M19" s="1"/>
      <c r="O19" s="64">
        <v>1.35</v>
      </c>
      <c r="P19" s="111"/>
      <c r="Q19" s="209"/>
      <c r="R19" s="111"/>
      <c r="S19" s="209" t="s">
        <v>1909</v>
      </c>
      <c r="T19" s="111" t="s">
        <v>1909</v>
      </c>
      <c r="U19" s="102" t="s">
        <v>1949</v>
      </c>
      <c r="V19" s="219"/>
      <c r="Y19" s="606">
        <v>16</v>
      </c>
      <c r="Z19" s="205" t="s">
        <v>1680</v>
      </c>
      <c r="AA19" s="600">
        <f t="shared" si="0"/>
        <v>0.92333333333333334</v>
      </c>
      <c r="AB19" s="597">
        <f t="shared" si="1"/>
        <v>18.84695636396625</v>
      </c>
      <c r="AC19" s="102">
        <v>20</v>
      </c>
      <c r="AD19" s="105">
        <v>25</v>
      </c>
      <c r="AE19" s="222"/>
      <c r="AF19" s="220" t="s">
        <v>1653</v>
      </c>
      <c r="AG19" s="221" t="s">
        <v>1780</v>
      </c>
      <c r="AH19" s="109">
        <f t="shared" si="3"/>
        <v>0.6</v>
      </c>
      <c r="AI19" s="208">
        <f t="shared" si="2"/>
        <v>12.24711965889504</v>
      </c>
    </row>
    <row r="20" spans="1:43" ht="12.5" thickBot="1">
      <c r="A20" s="102" t="s">
        <v>1950</v>
      </c>
      <c r="B20" s="101"/>
      <c r="D20" s="105"/>
      <c r="F20" s="105"/>
      <c r="G20" s="101"/>
      <c r="I20" s="105"/>
      <c r="J20" s="101"/>
      <c r="K20" s="105"/>
      <c r="L20" s="64">
        <v>0.8</v>
      </c>
      <c r="M20" s="1"/>
      <c r="N20" s="1" t="s">
        <v>1951</v>
      </c>
      <c r="O20" s="209"/>
      <c r="P20" s="111"/>
      <c r="Q20" s="209"/>
      <c r="R20" s="111"/>
      <c r="S20" s="209" t="s">
        <v>1909</v>
      </c>
      <c r="T20" s="111" t="s">
        <v>1909</v>
      </c>
      <c r="U20" s="102" t="s">
        <v>1950</v>
      </c>
      <c r="V20" s="219"/>
      <c r="Y20" s="606">
        <v>17</v>
      </c>
      <c r="Z20" s="205" t="s">
        <v>1682</v>
      </c>
      <c r="AA20" s="600">
        <f t="shared" si="0"/>
        <v>0</v>
      </c>
      <c r="AB20" s="597">
        <f t="shared" si="1"/>
        <v>0</v>
      </c>
      <c r="AC20" s="102">
        <v>20</v>
      </c>
      <c r="AD20" s="105">
        <v>25</v>
      </c>
      <c r="AE20" s="222"/>
      <c r="AF20" s="220" t="s">
        <v>1653</v>
      </c>
      <c r="AG20" s="221" t="s">
        <v>1798</v>
      </c>
      <c r="AH20" s="109">
        <f t="shared" si="3"/>
        <v>0.6</v>
      </c>
      <c r="AI20" s="208">
        <f t="shared" si="2"/>
        <v>12.24711965889504</v>
      </c>
    </row>
    <row r="21" spans="1:43" ht="12.5" thickBot="1">
      <c r="A21" s="102" t="s">
        <v>1952</v>
      </c>
      <c r="B21" s="101"/>
      <c r="D21" s="105"/>
      <c r="F21" s="105"/>
      <c r="G21" s="101">
        <v>11.12</v>
      </c>
      <c r="H21" s="102">
        <v>11.12</v>
      </c>
      <c r="I21" s="105">
        <v>1225</v>
      </c>
      <c r="J21" s="101" t="s">
        <v>1953</v>
      </c>
      <c r="K21" s="105"/>
      <c r="L21" s="64"/>
      <c r="M21" s="1"/>
      <c r="N21" s="1"/>
      <c r="O21" s="209"/>
      <c r="P21" s="111"/>
      <c r="Q21" s="209"/>
      <c r="R21" s="111"/>
      <c r="S21" s="209" t="s">
        <v>1909</v>
      </c>
      <c r="T21" s="111" t="s">
        <v>1909</v>
      </c>
      <c r="U21" s="102" t="s">
        <v>1952</v>
      </c>
      <c r="V21" s="219"/>
      <c r="Y21" s="607">
        <v>18</v>
      </c>
      <c r="Z21" s="205" t="s">
        <v>1684</v>
      </c>
      <c r="AA21" s="600" t="str">
        <f t="shared" si="0"/>
        <v/>
      </c>
      <c r="AB21" s="597" t="e">
        <f t="shared" si="1"/>
        <v>#VALUE!</v>
      </c>
      <c r="AC21" s="102">
        <v>20</v>
      </c>
      <c r="AD21" s="105">
        <v>25</v>
      </c>
      <c r="AE21" s="220" t="s">
        <v>1658</v>
      </c>
      <c r="AF21" s="220" t="s">
        <v>1659</v>
      </c>
      <c r="AG21" s="221" t="s">
        <v>1746</v>
      </c>
      <c r="AH21" s="109">
        <f t="shared" si="3"/>
        <v>0.69</v>
      </c>
      <c r="AI21" s="208">
        <f t="shared" si="2"/>
        <v>14.084187607729293</v>
      </c>
    </row>
    <row r="22" spans="1:43" ht="12.5" thickBot="1">
      <c r="A22" s="102" t="s">
        <v>1954</v>
      </c>
      <c r="B22" s="101"/>
      <c r="D22" s="105"/>
      <c r="F22" s="105"/>
      <c r="G22" s="101"/>
      <c r="I22" s="105"/>
      <c r="J22" s="101"/>
      <c r="K22" s="105"/>
      <c r="L22" s="101"/>
      <c r="M22" s="1"/>
      <c r="N22" s="1"/>
      <c r="O22" s="209"/>
      <c r="P22" s="111"/>
      <c r="Q22" s="209"/>
      <c r="R22" s="111"/>
      <c r="S22" s="209" t="s">
        <v>1909</v>
      </c>
      <c r="T22" s="111" t="s">
        <v>1909</v>
      </c>
      <c r="U22" s="102" t="s">
        <v>1954</v>
      </c>
      <c r="V22" s="219"/>
      <c r="Y22" s="608">
        <v>20</v>
      </c>
      <c r="Z22" s="205" t="s">
        <v>1687</v>
      </c>
      <c r="AA22" s="609">
        <f t="shared" si="0"/>
        <v>0</v>
      </c>
      <c r="AB22" s="598">
        <f t="shared" si="1"/>
        <v>0</v>
      </c>
      <c r="AC22" s="113">
        <v>20</v>
      </c>
      <c r="AD22" s="594">
        <v>25</v>
      </c>
      <c r="AE22" s="222"/>
      <c r="AF22" s="220" t="s">
        <v>1659</v>
      </c>
      <c r="AG22" s="221" t="s">
        <v>1747</v>
      </c>
      <c r="AH22" s="109">
        <f t="shared" si="3"/>
        <v>0.69</v>
      </c>
      <c r="AI22" s="208">
        <f t="shared" si="2"/>
        <v>14.084187607729293</v>
      </c>
    </row>
    <row r="23" spans="1:43">
      <c r="A23" s="102" t="s">
        <v>1955</v>
      </c>
      <c r="B23" s="101"/>
      <c r="D23" s="105"/>
      <c r="F23" s="105"/>
      <c r="G23" s="101">
        <v>1.07</v>
      </c>
      <c r="H23" s="102">
        <v>1.07</v>
      </c>
      <c r="I23" s="105">
        <v>225</v>
      </c>
      <c r="J23" s="101"/>
      <c r="K23" s="105"/>
      <c r="L23" s="64">
        <v>0.7</v>
      </c>
      <c r="M23" s="1"/>
      <c r="N23" s="1" t="s">
        <v>1956</v>
      </c>
      <c r="O23" s="64">
        <v>1</v>
      </c>
      <c r="P23" s="111"/>
      <c r="Q23" s="209"/>
      <c r="R23" s="111"/>
      <c r="S23" s="209" t="s">
        <v>1909</v>
      </c>
      <c r="T23" s="111" t="s">
        <v>1909</v>
      </c>
      <c r="U23" s="102" t="s">
        <v>1955</v>
      </c>
      <c r="V23" s="219">
        <f>AVERAGE(SMALL((S23,Q23,O23,L23,J23,G23,E23,B23),1), SMALL((S23,Q23,O23,L23,J23,G23,E23,B23),2), SMALL((S23,Q23,O23,L23,J23,G23,E23,B23),3))</f>
        <v>0.92333333333333334</v>
      </c>
      <c r="W23" s="102" t="s">
        <v>1680</v>
      </c>
      <c r="AE23" s="222"/>
      <c r="AF23" s="220" t="s">
        <v>1659</v>
      </c>
      <c r="AG23" s="221" t="s">
        <v>1774</v>
      </c>
      <c r="AH23" s="109">
        <f t="shared" si="3"/>
        <v>0.69</v>
      </c>
      <c r="AI23" s="208">
        <f t="shared" si="2"/>
        <v>14.084187607729293</v>
      </c>
    </row>
    <row r="24" spans="1:43">
      <c r="A24" s="102" t="s">
        <v>1957</v>
      </c>
      <c r="B24" s="101"/>
      <c r="D24" s="105"/>
      <c r="F24" s="105"/>
      <c r="G24" s="101">
        <v>1.02</v>
      </c>
      <c r="H24" s="102">
        <v>1.02</v>
      </c>
      <c r="I24" s="105">
        <v>225</v>
      </c>
      <c r="J24" s="101"/>
      <c r="K24" s="105"/>
      <c r="L24" s="64">
        <v>0.7</v>
      </c>
      <c r="M24" s="1"/>
      <c r="N24" s="1" t="s">
        <v>1956</v>
      </c>
      <c r="O24" s="209"/>
      <c r="P24" s="111"/>
      <c r="Q24" s="209"/>
      <c r="R24" s="111"/>
      <c r="S24" s="209" t="s">
        <v>1909</v>
      </c>
      <c r="T24" s="111" t="s">
        <v>1909</v>
      </c>
      <c r="U24" s="102" t="s">
        <v>1957</v>
      </c>
      <c r="V24" s="219"/>
      <c r="W24" s="102" t="s">
        <v>1682</v>
      </c>
      <c r="AE24" s="222"/>
      <c r="AF24" s="220" t="s">
        <v>1659</v>
      </c>
      <c r="AG24" s="221" t="s">
        <v>1748</v>
      </c>
      <c r="AH24" s="109">
        <f t="shared" si="3"/>
        <v>0.69</v>
      </c>
      <c r="AI24" s="208">
        <f t="shared" si="2"/>
        <v>14.084187607729293</v>
      </c>
      <c r="AQ24" s="102" t="s">
        <v>1958</v>
      </c>
    </row>
    <row r="25" spans="1:43">
      <c r="A25" s="102" t="s">
        <v>1959</v>
      </c>
      <c r="B25" s="101"/>
      <c r="D25" s="105"/>
      <c r="F25" s="105"/>
      <c r="G25" s="101"/>
      <c r="I25" s="105"/>
      <c r="J25" s="101"/>
      <c r="K25" s="105"/>
      <c r="L25" s="101"/>
      <c r="M25" s="1"/>
      <c r="N25" s="1"/>
      <c r="O25" s="64">
        <v>0.6</v>
      </c>
      <c r="P25" s="111"/>
      <c r="Q25" s="209"/>
      <c r="R25" s="111"/>
      <c r="S25" s="209" t="s">
        <v>1909</v>
      </c>
      <c r="T25" s="111" t="s">
        <v>1909</v>
      </c>
      <c r="U25" s="102" t="s">
        <v>1959</v>
      </c>
      <c r="V25" s="219"/>
      <c r="W25" s="102" t="s">
        <v>1960</v>
      </c>
      <c r="AE25" s="220" t="s">
        <v>1660</v>
      </c>
      <c r="AF25" s="220" t="s">
        <v>1661</v>
      </c>
      <c r="AG25" s="221" t="s">
        <v>1743</v>
      </c>
      <c r="AH25" s="109">
        <f t="shared" si="3"/>
        <v>0.53333333333333333</v>
      </c>
      <c r="AI25" s="208">
        <f t="shared" si="2"/>
        <v>10.886328585684478</v>
      </c>
    </row>
    <row r="26" spans="1:43">
      <c r="A26" s="212" t="s">
        <v>1961</v>
      </c>
      <c r="B26" s="213">
        <v>0.4</v>
      </c>
      <c r="C26" s="212">
        <v>0.4</v>
      </c>
      <c r="D26" s="214">
        <v>225</v>
      </c>
      <c r="E26" s="212">
        <v>0.55000000000000004</v>
      </c>
      <c r="F26" s="214">
        <v>200</v>
      </c>
      <c r="G26" s="213">
        <v>0.45</v>
      </c>
      <c r="H26" s="212">
        <v>0.7</v>
      </c>
      <c r="I26" s="214">
        <v>175</v>
      </c>
      <c r="J26" s="213">
        <v>0.44</v>
      </c>
      <c r="K26" s="214"/>
      <c r="L26" s="215">
        <v>0.5</v>
      </c>
      <c r="M26" s="216">
        <v>0.5</v>
      </c>
      <c r="N26" s="216" t="s">
        <v>1926</v>
      </c>
      <c r="O26" s="215">
        <v>0.45</v>
      </c>
      <c r="P26" s="218">
        <v>115</v>
      </c>
      <c r="Q26" s="226"/>
      <c r="R26" s="217"/>
      <c r="S26" s="215">
        <v>0.5</v>
      </c>
      <c r="T26" s="218">
        <v>300</v>
      </c>
      <c r="U26" s="212" t="s">
        <v>1961</v>
      </c>
      <c r="V26" s="219">
        <f>AVERAGE(SMALL((S26,Q26,O26,L26,J26,G26,E26,B26),1), SMALL((S26,Q26,O26,L26,J26,G26,E26,B26),2), SMALL((S26,Q26,O26,L26,J26,G26,E26,B26),3))</f>
        <v>0.43</v>
      </c>
      <c r="W26" s="102" t="s">
        <v>1669</v>
      </c>
      <c r="AE26" s="222"/>
      <c r="AF26" s="220" t="s">
        <v>1661</v>
      </c>
      <c r="AG26" s="221" t="s">
        <v>1745</v>
      </c>
      <c r="AH26" s="109">
        <f t="shared" si="3"/>
        <v>0.53333333333333333</v>
      </c>
      <c r="AI26" s="208">
        <f t="shared" si="2"/>
        <v>10.886328585684478</v>
      </c>
    </row>
    <row r="27" spans="1:43">
      <c r="A27" s="212" t="s">
        <v>1962</v>
      </c>
      <c r="B27" s="213">
        <v>0.86</v>
      </c>
      <c r="C27" s="212">
        <v>1.3</v>
      </c>
      <c r="D27" s="214">
        <v>398</v>
      </c>
      <c r="E27" s="212">
        <v>0.6</v>
      </c>
      <c r="F27" s="214">
        <v>200</v>
      </c>
      <c r="G27" s="213">
        <v>0.77</v>
      </c>
      <c r="H27" s="212">
        <v>0.77</v>
      </c>
      <c r="I27" s="214">
        <v>175</v>
      </c>
      <c r="J27" s="213">
        <v>0.82</v>
      </c>
      <c r="K27" s="214"/>
      <c r="L27" s="215">
        <v>0.82</v>
      </c>
      <c r="M27" s="216"/>
      <c r="N27" s="216" t="s">
        <v>1963</v>
      </c>
      <c r="O27" s="215">
        <v>0.8</v>
      </c>
      <c r="P27" s="217"/>
      <c r="Q27" s="226"/>
      <c r="R27" s="217"/>
      <c r="S27" s="215">
        <v>0.7</v>
      </c>
      <c r="T27" s="218">
        <v>300</v>
      </c>
      <c r="U27" s="212" t="s">
        <v>1962</v>
      </c>
      <c r="V27" s="219">
        <f>AVERAGE(SMALL((S27,Q27,O27,L27,J27,G27,E27,B27),1), SMALL((S27,Q27,O27,L27,J27,G27,E27,B27),2), SMALL((S27,Q27,O27,L27,J27,G27,E27,B27),3))</f>
        <v>0.69</v>
      </c>
      <c r="W27" s="102" t="s">
        <v>1659</v>
      </c>
      <c r="AE27" s="220"/>
      <c r="AF27" s="220" t="s">
        <v>1661</v>
      </c>
      <c r="AG27" s="221" t="s">
        <v>1744</v>
      </c>
      <c r="AH27" s="109">
        <f t="shared" si="3"/>
        <v>0.53333333333333333</v>
      </c>
      <c r="AI27" s="208">
        <f t="shared" si="2"/>
        <v>10.886328585684478</v>
      </c>
    </row>
    <row r="28" spans="1:43">
      <c r="A28" s="102" t="s">
        <v>1686</v>
      </c>
      <c r="B28" s="101" t="s">
        <v>1964</v>
      </c>
      <c r="C28" s="102" t="s">
        <v>1964</v>
      </c>
      <c r="D28" s="105"/>
      <c r="F28" s="105"/>
      <c r="G28" s="101">
        <v>11.57</v>
      </c>
      <c r="H28" s="102">
        <v>11.57</v>
      </c>
      <c r="I28" s="105">
        <v>1750</v>
      </c>
      <c r="J28" s="101"/>
      <c r="K28" s="105"/>
      <c r="L28" s="64">
        <v>1.35</v>
      </c>
      <c r="M28" s="1"/>
      <c r="N28" s="1" t="s">
        <v>1965</v>
      </c>
      <c r="O28" s="209" t="s">
        <v>1966</v>
      </c>
      <c r="P28" s="111"/>
      <c r="Q28" s="209"/>
      <c r="R28" s="111"/>
      <c r="S28" s="209" t="s">
        <v>1909</v>
      </c>
      <c r="T28" s="111" t="s">
        <v>1909</v>
      </c>
      <c r="U28" s="102" t="s">
        <v>1686</v>
      </c>
      <c r="V28" s="219"/>
      <c r="W28" s="102" t="s">
        <v>1687</v>
      </c>
      <c r="AE28" s="233" t="s">
        <v>1664</v>
      </c>
      <c r="AF28" s="233" t="s">
        <v>1665</v>
      </c>
      <c r="AG28" s="234" t="s">
        <v>1735</v>
      </c>
      <c r="AH28" s="109">
        <f t="shared" si="3"/>
        <v>0.34333333333333327</v>
      </c>
      <c r="AI28" s="208">
        <f t="shared" si="2"/>
        <v>7.0080740270343815</v>
      </c>
    </row>
    <row r="29" spans="1:43">
      <c r="A29" s="102" t="s">
        <v>1967</v>
      </c>
      <c r="B29" s="101"/>
      <c r="D29" s="105"/>
      <c r="F29" s="105"/>
      <c r="G29" s="101"/>
      <c r="I29" s="105"/>
      <c r="J29" s="101"/>
      <c r="K29" s="105"/>
      <c r="L29" s="64"/>
      <c r="M29" s="1"/>
      <c r="N29" s="1"/>
      <c r="O29" s="209"/>
      <c r="P29" s="111"/>
      <c r="Q29" s="209"/>
      <c r="R29" s="111"/>
      <c r="S29" s="209" t="s">
        <v>1909</v>
      </c>
      <c r="T29" s="111" t="s">
        <v>1909</v>
      </c>
      <c r="U29" s="102" t="s">
        <v>1967</v>
      </c>
      <c r="V29" s="219"/>
      <c r="W29" s="102" t="s">
        <v>1968</v>
      </c>
      <c r="AE29" s="233" t="s">
        <v>1666</v>
      </c>
      <c r="AF29" s="233" t="s">
        <v>1667</v>
      </c>
      <c r="AG29" s="235" t="s">
        <v>1738</v>
      </c>
      <c r="AH29" s="109">
        <f t="shared" si="3"/>
        <v>0.47333333333333333</v>
      </c>
      <c r="AI29" s="208">
        <f t="shared" si="2"/>
        <v>9.6616166197949749</v>
      </c>
    </row>
    <row r="30" spans="1:43">
      <c r="A30" s="102" t="s">
        <v>1969</v>
      </c>
      <c r="B30" s="101"/>
      <c r="D30" s="105"/>
      <c r="F30" s="105"/>
      <c r="G30" s="101"/>
      <c r="I30" s="105"/>
      <c r="J30" s="101"/>
      <c r="K30" s="105"/>
      <c r="L30" s="101"/>
      <c r="M30" s="1"/>
      <c r="N30" s="1"/>
      <c r="O30" s="64">
        <v>1.2</v>
      </c>
      <c r="P30" s="111"/>
      <c r="Q30" s="209"/>
      <c r="R30" s="111"/>
      <c r="S30" s="209"/>
      <c r="T30" s="111" t="s">
        <v>1909</v>
      </c>
      <c r="U30" s="102" t="s">
        <v>1969</v>
      </c>
      <c r="V30" s="219">
        <f>O30</f>
        <v>1.2</v>
      </c>
      <c r="W30" s="102" t="s">
        <v>1647</v>
      </c>
      <c r="AE30" s="233" t="s">
        <v>1668</v>
      </c>
      <c r="AF30" s="233" t="s">
        <v>1669</v>
      </c>
      <c r="AG30" s="234" t="s">
        <v>1726</v>
      </c>
      <c r="AH30" s="109">
        <f t="shared" si="3"/>
        <v>0.43</v>
      </c>
      <c r="AI30" s="208">
        <f t="shared" si="2"/>
        <v>8.7771024222081113</v>
      </c>
    </row>
    <row r="31" spans="1:43">
      <c r="A31" s="102" t="s">
        <v>1970</v>
      </c>
      <c r="B31" s="101" t="s">
        <v>1971</v>
      </c>
      <c r="C31" s="102" t="s">
        <v>1972</v>
      </c>
      <c r="D31" s="105">
        <v>450</v>
      </c>
      <c r="E31" s="102">
        <v>0.6</v>
      </c>
      <c r="F31" s="105">
        <v>300</v>
      </c>
      <c r="G31" s="101">
        <v>0.65</v>
      </c>
      <c r="H31" s="102">
        <v>0.65</v>
      </c>
      <c r="I31" s="105">
        <v>225</v>
      </c>
      <c r="J31" s="101">
        <v>0.65</v>
      </c>
      <c r="K31" s="105"/>
      <c r="L31" s="64">
        <v>0.8</v>
      </c>
      <c r="M31" s="1"/>
      <c r="N31" s="1" t="s">
        <v>1973</v>
      </c>
      <c r="O31" s="64">
        <v>0.7</v>
      </c>
      <c r="P31" s="111"/>
      <c r="Q31" s="209"/>
      <c r="R31" s="111"/>
      <c r="S31" s="209" t="s">
        <v>1909</v>
      </c>
      <c r="T31" s="111" t="s">
        <v>1909</v>
      </c>
      <c r="U31" s="102" t="s">
        <v>1970</v>
      </c>
      <c r="V31" s="219">
        <f>AVERAGE(SMALL((S31,Q31,O31,L31,J31,G31,E31,B31),1), SMALL((S31,Q31,O31,L31,J31,G31,E31,B31),2), SMALL((S31,Q31,O31,L31,J31,G31,E31,B31),3))</f>
        <v>0.6333333333333333</v>
      </c>
      <c r="W31" s="102" t="s">
        <v>1645</v>
      </c>
      <c r="AE31" s="236"/>
      <c r="AF31" s="233" t="s">
        <v>1669</v>
      </c>
      <c r="AG31" s="234" t="s">
        <v>1727</v>
      </c>
      <c r="AH31" s="109">
        <f t="shared" si="3"/>
        <v>0.43</v>
      </c>
      <c r="AI31" s="208">
        <f t="shared" si="2"/>
        <v>8.7771024222081113</v>
      </c>
    </row>
    <row r="32" spans="1:43">
      <c r="A32" s="102" t="s">
        <v>1974</v>
      </c>
      <c r="B32" s="101"/>
      <c r="D32" s="105"/>
      <c r="E32" s="102">
        <v>0.55000000000000004</v>
      </c>
      <c r="F32" s="105">
        <v>200</v>
      </c>
      <c r="G32" s="101">
        <v>0.85</v>
      </c>
      <c r="H32" s="102">
        <v>0.85</v>
      </c>
      <c r="I32" s="105">
        <v>225</v>
      </c>
      <c r="J32" s="101">
        <v>1</v>
      </c>
      <c r="K32" s="105"/>
      <c r="L32" s="64">
        <v>1.25</v>
      </c>
      <c r="M32" s="1"/>
      <c r="N32" s="1" t="s">
        <v>1975</v>
      </c>
      <c r="O32" s="64">
        <v>1.05</v>
      </c>
      <c r="P32" s="66">
        <v>125</v>
      </c>
      <c r="Q32" s="209"/>
      <c r="R32" s="111"/>
      <c r="S32" s="64">
        <v>0.98</v>
      </c>
      <c r="T32" s="66">
        <v>300</v>
      </c>
      <c r="U32" s="102" t="s">
        <v>1974</v>
      </c>
      <c r="V32" s="219">
        <f>AVERAGE(SMALL((S32,Q32,O32,L32,J32,G32,E32,B32),1), SMALL((S32,Q32,O32,L32,J32,G32,E32,B32),2), SMALL((S32,Q32,O32,L32,J32,G32,E32,B32),3))</f>
        <v>0.79333333333333333</v>
      </c>
      <c r="W32" s="102" t="s">
        <v>1649</v>
      </c>
      <c r="AE32" s="236"/>
      <c r="AF32" s="233" t="s">
        <v>1669</v>
      </c>
      <c r="AG32" s="234" t="s">
        <v>1725</v>
      </c>
      <c r="AH32" s="109">
        <f t="shared" si="3"/>
        <v>0.43</v>
      </c>
      <c r="AI32" s="208">
        <f t="shared" si="2"/>
        <v>8.7771024222081113</v>
      </c>
    </row>
    <row r="33" spans="1:35">
      <c r="A33" s="102" t="s">
        <v>1976</v>
      </c>
      <c r="B33" s="101"/>
      <c r="D33" s="105"/>
      <c r="F33" s="105"/>
      <c r="G33" s="101"/>
      <c r="I33" s="105"/>
      <c r="J33" s="101"/>
      <c r="K33" s="105"/>
      <c r="L33" s="64"/>
      <c r="M33" s="1"/>
      <c r="N33" s="1"/>
      <c r="O33" s="209"/>
      <c r="P33" s="111"/>
      <c r="Q33" s="209"/>
      <c r="R33" s="111"/>
      <c r="S33" s="209" t="s">
        <v>1909</v>
      </c>
      <c r="T33" s="111" t="s">
        <v>1909</v>
      </c>
      <c r="U33" s="102" t="s">
        <v>1976</v>
      </c>
      <c r="V33" s="219"/>
      <c r="AE33" s="237" t="s">
        <v>1670</v>
      </c>
      <c r="AF33" s="237" t="s">
        <v>1671</v>
      </c>
      <c r="AG33" s="238" t="s">
        <v>1750</v>
      </c>
      <c r="AH33" s="109">
        <f t="shared" si="3"/>
        <v>0.56666666666666676</v>
      </c>
      <c r="AI33" s="208">
        <f t="shared" si="2"/>
        <v>11.566724122289759</v>
      </c>
    </row>
    <row r="34" spans="1:35">
      <c r="A34" s="102" t="s">
        <v>1977</v>
      </c>
      <c r="B34" s="101"/>
      <c r="D34" s="105"/>
      <c r="F34" s="105"/>
      <c r="G34" s="101"/>
      <c r="I34" s="105"/>
      <c r="J34" s="101"/>
      <c r="K34" s="105"/>
      <c r="L34" s="101">
        <v>0.8</v>
      </c>
      <c r="M34" s="1"/>
      <c r="N34" s="1" t="s">
        <v>1978</v>
      </c>
      <c r="O34" s="209"/>
      <c r="P34" s="111"/>
      <c r="Q34" s="209"/>
      <c r="R34" s="111"/>
      <c r="S34" s="209" t="s">
        <v>1909</v>
      </c>
      <c r="T34" s="111" t="s">
        <v>1909</v>
      </c>
      <c r="U34" s="102" t="s">
        <v>1977</v>
      </c>
      <c r="V34" s="219"/>
      <c r="AE34" s="239"/>
      <c r="AF34" s="237" t="s">
        <v>1671</v>
      </c>
      <c r="AG34" s="238" t="s">
        <v>1751</v>
      </c>
      <c r="AH34" s="109">
        <f t="shared" si="3"/>
        <v>0.56666666666666676</v>
      </c>
      <c r="AI34" s="208">
        <f t="shared" si="2"/>
        <v>11.566724122289759</v>
      </c>
    </row>
    <row r="35" spans="1:35">
      <c r="A35" s="102" t="s">
        <v>1979</v>
      </c>
      <c r="B35" s="101"/>
      <c r="D35" s="105"/>
      <c r="F35" s="105"/>
      <c r="G35" s="101">
        <v>0.82</v>
      </c>
      <c r="H35" s="102">
        <v>0.82</v>
      </c>
      <c r="I35" s="105">
        <v>0</v>
      </c>
      <c r="J35" s="101"/>
      <c r="K35" s="105"/>
      <c r="L35" s="64">
        <v>0.8</v>
      </c>
      <c r="M35" s="1"/>
      <c r="N35" s="1" t="s">
        <v>1978</v>
      </c>
      <c r="O35" s="64">
        <v>0.65</v>
      </c>
      <c r="P35" s="111"/>
      <c r="Q35" s="209"/>
      <c r="R35" s="111"/>
      <c r="S35" s="209" t="s">
        <v>1909</v>
      </c>
      <c r="T35" s="111" t="s">
        <v>1909</v>
      </c>
      <c r="U35" s="102" t="s">
        <v>1979</v>
      </c>
      <c r="V35" s="219">
        <f>AVERAGE(SMALL((S35,Q35,O35,L35,J35,G35,E35,B35),1), SMALL((S35,Q35,O35,L35,J35,G35,E35,B35),2), SMALL((S35,Q35,O35,L35,J35,G35,E35,B35),3))</f>
        <v>0.75666666666666671</v>
      </c>
      <c r="W35" s="102" t="s">
        <v>1674</v>
      </c>
      <c r="AE35" s="239"/>
      <c r="AF35" s="237" t="s">
        <v>1671</v>
      </c>
      <c r="AG35" s="238" t="s">
        <v>1783</v>
      </c>
      <c r="AH35" s="109">
        <f t="shared" si="3"/>
        <v>0.56666666666666676</v>
      </c>
      <c r="AI35" s="208">
        <f t="shared" si="2"/>
        <v>11.566724122289759</v>
      </c>
    </row>
    <row r="36" spans="1:35">
      <c r="A36" s="102" t="s">
        <v>1980</v>
      </c>
      <c r="B36" s="101"/>
      <c r="D36" s="105"/>
      <c r="F36" s="105"/>
      <c r="G36" s="101">
        <v>11.37</v>
      </c>
      <c r="H36" s="102">
        <v>11.37</v>
      </c>
      <c r="I36" s="105">
        <v>1225</v>
      </c>
      <c r="J36" s="101"/>
      <c r="K36" s="105"/>
      <c r="L36" s="64">
        <v>0.85</v>
      </c>
      <c r="M36" s="1"/>
      <c r="N36" s="1" t="s">
        <v>1981</v>
      </c>
      <c r="O36" s="209"/>
      <c r="P36" s="111"/>
      <c r="Q36" s="209"/>
      <c r="R36" s="111"/>
      <c r="S36" s="209" t="s">
        <v>1909</v>
      </c>
      <c r="T36" s="111" t="s">
        <v>1909</v>
      </c>
      <c r="U36" s="102" t="s">
        <v>1980</v>
      </c>
      <c r="V36" s="219"/>
      <c r="AE36" s="240" t="s">
        <v>821</v>
      </c>
      <c r="AF36" s="240" t="s">
        <v>1674</v>
      </c>
      <c r="AG36" s="241" t="s">
        <v>1879</v>
      </c>
      <c r="AH36" s="109">
        <f t="shared" si="3"/>
        <v>0.75666666666666671</v>
      </c>
      <c r="AI36" s="208">
        <f t="shared" si="2"/>
        <v>15.444978680939855</v>
      </c>
    </row>
    <row r="37" spans="1:35">
      <c r="A37" s="102" t="s">
        <v>1982</v>
      </c>
      <c r="B37" s="101"/>
      <c r="D37" s="105"/>
      <c r="F37" s="105"/>
      <c r="G37" s="101"/>
      <c r="I37" s="105"/>
      <c r="J37" s="101"/>
      <c r="K37" s="105"/>
      <c r="L37" s="64">
        <v>0.7</v>
      </c>
      <c r="M37" s="1"/>
      <c r="N37" s="1" t="s">
        <v>1981</v>
      </c>
      <c r="O37" s="209"/>
      <c r="P37" s="111"/>
      <c r="Q37" s="209"/>
      <c r="R37" s="111"/>
      <c r="S37" s="209" t="s">
        <v>1909</v>
      </c>
      <c r="T37" s="111" t="s">
        <v>1909</v>
      </c>
      <c r="U37" s="102" t="s">
        <v>1982</v>
      </c>
      <c r="V37" s="219"/>
      <c r="AE37" s="242"/>
      <c r="AF37" s="240" t="s">
        <v>1674</v>
      </c>
      <c r="AG37" s="241" t="s">
        <v>1872</v>
      </c>
      <c r="AH37" s="109">
        <f t="shared" si="3"/>
        <v>0.75666666666666671</v>
      </c>
      <c r="AI37" s="208">
        <f t="shared" si="2"/>
        <v>15.444978680939855</v>
      </c>
    </row>
    <row r="38" spans="1:35">
      <c r="A38" s="102" t="s">
        <v>1983</v>
      </c>
      <c r="B38" s="101"/>
      <c r="D38" s="105"/>
      <c r="F38" s="105"/>
      <c r="G38" s="101"/>
      <c r="I38" s="105"/>
      <c r="J38" s="101"/>
      <c r="K38" s="105"/>
      <c r="L38" s="64"/>
      <c r="M38" s="1"/>
      <c r="N38" s="1"/>
      <c r="O38" s="209"/>
      <c r="P38" s="111"/>
      <c r="Q38" s="209"/>
      <c r="R38" s="111"/>
      <c r="S38" s="209" t="s">
        <v>1909</v>
      </c>
      <c r="T38" s="111" t="s">
        <v>1909</v>
      </c>
      <c r="U38" s="102" t="s">
        <v>1983</v>
      </c>
      <c r="V38" s="219"/>
      <c r="AE38" s="242"/>
      <c r="AF38" s="240" t="s">
        <v>1674</v>
      </c>
      <c r="AG38" s="241" t="s">
        <v>1867</v>
      </c>
      <c r="AH38" s="109">
        <f t="shared" si="3"/>
        <v>0.75666666666666671</v>
      </c>
      <c r="AI38" s="208">
        <f t="shared" si="2"/>
        <v>15.444978680939855</v>
      </c>
    </row>
    <row r="39" spans="1:35">
      <c r="A39" s="212" t="s">
        <v>1984</v>
      </c>
      <c r="B39" s="213">
        <v>0.52</v>
      </c>
      <c r="C39" s="212">
        <v>0.6</v>
      </c>
      <c r="D39" s="214">
        <v>275</v>
      </c>
      <c r="E39" s="212">
        <v>0.4</v>
      </c>
      <c r="F39" s="214">
        <v>200</v>
      </c>
      <c r="G39" s="213">
        <v>0.52</v>
      </c>
      <c r="H39" s="212">
        <v>0.62</v>
      </c>
      <c r="I39" s="214">
        <v>175</v>
      </c>
      <c r="J39" s="213">
        <v>0.52</v>
      </c>
      <c r="K39" s="214"/>
      <c r="L39" s="215">
        <v>0.55000000000000004</v>
      </c>
      <c r="M39" s="216">
        <v>0.55000000000000004</v>
      </c>
      <c r="N39" s="216" t="s">
        <v>1985</v>
      </c>
      <c r="O39" s="215">
        <v>0.5</v>
      </c>
      <c r="P39" s="217"/>
      <c r="Q39" s="226"/>
      <c r="R39" s="217"/>
      <c r="S39" s="215">
        <v>0.6</v>
      </c>
      <c r="T39" s="218">
        <v>300</v>
      </c>
      <c r="U39" s="212" t="s">
        <v>1984</v>
      </c>
      <c r="V39" s="219">
        <f>AVERAGE(SMALL((S39,Q39,O39,L39,J39,G39,E39,B39),1), SMALL((S39,Q39,O39,L39,J39,G39,E39,B39),2), SMALL((S39,Q39,O39,L39,J39,G39,E39,B39),3))</f>
        <v>0.47333333333333333</v>
      </c>
      <c r="W39" s="102" t="s">
        <v>1667</v>
      </c>
      <c r="AE39" s="240" t="s">
        <v>1677</v>
      </c>
      <c r="AF39" s="240" t="s">
        <v>1678</v>
      </c>
      <c r="AG39" s="242" t="s">
        <v>1851</v>
      </c>
      <c r="AH39" s="109">
        <f t="shared" si="3"/>
        <v>1.0066666666666666</v>
      </c>
      <c r="AI39" s="208">
        <f t="shared" si="2"/>
        <v>20.547945205479451</v>
      </c>
    </row>
    <row r="40" spans="1:35">
      <c r="A40" s="102" t="s">
        <v>1986</v>
      </c>
      <c r="B40" s="101">
        <v>1.96</v>
      </c>
      <c r="C40" s="102" t="s">
        <v>1972</v>
      </c>
      <c r="D40" s="105"/>
      <c r="F40" s="105"/>
      <c r="G40" s="101">
        <v>1.32</v>
      </c>
      <c r="H40" s="102">
        <v>1.32</v>
      </c>
      <c r="I40" s="105">
        <v>225</v>
      </c>
      <c r="J40" s="101">
        <v>0.97</v>
      </c>
      <c r="K40" s="105"/>
      <c r="L40" s="64">
        <v>0.9</v>
      </c>
      <c r="M40" s="1"/>
      <c r="N40" s="1" t="s">
        <v>1987</v>
      </c>
      <c r="O40" s="64">
        <v>1.2</v>
      </c>
      <c r="P40" s="111" t="s">
        <v>1988</v>
      </c>
      <c r="Q40" s="209"/>
      <c r="R40" s="111"/>
      <c r="S40" s="64">
        <v>1.1499999999999999</v>
      </c>
      <c r="T40" s="66">
        <v>300</v>
      </c>
      <c r="U40" s="102" t="s">
        <v>1986</v>
      </c>
      <c r="V40" s="219">
        <f>AVERAGE(SMALL((S40,Q40,O40,L40,J40,G40,E40,B40),1), SMALL((S40,Q40,O40,L40,J40,G40,E40,B40),2), SMALL((S40,Q40,O40,L40,J40,G40,E40,B40),3))</f>
        <v>1.0066666666666666</v>
      </c>
      <c r="W40" s="102" t="s">
        <v>1678</v>
      </c>
      <c r="AE40" s="240" t="s">
        <v>1679</v>
      </c>
      <c r="AF40" s="240" t="s">
        <v>1680</v>
      </c>
      <c r="AG40" s="241" t="s">
        <v>1857</v>
      </c>
      <c r="AH40" s="109">
        <f t="shared" si="3"/>
        <v>0.92333333333333334</v>
      </c>
      <c r="AI40" s="208">
        <f t="shared" si="2"/>
        <v>18.84695636396625</v>
      </c>
    </row>
    <row r="41" spans="1:35">
      <c r="A41" s="102" t="s">
        <v>1989</v>
      </c>
      <c r="B41" s="101"/>
      <c r="D41" s="105"/>
      <c r="E41" s="102">
        <v>0.55000000000000004</v>
      </c>
      <c r="F41" s="105">
        <v>200</v>
      </c>
      <c r="G41" s="101"/>
      <c r="I41" s="105"/>
      <c r="J41" s="101"/>
      <c r="K41" s="105"/>
      <c r="L41" s="101">
        <v>0.8</v>
      </c>
      <c r="M41" s="1"/>
      <c r="N41" s="1" t="s">
        <v>1981</v>
      </c>
      <c r="O41" s="64">
        <v>0.85</v>
      </c>
      <c r="P41" s="111"/>
      <c r="Q41" s="209"/>
      <c r="R41" s="111"/>
      <c r="S41" s="209" t="s">
        <v>1909</v>
      </c>
      <c r="T41" s="111" t="s">
        <v>1909</v>
      </c>
      <c r="U41" s="102" t="s">
        <v>1989</v>
      </c>
      <c r="V41" s="219">
        <f>AVERAGE(SMALL((S41,Q41,O41,L41,J41,G41,E41,B41),1), SMALL((S41,Q41,O41,L41,J41,G41,E41,B41),2), SMALL((S41,Q41,O41,L41,J41,G41,E41,B41),3))</f>
        <v>0.73333333333333339</v>
      </c>
      <c r="W41" s="102" t="s">
        <v>1990</v>
      </c>
      <c r="AE41" s="240"/>
      <c r="AF41" s="240" t="s">
        <v>1680</v>
      </c>
      <c r="AG41" s="241" t="s">
        <v>1837</v>
      </c>
      <c r="AH41" s="109">
        <f t="shared" si="3"/>
        <v>0.92333333333333334</v>
      </c>
      <c r="AI41" s="208">
        <f t="shared" si="2"/>
        <v>18.84695636396625</v>
      </c>
    </row>
    <row r="42" spans="1:35">
      <c r="A42" s="102" t="s">
        <v>1991</v>
      </c>
      <c r="B42" s="101"/>
      <c r="D42" s="105"/>
      <c r="F42" s="105"/>
      <c r="G42" s="101">
        <v>0</v>
      </c>
      <c r="H42" s="102">
        <v>0</v>
      </c>
      <c r="I42" s="105">
        <v>225</v>
      </c>
      <c r="J42" s="101"/>
      <c r="K42" s="105"/>
      <c r="L42" s="64">
        <v>0.85</v>
      </c>
      <c r="M42" s="1"/>
      <c r="N42" s="1" t="s">
        <v>1992</v>
      </c>
      <c r="O42" s="209"/>
      <c r="P42" s="111"/>
      <c r="Q42" s="209"/>
      <c r="R42" s="111"/>
      <c r="S42" s="209" t="s">
        <v>1909</v>
      </c>
      <c r="T42" s="111" t="s">
        <v>1909</v>
      </c>
      <c r="U42" s="102" t="s">
        <v>1991</v>
      </c>
      <c r="V42" s="219"/>
      <c r="AE42" s="240" t="s">
        <v>1681</v>
      </c>
      <c r="AF42" s="240" t="s">
        <v>1682</v>
      </c>
      <c r="AG42" s="241" t="s">
        <v>1862</v>
      </c>
      <c r="AH42" s="109">
        <f t="shared" si="3"/>
        <v>0</v>
      </c>
      <c r="AI42" s="208">
        <f t="shared" si="2"/>
        <v>0</v>
      </c>
    </row>
    <row r="43" spans="1:35">
      <c r="A43" s="102" t="s">
        <v>1993</v>
      </c>
      <c r="B43" s="101"/>
      <c r="D43" s="105"/>
      <c r="F43" s="105"/>
      <c r="G43" s="101"/>
      <c r="I43" s="105"/>
      <c r="J43" s="101"/>
      <c r="K43" s="105"/>
      <c r="L43" s="64"/>
      <c r="M43" s="1"/>
      <c r="N43" s="1"/>
      <c r="O43" s="209"/>
      <c r="P43" s="111"/>
      <c r="Q43" s="209"/>
      <c r="R43" s="111"/>
      <c r="S43" s="209" t="s">
        <v>1909</v>
      </c>
      <c r="T43" s="111" t="s">
        <v>1909</v>
      </c>
      <c r="U43" s="102" t="s">
        <v>1993</v>
      </c>
      <c r="V43" s="219"/>
      <c r="AE43" s="240" t="s">
        <v>1683</v>
      </c>
      <c r="AF43" s="240" t="s">
        <v>1684</v>
      </c>
      <c r="AG43" s="241" t="s">
        <v>1861</v>
      </c>
      <c r="AH43" s="109"/>
      <c r="AI43" s="243"/>
    </row>
    <row r="44" spans="1:35">
      <c r="A44" s="102" t="s">
        <v>1994</v>
      </c>
      <c r="B44" s="101"/>
      <c r="D44" s="105"/>
      <c r="F44" s="105"/>
      <c r="G44" s="101"/>
      <c r="I44" s="105"/>
      <c r="J44" s="101">
        <v>1</v>
      </c>
      <c r="K44" s="105"/>
      <c r="L44" s="101"/>
      <c r="M44" s="1"/>
      <c r="N44" s="1"/>
      <c r="O44" s="209"/>
      <c r="P44" s="111"/>
      <c r="Q44" s="209"/>
      <c r="R44" s="111"/>
      <c r="S44" s="209" t="s">
        <v>1909</v>
      </c>
      <c r="T44" s="111" t="s">
        <v>1909</v>
      </c>
      <c r="U44" s="102" t="s">
        <v>1994</v>
      </c>
      <c r="V44" s="219"/>
      <c r="AE44" s="244" t="s">
        <v>1686</v>
      </c>
      <c r="AF44" s="244" t="s">
        <v>1687</v>
      </c>
      <c r="AG44" s="245" t="s">
        <v>1855</v>
      </c>
      <c r="AH44" s="109"/>
      <c r="AI44" s="243"/>
    </row>
    <row r="45" spans="1:35" ht="24">
      <c r="A45" s="102" t="s">
        <v>1995</v>
      </c>
      <c r="B45" s="101"/>
      <c r="D45" s="105"/>
      <c r="F45" s="105"/>
      <c r="G45" s="101"/>
      <c r="I45" s="105"/>
      <c r="J45" s="101"/>
      <c r="K45" s="105"/>
      <c r="L45" s="64">
        <v>0.7</v>
      </c>
      <c r="M45" s="1"/>
      <c r="N45" s="1" t="s">
        <v>1996</v>
      </c>
      <c r="O45" s="209"/>
      <c r="P45" s="111"/>
      <c r="Q45" s="209"/>
      <c r="R45" s="111"/>
      <c r="S45" s="209" t="s">
        <v>1909</v>
      </c>
      <c r="T45" s="111" t="s">
        <v>1909</v>
      </c>
      <c r="U45" s="102" t="s">
        <v>1995</v>
      </c>
      <c r="V45" s="219"/>
      <c r="W45" s="102" t="s">
        <v>1997</v>
      </c>
      <c r="AE45" s="246" t="s">
        <v>1998</v>
      </c>
      <c r="AF45" s="246" t="s">
        <v>1999</v>
      </c>
      <c r="AG45" s="180" t="s">
        <v>2000</v>
      </c>
      <c r="AH45" s="109" cm="1">
        <f t="array" ref="AH45">AVERAGE(
  _xlfn._xlws.FILTER(
    AH3:AH44,
    (ISNUMBER(SEARCH("JP",$AF3:$AF44)) +
     ISNUMBER(SEARCH("MA",$AF3:$AF44)) +
     ISNUMBER(SEARCH("VN",$AF3:$AF44)) +
     ISNUMBER(SEARCH("KO",$AF3:$AF44)) +
     ISNUMBER(SEARCH("TW",$AF3:$AF44)) +
     ISNUMBER(SEARCH("ID",$AF3:$AF44)) +
     ISNUMBER(SEARCH("TH",$AF3:$AF44))) &gt; 0
  )
)</f>
        <v>0.71393939393939376</v>
      </c>
      <c r="AI45" s="109" cm="1">
        <f t="array" ref="AI45">AVERAGE(
  _xlfn._xlws.FILTER(
    AI3:AI44,
    (ISNUMBER(SEARCH("JP",$AF3:$AF44)) +
     ISNUMBER(SEARCH("MA",$AF3:$AF44)) +
     ISNUMBER(SEARCH("VN",$AF3:$AF44)) +
     ISNUMBER(SEARCH("KO",$AF3:$AF44)) +
     ISNUMBER(SEARCH("TW",$AF3:$AF44)) +
     ISNUMBER(SEARCH("ID",$AF3:$AF44)) +
     ISNUMBER(SEARCH("TH",$AF3:$AF44))) &gt; 0
  )
)</f>
        <v>14.572835311291264</v>
      </c>
    </row>
    <row r="46" spans="1:35">
      <c r="A46" s="102" t="s">
        <v>2001</v>
      </c>
      <c r="B46" s="101"/>
      <c r="D46" s="105"/>
      <c r="F46" s="105"/>
      <c r="G46" s="101">
        <v>0.77</v>
      </c>
      <c r="H46" s="102">
        <v>0.77</v>
      </c>
      <c r="I46" s="105">
        <v>175</v>
      </c>
      <c r="J46" s="101"/>
      <c r="K46" s="105"/>
      <c r="L46" s="64">
        <v>0.7</v>
      </c>
      <c r="M46" s="1"/>
      <c r="N46" s="1"/>
      <c r="O46" s="64">
        <v>0.7</v>
      </c>
      <c r="P46" s="111"/>
      <c r="Q46" s="209"/>
      <c r="R46" s="111"/>
      <c r="S46" s="209" t="s">
        <v>1909</v>
      </c>
      <c r="T46" s="111" t="s">
        <v>1909</v>
      </c>
      <c r="U46" s="102" t="s">
        <v>2001</v>
      </c>
      <c r="V46" s="219">
        <f>AVERAGE(SMALL((S46,Q46,O46,L46,J46,G46,E46,B46),1), SMALL((S46,Q46,O46,L46,J46,G46,E46,B46),2), SMALL((S46,Q46,O46,L46,J46,G46,E46,B46),3))</f>
        <v>0.72333333333333327</v>
      </c>
      <c r="W46" s="102" t="s">
        <v>2002</v>
      </c>
    </row>
    <row r="47" spans="1:35">
      <c r="A47" s="212" t="s">
        <v>2003</v>
      </c>
      <c r="B47" s="213">
        <v>0.6</v>
      </c>
      <c r="C47" s="212">
        <v>0.85</v>
      </c>
      <c r="D47" s="214">
        <v>250</v>
      </c>
      <c r="E47" s="212">
        <v>0.6</v>
      </c>
      <c r="F47" s="214">
        <v>300</v>
      </c>
      <c r="G47" s="213">
        <v>0.6</v>
      </c>
      <c r="H47" s="212">
        <v>0.6</v>
      </c>
      <c r="I47" s="214">
        <v>175</v>
      </c>
      <c r="J47" s="213">
        <v>0.6</v>
      </c>
      <c r="K47" s="214"/>
      <c r="L47" s="215">
        <v>0.6</v>
      </c>
      <c r="M47" s="216">
        <v>0.6</v>
      </c>
      <c r="N47" s="216" t="s">
        <v>2004</v>
      </c>
      <c r="O47" s="215">
        <v>0.6</v>
      </c>
      <c r="P47" s="217"/>
      <c r="Q47" s="226"/>
      <c r="R47" s="217"/>
      <c r="S47" s="215">
        <v>0.9</v>
      </c>
      <c r="T47" s="218">
        <v>300</v>
      </c>
      <c r="U47" s="212" t="s">
        <v>2003</v>
      </c>
      <c r="V47" s="219">
        <f>AVERAGE(SMALL((S47,Q47,O47,L47,J47,G47,E47,B47),1), SMALL((S47,Q47,O47,L47,J47,G47,E47,B47),2), SMALL((S47,Q47,O47,L47,J47,G47,E47,B47),3))</f>
        <v>0.6</v>
      </c>
      <c r="W47" s="102" t="s">
        <v>1653</v>
      </c>
    </row>
    <row r="48" spans="1:35">
      <c r="A48" s="212" t="s">
        <v>2005</v>
      </c>
      <c r="B48" s="213">
        <v>0.51</v>
      </c>
      <c r="C48" s="212">
        <v>0.9</v>
      </c>
      <c r="D48" s="214">
        <v>225</v>
      </c>
      <c r="E48" s="212">
        <v>0.6</v>
      </c>
      <c r="F48" s="214">
        <v>250</v>
      </c>
      <c r="G48" s="213">
        <v>0.6</v>
      </c>
      <c r="H48" s="212">
        <v>0.6</v>
      </c>
      <c r="I48" s="214">
        <v>175</v>
      </c>
      <c r="J48" s="213">
        <v>0.54</v>
      </c>
      <c r="K48" s="214"/>
      <c r="L48" s="215">
        <v>0.6</v>
      </c>
      <c r="M48" s="216">
        <v>0.6</v>
      </c>
      <c r="N48" s="216" t="s">
        <v>2004</v>
      </c>
      <c r="O48" s="215">
        <v>0.55000000000000004</v>
      </c>
      <c r="P48" s="218">
        <v>125</v>
      </c>
      <c r="Q48" s="226"/>
      <c r="R48" s="217"/>
      <c r="S48" s="215">
        <v>0.7</v>
      </c>
      <c r="T48" s="218">
        <v>300</v>
      </c>
      <c r="U48" s="212" t="s">
        <v>2005</v>
      </c>
      <c r="V48" s="219">
        <f>AVERAGE(SMALL((S48,Q48,O48,L48,J48,G48,E48,B48),1), SMALL((S48,Q48,O48,L48,J48,G48,E48,B48),2), SMALL((S48,Q48,O48,L48,J48,G48,E48,B48),3))</f>
        <v>0.53333333333333333</v>
      </c>
      <c r="W48" s="102" t="s">
        <v>1661</v>
      </c>
    </row>
    <row r="49" spans="1:23">
      <c r="A49" s="102" t="s">
        <v>2006</v>
      </c>
      <c r="B49" s="101"/>
      <c r="D49" s="105"/>
      <c r="F49" s="105"/>
      <c r="G49" s="101"/>
      <c r="I49" s="105"/>
      <c r="J49" s="101"/>
      <c r="K49" s="105"/>
      <c r="L49" s="64"/>
      <c r="M49" s="1"/>
      <c r="N49" s="1"/>
      <c r="O49" s="209"/>
      <c r="P49" s="111"/>
      <c r="Q49" s="209"/>
      <c r="R49" s="111"/>
      <c r="S49" s="209" t="s">
        <v>1909</v>
      </c>
      <c r="T49" s="111" t="s">
        <v>1909</v>
      </c>
      <c r="U49" s="102" t="s">
        <v>2006</v>
      </c>
      <c r="V49" s="219"/>
    </row>
    <row r="50" spans="1:23">
      <c r="A50" s="102" t="s">
        <v>2007</v>
      </c>
      <c r="B50" s="101"/>
      <c r="D50" s="105"/>
      <c r="F50" s="105"/>
      <c r="G50" s="101">
        <v>1230</v>
      </c>
      <c r="H50" s="102">
        <v>1230</v>
      </c>
      <c r="I50" s="105">
        <v>1230</v>
      </c>
      <c r="J50" s="101"/>
      <c r="K50" s="105"/>
      <c r="L50" s="64"/>
      <c r="M50" s="1"/>
      <c r="N50" s="1"/>
      <c r="O50" s="209"/>
      <c r="P50" s="111"/>
      <c r="Q50" s="209"/>
      <c r="R50" s="111"/>
      <c r="S50" s="209" t="s">
        <v>1909</v>
      </c>
      <c r="T50" s="111" t="s">
        <v>1909</v>
      </c>
      <c r="U50" s="102" t="s">
        <v>2007</v>
      </c>
      <c r="V50" s="219"/>
    </row>
    <row r="51" spans="1:23">
      <c r="A51" s="212" t="s">
        <v>1453</v>
      </c>
      <c r="B51" s="213">
        <v>0.63</v>
      </c>
      <c r="C51" s="212" t="s">
        <v>1889</v>
      </c>
      <c r="D51" s="214">
        <v>415</v>
      </c>
      <c r="E51" s="212">
        <v>60</v>
      </c>
      <c r="F51" s="214">
        <v>250</v>
      </c>
      <c r="G51" s="213">
        <v>0.6</v>
      </c>
      <c r="H51" s="212">
        <v>0.6</v>
      </c>
      <c r="I51" s="214">
        <v>175</v>
      </c>
      <c r="J51" s="213">
        <v>0.62</v>
      </c>
      <c r="K51" s="225" t="s">
        <v>2008</v>
      </c>
      <c r="L51" s="215">
        <v>0.6</v>
      </c>
      <c r="M51" s="216"/>
      <c r="N51" s="216" t="s">
        <v>2009</v>
      </c>
      <c r="O51" s="215">
        <v>0.55000000000000004</v>
      </c>
      <c r="P51" s="217"/>
      <c r="Q51" s="226"/>
      <c r="R51" s="217"/>
      <c r="S51" s="215">
        <v>0.55000000000000004</v>
      </c>
      <c r="T51" s="218">
        <v>300</v>
      </c>
      <c r="U51" s="212" t="s">
        <v>1453</v>
      </c>
      <c r="V51" s="219">
        <f>AVERAGE(SMALL((S51,Q51,O51,L51,J51,G51,E51,B51),1), SMALL((S51,Q51,O51,L51,J51,G51,E51,B51),2), SMALL((S51,Q51,O51,L51,J51,G51,E51,B51),3))</f>
        <v>0.56666666666666676</v>
      </c>
      <c r="W51" s="102" t="s">
        <v>1671</v>
      </c>
    </row>
    <row r="52" spans="1:23">
      <c r="A52" s="102" t="s">
        <v>2010</v>
      </c>
      <c r="B52" s="101"/>
      <c r="D52" s="105"/>
      <c r="F52" s="105"/>
      <c r="G52" s="101"/>
      <c r="I52" s="105"/>
      <c r="J52" s="101"/>
      <c r="K52" s="105"/>
      <c r="L52" s="64"/>
      <c r="M52" s="1"/>
      <c r="N52" s="1"/>
      <c r="O52" s="209"/>
      <c r="P52" s="111"/>
      <c r="Q52" s="209"/>
      <c r="R52" s="111"/>
      <c r="S52" s="209" t="s">
        <v>1909</v>
      </c>
      <c r="T52" s="111" t="s">
        <v>1909</v>
      </c>
      <c r="U52" s="102" t="s">
        <v>2010</v>
      </c>
      <c r="V52" s="219"/>
    </row>
    <row r="53" spans="1:23" ht="12.5" thickBot="1">
      <c r="A53" s="212" t="s">
        <v>2011</v>
      </c>
      <c r="B53" s="247">
        <v>0.62</v>
      </c>
      <c r="C53" s="248">
        <v>0.62</v>
      </c>
      <c r="D53" s="249">
        <v>290</v>
      </c>
      <c r="E53" s="248">
        <v>0.55000000000000004</v>
      </c>
      <c r="F53" s="249">
        <v>200</v>
      </c>
      <c r="G53" s="247">
        <v>0.6</v>
      </c>
      <c r="H53" s="248">
        <v>0.6</v>
      </c>
      <c r="I53" s="249">
        <v>175</v>
      </c>
      <c r="J53" s="247">
        <v>0.55000000000000004</v>
      </c>
      <c r="K53" s="249"/>
      <c r="L53" s="250">
        <v>0.65</v>
      </c>
      <c r="M53" s="251"/>
      <c r="N53" s="251" t="s">
        <v>1926</v>
      </c>
      <c r="O53" s="252"/>
      <c r="P53" s="253"/>
      <c r="Q53" s="252"/>
      <c r="R53" s="253"/>
      <c r="S53" s="252"/>
      <c r="T53" s="253"/>
      <c r="U53" s="212" t="s">
        <v>2011</v>
      </c>
      <c r="V53" s="219">
        <f>AVERAGE(SMALL((S53,Q53,O53,L53,J53,G53,E53,B53),1), SMALL((S53,Q53,O53,L53,J53,G53,E53,B53),2), SMALL((S53,Q53,O53,L53,J53,G53,E53,B53),3))</f>
        <v>0.56666666666666676</v>
      </c>
      <c r="W53" s="102" t="s">
        <v>1641</v>
      </c>
    </row>
    <row r="54" spans="1:23">
      <c r="L54" s="1"/>
      <c r="M54" s="1"/>
      <c r="N54" s="1"/>
      <c r="O54" s="1"/>
      <c r="P54" s="1"/>
      <c r="Q54" s="1"/>
      <c r="R54" s="1"/>
      <c r="S54" s="1"/>
      <c r="T54" s="1"/>
    </row>
    <row r="55" spans="1:23">
      <c r="L55" s="1"/>
      <c r="M55" s="1"/>
      <c r="N55" s="1"/>
      <c r="O55" s="1"/>
      <c r="P55" s="1"/>
      <c r="Q55" s="1"/>
      <c r="R55" s="1"/>
      <c r="S55" s="1"/>
      <c r="T55" s="1"/>
    </row>
    <row r="56" spans="1:23">
      <c r="B56" s="159" t="s">
        <v>2012</v>
      </c>
      <c r="L56" s="1"/>
      <c r="M56" s="1"/>
      <c r="N56" s="1"/>
      <c r="O56" s="1"/>
      <c r="P56" s="1"/>
      <c r="Q56" s="1"/>
      <c r="R56" s="1"/>
      <c r="S56" s="1"/>
      <c r="T56" s="1"/>
    </row>
    <row r="57" spans="1:23">
      <c r="B57" s="254" t="s">
        <v>2013</v>
      </c>
      <c r="L57" s="1"/>
      <c r="M57" s="1"/>
      <c r="N57" s="1"/>
      <c r="O57" s="1"/>
      <c r="P57" s="1"/>
      <c r="Q57" s="1"/>
      <c r="R57" s="1"/>
      <c r="S57" s="1"/>
      <c r="T57" s="1"/>
    </row>
    <row r="58" spans="1:23">
      <c r="L58" s="1"/>
      <c r="M58" s="1"/>
      <c r="N58" s="1"/>
      <c r="O58" s="1"/>
      <c r="P58" s="1"/>
      <c r="Q58" s="1"/>
      <c r="R58" s="1"/>
      <c r="S58" s="1"/>
      <c r="T58" s="1"/>
    </row>
    <row r="59" spans="1:23">
      <c r="A59" s="255"/>
      <c r="B59" s="256">
        <f>(((H13*90)/20)/22.046)*100</f>
        <v>18.370679488342557</v>
      </c>
      <c r="O59" s="1"/>
      <c r="P59" s="1"/>
      <c r="Q59" s="1"/>
      <c r="R59" s="1"/>
      <c r="S59" s="1"/>
      <c r="T59" s="1"/>
    </row>
    <row r="60" spans="1:23">
      <c r="A60" s="255" t="s">
        <v>2014</v>
      </c>
      <c r="B60" s="256">
        <f>CEILING(B59,10)</f>
        <v>20</v>
      </c>
      <c r="O60" s="109"/>
      <c r="V60" s="102"/>
    </row>
    <row r="61" spans="1:23" ht="12.5" thickBot="1">
      <c r="A61" s="257" t="s">
        <v>2015</v>
      </c>
      <c r="B61" s="258">
        <v>5</v>
      </c>
      <c r="O61" s="109"/>
      <c r="V61" s="102"/>
    </row>
    <row r="62" spans="1:23" ht="12.5" thickBot="1">
      <c r="A62" s="259" t="s">
        <v>2016</v>
      </c>
      <c r="B62" s="260">
        <f>B60+B61</f>
        <v>25</v>
      </c>
      <c r="C62" s="259" t="s">
        <v>2017</v>
      </c>
      <c r="O62" s="109"/>
      <c r="V62" s="102"/>
    </row>
    <row r="63" spans="1:23">
      <c r="O63" s="109"/>
      <c r="V63" s="102"/>
    </row>
    <row r="64" spans="1:23">
      <c r="O64" s="109"/>
      <c r="V64" s="102"/>
    </row>
    <row r="65" spans="2:22">
      <c r="O65" s="109"/>
      <c r="V65" s="102"/>
    </row>
    <row r="66" spans="2:22">
      <c r="O66" s="109"/>
      <c r="V66" s="102"/>
    </row>
    <row r="67" spans="2:22">
      <c r="O67" s="109"/>
      <c r="V67" s="102"/>
    </row>
    <row r="68" spans="2:22">
      <c r="C68" s="102" t="s">
        <v>2018</v>
      </c>
      <c r="O68" s="109"/>
      <c r="V68" s="102"/>
    </row>
    <row r="69" spans="2:22">
      <c r="B69" s="102">
        <v>1</v>
      </c>
      <c r="C69" s="261">
        <v>0.5</v>
      </c>
      <c r="O69" s="109"/>
      <c r="V69" s="102"/>
    </row>
    <row r="70" spans="2:22">
      <c r="B70" s="102">
        <v>2</v>
      </c>
      <c r="C70" s="261">
        <v>0.25</v>
      </c>
      <c r="O70" s="109"/>
      <c r="V70" s="102"/>
    </row>
    <row r="71" spans="2:22">
      <c r="B71" s="102">
        <v>3</v>
      </c>
      <c r="C71" s="261">
        <v>0.15</v>
      </c>
      <c r="O71" s="109"/>
      <c r="V71" s="102"/>
    </row>
    <row r="72" spans="2:22">
      <c r="B72" s="102">
        <v>4</v>
      </c>
      <c r="C72" s="261">
        <v>0.05</v>
      </c>
      <c r="O72" s="109"/>
      <c r="V72" s="102"/>
    </row>
    <row r="73" spans="2:22">
      <c r="B73" s="102">
        <v>5</v>
      </c>
      <c r="C73" s="261">
        <v>0.05</v>
      </c>
      <c r="O73" s="109"/>
      <c r="V73" s="102"/>
    </row>
    <row r="74" spans="2:22">
      <c r="O74" s="109"/>
      <c r="V74" s="102"/>
    </row>
    <row r="75" spans="2:22">
      <c r="O75" s="109"/>
      <c r="V75" s="102"/>
    </row>
    <row r="76" spans="2:22">
      <c r="O76" s="109"/>
      <c r="V76" s="102"/>
    </row>
    <row r="77" spans="2:22">
      <c r="O77" s="109"/>
      <c r="V77" s="102"/>
    </row>
    <row r="78" spans="2:22">
      <c r="O78" s="109"/>
      <c r="V78" s="102"/>
    </row>
    <row r="79" spans="2:22">
      <c r="O79" s="109"/>
      <c r="V79" s="102"/>
    </row>
    <row r="80" spans="2:22">
      <c r="O80" s="109"/>
      <c r="V80" s="102"/>
    </row>
    <row r="81" spans="15:22">
      <c r="O81" s="109"/>
      <c r="V81" s="102"/>
    </row>
    <row r="82" spans="15:22">
      <c r="O82" s="109"/>
      <c r="V82" s="102"/>
    </row>
    <row r="83" spans="15:22">
      <c r="O83" s="109"/>
      <c r="V83" s="102"/>
    </row>
    <row r="84" spans="15:22">
      <c r="O84" s="109"/>
      <c r="V84" s="102"/>
    </row>
    <row r="85" spans="15:22">
      <c r="O85" s="109"/>
      <c r="V85" s="102"/>
    </row>
    <row r="86" spans="15:22">
      <c r="O86" s="109"/>
      <c r="V86" s="102"/>
    </row>
  </sheetData>
  <mergeCells count="8">
    <mergeCell ref="Q2:R2"/>
    <mergeCell ref="S2:T2"/>
    <mergeCell ref="B2:D2"/>
    <mergeCell ref="E2:F2"/>
    <mergeCell ref="G2:I2"/>
    <mergeCell ref="J2:K2"/>
    <mergeCell ref="L2:N2"/>
    <mergeCell ref="O2:P2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CD53-A9A8-479F-AF75-D3FE007377F5}">
  <sheetPr>
    <tabColor rgb="FF7030A0"/>
  </sheetPr>
  <dimension ref="D1:Z101"/>
  <sheetViews>
    <sheetView topLeftCell="A28" workbookViewId="0">
      <selection activeCell="K41" sqref="K41"/>
    </sheetView>
  </sheetViews>
  <sheetFormatPr defaultColWidth="9.1796875" defaultRowHeight="13"/>
  <cols>
    <col min="1" max="1" width="9.1796875" style="10"/>
    <col min="2" max="2" width="4.1796875" style="10" customWidth="1"/>
    <col min="3" max="3" width="4.54296875" style="10" customWidth="1"/>
    <col min="4" max="6" width="9.1796875" style="10"/>
    <col min="7" max="7" width="6.7265625" style="10" bestFit="1" customWidth="1"/>
    <col min="8" max="9" width="4.453125" style="10" bestFit="1" customWidth="1"/>
    <col min="10" max="10" width="5.453125" style="10" customWidth="1"/>
    <col min="11" max="11" width="4.1796875" style="10" customWidth="1"/>
    <col min="12" max="12" width="10" style="10" bestFit="1" customWidth="1"/>
    <col min="13" max="13" width="10.54296875" style="10" bestFit="1" customWidth="1"/>
    <col min="14" max="14" width="15.54296875" style="10" bestFit="1" customWidth="1"/>
    <col min="15" max="15" width="5.453125" style="10" bestFit="1" customWidth="1"/>
    <col min="16" max="17" width="4.453125" style="10" bestFit="1" customWidth="1"/>
    <col min="18" max="18" width="7" style="10" customWidth="1"/>
    <col min="19" max="19" width="3.81640625" style="10" customWidth="1"/>
    <col min="20" max="20" width="3.453125" style="10" customWidth="1"/>
    <col min="21" max="21" width="10" style="10" bestFit="1" customWidth="1"/>
    <col min="22" max="22" width="10.54296875" style="10" bestFit="1" customWidth="1"/>
    <col min="23" max="23" width="15.54296875" style="10" bestFit="1" customWidth="1"/>
    <col min="24" max="26" width="4.453125" style="10" bestFit="1" customWidth="1"/>
    <col min="27" max="16384" width="9.1796875" style="10"/>
  </cols>
  <sheetData>
    <row r="1" spans="5:26">
      <c r="F1" s="10" t="s">
        <v>2054</v>
      </c>
      <c r="G1" s="10" t="s">
        <v>28</v>
      </c>
    </row>
    <row r="2" spans="5:26">
      <c r="E2" s="10" t="s">
        <v>2055</v>
      </c>
      <c r="F2" s="10">
        <v>0.7</v>
      </c>
      <c r="G2" s="286">
        <v>6.5000000000000002E-2</v>
      </c>
    </row>
    <row r="3" spans="5:26">
      <c r="E3" s="10" t="s">
        <v>1753</v>
      </c>
      <c r="F3" s="10">
        <v>0.7</v>
      </c>
      <c r="G3" s="286">
        <v>6.5000000000000002E-2</v>
      </c>
      <c r="N3" s="552" t="s">
        <v>2173</v>
      </c>
    </row>
    <row r="4" spans="5:26">
      <c r="E4" s="10" t="s">
        <v>1724</v>
      </c>
      <c r="F4" s="10">
        <v>0.7</v>
      </c>
      <c r="G4" s="286">
        <v>6.5000000000000002E-2</v>
      </c>
    </row>
    <row r="6" spans="5:26">
      <c r="E6" s="287"/>
      <c r="F6" s="287"/>
      <c r="G6" s="737" t="s">
        <v>2056</v>
      </c>
      <c r="H6" s="737"/>
      <c r="I6" s="737"/>
      <c r="M6" s="287"/>
      <c r="N6" s="287"/>
      <c r="O6" s="737" t="s">
        <v>1629</v>
      </c>
      <c r="P6" s="737"/>
      <c r="Q6" s="737"/>
      <c r="V6" s="287"/>
      <c r="W6" s="287"/>
      <c r="X6" s="737" t="s">
        <v>2057</v>
      </c>
      <c r="Y6" s="737"/>
      <c r="Z6" s="737"/>
    </row>
    <row r="7" spans="5:26">
      <c r="E7" s="287"/>
      <c r="F7" s="287"/>
      <c r="G7" s="737" t="s">
        <v>2058</v>
      </c>
      <c r="H7" s="737"/>
      <c r="I7" s="737"/>
      <c r="M7" s="287"/>
      <c r="N7" s="287"/>
      <c r="O7" s="737" t="s">
        <v>2058</v>
      </c>
      <c r="P7" s="737"/>
      <c r="Q7" s="737"/>
      <c r="V7" s="287"/>
      <c r="W7" s="287"/>
      <c r="X7" s="737" t="s">
        <v>2058</v>
      </c>
      <c r="Y7" s="737"/>
      <c r="Z7" s="737"/>
    </row>
    <row r="8" spans="5:26">
      <c r="E8" s="287"/>
      <c r="F8" s="287"/>
      <c r="G8" s="288" t="s">
        <v>2055</v>
      </c>
      <c r="H8" s="288" t="s">
        <v>1753</v>
      </c>
      <c r="I8" s="288" t="s">
        <v>1724</v>
      </c>
      <c r="J8" s="181"/>
      <c r="K8" s="181"/>
      <c r="L8" s="181"/>
      <c r="M8" s="287"/>
      <c r="N8" s="287"/>
      <c r="O8" s="288" t="s">
        <v>2055</v>
      </c>
      <c r="P8" s="288" t="s">
        <v>1753</v>
      </c>
      <c r="Q8" s="288" t="s">
        <v>1724</v>
      </c>
      <c r="V8" s="287"/>
      <c r="W8" s="287"/>
      <c r="X8" s="288" t="s">
        <v>2055</v>
      </c>
      <c r="Y8" s="288" t="s">
        <v>1753</v>
      </c>
      <c r="Z8" s="288" t="s">
        <v>1724</v>
      </c>
    </row>
    <row r="9" spans="5:26">
      <c r="E9" s="289">
        <v>1</v>
      </c>
      <c r="F9" s="290" t="s">
        <v>1638</v>
      </c>
      <c r="G9" s="291">
        <v>14</v>
      </c>
      <c r="H9" s="291">
        <v>18</v>
      </c>
      <c r="I9" s="291">
        <v>14</v>
      </c>
      <c r="M9" s="289">
        <v>1</v>
      </c>
      <c r="N9" s="290" t="s">
        <v>1638</v>
      </c>
      <c r="O9" s="291">
        <v>21</v>
      </c>
      <c r="P9" s="291">
        <v>30</v>
      </c>
      <c r="Q9" s="291">
        <v>14</v>
      </c>
      <c r="V9" s="289">
        <v>1</v>
      </c>
      <c r="W9" s="290" t="s">
        <v>1638</v>
      </c>
      <c r="X9" s="291">
        <v>30</v>
      </c>
      <c r="Y9" s="291">
        <v>40</v>
      </c>
      <c r="Z9" s="291">
        <v>14</v>
      </c>
    </row>
    <row r="10" spans="5:26">
      <c r="E10" s="292">
        <v>5</v>
      </c>
      <c r="F10" s="290" t="s">
        <v>1641</v>
      </c>
      <c r="G10" s="291">
        <v>14</v>
      </c>
      <c r="H10" s="291">
        <v>18</v>
      </c>
      <c r="I10" s="291">
        <v>14</v>
      </c>
      <c r="M10" s="292">
        <v>5</v>
      </c>
      <c r="N10" s="290" t="s">
        <v>1641</v>
      </c>
      <c r="O10" s="291">
        <v>21</v>
      </c>
      <c r="P10" s="291">
        <v>30</v>
      </c>
      <c r="Q10" s="291">
        <v>14</v>
      </c>
      <c r="V10" s="292">
        <v>5</v>
      </c>
      <c r="W10" s="290" t="s">
        <v>1641</v>
      </c>
      <c r="X10" s="291">
        <v>30</v>
      </c>
      <c r="Y10" s="291">
        <v>40</v>
      </c>
      <c r="Z10" s="291">
        <v>14</v>
      </c>
    </row>
    <row r="11" spans="5:26">
      <c r="E11" s="292">
        <v>6</v>
      </c>
      <c r="F11" s="290" t="s">
        <v>1645</v>
      </c>
      <c r="G11" s="291">
        <v>14</v>
      </c>
      <c r="H11" s="291">
        <v>18</v>
      </c>
      <c r="I11" s="291">
        <v>14</v>
      </c>
      <c r="M11" s="292">
        <v>6</v>
      </c>
      <c r="N11" s="290" t="s">
        <v>1645</v>
      </c>
      <c r="O11" s="291">
        <v>21</v>
      </c>
      <c r="P11" s="291">
        <v>30</v>
      </c>
      <c r="Q11" s="291">
        <v>14</v>
      </c>
      <c r="V11" s="292">
        <v>6</v>
      </c>
      <c r="W11" s="290" t="s">
        <v>1645</v>
      </c>
      <c r="X11" s="291">
        <v>30</v>
      </c>
      <c r="Y11" s="291">
        <v>40</v>
      </c>
      <c r="Z11" s="291">
        <v>14</v>
      </c>
    </row>
    <row r="12" spans="5:26">
      <c r="E12" s="292">
        <v>7</v>
      </c>
      <c r="F12" s="290" t="s">
        <v>1647</v>
      </c>
      <c r="G12" s="291">
        <v>14</v>
      </c>
      <c r="H12" s="291">
        <v>18</v>
      </c>
      <c r="I12" s="291">
        <v>14</v>
      </c>
      <c r="M12" s="292">
        <v>7</v>
      </c>
      <c r="N12" s="290" t="s">
        <v>1647</v>
      </c>
      <c r="O12" s="291">
        <v>21</v>
      </c>
      <c r="P12" s="291">
        <v>30</v>
      </c>
      <c r="Q12" s="291">
        <v>14</v>
      </c>
      <c r="V12" s="292">
        <v>7</v>
      </c>
      <c r="W12" s="290" t="s">
        <v>1647</v>
      </c>
      <c r="X12" s="291">
        <v>30</v>
      </c>
      <c r="Y12" s="291">
        <v>40</v>
      </c>
      <c r="Z12" s="291">
        <v>14</v>
      </c>
    </row>
    <row r="13" spans="5:26">
      <c r="E13" s="292">
        <v>8</v>
      </c>
      <c r="F13" s="290" t="s">
        <v>1649</v>
      </c>
      <c r="G13" s="291">
        <v>14</v>
      </c>
      <c r="H13" s="291">
        <v>18</v>
      </c>
      <c r="I13" s="291">
        <v>14</v>
      </c>
      <c r="M13" s="292">
        <v>8</v>
      </c>
      <c r="N13" s="290" t="s">
        <v>1649</v>
      </c>
      <c r="O13" s="291">
        <v>21</v>
      </c>
      <c r="P13" s="291">
        <v>30</v>
      </c>
      <c r="Q13" s="291">
        <v>14</v>
      </c>
      <c r="V13" s="292">
        <v>8</v>
      </c>
      <c r="W13" s="290" t="s">
        <v>1649</v>
      </c>
      <c r="X13" s="291">
        <v>30</v>
      </c>
      <c r="Y13" s="291">
        <v>40</v>
      </c>
      <c r="Z13" s="291">
        <v>14</v>
      </c>
    </row>
    <row r="14" spans="5:26">
      <c r="E14" s="292">
        <v>9</v>
      </c>
      <c r="F14" s="290" t="s">
        <v>1653</v>
      </c>
      <c r="G14" s="291">
        <v>14</v>
      </c>
      <c r="H14" s="291">
        <v>18</v>
      </c>
      <c r="I14" s="291">
        <v>14</v>
      </c>
      <c r="M14" s="292">
        <v>9</v>
      </c>
      <c r="N14" s="290" t="s">
        <v>1653</v>
      </c>
      <c r="O14" s="291">
        <v>21</v>
      </c>
      <c r="P14" s="291">
        <v>30</v>
      </c>
      <c r="Q14" s="291">
        <v>14</v>
      </c>
      <c r="V14" s="292">
        <v>9</v>
      </c>
      <c r="W14" s="290" t="s">
        <v>1653</v>
      </c>
      <c r="X14" s="291">
        <v>30</v>
      </c>
      <c r="Y14" s="291">
        <v>40</v>
      </c>
      <c r="Z14" s="291">
        <v>14</v>
      </c>
    </row>
    <row r="15" spans="5:26">
      <c r="E15" s="292">
        <v>10</v>
      </c>
      <c r="F15" s="290" t="s">
        <v>1659</v>
      </c>
      <c r="G15" s="291">
        <v>14</v>
      </c>
      <c r="H15" s="291">
        <v>18</v>
      </c>
      <c r="I15" s="291">
        <v>14</v>
      </c>
      <c r="M15" s="292">
        <v>10</v>
      </c>
      <c r="N15" s="290" t="s">
        <v>1659</v>
      </c>
      <c r="O15" s="291">
        <v>21</v>
      </c>
      <c r="P15" s="291">
        <v>30</v>
      </c>
      <c r="Q15" s="291">
        <v>14</v>
      </c>
      <c r="V15" s="292">
        <v>10</v>
      </c>
      <c r="W15" s="290" t="s">
        <v>1659</v>
      </c>
      <c r="X15" s="291">
        <v>30</v>
      </c>
      <c r="Y15" s="291">
        <v>40</v>
      </c>
      <c r="Z15" s="291">
        <v>14</v>
      </c>
    </row>
    <row r="16" spans="5:26">
      <c r="E16" s="292">
        <v>11</v>
      </c>
      <c r="F16" s="290" t="s">
        <v>1661</v>
      </c>
      <c r="G16" s="291">
        <v>14</v>
      </c>
      <c r="H16" s="291">
        <v>18</v>
      </c>
      <c r="I16" s="291">
        <v>14</v>
      </c>
      <c r="M16" s="292">
        <v>11</v>
      </c>
      <c r="N16" s="290" t="s">
        <v>1661</v>
      </c>
      <c r="O16" s="291">
        <v>21</v>
      </c>
      <c r="P16" s="291">
        <v>30</v>
      </c>
      <c r="Q16" s="291">
        <v>14</v>
      </c>
      <c r="V16" s="292">
        <v>11</v>
      </c>
      <c r="W16" s="290" t="s">
        <v>1661</v>
      </c>
      <c r="X16" s="291">
        <v>30</v>
      </c>
      <c r="Y16" s="291">
        <v>40</v>
      </c>
      <c r="Z16" s="291">
        <v>14</v>
      </c>
    </row>
    <row r="17" spans="5:26">
      <c r="E17" s="293">
        <v>2</v>
      </c>
      <c r="F17" s="290" t="s">
        <v>1665</v>
      </c>
      <c r="G17" s="291">
        <v>14</v>
      </c>
      <c r="H17" s="291">
        <v>18</v>
      </c>
      <c r="I17" s="291">
        <v>14</v>
      </c>
      <c r="M17" s="293">
        <v>2</v>
      </c>
      <c r="N17" s="290" t="s">
        <v>1665</v>
      </c>
      <c r="O17" s="291">
        <v>30</v>
      </c>
      <c r="P17" s="291">
        <v>30</v>
      </c>
      <c r="Q17" s="291">
        <v>18</v>
      </c>
      <c r="V17" s="293">
        <v>2</v>
      </c>
      <c r="W17" s="290" t="s">
        <v>1665</v>
      </c>
      <c r="X17" s="291">
        <v>30</v>
      </c>
      <c r="Y17" s="291">
        <v>60</v>
      </c>
      <c r="Z17" s="291">
        <v>25</v>
      </c>
    </row>
    <row r="18" spans="5:26">
      <c r="E18" s="293">
        <v>3</v>
      </c>
      <c r="F18" s="290" t="s">
        <v>1667</v>
      </c>
      <c r="G18" s="291">
        <v>14</v>
      </c>
      <c r="H18" s="291">
        <v>18</v>
      </c>
      <c r="I18" s="291">
        <v>14</v>
      </c>
      <c r="M18" s="293">
        <v>3</v>
      </c>
      <c r="N18" s="290" t="s">
        <v>1667</v>
      </c>
      <c r="O18" s="291">
        <v>30</v>
      </c>
      <c r="P18" s="291">
        <v>30</v>
      </c>
      <c r="Q18" s="291">
        <v>18</v>
      </c>
      <c r="V18" s="293">
        <v>3</v>
      </c>
      <c r="W18" s="290" t="s">
        <v>1667</v>
      </c>
      <c r="X18" s="291">
        <v>30</v>
      </c>
      <c r="Y18" s="291">
        <v>45</v>
      </c>
      <c r="Z18" s="291">
        <v>25</v>
      </c>
    </row>
    <row r="19" spans="5:26">
      <c r="E19" s="293">
        <v>4</v>
      </c>
      <c r="F19" s="290" t="s">
        <v>1669</v>
      </c>
      <c r="G19" s="291">
        <v>14</v>
      </c>
      <c r="H19" s="291">
        <v>18</v>
      </c>
      <c r="I19" s="291">
        <v>14</v>
      </c>
      <c r="M19" s="293">
        <v>4</v>
      </c>
      <c r="N19" s="290" t="s">
        <v>1669</v>
      </c>
      <c r="O19" s="291">
        <v>30</v>
      </c>
      <c r="P19" s="291">
        <v>35</v>
      </c>
      <c r="Q19" s="291">
        <v>18</v>
      </c>
      <c r="V19" s="293">
        <v>4</v>
      </c>
      <c r="W19" s="290" t="s">
        <v>1669</v>
      </c>
      <c r="X19" s="291">
        <v>30</v>
      </c>
      <c r="Y19" s="291">
        <v>45</v>
      </c>
      <c r="Z19" s="291">
        <v>30</v>
      </c>
    </row>
    <row r="20" spans="5:26">
      <c r="E20" s="294">
        <v>19</v>
      </c>
      <c r="F20" s="290" t="s">
        <v>1671</v>
      </c>
      <c r="G20" s="291">
        <v>14</v>
      </c>
      <c r="H20" s="291">
        <v>18</v>
      </c>
      <c r="I20" s="291">
        <v>14</v>
      </c>
      <c r="M20" s="294">
        <v>19</v>
      </c>
      <c r="N20" s="290" t="s">
        <v>1671</v>
      </c>
      <c r="O20" s="291">
        <v>35</v>
      </c>
      <c r="P20" s="291">
        <v>35</v>
      </c>
      <c r="Q20" s="291">
        <v>30</v>
      </c>
      <c r="V20" s="294">
        <v>19</v>
      </c>
      <c r="W20" s="290" t="s">
        <v>1671</v>
      </c>
      <c r="X20" s="291">
        <v>30</v>
      </c>
      <c r="Y20" s="291">
        <v>40</v>
      </c>
      <c r="Z20" s="291">
        <v>35</v>
      </c>
    </row>
    <row r="21" spans="5:26">
      <c r="E21" s="295">
        <v>12</v>
      </c>
      <c r="F21" s="290" t="s">
        <v>1674</v>
      </c>
      <c r="G21" s="291">
        <v>14</v>
      </c>
      <c r="H21" s="291">
        <v>18</v>
      </c>
      <c r="I21" s="291">
        <v>14</v>
      </c>
      <c r="M21" s="295">
        <v>12</v>
      </c>
      <c r="N21" s="290" t="s">
        <v>1674</v>
      </c>
      <c r="O21" s="291">
        <v>14</v>
      </c>
      <c r="P21" s="291">
        <v>30</v>
      </c>
      <c r="Q21" s="291">
        <v>14</v>
      </c>
      <c r="V21" s="295">
        <v>12</v>
      </c>
      <c r="W21" s="290" t="s">
        <v>1674</v>
      </c>
      <c r="X21" s="291">
        <v>30</v>
      </c>
      <c r="Y21" s="291">
        <v>40</v>
      </c>
      <c r="Z21" s="291">
        <v>14</v>
      </c>
    </row>
    <row r="22" spans="5:26">
      <c r="E22" s="295">
        <v>13</v>
      </c>
      <c r="F22" s="290" t="s">
        <v>1678</v>
      </c>
      <c r="G22" s="291">
        <v>14</v>
      </c>
      <c r="H22" s="291">
        <v>18</v>
      </c>
      <c r="I22" s="291">
        <v>14</v>
      </c>
      <c r="M22" s="295">
        <v>13</v>
      </c>
      <c r="N22" s="290" t="s">
        <v>1678</v>
      </c>
      <c r="O22" s="291">
        <v>14</v>
      </c>
      <c r="P22" s="291">
        <v>30</v>
      </c>
      <c r="Q22" s="291">
        <v>14</v>
      </c>
      <c r="V22" s="295">
        <v>13</v>
      </c>
      <c r="W22" s="290" t="s">
        <v>1678</v>
      </c>
      <c r="X22" s="291">
        <v>30</v>
      </c>
      <c r="Y22" s="291">
        <v>40</v>
      </c>
      <c r="Z22" s="291">
        <v>14</v>
      </c>
    </row>
    <row r="23" spans="5:26">
      <c r="E23" s="295">
        <v>14</v>
      </c>
      <c r="F23" s="290" t="s">
        <v>1942</v>
      </c>
      <c r="G23" s="291">
        <v>14</v>
      </c>
      <c r="H23" s="291">
        <v>18</v>
      </c>
      <c r="I23" s="291">
        <v>14</v>
      </c>
      <c r="M23" s="295">
        <v>14</v>
      </c>
      <c r="N23" s="290" t="s">
        <v>1942</v>
      </c>
      <c r="O23" s="291">
        <v>14</v>
      </c>
      <c r="P23" s="291">
        <v>30</v>
      </c>
      <c r="Q23" s="291">
        <v>14</v>
      </c>
      <c r="V23" s="295">
        <v>14</v>
      </c>
      <c r="W23" s="290" t="s">
        <v>1942</v>
      </c>
      <c r="X23" s="291">
        <v>30</v>
      </c>
      <c r="Y23" s="291">
        <v>40</v>
      </c>
      <c r="Z23" s="291">
        <v>14</v>
      </c>
    </row>
    <row r="24" spans="5:26">
      <c r="E24" s="295">
        <v>15</v>
      </c>
      <c r="F24" s="290" t="s">
        <v>1945</v>
      </c>
      <c r="G24" s="291">
        <v>14</v>
      </c>
      <c r="H24" s="291">
        <v>18</v>
      </c>
      <c r="I24" s="291">
        <v>14</v>
      </c>
      <c r="M24" s="295">
        <v>15</v>
      </c>
      <c r="N24" s="290" t="s">
        <v>1945</v>
      </c>
      <c r="O24" s="291">
        <v>14</v>
      </c>
      <c r="P24" s="291">
        <v>30</v>
      </c>
      <c r="Q24" s="291">
        <v>14</v>
      </c>
      <c r="V24" s="295">
        <v>15</v>
      </c>
      <c r="W24" s="290" t="s">
        <v>1945</v>
      </c>
      <c r="X24" s="291">
        <v>30</v>
      </c>
      <c r="Y24" s="291">
        <v>40</v>
      </c>
      <c r="Z24" s="291">
        <v>14</v>
      </c>
    </row>
    <row r="25" spans="5:26">
      <c r="E25" s="295">
        <v>16</v>
      </c>
      <c r="F25" s="290" t="s">
        <v>1680</v>
      </c>
      <c r="G25" s="291">
        <v>14</v>
      </c>
      <c r="H25" s="291">
        <v>18</v>
      </c>
      <c r="I25" s="291">
        <v>14</v>
      </c>
      <c r="M25" s="295">
        <v>16</v>
      </c>
      <c r="N25" s="290" t="s">
        <v>1680</v>
      </c>
      <c r="O25" s="291">
        <v>14</v>
      </c>
      <c r="P25" s="291">
        <v>30</v>
      </c>
      <c r="Q25" s="291">
        <v>14</v>
      </c>
      <c r="V25" s="295">
        <v>16</v>
      </c>
      <c r="W25" s="290" t="s">
        <v>1680</v>
      </c>
      <c r="X25" s="291">
        <v>30</v>
      </c>
      <c r="Y25" s="291">
        <v>40</v>
      </c>
      <c r="Z25" s="291">
        <v>14</v>
      </c>
    </row>
    <row r="26" spans="5:26">
      <c r="E26" s="295">
        <v>17</v>
      </c>
      <c r="F26" s="290" t="s">
        <v>1682</v>
      </c>
      <c r="G26" s="291">
        <v>14</v>
      </c>
      <c r="H26" s="291">
        <v>18</v>
      </c>
      <c r="I26" s="291">
        <v>14</v>
      </c>
      <c r="M26" s="295">
        <v>17</v>
      </c>
      <c r="N26" s="290" t="s">
        <v>1682</v>
      </c>
      <c r="O26" s="291">
        <v>14</v>
      </c>
      <c r="P26" s="291">
        <v>30</v>
      </c>
      <c r="Q26" s="291">
        <v>14</v>
      </c>
      <c r="V26" s="295">
        <v>17</v>
      </c>
      <c r="W26" s="290" t="s">
        <v>1682</v>
      </c>
      <c r="X26" s="291">
        <v>30</v>
      </c>
      <c r="Y26" s="291">
        <v>40</v>
      </c>
      <c r="Z26" s="291">
        <v>14</v>
      </c>
    </row>
    <row r="27" spans="5:26">
      <c r="E27" s="295">
        <v>18</v>
      </c>
      <c r="F27" s="290" t="s">
        <v>1684</v>
      </c>
      <c r="G27" s="291">
        <v>14</v>
      </c>
      <c r="H27" s="291">
        <v>18</v>
      </c>
      <c r="I27" s="291">
        <v>14</v>
      </c>
      <c r="M27" s="295">
        <v>18</v>
      </c>
      <c r="N27" s="290" t="s">
        <v>1684</v>
      </c>
      <c r="O27" s="291">
        <v>14</v>
      </c>
      <c r="P27" s="291">
        <v>30</v>
      </c>
      <c r="Q27" s="291">
        <v>14</v>
      </c>
      <c r="V27" s="295">
        <v>18</v>
      </c>
      <c r="W27" s="290" t="s">
        <v>1684</v>
      </c>
      <c r="X27" s="291">
        <v>30</v>
      </c>
      <c r="Y27" s="291">
        <v>40</v>
      </c>
      <c r="Z27" s="291">
        <v>14</v>
      </c>
    </row>
    <row r="28" spans="5:26">
      <c r="E28" s="296">
        <v>20</v>
      </c>
      <c r="F28" s="290" t="s">
        <v>1687</v>
      </c>
      <c r="G28" s="291">
        <v>14</v>
      </c>
      <c r="H28" s="291">
        <v>18</v>
      </c>
      <c r="I28" s="291">
        <v>14</v>
      </c>
      <c r="M28" s="296">
        <v>20</v>
      </c>
      <c r="N28" s="290" t="s">
        <v>1687</v>
      </c>
      <c r="O28" s="291">
        <v>14</v>
      </c>
      <c r="P28" s="291">
        <v>30</v>
      </c>
      <c r="Q28" s="291">
        <v>14</v>
      </c>
      <c r="V28" s="296">
        <v>20</v>
      </c>
      <c r="W28" s="290" t="s">
        <v>1687</v>
      </c>
      <c r="X28" s="291">
        <v>30</v>
      </c>
      <c r="Y28" s="291">
        <v>40</v>
      </c>
      <c r="Z28" s="291">
        <v>14</v>
      </c>
    </row>
    <row r="29" spans="5:26">
      <c r="E29" s="297"/>
      <c r="F29" s="297"/>
      <c r="M29" s="297"/>
      <c r="N29" s="297"/>
      <c r="V29" s="297"/>
      <c r="W29" s="297"/>
    </row>
    <row r="30" spans="5:26">
      <c r="E30" s="297"/>
      <c r="F30" s="297"/>
      <c r="M30" s="297"/>
      <c r="N30" s="297"/>
      <c r="V30" s="297"/>
      <c r="W30" s="297"/>
    </row>
    <row r="32" spans="5:26">
      <c r="E32" s="287"/>
      <c r="F32" s="287"/>
      <c r="G32" s="737" t="s">
        <v>2056</v>
      </c>
      <c r="H32" s="737"/>
      <c r="I32" s="737"/>
      <c r="M32" s="287"/>
      <c r="N32" s="287"/>
      <c r="O32" s="737" t="s">
        <v>1629</v>
      </c>
      <c r="P32" s="737"/>
      <c r="Q32" s="737"/>
      <c r="V32" s="287"/>
      <c r="W32" s="287"/>
      <c r="X32" s="737" t="s">
        <v>2057</v>
      </c>
      <c r="Y32" s="737"/>
      <c r="Z32" s="737"/>
    </row>
    <row r="33" spans="5:26">
      <c r="E33" s="287"/>
      <c r="F33" s="287"/>
      <c r="G33" s="737" t="s">
        <v>2058</v>
      </c>
      <c r="H33" s="737"/>
      <c r="I33" s="737"/>
      <c r="M33" s="287"/>
      <c r="N33" s="287"/>
      <c r="O33" s="737" t="s">
        <v>2058</v>
      </c>
      <c r="P33" s="737"/>
      <c r="Q33" s="737"/>
      <c r="V33" s="287"/>
      <c r="W33" s="287"/>
      <c r="X33" s="737" t="s">
        <v>2058</v>
      </c>
      <c r="Y33" s="737"/>
      <c r="Z33" s="737"/>
    </row>
    <row r="34" spans="5:26">
      <c r="E34" s="287"/>
      <c r="F34" s="287"/>
      <c r="G34" s="288" t="s">
        <v>2055</v>
      </c>
      <c r="H34" s="288" t="s">
        <v>1753</v>
      </c>
      <c r="I34" s="288" t="s">
        <v>1724</v>
      </c>
      <c r="J34" s="181"/>
      <c r="K34" s="181"/>
      <c r="L34" s="181"/>
      <c r="M34" s="287"/>
      <c r="N34" s="287"/>
      <c r="O34" s="288" t="s">
        <v>2055</v>
      </c>
      <c r="P34" s="288" t="s">
        <v>1753</v>
      </c>
      <c r="Q34" s="288" t="s">
        <v>1724</v>
      </c>
      <c r="V34" s="287"/>
      <c r="W34" s="287"/>
      <c r="X34" s="288" t="s">
        <v>2055</v>
      </c>
      <c r="Y34" s="288" t="s">
        <v>1753</v>
      </c>
      <c r="Z34" s="288" t="s">
        <v>1724</v>
      </c>
    </row>
    <row r="35" spans="5:26">
      <c r="E35" s="289">
        <v>1</v>
      </c>
      <c r="F35" s="290" t="s">
        <v>1638</v>
      </c>
      <c r="G35" s="298">
        <f>((G9/365)*($F$2*$G$2)*100)</f>
        <v>0.17452054794520547</v>
      </c>
      <c r="H35" s="298">
        <f t="shared" ref="H35:I35" si="0">((H9/365)*($F$2*$G$2)*100)</f>
        <v>0.22438356164383561</v>
      </c>
      <c r="I35" s="298">
        <f t="shared" si="0"/>
        <v>0.17452054794520547</v>
      </c>
      <c r="M35" s="289">
        <v>1</v>
      </c>
      <c r="N35" s="290" t="s">
        <v>1638</v>
      </c>
      <c r="O35" s="555">
        <f>((O9/365)*($F$2*$G$2)*100)</f>
        <v>0.26178082191780822</v>
      </c>
      <c r="P35" s="298">
        <f t="shared" ref="P35:Q35" si="1">((P9/365)*($F$2*$G$2)*100)</f>
        <v>0.37397260273972599</v>
      </c>
      <c r="Q35" s="298">
        <f t="shared" si="1"/>
        <v>0.17452054794520547</v>
      </c>
      <c r="V35" s="289">
        <v>1</v>
      </c>
      <c r="W35" s="290" t="s">
        <v>1638</v>
      </c>
      <c r="X35" s="298">
        <f>((X9/365)*($F$2*$G$2)*100)</f>
        <v>0.37397260273972599</v>
      </c>
      <c r="Y35" s="298">
        <f>((Y9/365)*($F$2*$G$2)*100)</f>
        <v>0.49863013698630126</v>
      </c>
      <c r="Z35" s="298">
        <f t="shared" ref="Z35" si="2">((Z9/365)*($F$2*$G$2)*100)</f>
        <v>0.17452054794520547</v>
      </c>
    </row>
    <row r="36" spans="5:26">
      <c r="E36" s="292">
        <v>5</v>
      </c>
      <c r="F36" s="290" t="s">
        <v>1641</v>
      </c>
      <c r="G36" s="298">
        <f t="shared" ref="G36:I51" si="3">((G10/365)*($F$2*$G$2)*100)</f>
        <v>0.17452054794520547</v>
      </c>
      <c r="H36" s="298">
        <f t="shared" si="3"/>
        <v>0.22438356164383561</v>
      </c>
      <c r="I36" s="298">
        <f t="shared" si="3"/>
        <v>0.17452054794520547</v>
      </c>
      <c r="M36" s="292">
        <v>5</v>
      </c>
      <c r="N36" s="290" t="s">
        <v>1641</v>
      </c>
      <c r="O36" s="555">
        <f t="shared" ref="O36:Q51" si="4">((O10/365)*($F$2*$G$2)*100)</f>
        <v>0.26178082191780822</v>
      </c>
      <c r="P36" s="298">
        <f t="shared" si="4"/>
        <v>0.37397260273972599</v>
      </c>
      <c r="Q36" s="298">
        <f t="shared" si="4"/>
        <v>0.17452054794520547</v>
      </c>
      <c r="V36" s="292">
        <v>5</v>
      </c>
      <c r="W36" s="290" t="s">
        <v>1641</v>
      </c>
      <c r="X36" s="298">
        <f t="shared" ref="X36:Z51" si="5">((X10/365)*($F$2*$G$2)*100)</f>
        <v>0.37397260273972599</v>
      </c>
      <c r="Y36" s="298">
        <f t="shared" si="5"/>
        <v>0.49863013698630126</v>
      </c>
      <c r="Z36" s="298">
        <f t="shared" si="5"/>
        <v>0.17452054794520547</v>
      </c>
    </row>
    <row r="37" spans="5:26">
      <c r="E37" s="292">
        <v>6</v>
      </c>
      <c r="F37" s="290" t="s">
        <v>1645</v>
      </c>
      <c r="G37" s="298">
        <f t="shared" si="3"/>
        <v>0.17452054794520547</v>
      </c>
      <c r="H37" s="298">
        <f t="shared" si="3"/>
        <v>0.22438356164383561</v>
      </c>
      <c r="I37" s="298">
        <f t="shared" si="3"/>
        <v>0.17452054794520547</v>
      </c>
      <c r="M37" s="292">
        <v>6</v>
      </c>
      <c r="N37" s="290" t="s">
        <v>1645</v>
      </c>
      <c r="O37" s="555">
        <f t="shared" si="4"/>
        <v>0.26178082191780822</v>
      </c>
      <c r="P37" s="298">
        <f t="shared" si="4"/>
        <v>0.37397260273972599</v>
      </c>
      <c r="Q37" s="298">
        <f t="shared" si="4"/>
        <v>0.17452054794520547</v>
      </c>
      <c r="V37" s="292">
        <v>6</v>
      </c>
      <c r="W37" s="290" t="s">
        <v>1645</v>
      </c>
      <c r="X37" s="298">
        <f t="shared" si="5"/>
        <v>0.37397260273972599</v>
      </c>
      <c r="Y37" s="298">
        <f t="shared" si="5"/>
        <v>0.49863013698630126</v>
      </c>
      <c r="Z37" s="298">
        <f t="shared" si="5"/>
        <v>0.17452054794520547</v>
      </c>
    </row>
    <row r="38" spans="5:26">
      <c r="E38" s="292">
        <v>7</v>
      </c>
      <c r="F38" s="290" t="s">
        <v>1647</v>
      </c>
      <c r="G38" s="298">
        <f t="shared" si="3"/>
        <v>0.17452054794520547</v>
      </c>
      <c r="H38" s="298">
        <f t="shared" si="3"/>
        <v>0.22438356164383561</v>
      </c>
      <c r="I38" s="298">
        <f t="shared" si="3"/>
        <v>0.17452054794520547</v>
      </c>
      <c r="M38" s="292">
        <v>7</v>
      </c>
      <c r="N38" s="290" t="s">
        <v>1647</v>
      </c>
      <c r="O38" s="555">
        <f t="shared" si="4"/>
        <v>0.26178082191780822</v>
      </c>
      <c r="P38" s="298">
        <f t="shared" si="4"/>
        <v>0.37397260273972599</v>
      </c>
      <c r="Q38" s="298">
        <f t="shared" si="4"/>
        <v>0.17452054794520547</v>
      </c>
      <c r="V38" s="292">
        <v>7</v>
      </c>
      <c r="W38" s="290" t="s">
        <v>1647</v>
      </c>
      <c r="X38" s="298">
        <f t="shared" si="5"/>
        <v>0.37397260273972599</v>
      </c>
      <c r="Y38" s="298">
        <f t="shared" si="5"/>
        <v>0.49863013698630126</v>
      </c>
      <c r="Z38" s="298">
        <f t="shared" si="5"/>
        <v>0.17452054794520547</v>
      </c>
    </row>
    <row r="39" spans="5:26">
      <c r="E39" s="292">
        <v>8</v>
      </c>
      <c r="F39" s="290" t="s">
        <v>1649</v>
      </c>
      <c r="G39" s="298">
        <f t="shared" si="3"/>
        <v>0.17452054794520547</v>
      </c>
      <c r="H39" s="298">
        <f t="shared" si="3"/>
        <v>0.22438356164383561</v>
      </c>
      <c r="I39" s="298">
        <f t="shared" si="3"/>
        <v>0.17452054794520547</v>
      </c>
      <c r="M39" s="292">
        <v>8</v>
      </c>
      <c r="N39" s="290" t="s">
        <v>1649</v>
      </c>
      <c r="O39" s="555">
        <f t="shared" si="4"/>
        <v>0.26178082191780822</v>
      </c>
      <c r="P39" s="298">
        <f t="shared" si="4"/>
        <v>0.37397260273972599</v>
      </c>
      <c r="Q39" s="298">
        <f t="shared" si="4"/>
        <v>0.17452054794520547</v>
      </c>
      <c r="V39" s="292">
        <v>8</v>
      </c>
      <c r="W39" s="290" t="s">
        <v>1649</v>
      </c>
      <c r="X39" s="298">
        <f t="shared" si="5"/>
        <v>0.37397260273972599</v>
      </c>
      <c r="Y39" s="298">
        <f t="shared" si="5"/>
        <v>0.49863013698630126</v>
      </c>
      <c r="Z39" s="298">
        <f t="shared" si="5"/>
        <v>0.17452054794520547</v>
      </c>
    </row>
    <row r="40" spans="5:26">
      <c r="E40" s="292">
        <v>9</v>
      </c>
      <c r="F40" s="290" t="s">
        <v>1653</v>
      </c>
      <c r="G40" s="298">
        <f t="shared" si="3"/>
        <v>0.17452054794520547</v>
      </c>
      <c r="H40" s="298">
        <f t="shared" si="3"/>
        <v>0.22438356164383561</v>
      </c>
      <c r="I40" s="298">
        <f t="shared" si="3"/>
        <v>0.17452054794520547</v>
      </c>
      <c r="M40" s="292">
        <v>9</v>
      </c>
      <c r="N40" s="290" t="s">
        <v>1653</v>
      </c>
      <c r="O40" s="555">
        <f t="shared" si="4"/>
        <v>0.26178082191780822</v>
      </c>
      <c r="P40" s="298">
        <f t="shared" si="4"/>
        <v>0.37397260273972599</v>
      </c>
      <c r="Q40" s="298">
        <f t="shared" si="4"/>
        <v>0.17452054794520547</v>
      </c>
      <c r="V40" s="292">
        <v>9</v>
      </c>
      <c r="W40" s="290" t="s">
        <v>1653</v>
      </c>
      <c r="X40" s="298">
        <f t="shared" si="5"/>
        <v>0.37397260273972599</v>
      </c>
      <c r="Y40" s="298">
        <f t="shared" si="5"/>
        <v>0.49863013698630126</v>
      </c>
      <c r="Z40" s="298">
        <f t="shared" si="5"/>
        <v>0.17452054794520547</v>
      </c>
    </row>
    <row r="41" spans="5:26">
      <c r="E41" s="292">
        <v>10</v>
      </c>
      <c r="F41" s="290" t="s">
        <v>1659</v>
      </c>
      <c r="G41" s="298">
        <f t="shared" si="3"/>
        <v>0.17452054794520547</v>
      </c>
      <c r="H41" s="298">
        <f t="shared" si="3"/>
        <v>0.22438356164383561</v>
      </c>
      <c r="I41" s="298">
        <f t="shared" si="3"/>
        <v>0.17452054794520547</v>
      </c>
      <c r="M41" s="292">
        <v>10</v>
      </c>
      <c r="N41" s="290" t="s">
        <v>1659</v>
      </c>
      <c r="O41" s="555">
        <f t="shared" si="4"/>
        <v>0.26178082191780822</v>
      </c>
      <c r="P41" s="298">
        <f t="shared" si="4"/>
        <v>0.37397260273972599</v>
      </c>
      <c r="Q41" s="298">
        <f t="shared" si="4"/>
        <v>0.17452054794520547</v>
      </c>
      <c r="V41" s="292">
        <v>10</v>
      </c>
      <c r="W41" s="290" t="s">
        <v>1659</v>
      </c>
      <c r="X41" s="298">
        <f t="shared" si="5"/>
        <v>0.37397260273972599</v>
      </c>
      <c r="Y41" s="298">
        <f t="shared" si="5"/>
        <v>0.49863013698630126</v>
      </c>
      <c r="Z41" s="298">
        <f t="shared" si="5"/>
        <v>0.17452054794520547</v>
      </c>
    </row>
    <row r="42" spans="5:26">
      <c r="E42" s="292">
        <v>11</v>
      </c>
      <c r="F42" s="290" t="s">
        <v>1661</v>
      </c>
      <c r="G42" s="298">
        <f t="shared" si="3"/>
        <v>0.17452054794520547</v>
      </c>
      <c r="H42" s="298">
        <f t="shared" si="3"/>
        <v>0.22438356164383561</v>
      </c>
      <c r="I42" s="298">
        <f t="shared" si="3"/>
        <v>0.17452054794520547</v>
      </c>
      <c r="M42" s="292">
        <v>11</v>
      </c>
      <c r="N42" s="290" t="s">
        <v>1661</v>
      </c>
      <c r="O42" s="555">
        <f t="shared" si="4"/>
        <v>0.26178082191780822</v>
      </c>
      <c r="P42" s="298">
        <f t="shared" si="4"/>
        <v>0.37397260273972599</v>
      </c>
      <c r="Q42" s="298">
        <f t="shared" si="4"/>
        <v>0.17452054794520547</v>
      </c>
      <c r="V42" s="292">
        <v>11</v>
      </c>
      <c r="W42" s="290" t="s">
        <v>1661</v>
      </c>
      <c r="X42" s="298">
        <f t="shared" si="5"/>
        <v>0.37397260273972599</v>
      </c>
      <c r="Y42" s="298">
        <f t="shared" si="5"/>
        <v>0.49863013698630126</v>
      </c>
      <c r="Z42" s="298">
        <f t="shared" si="5"/>
        <v>0.17452054794520547</v>
      </c>
    </row>
    <row r="43" spans="5:26">
      <c r="E43" s="293">
        <v>2</v>
      </c>
      <c r="F43" s="290" t="s">
        <v>1665</v>
      </c>
      <c r="G43" s="298">
        <f t="shared" si="3"/>
        <v>0.17452054794520547</v>
      </c>
      <c r="H43" s="298">
        <f t="shared" si="3"/>
        <v>0.22438356164383561</v>
      </c>
      <c r="I43" s="298">
        <f t="shared" si="3"/>
        <v>0.17452054794520547</v>
      </c>
      <c r="M43" s="293">
        <v>2</v>
      </c>
      <c r="N43" s="290" t="s">
        <v>1665</v>
      </c>
      <c r="O43" s="555">
        <f t="shared" si="4"/>
        <v>0.37397260273972599</v>
      </c>
      <c r="P43" s="298">
        <f t="shared" si="4"/>
        <v>0.37397260273972599</v>
      </c>
      <c r="Q43" s="298">
        <f t="shared" si="4"/>
        <v>0.22438356164383561</v>
      </c>
      <c r="V43" s="293">
        <v>2</v>
      </c>
      <c r="W43" s="290" t="s">
        <v>1665</v>
      </c>
      <c r="X43" s="298">
        <f t="shared" si="5"/>
        <v>0.37397260273972599</v>
      </c>
      <c r="Y43" s="298">
        <f t="shared" si="5"/>
        <v>0.74794520547945198</v>
      </c>
      <c r="Z43" s="298">
        <f t="shared" si="5"/>
        <v>0.31164383561643832</v>
      </c>
    </row>
    <row r="44" spans="5:26">
      <c r="E44" s="293">
        <v>3</v>
      </c>
      <c r="F44" s="290" t="s">
        <v>1667</v>
      </c>
      <c r="G44" s="298">
        <f t="shared" si="3"/>
        <v>0.17452054794520547</v>
      </c>
      <c r="H44" s="298">
        <f t="shared" si="3"/>
        <v>0.22438356164383561</v>
      </c>
      <c r="I44" s="298">
        <f t="shared" si="3"/>
        <v>0.17452054794520547</v>
      </c>
      <c r="M44" s="293">
        <v>3</v>
      </c>
      <c r="N44" s="290" t="s">
        <v>1667</v>
      </c>
      <c r="O44" s="555">
        <f t="shared" si="4"/>
        <v>0.37397260273972599</v>
      </c>
      <c r="P44" s="298">
        <f t="shared" si="4"/>
        <v>0.37397260273972599</v>
      </c>
      <c r="Q44" s="298">
        <f t="shared" si="4"/>
        <v>0.22438356164383561</v>
      </c>
      <c r="V44" s="293">
        <v>3</v>
      </c>
      <c r="W44" s="290" t="s">
        <v>1667</v>
      </c>
      <c r="X44" s="298">
        <f t="shared" si="5"/>
        <v>0.37397260273972599</v>
      </c>
      <c r="Y44" s="298">
        <f t="shared" si="5"/>
        <v>0.56095890410958893</v>
      </c>
      <c r="Z44" s="298">
        <f t="shared" si="5"/>
        <v>0.31164383561643832</v>
      </c>
    </row>
    <row r="45" spans="5:26">
      <c r="E45" s="293">
        <v>4</v>
      </c>
      <c r="F45" s="290" t="s">
        <v>1669</v>
      </c>
      <c r="G45" s="298">
        <f t="shared" si="3"/>
        <v>0.17452054794520547</v>
      </c>
      <c r="H45" s="298">
        <f t="shared" si="3"/>
        <v>0.22438356164383561</v>
      </c>
      <c r="I45" s="298">
        <f t="shared" si="3"/>
        <v>0.17452054794520547</v>
      </c>
      <c r="M45" s="293">
        <v>4</v>
      </c>
      <c r="N45" s="290" t="s">
        <v>1669</v>
      </c>
      <c r="O45" s="555">
        <f t="shared" si="4"/>
        <v>0.37397260273972599</v>
      </c>
      <c r="P45" s="298">
        <f t="shared" si="4"/>
        <v>0.43630136986301371</v>
      </c>
      <c r="Q45" s="298">
        <f t="shared" si="4"/>
        <v>0.22438356164383561</v>
      </c>
      <c r="V45" s="293">
        <v>4</v>
      </c>
      <c r="W45" s="290" t="s">
        <v>1669</v>
      </c>
      <c r="X45" s="298">
        <f t="shared" si="5"/>
        <v>0.37397260273972599</v>
      </c>
      <c r="Y45" s="298">
        <f t="shared" si="5"/>
        <v>0.56095890410958893</v>
      </c>
      <c r="Z45" s="298">
        <f t="shared" si="5"/>
        <v>0.37397260273972599</v>
      </c>
    </row>
    <row r="46" spans="5:26">
      <c r="E46" s="294">
        <v>19</v>
      </c>
      <c r="F46" s="290" t="s">
        <v>1671</v>
      </c>
      <c r="G46" s="298">
        <f t="shared" si="3"/>
        <v>0.17452054794520547</v>
      </c>
      <c r="H46" s="298">
        <f t="shared" si="3"/>
        <v>0.22438356164383561</v>
      </c>
      <c r="I46" s="298">
        <f t="shared" si="3"/>
        <v>0.17452054794520547</v>
      </c>
      <c r="M46" s="294">
        <v>19</v>
      </c>
      <c r="N46" s="290" t="s">
        <v>1671</v>
      </c>
      <c r="O46" s="555">
        <f t="shared" si="4"/>
        <v>0.43630136986301371</v>
      </c>
      <c r="P46" s="298">
        <f t="shared" si="4"/>
        <v>0.43630136986301371</v>
      </c>
      <c r="Q46" s="298">
        <f t="shared" si="4"/>
        <v>0.37397260273972599</v>
      </c>
      <c r="V46" s="294">
        <v>19</v>
      </c>
      <c r="W46" s="290" t="s">
        <v>1671</v>
      </c>
      <c r="X46" s="298">
        <f t="shared" si="5"/>
        <v>0.37397260273972599</v>
      </c>
      <c r="Y46" s="298">
        <f t="shared" si="5"/>
        <v>0.49863013698630126</v>
      </c>
      <c r="Z46" s="298">
        <f t="shared" si="5"/>
        <v>0.43630136986301371</v>
      </c>
    </row>
    <row r="47" spans="5:26">
      <c r="E47" s="295">
        <v>12</v>
      </c>
      <c r="F47" s="290" t="s">
        <v>1674</v>
      </c>
      <c r="G47" s="298">
        <f t="shared" si="3"/>
        <v>0.17452054794520547</v>
      </c>
      <c r="H47" s="298">
        <f t="shared" si="3"/>
        <v>0.22438356164383561</v>
      </c>
      <c r="I47" s="298">
        <f t="shared" si="3"/>
        <v>0.17452054794520547</v>
      </c>
      <c r="M47" s="295">
        <v>12</v>
      </c>
      <c r="N47" s="290" t="s">
        <v>1674</v>
      </c>
      <c r="O47" s="555">
        <f t="shared" si="4"/>
        <v>0.17452054794520547</v>
      </c>
      <c r="P47" s="298">
        <f t="shared" si="4"/>
        <v>0.37397260273972599</v>
      </c>
      <c r="Q47" s="298">
        <f t="shared" si="4"/>
        <v>0.17452054794520547</v>
      </c>
      <c r="V47" s="295">
        <v>12</v>
      </c>
      <c r="W47" s="290" t="s">
        <v>1674</v>
      </c>
      <c r="X47" s="298">
        <f t="shared" si="5"/>
        <v>0.37397260273972599</v>
      </c>
      <c r="Y47" s="298">
        <f t="shared" si="5"/>
        <v>0.49863013698630126</v>
      </c>
      <c r="Z47" s="298">
        <f t="shared" si="5"/>
        <v>0.17452054794520547</v>
      </c>
    </row>
    <row r="48" spans="5:26">
      <c r="E48" s="295">
        <v>13</v>
      </c>
      <c r="F48" s="290" t="s">
        <v>1678</v>
      </c>
      <c r="G48" s="298">
        <f t="shared" si="3"/>
        <v>0.17452054794520547</v>
      </c>
      <c r="H48" s="298">
        <f t="shared" si="3"/>
        <v>0.22438356164383561</v>
      </c>
      <c r="I48" s="298">
        <f t="shared" si="3"/>
        <v>0.17452054794520547</v>
      </c>
      <c r="M48" s="295">
        <v>13</v>
      </c>
      <c r="N48" s="290" t="s">
        <v>1678</v>
      </c>
      <c r="O48" s="555">
        <f t="shared" si="4"/>
        <v>0.17452054794520547</v>
      </c>
      <c r="P48" s="298">
        <f t="shared" si="4"/>
        <v>0.37397260273972599</v>
      </c>
      <c r="Q48" s="298">
        <f t="shared" si="4"/>
        <v>0.17452054794520547</v>
      </c>
      <c r="V48" s="295">
        <v>13</v>
      </c>
      <c r="W48" s="290" t="s">
        <v>1678</v>
      </c>
      <c r="X48" s="298">
        <f t="shared" si="5"/>
        <v>0.37397260273972599</v>
      </c>
      <c r="Y48" s="298">
        <f t="shared" si="5"/>
        <v>0.49863013698630126</v>
      </c>
      <c r="Z48" s="298">
        <f t="shared" si="5"/>
        <v>0.17452054794520547</v>
      </c>
    </row>
    <row r="49" spans="4:26">
      <c r="E49" s="295">
        <v>14</v>
      </c>
      <c r="F49" s="290" t="s">
        <v>1942</v>
      </c>
      <c r="G49" s="298">
        <f t="shared" si="3"/>
        <v>0.17452054794520547</v>
      </c>
      <c r="H49" s="298">
        <f t="shared" si="3"/>
        <v>0.22438356164383561</v>
      </c>
      <c r="I49" s="298">
        <f t="shared" si="3"/>
        <v>0.17452054794520547</v>
      </c>
      <c r="M49" s="295">
        <v>14</v>
      </c>
      <c r="N49" s="290" t="s">
        <v>1942</v>
      </c>
      <c r="O49" s="555">
        <f t="shared" si="4"/>
        <v>0.17452054794520547</v>
      </c>
      <c r="P49" s="298">
        <f t="shared" si="4"/>
        <v>0.37397260273972599</v>
      </c>
      <c r="Q49" s="298">
        <f t="shared" si="4"/>
        <v>0.17452054794520547</v>
      </c>
      <c r="V49" s="295">
        <v>14</v>
      </c>
      <c r="W49" s="290" t="s">
        <v>1942</v>
      </c>
      <c r="X49" s="298">
        <f t="shared" si="5"/>
        <v>0.37397260273972599</v>
      </c>
      <c r="Y49" s="298">
        <f t="shared" si="5"/>
        <v>0.49863013698630126</v>
      </c>
      <c r="Z49" s="298">
        <f t="shared" si="5"/>
        <v>0.17452054794520547</v>
      </c>
    </row>
    <row r="50" spans="4:26">
      <c r="E50" s="295">
        <v>15</v>
      </c>
      <c r="F50" s="290" t="s">
        <v>1945</v>
      </c>
      <c r="G50" s="298">
        <f t="shared" si="3"/>
        <v>0.17452054794520547</v>
      </c>
      <c r="H50" s="298">
        <f t="shared" si="3"/>
        <v>0.22438356164383561</v>
      </c>
      <c r="I50" s="298">
        <f t="shared" si="3"/>
        <v>0.17452054794520547</v>
      </c>
      <c r="M50" s="295">
        <v>15</v>
      </c>
      <c r="N50" s="290" t="s">
        <v>1945</v>
      </c>
      <c r="O50" s="555">
        <f t="shared" si="4"/>
        <v>0.17452054794520547</v>
      </c>
      <c r="P50" s="298">
        <f t="shared" si="4"/>
        <v>0.37397260273972599</v>
      </c>
      <c r="Q50" s="298">
        <f t="shared" si="4"/>
        <v>0.17452054794520547</v>
      </c>
      <c r="V50" s="295">
        <v>15</v>
      </c>
      <c r="W50" s="290" t="s">
        <v>1945</v>
      </c>
      <c r="X50" s="298">
        <f t="shared" si="5"/>
        <v>0.37397260273972599</v>
      </c>
      <c r="Y50" s="298">
        <f t="shared" si="5"/>
        <v>0.49863013698630126</v>
      </c>
      <c r="Z50" s="298">
        <f t="shared" si="5"/>
        <v>0.17452054794520547</v>
      </c>
    </row>
    <row r="51" spans="4:26">
      <c r="E51" s="295">
        <v>16</v>
      </c>
      <c r="F51" s="290" t="s">
        <v>1680</v>
      </c>
      <c r="G51" s="298">
        <f t="shared" si="3"/>
        <v>0.17452054794520547</v>
      </c>
      <c r="H51" s="298">
        <f t="shared" si="3"/>
        <v>0.22438356164383561</v>
      </c>
      <c r="I51" s="298">
        <f t="shared" si="3"/>
        <v>0.17452054794520547</v>
      </c>
      <c r="M51" s="295">
        <v>16</v>
      </c>
      <c r="N51" s="290" t="s">
        <v>1680</v>
      </c>
      <c r="O51" s="555">
        <f t="shared" si="4"/>
        <v>0.17452054794520547</v>
      </c>
      <c r="P51" s="298">
        <f t="shared" si="4"/>
        <v>0.37397260273972599</v>
      </c>
      <c r="Q51" s="298">
        <f t="shared" si="4"/>
        <v>0.17452054794520547</v>
      </c>
      <c r="V51" s="295">
        <v>16</v>
      </c>
      <c r="W51" s="290" t="s">
        <v>1680</v>
      </c>
      <c r="X51" s="298">
        <f t="shared" si="5"/>
        <v>0.37397260273972599</v>
      </c>
      <c r="Y51" s="298">
        <f t="shared" si="5"/>
        <v>0.49863013698630126</v>
      </c>
      <c r="Z51" s="298">
        <f t="shared" si="5"/>
        <v>0.17452054794520547</v>
      </c>
    </row>
    <row r="52" spans="4:26">
      <c r="E52" s="295">
        <v>17</v>
      </c>
      <c r="F52" s="290" t="s">
        <v>1682</v>
      </c>
      <c r="G52" s="298">
        <f t="shared" ref="G52:I54" si="6">((G26/365)*($F$2*$G$2)*100)</f>
        <v>0.17452054794520547</v>
      </c>
      <c r="H52" s="298">
        <f t="shared" si="6"/>
        <v>0.22438356164383561</v>
      </c>
      <c r="I52" s="298">
        <f t="shared" si="6"/>
        <v>0.17452054794520547</v>
      </c>
      <c r="M52" s="295">
        <v>17</v>
      </c>
      <c r="N52" s="290" t="s">
        <v>1682</v>
      </c>
      <c r="O52" s="555">
        <f t="shared" ref="O52:Q54" si="7">((O26/365)*($F$2*$G$2)*100)</f>
        <v>0.17452054794520547</v>
      </c>
      <c r="P52" s="298">
        <f t="shared" si="7"/>
        <v>0.37397260273972599</v>
      </c>
      <c r="Q52" s="298">
        <f t="shared" si="7"/>
        <v>0.17452054794520547</v>
      </c>
      <c r="V52" s="295">
        <v>17</v>
      </c>
      <c r="W52" s="290" t="s">
        <v>1682</v>
      </c>
      <c r="X52" s="298">
        <f t="shared" ref="X52:Z54" si="8">((X26/365)*($F$2*$G$2)*100)</f>
        <v>0.37397260273972599</v>
      </c>
      <c r="Y52" s="298">
        <f t="shared" si="8"/>
        <v>0.49863013698630126</v>
      </c>
      <c r="Z52" s="298">
        <f t="shared" si="8"/>
        <v>0.17452054794520547</v>
      </c>
    </row>
    <row r="53" spans="4:26">
      <c r="E53" s="295">
        <v>18</v>
      </c>
      <c r="F53" s="290" t="s">
        <v>1684</v>
      </c>
      <c r="G53" s="298">
        <f t="shared" si="6"/>
        <v>0.17452054794520547</v>
      </c>
      <c r="H53" s="298">
        <f t="shared" si="6"/>
        <v>0.22438356164383561</v>
      </c>
      <c r="I53" s="298">
        <f t="shared" si="6"/>
        <v>0.17452054794520547</v>
      </c>
      <c r="M53" s="295">
        <v>18</v>
      </c>
      <c r="N53" s="290" t="s">
        <v>1684</v>
      </c>
      <c r="O53" s="555">
        <f t="shared" si="7"/>
        <v>0.17452054794520547</v>
      </c>
      <c r="P53" s="298">
        <f t="shared" si="7"/>
        <v>0.37397260273972599</v>
      </c>
      <c r="Q53" s="298">
        <f t="shared" si="7"/>
        <v>0.17452054794520547</v>
      </c>
      <c r="V53" s="295">
        <v>18</v>
      </c>
      <c r="W53" s="290" t="s">
        <v>1684</v>
      </c>
      <c r="X53" s="298">
        <f t="shared" si="8"/>
        <v>0.37397260273972599</v>
      </c>
      <c r="Y53" s="298">
        <f t="shared" si="8"/>
        <v>0.49863013698630126</v>
      </c>
      <c r="Z53" s="298">
        <f t="shared" si="8"/>
        <v>0.17452054794520547</v>
      </c>
    </row>
    <row r="54" spans="4:26">
      <c r="E54" s="296">
        <v>20</v>
      </c>
      <c r="F54" s="290" t="s">
        <v>1687</v>
      </c>
      <c r="G54" s="298">
        <f t="shared" si="6"/>
        <v>0.17452054794520547</v>
      </c>
      <c r="H54" s="298">
        <f t="shared" si="6"/>
        <v>0.22438356164383561</v>
      </c>
      <c r="I54" s="298">
        <f t="shared" si="6"/>
        <v>0.17452054794520547</v>
      </c>
      <c r="M54" s="296">
        <v>20</v>
      </c>
      <c r="N54" s="290" t="s">
        <v>1687</v>
      </c>
      <c r="O54" s="555">
        <f t="shared" si="7"/>
        <v>0.17452054794520547</v>
      </c>
      <c r="P54" s="298">
        <f t="shared" si="7"/>
        <v>0.37397260273972599</v>
      </c>
      <c r="Q54" s="298">
        <f t="shared" si="7"/>
        <v>0.17452054794520547</v>
      </c>
      <c r="V54" s="296">
        <v>20</v>
      </c>
      <c r="W54" s="290" t="s">
        <v>1687</v>
      </c>
      <c r="X54" s="298">
        <f t="shared" si="8"/>
        <v>0.37397260273972599</v>
      </c>
      <c r="Y54" s="298">
        <f t="shared" si="8"/>
        <v>0.49863013698630126</v>
      </c>
      <c r="Z54" s="298">
        <f t="shared" si="8"/>
        <v>0.17452054794520547</v>
      </c>
    </row>
    <row r="55" spans="4:26">
      <c r="F55" s="297"/>
      <c r="N55" s="297"/>
      <c r="W55" s="297"/>
    </row>
    <row r="56" spans="4:26">
      <c r="F56" s="297"/>
      <c r="N56" s="297"/>
      <c r="W56" s="297"/>
    </row>
    <row r="57" spans="4:26">
      <c r="D57" s="299" t="s">
        <v>1912</v>
      </c>
      <c r="E57" s="300"/>
      <c r="F57" s="301" t="s">
        <v>1635</v>
      </c>
      <c r="G57" s="288" t="s">
        <v>2055</v>
      </c>
      <c r="H57" s="288" t="s">
        <v>1753</v>
      </c>
      <c r="I57" s="288" t="s">
        <v>1724</v>
      </c>
      <c r="L57" s="299" t="s">
        <v>1912</v>
      </c>
      <c r="M57" s="300"/>
      <c r="N57" s="301" t="s">
        <v>1635</v>
      </c>
      <c r="O57" s="288" t="s">
        <v>2055</v>
      </c>
      <c r="P57" s="288" t="s">
        <v>1753</v>
      </c>
      <c r="Q57" s="288" t="s">
        <v>1724</v>
      </c>
      <c r="U57" s="299" t="s">
        <v>1912</v>
      </c>
      <c r="V57" s="300"/>
      <c r="W57" s="301" t="s">
        <v>1635</v>
      </c>
      <c r="X57" s="288" t="s">
        <v>2055</v>
      </c>
      <c r="Y57" s="288" t="s">
        <v>1753</v>
      </c>
      <c r="Z57" s="288" t="s">
        <v>1724</v>
      </c>
    </row>
    <row r="58" spans="4:26">
      <c r="D58" s="182" t="s">
        <v>1637</v>
      </c>
      <c r="E58" s="182" t="s">
        <v>1638</v>
      </c>
      <c r="F58" s="183" t="s">
        <v>1729</v>
      </c>
      <c r="G58" s="302">
        <f>_xlfn.XLOOKUP($E58, $F$35:$F$54, G$35:G$54, "",0)</f>
        <v>0.17452054794520547</v>
      </c>
      <c r="H58" s="302">
        <f t="shared" ref="H58:I73" si="9">_xlfn.XLOOKUP($E58, $F$35:$F$54, H$35:H$54, "",0)</f>
        <v>0.22438356164383561</v>
      </c>
      <c r="I58" s="302">
        <f t="shared" si="9"/>
        <v>0.17452054794520547</v>
      </c>
      <c r="L58" s="182" t="s">
        <v>1637</v>
      </c>
      <c r="M58" s="182" t="s">
        <v>1638</v>
      </c>
      <c r="N58" s="183" t="s">
        <v>1729</v>
      </c>
      <c r="O58" s="302">
        <f>_xlfn.XLOOKUP($M58, $N$35:$N$54, O$35:O$54, "",0)</f>
        <v>0.26178082191780822</v>
      </c>
      <c r="P58" s="302">
        <f>_xlfn.XLOOKUP($M58, $N$35:$N$54, P$35:P$54, "",0)</f>
        <v>0.37397260273972599</v>
      </c>
      <c r="Q58" s="302">
        <f>_xlfn.XLOOKUP($M58, $N$35:$N$54, Q$35:Q$54, "",0)</f>
        <v>0.17452054794520547</v>
      </c>
      <c r="U58" s="182" t="s">
        <v>1637</v>
      </c>
      <c r="V58" s="182" t="s">
        <v>1638</v>
      </c>
      <c r="W58" s="183" t="s">
        <v>1729</v>
      </c>
      <c r="X58" s="302">
        <f>_xlfn.XLOOKUP($V58, $W$35:$W$54, X$35:X$54, "",0)</f>
        <v>0.37397260273972599</v>
      </c>
      <c r="Y58" s="302">
        <f t="shared" ref="Y58:Z73" si="10">_xlfn.XLOOKUP($V58, $W$35:$W$54, Y$35:Y$54, "",0)</f>
        <v>0.49863013698630126</v>
      </c>
      <c r="Z58" s="302">
        <f t="shared" si="10"/>
        <v>0.17452054794520547</v>
      </c>
    </row>
    <row r="59" spans="4:26">
      <c r="D59" s="183"/>
      <c r="E59" s="182" t="s">
        <v>1638</v>
      </c>
      <c r="F59" s="183" t="s">
        <v>1733</v>
      </c>
      <c r="G59" s="302">
        <f t="shared" ref="G59:I100" si="11">_xlfn.XLOOKUP($E59, $F$35:$F$54, G$35:G$54, "",0)</f>
        <v>0.17452054794520547</v>
      </c>
      <c r="H59" s="302">
        <f t="shared" si="9"/>
        <v>0.22438356164383561</v>
      </c>
      <c r="I59" s="302">
        <f t="shared" si="9"/>
        <v>0.17452054794520547</v>
      </c>
      <c r="L59" s="183"/>
      <c r="M59" s="182" t="s">
        <v>1638</v>
      </c>
      <c r="N59" s="183" t="s">
        <v>1733</v>
      </c>
      <c r="O59" s="302">
        <f t="shared" ref="O59:Q100" si="12">_xlfn.XLOOKUP($M59, $N$35:$N$54, O$35:O$54, "",0)</f>
        <v>0.26178082191780822</v>
      </c>
      <c r="P59" s="302">
        <f t="shared" si="12"/>
        <v>0.37397260273972599</v>
      </c>
      <c r="Q59" s="302">
        <f t="shared" si="12"/>
        <v>0.17452054794520547</v>
      </c>
      <c r="U59" s="183"/>
      <c r="V59" s="182" t="s">
        <v>1638</v>
      </c>
      <c r="W59" s="183" t="s">
        <v>1733</v>
      </c>
      <c r="X59" s="302">
        <f t="shared" ref="X59:Z100" si="13">_xlfn.XLOOKUP($V59, $W$35:$W$54, X$35:X$54, "",0)</f>
        <v>0.37397260273972599</v>
      </c>
      <c r="Y59" s="302">
        <f t="shared" si="10"/>
        <v>0.49863013698630126</v>
      </c>
      <c r="Z59" s="302">
        <f t="shared" si="10"/>
        <v>0.17452054794520547</v>
      </c>
    </row>
    <row r="60" spans="4:26">
      <c r="D60" s="183"/>
      <c r="E60" s="182" t="s">
        <v>1638</v>
      </c>
      <c r="F60" s="183" t="s">
        <v>1768</v>
      </c>
      <c r="G60" s="302">
        <f t="shared" si="11"/>
        <v>0.17452054794520547</v>
      </c>
      <c r="H60" s="302">
        <f t="shared" si="9"/>
        <v>0.22438356164383561</v>
      </c>
      <c r="I60" s="302">
        <f t="shared" si="9"/>
        <v>0.17452054794520547</v>
      </c>
      <c r="L60" s="183"/>
      <c r="M60" s="182" t="s">
        <v>1638</v>
      </c>
      <c r="N60" s="183" t="s">
        <v>1768</v>
      </c>
      <c r="O60" s="302">
        <f t="shared" si="12"/>
        <v>0.26178082191780822</v>
      </c>
      <c r="P60" s="302">
        <f t="shared" si="12"/>
        <v>0.37397260273972599</v>
      </c>
      <c r="Q60" s="302">
        <f t="shared" si="12"/>
        <v>0.17452054794520547</v>
      </c>
      <c r="U60" s="183"/>
      <c r="V60" s="182" t="s">
        <v>1638</v>
      </c>
      <c r="W60" s="183" t="s">
        <v>1768</v>
      </c>
      <c r="X60" s="302">
        <f t="shared" si="13"/>
        <v>0.37397260273972599</v>
      </c>
      <c r="Y60" s="302">
        <f t="shared" si="10"/>
        <v>0.49863013698630126</v>
      </c>
      <c r="Z60" s="302">
        <f t="shared" si="10"/>
        <v>0.17452054794520547</v>
      </c>
    </row>
    <row r="61" spans="4:26">
      <c r="D61" s="184" t="s">
        <v>1640</v>
      </c>
      <c r="E61" s="184" t="s">
        <v>1641</v>
      </c>
      <c r="F61" s="185" t="s">
        <v>1801</v>
      </c>
      <c r="G61" s="302">
        <f t="shared" si="11"/>
        <v>0.17452054794520547</v>
      </c>
      <c r="H61" s="302">
        <f t="shared" si="9"/>
        <v>0.22438356164383561</v>
      </c>
      <c r="I61" s="302">
        <f t="shared" si="9"/>
        <v>0.17452054794520547</v>
      </c>
      <c r="L61" s="184" t="s">
        <v>1640</v>
      </c>
      <c r="M61" s="184" t="s">
        <v>1641</v>
      </c>
      <c r="N61" s="185" t="s">
        <v>1801</v>
      </c>
      <c r="O61" s="302">
        <f t="shared" si="12"/>
        <v>0.26178082191780822</v>
      </c>
      <c r="P61" s="302">
        <f t="shared" si="12"/>
        <v>0.37397260273972599</v>
      </c>
      <c r="Q61" s="302">
        <f t="shared" si="12"/>
        <v>0.17452054794520547</v>
      </c>
      <c r="U61" s="184" t="s">
        <v>1640</v>
      </c>
      <c r="V61" s="184" t="s">
        <v>1641</v>
      </c>
      <c r="W61" s="185" t="s">
        <v>1801</v>
      </c>
      <c r="X61" s="302">
        <f t="shared" si="13"/>
        <v>0.37397260273972599</v>
      </c>
      <c r="Y61" s="302">
        <f t="shared" si="10"/>
        <v>0.49863013698630126</v>
      </c>
      <c r="Z61" s="302">
        <f t="shared" si="10"/>
        <v>0.17452054794520547</v>
      </c>
    </row>
    <row r="62" spans="4:26">
      <c r="D62" s="185"/>
      <c r="E62" s="184" t="s">
        <v>1641</v>
      </c>
      <c r="F62" s="185" t="s">
        <v>1803</v>
      </c>
      <c r="G62" s="302">
        <f t="shared" si="11"/>
        <v>0.17452054794520547</v>
      </c>
      <c r="H62" s="302">
        <f t="shared" si="9"/>
        <v>0.22438356164383561</v>
      </c>
      <c r="I62" s="302">
        <f t="shared" si="9"/>
        <v>0.17452054794520547</v>
      </c>
      <c r="L62" s="185"/>
      <c r="M62" s="184" t="s">
        <v>1641</v>
      </c>
      <c r="N62" s="185" t="s">
        <v>1803</v>
      </c>
      <c r="O62" s="302">
        <f t="shared" si="12"/>
        <v>0.26178082191780822</v>
      </c>
      <c r="P62" s="302">
        <f t="shared" si="12"/>
        <v>0.37397260273972599</v>
      </c>
      <c r="Q62" s="302">
        <f t="shared" si="12"/>
        <v>0.17452054794520547</v>
      </c>
      <c r="U62" s="185"/>
      <c r="V62" s="184" t="s">
        <v>1641</v>
      </c>
      <c r="W62" s="185" t="s">
        <v>1803</v>
      </c>
      <c r="X62" s="302">
        <f t="shared" si="13"/>
        <v>0.37397260273972599</v>
      </c>
      <c r="Y62" s="302">
        <f t="shared" si="10"/>
        <v>0.49863013698630126</v>
      </c>
      <c r="Z62" s="302">
        <f t="shared" si="10"/>
        <v>0.17452054794520547</v>
      </c>
    </row>
    <row r="63" spans="4:26">
      <c r="D63" s="185"/>
      <c r="E63" s="184" t="s">
        <v>1641</v>
      </c>
      <c r="F63" s="185" t="s">
        <v>1740</v>
      </c>
      <c r="G63" s="302">
        <f t="shared" si="11"/>
        <v>0.17452054794520547</v>
      </c>
      <c r="H63" s="302">
        <f t="shared" si="9"/>
        <v>0.22438356164383561</v>
      </c>
      <c r="I63" s="302">
        <f t="shared" si="9"/>
        <v>0.17452054794520547</v>
      </c>
      <c r="L63" s="185"/>
      <c r="M63" s="184" t="s">
        <v>1641</v>
      </c>
      <c r="N63" s="185" t="s">
        <v>1740</v>
      </c>
      <c r="O63" s="302">
        <f t="shared" si="12"/>
        <v>0.26178082191780822</v>
      </c>
      <c r="P63" s="302">
        <f t="shared" si="12"/>
        <v>0.37397260273972599</v>
      </c>
      <c r="Q63" s="302">
        <f t="shared" si="12"/>
        <v>0.17452054794520547</v>
      </c>
      <c r="U63" s="185"/>
      <c r="V63" s="184" t="s">
        <v>1641</v>
      </c>
      <c r="W63" s="185" t="s">
        <v>1740</v>
      </c>
      <c r="X63" s="302">
        <f t="shared" si="13"/>
        <v>0.37397260273972599</v>
      </c>
      <c r="Y63" s="302">
        <f t="shared" si="10"/>
        <v>0.49863013698630126</v>
      </c>
      <c r="Z63" s="302">
        <f t="shared" si="10"/>
        <v>0.17452054794520547</v>
      </c>
    </row>
    <row r="64" spans="4:26">
      <c r="D64" s="184" t="s">
        <v>1644</v>
      </c>
      <c r="E64" s="184" t="s">
        <v>1645</v>
      </c>
      <c r="F64" s="185" t="s">
        <v>1736</v>
      </c>
      <c r="G64" s="302">
        <f t="shared" si="11"/>
        <v>0.17452054794520547</v>
      </c>
      <c r="H64" s="302">
        <f t="shared" si="9"/>
        <v>0.22438356164383561</v>
      </c>
      <c r="I64" s="302">
        <f t="shared" si="9"/>
        <v>0.17452054794520547</v>
      </c>
      <c r="L64" s="184" t="s">
        <v>1644</v>
      </c>
      <c r="M64" s="184" t="s">
        <v>1645</v>
      </c>
      <c r="N64" s="185" t="s">
        <v>1736</v>
      </c>
      <c r="O64" s="302">
        <f t="shared" si="12"/>
        <v>0.26178082191780822</v>
      </c>
      <c r="P64" s="302">
        <f t="shared" si="12"/>
        <v>0.37397260273972599</v>
      </c>
      <c r="Q64" s="302">
        <f t="shared" si="12"/>
        <v>0.17452054794520547</v>
      </c>
      <c r="U64" s="184" t="s">
        <v>1644</v>
      </c>
      <c r="V64" s="184" t="s">
        <v>1645</v>
      </c>
      <c r="W64" s="185" t="s">
        <v>1736</v>
      </c>
      <c r="X64" s="302">
        <f t="shared" si="13"/>
        <v>0.37397260273972599</v>
      </c>
      <c r="Y64" s="302">
        <f t="shared" si="10"/>
        <v>0.49863013698630126</v>
      </c>
      <c r="Z64" s="302">
        <f t="shared" si="10"/>
        <v>0.17452054794520547</v>
      </c>
    </row>
    <row r="65" spans="4:26">
      <c r="D65" s="185"/>
      <c r="E65" s="184" t="s">
        <v>1645</v>
      </c>
      <c r="F65" s="185" t="s">
        <v>1737</v>
      </c>
      <c r="G65" s="302">
        <f t="shared" si="11"/>
        <v>0.17452054794520547</v>
      </c>
      <c r="H65" s="302">
        <f t="shared" si="9"/>
        <v>0.22438356164383561</v>
      </c>
      <c r="I65" s="302">
        <f t="shared" si="9"/>
        <v>0.17452054794520547</v>
      </c>
      <c r="L65" s="185"/>
      <c r="M65" s="184" t="s">
        <v>1645</v>
      </c>
      <c r="N65" s="185" t="s">
        <v>1737</v>
      </c>
      <c r="O65" s="302">
        <f t="shared" si="12"/>
        <v>0.26178082191780822</v>
      </c>
      <c r="P65" s="302">
        <f t="shared" si="12"/>
        <v>0.37397260273972599</v>
      </c>
      <c r="Q65" s="302">
        <f t="shared" si="12"/>
        <v>0.17452054794520547</v>
      </c>
      <c r="U65" s="185"/>
      <c r="V65" s="184" t="s">
        <v>1645</v>
      </c>
      <c r="W65" s="185" t="s">
        <v>1737</v>
      </c>
      <c r="X65" s="302">
        <f t="shared" si="13"/>
        <v>0.37397260273972599</v>
      </c>
      <c r="Y65" s="302">
        <f t="shared" si="10"/>
        <v>0.49863013698630126</v>
      </c>
      <c r="Z65" s="302">
        <f t="shared" si="10"/>
        <v>0.17452054794520547</v>
      </c>
    </row>
    <row r="66" spans="4:26">
      <c r="D66" s="184" t="s">
        <v>1646</v>
      </c>
      <c r="E66" s="184" t="s">
        <v>1647</v>
      </c>
      <c r="F66" s="185" t="s">
        <v>1796</v>
      </c>
      <c r="G66" s="302">
        <f t="shared" si="11"/>
        <v>0.17452054794520547</v>
      </c>
      <c r="H66" s="302">
        <f t="shared" si="9"/>
        <v>0.22438356164383561</v>
      </c>
      <c r="I66" s="302">
        <f t="shared" si="9"/>
        <v>0.17452054794520547</v>
      </c>
      <c r="L66" s="184" t="s">
        <v>1646</v>
      </c>
      <c r="M66" s="184" t="s">
        <v>1647</v>
      </c>
      <c r="N66" s="185" t="s">
        <v>1796</v>
      </c>
      <c r="O66" s="302">
        <f t="shared" si="12"/>
        <v>0.26178082191780822</v>
      </c>
      <c r="P66" s="302">
        <f t="shared" si="12"/>
        <v>0.37397260273972599</v>
      </c>
      <c r="Q66" s="302">
        <f t="shared" si="12"/>
        <v>0.17452054794520547</v>
      </c>
      <c r="U66" s="184" t="s">
        <v>1646</v>
      </c>
      <c r="V66" s="184" t="s">
        <v>1647</v>
      </c>
      <c r="W66" s="185" t="s">
        <v>1796</v>
      </c>
      <c r="X66" s="302">
        <f t="shared" si="13"/>
        <v>0.37397260273972599</v>
      </c>
      <c r="Y66" s="302">
        <f t="shared" si="10"/>
        <v>0.49863013698630126</v>
      </c>
      <c r="Z66" s="302">
        <f t="shared" si="10"/>
        <v>0.17452054794520547</v>
      </c>
    </row>
    <row r="67" spans="4:26">
      <c r="D67" s="185"/>
      <c r="E67" s="184" t="s">
        <v>1647</v>
      </c>
      <c r="F67" s="185" t="s">
        <v>1749</v>
      </c>
      <c r="G67" s="302">
        <f t="shared" si="11"/>
        <v>0.17452054794520547</v>
      </c>
      <c r="H67" s="302">
        <f t="shared" si="9"/>
        <v>0.22438356164383561</v>
      </c>
      <c r="I67" s="302">
        <f t="shared" si="9"/>
        <v>0.17452054794520547</v>
      </c>
      <c r="L67" s="185"/>
      <c r="M67" s="184" t="s">
        <v>1647</v>
      </c>
      <c r="N67" s="185" t="s">
        <v>1749</v>
      </c>
      <c r="O67" s="302">
        <f t="shared" si="12"/>
        <v>0.26178082191780822</v>
      </c>
      <c r="P67" s="302">
        <f t="shared" si="12"/>
        <v>0.37397260273972599</v>
      </c>
      <c r="Q67" s="302">
        <f t="shared" si="12"/>
        <v>0.17452054794520547</v>
      </c>
      <c r="U67" s="185"/>
      <c r="V67" s="184" t="s">
        <v>1647</v>
      </c>
      <c r="W67" s="185" t="s">
        <v>1749</v>
      </c>
      <c r="X67" s="302">
        <f t="shared" si="13"/>
        <v>0.37397260273972599</v>
      </c>
      <c r="Y67" s="302">
        <f t="shared" si="10"/>
        <v>0.49863013698630126</v>
      </c>
      <c r="Z67" s="302">
        <f t="shared" si="10"/>
        <v>0.17452054794520547</v>
      </c>
    </row>
    <row r="68" spans="4:26">
      <c r="D68" s="185"/>
      <c r="E68" s="184" t="s">
        <v>1647</v>
      </c>
      <c r="F68" s="185" t="s">
        <v>1787</v>
      </c>
      <c r="G68" s="302">
        <f t="shared" si="11"/>
        <v>0.17452054794520547</v>
      </c>
      <c r="H68" s="302">
        <f t="shared" si="9"/>
        <v>0.22438356164383561</v>
      </c>
      <c r="I68" s="302">
        <f t="shared" si="9"/>
        <v>0.17452054794520547</v>
      </c>
      <c r="L68" s="185"/>
      <c r="M68" s="184" t="s">
        <v>1647</v>
      </c>
      <c r="N68" s="185" t="s">
        <v>1787</v>
      </c>
      <c r="O68" s="302">
        <f t="shared" si="12"/>
        <v>0.26178082191780822</v>
      </c>
      <c r="P68" s="302">
        <f t="shared" si="12"/>
        <v>0.37397260273972599</v>
      </c>
      <c r="Q68" s="302">
        <f t="shared" si="12"/>
        <v>0.17452054794520547</v>
      </c>
      <c r="U68" s="185"/>
      <c r="V68" s="184" t="s">
        <v>1647</v>
      </c>
      <c r="W68" s="185" t="s">
        <v>1787</v>
      </c>
      <c r="X68" s="302">
        <f t="shared" si="13"/>
        <v>0.37397260273972599</v>
      </c>
      <c r="Y68" s="302">
        <f t="shared" si="10"/>
        <v>0.49863013698630126</v>
      </c>
      <c r="Z68" s="302">
        <f t="shared" si="10"/>
        <v>0.17452054794520547</v>
      </c>
    </row>
    <row r="69" spans="4:26">
      <c r="D69" s="184" t="s">
        <v>1648</v>
      </c>
      <c r="E69" s="184" t="s">
        <v>1649</v>
      </c>
      <c r="F69" s="185" t="s">
        <v>1775</v>
      </c>
      <c r="G69" s="302">
        <f t="shared" si="11"/>
        <v>0.17452054794520547</v>
      </c>
      <c r="H69" s="302">
        <f t="shared" si="9"/>
        <v>0.22438356164383561</v>
      </c>
      <c r="I69" s="302">
        <f t="shared" si="9"/>
        <v>0.17452054794520547</v>
      </c>
      <c r="L69" s="184" t="s">
        <v>1648</v>
      </c>
      <c r="M69" s="184" t="s">
        <v>1649</v>
      </c>
      <c r="N69" s="185" t="s">
        <v>1775</v>
      </c>
      <c r="O69" s="302">
        <f t="shared" si="12"/>
        <v>0.26178082191780822</v>
      </c>
      <c r="P69" s="302">
        <f t="shared" si="12"/>
        <v>0.37397260273972599</v>
      </c>
      <c r="Q69" s="302">
        <f t="shared" si="12"/>
        <v>0.17452054794520547</v>
      </c>
      <c r="U69" s="184" t="s">
        <v>1648</v>
      </c>
      <c r="V69" s="184" t="s">
        <v>1649</v>
      </c>
      <c r="W69" s="185" t="s">
        <v>1775</v>
      </c>
      <c r="X69" s="302">
        <f t="shared" si="13"/>
        <v>0.37397260273972599</v>
      </c>
      <c r="Y69" s="302">
        <f t="shared" si="10"/>
        <v>0.49863013698630126</v>
      </c>
      <c r="Z69" s="302">
        <f t="shared" si="10"/>
        <v>0.17452054794520547</v>
      </c>
    </row>
    <row r="70" spans="4:26">
      <c r="D70" s="185"/>
      <c r="E70" s="184" t="s">
        <v>1649</v>
      </c>
      <c r="F70" s="185" t="s">
        <v>1786</v>
      </c>
      <c r="G70" s="302">
        <f t="shared" si="11"/>
        <v>0.17452054794520547</v>
      </c>
      <c r="H70" s="302">
        <f t="shared" si="9"/>
        <v>0.22438356164383561</v>
      </c>
      <c r="I70" s="302">
        <f t="shared" si="9"/>
        <v>0.17452054794520547</v>
      </c>
      <c r="L70" s="185"/>
      <c r="M70" s="184" t="s">
        <v>1649</v>
      </c>
      <c r="N70" s="185" t="s">
        <v>1786</v>
      </c>
      <c r="O70" s="302">
        <f t="shared" si="12"/>
        <v>0.26178082191780822</v>
      </c>
      <c r="P70" s="302">
        <f t="shared" si="12"/>
        <v>0.37397260273972599</v>
      </c>
      <c r="Q70" s="302">
        <f t="shared" si="12"/>
        <v>0.17452054794520547</v>
      </c>
      <c r="U70" s="185"/>
      <c r="V70" s="184" t="s">
        <v>1649</v>
      </c>
      <c r="W70" s="185" t="s">
        <v>1786</v>
      </c>
      <c r="X70" s="302">
        <f t="shared" si="13"/>
        <v>0.37397260273972599</v>
      </c>
      <c r="Y70" s="302">
        <f t="shared" si="10"/>
        <v>0.49863013698630126</v>
      </c>
      <c r="Z70" s="302">
        <f t="shared" si="10"/>
        <v>0.17452054794520547</v>
      </c>
    </row>
    <row r="71" spans="4:26">
      <c r="D71" s="185"/>
      <c r="E71" s="184" t="s">
        <v>1649</v>
      </c>
      <c r="F71" s="185" t="s">
        <v>1742</v>
      </c>
      <c r="G71" s="302">
        <f t="shared" si="11"/>
        <v>0.17452054794520547</v>
      </c>
      <c r="H71" s="302">
        <f t="shared" si="9"/>
        <v>0.22438356164383561</v>
      </c>
      <c r="I71" s="302">
        <f t="shared" si="9"/>
        <v>0.17452054794520547</v>
      </c>
      <c r="L71" s="185"/>
      <c r="M71" s="184" t="s">
        <v>1649</v>
      </c>
      <c r="N71" s="185" t="s">
        <v>1742</v>
      </c>
      <c r="O71" s="302">
        <f t="shared" si="12"/>
        <v>0.26178082191780822</v>
      </c>
      <c r="P71" s="302">
        <f t="shared" si="12"/>
        <v>0.37397260273972599</v>
      </c>
      <c r="Q71" s="302">
        <f t="shared" si="12"/>
        <v>0.17452054794520547</v>
      </c>
      <c r="U71" s="185"/>
      <c r="V71" s="184" t="s">
        <v>1649</v>
      </c>
      <c r="W71" s="185" t="s">
        <v>1742</v>
      </c>
      <c r="X71" s="302">
        <f t="shared" si="13"/>
        <v>0.37397260273972599</v>
      </c>
      <c r="Y71" s="302">
        <f t="shared" si="10"/>
        <v>0.49863013698630126</v>
      </c>
      <c r="Z71" s="302">
        <f t="shared" si="10"/>
        <v>0.17452054794520547</v>
      </c>
    </row>
    <row r="72" spans="4:26">
      <c r="D72" s="184" t="s">
        <v>1652</v>
      </c>
      <c r="E72" s="184" t="s">
        <v>1653</v>
      </c>
      <c r="F72" s="185" t="s">
        <v>1752</v>
      </c>
      <c r="G72" s="302">
        <f t="shared" si="11"/>
        <v>0.17452054794520547</v>
      </c>
      <c r="H72" s="302">
        <f t="shared" si="9"/>
        <v>0.22438356164383561</v>
      </c>
      <c r="I72" s="302">
        <f t="shared" si="9"/>
        <v>0.17452054794520547</v>
      </c>
      <c r="L72" s="184" t="s">
        <v>1652</v>
      </c>
      <c r="M72" s="184" t="s">
        <v>1653</v>
      </c>
      <c r="N72" s="185" t="s">
        <v>1752</v>
      </c>
      <c r="O72" s="302">
        <f t="shared" si="12"/>
        <v>0.26178082191780822</v>
      </c>
      <c r="P72" s="302">
        <f t="shared" si="12"/>
        <v>0.37397260273972599</v>
      </c>
      <c r="Q72" s="302">
        <f t="shared" si="12"/>
        <v>0.17452054794520547</v>
      </c>
      <c r="U72" s="184" t="s">
        <v>1652</v>
      </c>
      <c r="V72" s="184" t="s">
        <v>1653</v>
      </c>
      <c r="W72" s="185" t="s">
        <v>1752</v>
      </c>
      <c r="X72" s="302">
        <f t="shared" si="13"/>
        <v>0.37397260273972599</v>
      </c>
      <c r="Y72" s="302">
        <f t="shared" si="10"/>
        <v>0.49863013698630126</v>
      </c>
      <c r="Z72" s="302">
        <f t="shared" si="10"/>
        <v>0.17452054794520547</v>
      </c>
    </row>
    <row r="73" spans="4:26">
      <c r="D73" s="185"/>
      <c r="E73" s="184" t="s">
        <v>1653</v>
      </c>
      <c r="F73" s="185" t="s">
        <v>1781</v>
      </c>
      <c r="G73" s="302">
        <f t="shared" si="11"/>
        <v>0.17452054794520547</v>
      </c>
      <c r="H73" s="302">
        <f t="shared" si="9"/>
        <v>0.22438356164383561</v>
      </c>
      <c r="I73" s="302">
        <f t="shared" si="9"/>
        <v>0.17452054794520547</v>
      </c>
      <c r="L73" s="185"/>
      <c r="M73" s="184" t="s">
        <v>1653</v>
      </c>
      <c r="N73" s="185" t="s">
        <v>1781</v>
      </c>
      <c r="O73" s="302">
        <f t="shared" si="12"/>
        <v>0.26178082191780822</v>
      </c>
      <c r="P73" s="302">
        <f t="shared" si="12"/>
        <v>0.37397260273972599</v>
      </c>
      <c r="Q73" s="302">
        <f t="shared" si="12"/>
        <v>0.17452054794520547</v>
      </c>
      <c r="U73" s="185"/>
      <c r="V73" s="184" t="s">
        <v>1653</v>
      </c>
      <c r="W73" s="185" t="s">
        <v>1781</v>
      </c>
      <c r="X73" s="302">
        <f t="shared" si="13"/>
        <v>0.37397260273972599</v>
      </c>
      <c r="Y73" s="302">
        <f t="shared" si="10"/>
        <v>0.49863013698630126</v>
      </c>
      <c r="Z73" s="302">
        <f t="shared" si="10"/>
        <v>0.17452054794520547</v>
      </c>
    </row>
    <row r="74" spans="4:26">
      <c r="D74" s="185"/>
      <c r="E74" s="184" t="s">
        <v>1653</v>
      </c>
      <c r="F74" s="185" t="s">
        <v>1780</v>
      </c>
      <c r="G74" s="302">
        <f t="shared" si="11"/>
        <v>0.17452054794520547</v>
      </c>
      <c r="H74" s="302">
        <f t="shared" si="11"/>
        <v>0.22438356164383561</v>
      </c>
      <c r="I74" s="302">
        <f t="shared" si="11"/>
        <v>0.17452054794520547</v>
      </c>
      <c r="L74" s="185"/>
      <c r="M74" s="184" t="s">
        <v>1653</v>
      </c>
      <c r="N74" s="185" t="s">
        <v>1780</v>
      </c>
      <c r="O74" s="302">
        <f t="shared" si="12"/>
        <v>0.26178082191780822</v>
      </c>
      <c r="P74" s="302">
        <f t="shared" si="12"/>
        <v>0.37397260273972599</v>
      </c>
      <c r="Q74" s="302">
        <f t="shared" si="12"/>
        <v>0.17452054794520547</v>
      </c>
      <c r="U74" s="185"/>
      <c r="V74" s="184" t="s">
        <v>1653</v>
      </c>
      <c r="W74" s="185" t="s">
        <v>1780</v>
      </c>
      <c r="X74" s="302">
        <f t="shared" si="13"/>
        <v>0.37397260273972599</v>
      </c>
      <c r="Y74" s="302">
        <f t="shared" si="13"/>
        <v>0.49863013698630126</v>
      </c>
      <c r="Z74" s="302">
        <f t="shared" si="13"/>
        <v>0.17452054794520547</v>
      </c>
    </row>
    <row r="75" spans="4:26">
      <c r="D75" s="185"/>
      <c r="E75" s="184" t="s">
        <v>1653</v>
      </c>
      <c r="F75" s="185" t="s">
        <v>1798</v>
      </c>
      <c r="G75" s="302">
        <f t="shared" si="11"/>
        <v>0.17452054794520547</v>
      </c>
      <c r="H75" s="302">
        <f t="shared" si="11"/>
        <v>0.22438356164383561</v>
      </c>
      <c r="I75" s="302">
        <f t="shared" si="11"/>
        <v>0.17452054794520547</v>
      </c>
      <c r="L75" s="185"/>
      <c r="M75" s="184" t="s">
        <v>1653</v>
      </c>
      <c r="N75" s="185" t="s">
        <v>1798</v>
      </c>
      <c r="O75" s="302">
        <f t="shared" si="12"/>
        <v>0.26178082191780822</v>
      </c>
      <c r="P75" s="302">
        <f t="shared" si="12"/>
        <v>0.37397260273972599</v>
      </c>
      <c r="Q75" s="302">
        <f t="shared" si="12"/>
        <v>0.17452054794520547</v>
      </c>
      <c r="U75" s="185"/>
      <c r="V75" s="184" t="s">
        <v>1653</v>
      </c>
      <c r="W75" s="185" t="s">
        <v>1798</v>
      </c>
      <c r="X75" s="302">
        <f t="shared" si="13"/>
        <v>0.37397260273972599</v>
      </c>
      <c r="Y75" s="302">
        <f t="shared" si="13"/>
        <v>0.49863013698630126</v>
      </c>
      <c r="Z75" s="302">
        <f t="shared" si="13"/>
        <v>0.17452054794520547</v>
      </c>
    </row>
    <row r="76" spans="4:26">
      <c r="D76" s="184" t="s">
        <v>1658</v>
      </c>
      <c r="E76" s="184" t="s">
        <v>1659</v>
      </c>
      <c r="F76" s="185" t="s">
        <v>1746</v>
      </c>
      <c r="G76" s="302">
        <f t="shared" si="11"/>
        <v>0.17452054794520547</v>
      </c>
      <c r="H76" s="302">
        <f t="shared" si="11"/>
        <v>0.22438356164383561</v>
      </c>
      <c r="I76" s="302">
        <f t="shared" si="11"/>
        <v>0.17452054794520547</v>
      </c>
      <c r="L76" s="184" t="s">
        <v>1658</v>
      </c>
      <c r="M76" s="184" t="s">
        <v>1659</v>
      </c>
      <c r="N76" s="185" t="s">
        <v>1746</v>
      </c>
      <c r="O76" s="302">
        <f t="shared" si="12"/>
        <v>0.26178082191780822</v>
      </c>
      <c r="P76" s="302">
        <f t="shared" si="12"/>
        <v>0.37397260273972599</v>
      </c>
      <c r="Q76" s="302">
        <f t="shared" si="12"/>
        <v>0.17452054794520547</v>
      </c>
      <c r="U76" s="184" t="s">
        <v>1658</v>
      </c>
      <c r="V76" s="184" t="s">
        <v>1659</v>
      </c>
      <c r="W76" s="185" t="s">
        <v>1746</v>
      </c>
      <c r="X76" s="302">
        <f t="shared" si="13"/>
        <v>0.37397260273972599</v>
      </c>
      <c r="Y76" s="302">
        <f t="shared" si="13"/>
        <v>0.49863013698630126</v>
      </c>
      <c r="Z76" s="302">
        <f t="shared" si="13"/>
        <v>0.17452054794520547</v>
      </c>
    </row>
    <row r="77" spans="4:26">
      <c r="D77" s="185"/>
      <c r="E77" s="184" t="s">
        <v>1659</v>
      </c>
      <c r="F77" s="185" t="s">
        <v>1747</v>
      </c>
      <c r="G77" s="302">
        <f t="shared" si="11"/>
        <v>0.17452054794520547</v>
      </c>
      <c r="H77" s="302">
        <f t="shared" si="11"/>
        <v>0.22438356164383561</v>
      </c>
      <c r="I77" s="302">
        <f t="shared" si="11"/>
        <v>0.17452054794520547</v>
      </c>
      <c r="L77" s="185"/>
      <c r="M77" s="184" t="s">
        <v>1659</v>
      </c>
      <c r="N77" s="185" t="s">
        <v>1747</v>
      </c>
      <c r="O77" s="302">
        <f t="shared" si="12"/>
        <v>0.26178082191780822</v>
      </c>
      <c r="P77" s="302">
        <f t="shared" si="12"/>
        <v>0.37397260273972599</v>
      </c>
      <c r="Q77" s="302">
        <f t="shared" si="12"/>
        <v>0.17452054794520547</v>
      </c>
      <c r="U77" s="185"/>
      <c r="V77" s="184" t="s">
        <v>1659</v>
      </c>
      <c r="W77" s="185" t="s">
        <v>1747</v>
      </c>
      <c r="X77" s="302">
        <f t="shared" si="13"/>
        <v>0.37397260273972599</v>
      </c>
      <c r="Y77" s="302">
        <f t="shared" si="13"/>
        <v>0.49863013698630126</v>
      </c>
      <c r="Z77" s="302">
        <f t="shared" si="13"/>
        <v>0.17452054794520547</v>
      </c>
    </row>
    <row r="78" spans="4:26">
      <c r="D78" s="185"/>
      <c r="E78" s="184" t="s">
        <v>1659</v>
      </c>
      <c r="F78" s="185" t="s">
        <v>1774</v>
      </c>
      <c r="G78" s="302">
        <f t="shared" si="11"/>
        <v>0.17452054794520547</v>
      </c>
      <c r="H78" s="302">
        <f t="shared" si="11"/>
        <v>0.22438356164383561</v>
      </c>
      <c r="I78" s="302">
        <f t="shared" si="11"/>
        <v>0.17452054794520547</v>
      </c>
      <c r="L78" s="185"/>
      <c r="M78" s="184" t="s">
        <v>1659</v>
      </c>
      <c r="N78" s="185" t="s">
        <v>1774</v>
      </c>
      <c r="O78" s="302">
        <f t="shared" si="12"/>
        <v>0.26178082191780822</v>
      </c>
      <c r="P78" s="302">
        <f t="shared" si="12"/>
        <v>0.37397260273972599</v>
      </c>
      <c r="Q78" s="302">
        <f t="shared" si="12"/>
        <v>0.17452054794520547</v>
      </c>
      <c r="U78" s="185"/>
      <c r="V78" s="184" t="s">
        <v>1659</v>
      </c>
      <c r="W78" s="185" t="s">
        <v>1774</v>
      </c>
      <c r="X78" s="302">
        <f t="shared" si="13"/>
        <v>0.37397260273972599</v>
      </c>
      <c r="Y78" s="302">
        <f t="shared" si="13"/>
        <v>0.49863013698630126</v>
      </c>
      <c r="Z78" s="302">
        <f t="shared" si="13"/>
        <v>0.17452054794520547</v>
      </c>
    </row>
    <row r="79" spans="4:26">
      <c r="D79" s="185"/>
      <c r="E79" s="184" t="s">
        <v>1659</v>
      </c>
      <c r="F79" s="185" t="s">
        <v>1748</v>
      </c>
      <c r="G79" s="302">
        <f t="shared" si="11"/>
        <v>0.17452054794520547</v>
      </c>
      <c r="H79" s="302">
        <f t="shared" si="11"/>
        <v>0.22438356164383561</v>
      </c>
      <c r="I79" s="302">
        <f t="shared" si="11"/>
        <v>0.17452054794520547</v>
      </c>
      <c r="L79" s="185"/>
      <c r="M79" s="184" t="s">
        <v>1659</v>
      </c>
      <c r="N79" s="185" t="s">
        <v>1748</v>
      </c>
      <c r="O79" s="302">
        <f t="shared" si="12"/>
        <v>0.26178082191780822</v>
      </c>
      <c r="P79" s="302">
        <f t="shared" si="12"/>
        <v>0.37397260273972599</v>
      </c>
      <c r="Q79" s="302">
        <f t="shared" si="12"/>
        <v>0.17452054794520547</v>
      </c>
      <c r="U79" s="185"/>
      <c r="V79" s="184" t="s">
        <v>1659</v>
      </c>
      <c r="W79" s="185" t="s">
        <v>1748</v>
      </c>
      <c r="X79" s="302">
        <f t="shared" si="13"/>
        <v>0.37397260273972599</v>
      </c>
      <c r="Y79" s="302">
        <f t="shared" si="13"/>
        <v>0.49863013698630126</v>
      </c>
      <c r="Z79" s="302">
        <f t="shared" si="13"/>
        <v>0.17452054794520547</v>
      </c>
    </row>
    <row r="80" spans="4:26">
      <c r="D80" s="184" t="s">
        <v>1660</v>
      </c>
      <c r="E80" s="184" t="s">
        <v>1661</v>
      </c>
      <c r="F80" s="185" t="s">
        <v>1743</v>
      </c>
      <c r="G80" s="302">
        <f t="shared" si="11"/>
        <v>0.17452054794520547</v>
      </c>
      <c r="H80" s="302">
        <f t="shared" si="11"/>
        <v>0.22438356164383561</v>
      </c>
      <c r="I80" s="302">
        <f t="shared" si="11"/>
        <v>0.17452054794520547</v>
      </c>
      <c r="L80" s="184" t="s">
        <v>1660</v>
      </c>
      <c r="M80" s="184" t="s">
        <v>1661</v>
      </c>
      <c r="N80" s="185" t="s">
        <v>1743</v>
      </c>
      <c r="O80" s="302">
        <f t="shared" si="12"/>
        <v>0.26178082191780822</v>
      </c>
      <c r="P80" s="302">
        <f t="shared" si="12"/>
        <v>0.37397260273972599</v>
      </c>
      <c r="Q80" s="302">
        <f t="shared" si="12"/>
        <v>0.17452054794520547</v>
      </c>
      <c r="U80" s="184" t="s">
        <v>1660</v>
      </c>
      <c r="V80" s="184" t="s">
        <v>1661</v>
      </c>
      <c r="W80" s="185" t="s">
        <v>1743</v>
      </c>
      <c r="X80" s="302">
        <f t="shared" si="13"/>
        <v>0.37397260273972599</v>
      </c>
      <c r="Y80" s="302">
        <f t="shared" si="13"/>
        <v>0.49863013698630126</v>
      </c>
      <c r="Z80" s="302">
        <f t="shared" si="13"/>
        <v>0.17452054794520547</v>
      </c>
    </row>
    <row r="81" spans="4:26">
      <c r="D81" s="185"/>
      <c r="E81" s="184" t="s">
        <v>1661</v>
      </c>
      <c r="F81" s="185" t="s">
        <v>1745</v>
      </c>
      <c r="G81" s="302">
        <f t="shared" si="11"/>
        <v>0.17452054794520547</v>
      </c>
      <c r="H81" s="302">
        <f t="shared" si="11"/>
        <v>0.22438356164383561</v>
      </c>
      <c r="I81" s="302">
        <f t="shared" si="11"/>
        <v>0.17452054794520547</v>
      </c>
      <c r="L81" s="185"/>
      <c r="M81" s="184" t="s">
        <v>1661</v>
      </c>
      <c r="N81" s="185" t="s">
        <v>1745</v>
      </c>
      <c r="O81" s="302">
        <f t="shared" si="12"/>
        <v>0.26178082191780822</v>
      </c>
      <c r="P81" s="302">
        <f t="shared" si="12"/>
        <v>0.37397260273972599</v>
      </c>
      <c r="Q81" s="302">
        <f t="shared" si="12"/>
        <v>0.17452054794520547</v>
      </c>
      <c r="U81" s="185"/>
      <c r="V81" s="184" t="s">
        <v>1661</v>
      </c>
      <c r="W81" s="185" t="s">
        <v>1745</v>
      </c>
      <c r="X81" s="302">
        <f t="shared" si="13"/>
        <v>0.37397260273972599</v>
      </c>
      <c r="Y81" s="302">
        <f t="shared" si="13"/>
        <v>0.49863013698630126</v>
      </c>
      <c r="Z81" s="302">
        <f t="shared" si="13"/>
        <v>0.17452054794520547</v>
      </c>
    </row>
    <row r="82" spans="4:26">
      <c r="D82" s="184"/>
      <c r="E82" s="184" t="s">
        <v>1661</v>
      </c>
      <c r="F82" s="185" t="s">
        <v>1744</v>
      </c>
      <c r="G82" s="302">
        <f t="shared" si="11"/>
        <v>0.17452054794520547</v>
      </c>
      <c r="H82" s="302">
        <f t="shared" si="11"/>
        <v>0.22438356164383561</v>
      </c>
      <c r="I82" s="302">
        <f t="shared" si="11"/>
        <v>0.17452054794520547</v>
      </c>
      <c r="L82" s="184"/>
      <c r="M82" s="184" t="s">
        <v>1661</v>
      </c>
      <c r="N82" s="185" t="s">
        <v>1744</v>
      </c>
      <c r="O82" s="302">
        <f t="shared" si="12"/>
        <v>0.26178082191780822</v>
      </c>
      <c r="P82" s="302">
        <f t="shared" si="12"/>
        <v>0.37397260273972599</v>
      </c>
      <c r="Q82" s="302">
        <f t="shared" si="12"/>
        <v>0.17452054794520547</v>
      </c>
      <c r="U82" s="184"/>
      <c r="V82" s="184" t="s">
        <v>1661</v>
      </c>
      <c r="W82" s="185" t="s">
        <v>1744</v>
      </c>
      <c r="X82" s="302">
        <f t="shared" si="13"/>
        <v>0.37397260273972599</v>
      </c>
      <c r="Y82" s="302">
        <f t="shared" si="13"/>
        <v>0.49863013698630126</v>
      </c>
      <c r="Z82" s="302">
        <f t="shared" si="13"/>
        <v>0.17452054794520547</v>
      </c>
    </row>
    <row r="83" spans="4:26">
      <c r="D83" s="186" t="s">
        <v>1664</v>
      </c>
      <c r="E83" s="186" t="s">
        <v>1665</v>
      </c>
      <c r="F83" s="188" t="s">
        <v>1735</v>
      </c>
      <c r="G83" s="302">
        <f t="shared" si="11"/>
        <v>0.17452054794520547</v>
      </c>
      <c r="H83" s="302">
        <f t="shared" si="11"/>
        <v>0.22438356164383561</v>
      </c>
      <c r="I83" s="302">
        <f t="shared" si="11"/>
        <v>0.17452054794520547</v>
      </c>
      <c r="L83" s="186" t="s">
        <v>1664</v>
      </c>
      <c r="M83" s="186" t="s">
        <v>1665</v>
      </c>
      <c r="N83" s="188" t="s">
        <v>1735</v>
      </c>
      <c r="O83" s="302">
        <f t="shared" si="12"/>
        <v>0.37397260273972599</v>
      </c>
      <c r="P83" s="302">
        <f t="shared" si="12"/>
        <v>0.37397260273972599</v>
      </c>
      <c r="Q83" s="302">
        <f t="shared" si="12"/>
        <v>0.22438356164383561</v>
      </c>
      <c r="U83" s="186" t="s">
        <v>1664</v>
      </c>
      <c r="V83" s="186" t="s">
        <v>1665</v>
      </c>
      <c r="W83" s="188" t="s">
        <v>1735</v>
      </c>
      <c r="X83" s="302">
        <f t="shared" si="13"/>
        <v>0.37397260273972599</v>
      </c>
      <c r="Y83" s="302">
        <f t="shared" si="13"/>
        <v>0.74794520547945198</v>
      </c>
      <c r="Z83" s="302">
        <f t="shared" si="13"/>
        <v>0.31164383561643832</v>
      </c>
    </row>
    <row r="84" spans="4:26">
      <c r="D84" s="186" t="s">
        <v>1666</v>
      </c>
      <c r="E84" s="186" t="s">
        <v>1667</v>
      </c>
      <c r="F84" s="187" t="s">
        <v>1738</v>
      </c>
      <c r="G84" s="302">
        <f t="shared" si="11"/>
        <v>0.17452054794520547</v>
      </c>
      <c r="H84" s="302">
        <f t="shared" si="11"/>
        <v>0.22438356164383561</v>
      </c>
      <c r="I84" s="302">
        <f t="shared" si="11"/>
        <v>0.17452054794520547</v>
      </c>
      <c r="L84" s="186" t="s">
        <v>1666</v>
      </c>
      <c r="M84" s="186" t="s">
        <v>1667</v>
      </c>
      <c r="N84" s="187" t="s">
        <v>1738</v>
      </c>
      <c r="O84" s="302">
        <f t="shared" si="12"/>
        <v>0.37397260273972599</v>
      </c>
      <c r="P84" s="302">
        <f t="shared" si="12"/>
        <v>0.37397260273972599</v>
      </c>
      <c r="Q84" s="302">
        <f t="shared" si="12"/>
        <v>0.22438356164383561</v>
      </c>
      <c r="U84" s="186" t="s">
        <v>1666</v>
      </c>
      <c r="V84" s="186" t="s">
        <v>1667</v>
      </c>
      <c r="W84" s="187" t="s">
        <v>1738</v>
      </c>
      <c r="X84" s="302">
        <f t="shared" si="13"/>
        <v>0.37397260273972599</v>
      </c>
      <c r="Y84" s="302">
        <f t="shared" si="13"/>
        <v>0.56095890410958893</v>
      </c>
      <c r="Z84" s="302">
        <f t="shared" si="13"/>
        <v>0.31164383561643832</v>
      </c>
    </row>
    <row r="85" spans="4:26">
      <c r="D85" s="186" t="s">
        <v>1668</v>
      </c>
      <c r="E85" s="186" t="s">
        <v>1669</v>
      </c>
      <c r="F85" s="188" t="s">
        <v>1726</v>
      </c>
      <c r="G85" s="302">
        <f t="shared" si="11"/>
        <v>0.17452054794520547</v>
      </c>
      <c r="H85" s="302">
        <f t="shared" si="11"/>
        <v>0.22438356164383561</v>
      </c>
      <c r="I85" s="302">
        <f t="shared" si="11"/>
        <v>0.17452054794520547</v>
      </c>
      <c r="L85" s="186" t="s">
        <v>1668</v>
      </c>
      <c r="M85" s="186" t="s">
        <v>1669</v>
      </c>
      <c r="N85" s="188" t="s">
        <v>1726</v>
      </c>
      <c r="O85" s="302">
        <f t="shared" si="12"/>
        <v>0.37397260273972599</v>
      </c>
      <c r="P85" s="302">
        <f t="shared" si="12"/>
        <v>0.43630136986301371</v>
      </c>
      <c r="Q85" s="302">
        <f t="shared" si="12"/>
        <v>0.22438356164383561</v>
      </c>
      <c r="U85" s="186" t="s">
        <v>1668</v>
      </c>
      <c r="V85" s="186" t="s">
        <v>1669</v>
      </c>
      <c r="W85" s="188" t="s">
        <v>1726</v>
      </c>
      <c r="X85" s="302">
        <f t="shared" si="13"/>
        <v>0.37397260273972599</v>
      </c>
      <c r="Y85" s="302">
        <f t="shared" si="13"/>
        <v>0.56095890410958893</v>
      </c>
      <c r="Z85" s="302">
        <f t="shared" si="13"/>
        <v>0.37397260273972599</v>
      </c>
    </row>
    <row r="86" spans="4:26">
      <c r="D86" s="186" t="s">
        <v>1668</v>
      </c>
      <c r="E86" s="186" t="s">
        <v>1669</v>
      </c>
      <c r="F86" s="188" t="s">
        <v>1727</v>
      </c>
      <c r="G86" s="302">
        <f t="shared" si="11"/>
        <v>0.17452054794520547</v>
      </c>
      <c r="H86" s="302">
        <f t="shared" si="11"/>
        <v>0.22438356164383561</v>
      </c>
      <c r="I86" s="302">
        <f t="shared" si="11"/>
        <v>0.17452054794520547</v>
      </c>
      <c r="L86" s="186" t="s">
        <v>1668</v>
      </c>
      <c r="M86" s="186" t="s">
        <v>1669</v>
      </c>
      <c r="N86" s="188" t="s">
        <v>1727</v>
      </c>
      <c r="O86" s="302">
        <f t="shared" si="12"/>
        <v>0.37397260273972599</v>
      </c>
      <c r="P86" s="302">
        <f t="shared" si="12"/>
        <v>0.43630136986301371</v>
      </c>
      <c r="Q86" s="302">
        <f t="shared" si="12"/>
        <v>0.22438356164383561</v>
      </c>
      <c r="U86" s="186" t="s">
        <v>1668</v>
      </c>
      <c r="V86" s="186" t="s">
        <v>1669</v>
      </c>
      <c r="W86" s="188" t="s">
        <v>1727</v>
      </c>
      <c r="X86" s="302">
        <f t="shared" si="13"/>
        <v>0.37397260273972599</v>
      </c>
      <c r="Y86" s="302">
        <f t="shared" si="13"/>
        <v>0.56095890410958893</v>
      </c>
      <c r="Z86" s="302">
        <f t="shared" si="13"/>
        <v>0.37397260273972599</v>
      </c>
    </row>
    <row r="87" spans="4:26">
      <c r="D87" s="188"/>
      <c r="E87" s="186" t="s">
        <v>1669</v>
      </c>
      <c r="F87" s="188" t="s">
        <v>1725</v>
      </c>
      <c r="G87" s="302">
        <f t="shared" si="11"/>
        <v>0.17452054794520547</v>
      </c>
      <c r="H87" s="302">
        <f t="shared" si="11"/>
        <v>0.22438356164383561</v>
      </c>
      <c r="I87" s="302">
        <f t="shared" si="11"/>
        <v>0.17452054794520547</v>
      </c>
      <c r="L87" s="188"/>
      <c r="M87" s="186" t="s">
        <v>1669</v>
      </c>
      <c r="N87" s="188" t="s">
        <v>1725</v>
      </c>
      <c r="O87" s="302">
        <f t="shared" si="12"/>
        <v>0.37397260273972599</v>
      </c>
      <c r="P87" s="302">
        <f t="shared" si="12"/>
        <v>0.43630136986301371</v>
      </c>
      <c r="Q87" s="302">
        <f t="shared" si="12"/>
        <v>0.22438356164383561</v>
      </c>
      <c r="U87" s="188"/>
      <c r="V87" s="186" t="s">
        <v>1669</v>
      </c>
      <c r="W87" s="188" t="s">
        <v>1725</v>
      </c>
      <c r="X87" s="302">
        <f t="shared" si="13"/>
        <v>0.37397260273972599</v>
      </c>
      <c r="Y87" s="302">
        <f t="shared" si="13"/>
        <v>0.56095890410958893</v>
      </c>
      <c r="Z87" s="302">
        <f t="shared" si="13"/>
        <v>0.37397260273972599</v>
      </c>
    </row>
    <row r="88" spans="4:26">
      <c r="D88" s="189" t="s">
        <v>1670</v>
      </c>
      <c r="E88" s="189" t="s">
        <v>1671</v>
      </c>
      <c r="F88" s="190" t="s">
        <v>1750</v>
      </c>
      <c r="G88" s="302">
        <f t="shared" si="11"/>
        <v>0.17452054794520547</v>
      </c>
      <c r="H88" s="302">
        <f t="shared" si="11"/>
        <v>0.22438356164383561</v>
      </c>
      <c r="I88" s="302">
        <f t="shared" si="11"/>
        <v>0.17452054794520547</v>
      </c>
      <c r="L88" s="189" t="s">
        <v>1670</v>
      </c>
      <c r="M88" s="189" t="s">
        <v>1671</v>
      </c>
      <c r="N88" s="190" t="s">
        <v>1750</v>
      </c>
      <c r="O88" s="302">
        <f t="shared" si="12"/>
        <v>0.43630136986301371</v>
      </c>
      <c r="P88" s="302">
        <f t="shared" si="12"/>
        <v>0.43630136986301371</v>
      </c>
      <c r="Q88" s="302">
        <f t="shared" si="12"/>
        <v>0.37397260273972599</v>
      </c>
      <c r="U88" s="189" t="s">
        <v>1670</v>
      </c>
      <c r="V88" s="189" t="s">
        <v>1671</v>
      </c>
      <c r="W88" s="190" t="s">
        <v>1750</v>
      </c>
      <c r="X88" s="302">
        <f t="shared" si="13"/>
        <v>0.37397260273972599</v>
      </c>
      <c r="Y88" s="302">
        <f t="shared" si="13"/>
        <v>0.49863013698630126</v>
      </c>
      <c r="Z88" s="302">
        <f t="shared" si="13"/>
        <v>0.43630136986301371</v>
      </c>
    </row>
    <row r="89" spans="4:26">
      <c r="D89" s="190"/>
      <c r="E89" s="189" t="s">
        <v>1671</v>
      </c>
      <c r="F89" s="190" t="s">
        <v>1751</v>
      </c>
      <c r="G89" s="302">
        <f t="shared" si="11"/>
        <v>0.17452054794520547</v>
      </c>
      <c r="H89" s="302">
        <f t="shared" si="11"/>
        <v>0.22438356164383561</v>
      </c>
      <c r="I89" s="302">
        <f t="shared" si="11"/>
        <v>0.17452054794520547</v>
      </c>
      <c r="L89" s="190"/>
      <c r="M89" s="189" t="s">
        <v>1671</v>
      </c>
      <c r="N89" s="190" t="s">
        <v>1751</v>
      </c>
      <c r="O89" s="302">
        <f t="shared" si="12"/>
        <v>0.43630136986301371</v>
      </c>
      <c r="P89" s="302">
        <f t="shared" si="12"/>
        <v>0.43630136986301371</v>
      </c>
      <c r="Q89" s="302">
        <f t="shared" si="12"/>
        <v>0.37397260273972599</v>
      </c>
      <c r="U89" s="190"/>
      <c r="V89" s="189" t="s">
        <v>1671</v>
      </c>
      <c r="W89" s="190" t="s">
        <v>1751</v>
      </c>
      <c r="X89" s="302">
        <f t="shared" si="13"/>
        <v>0.37397260273972599</v>
      </c>
      <c r="Y89" s="302">
        <f t="shared" si="13"/>
        <v>0.49863013698630126</v>
      </c>
      <c r="Z89" s="302">
        <f t="shared" si="13"/>
        <v>0.43630136986301371</v>
      </c>
    </row>
    <row r="90" spans="4:26">
      <c r="D90" s="190"/>
      <c r="E90" s="189" t="s">
        <v>1671</v>
      </c>
      <c r="F90" s="190" t="s">
        <v>1783</v>
      </c>
      <c r="G90" s="302">
        <f t="shared" si="11"/>
        <v>0.17452054794520547</v>
      </c>
      <c r="H90" s="302">
        <f t="shared" si="11"/>
        <v>0.22438356164383561</v>
      </c>
      <c r="I90" s="302">
        <f t="shared" si="11"/>
        <v>0.17452054794520547</v>
      </c>
      <c r="L90" s="190"/>
      <c r="M90" s="189" t="s">
        <v>1671</v>
      </c>
      <c r="N90" s="190" t="s">
        <v>1783</v>
      </c>
      <c r="O90" s="302">
        <f t="shared" si="12"/>
        <v>0.43630136986301371</v>
      </c>
      <c r="P90" s="302">
        <f t="shared" si="12"/>
        <v>0.43630136986301371</v>
      </c>
      <c r="Q90" s="302">
        <f t="shared" si="12"/>
        <v>0.37397260273972599</v>
      </c>
      <c r="U90" s="190"/>
      <c r="V90" s="189" t="s">
        <v>1671</v>
      </c>
      <c r="W90" s="190" t="s">
        <v>1783</v>
      </c>
      <c r="X90" s="302">
        <f t="shared" si="13"/>
        <v>0.37397260273972599</v>
      </c>
      <c r="Y90" s="302">
        <f t="shared" si="13"/>
        <v>0.49863013698630126</v>
      </c>
      <c r="Z90" s="302">
        <f t="shared" si="13"/>
        <v>0.43630136986301371</v>
      </c>
    </row>
    <row r="91" spans="4:26">
      <c r="D91" s="191" t="s">
        <v>821</v>
      </c>
      <c r="E91" s="191" t="s">
        <v>1674</v>
      </c>
      <c r="F91" s="192" t="s">
        <v>1879</v>
      </c>
      <c r="G91" s="302">
        <f t="shared" si="11"/>
        <v>0.17452054794520547</v>
      </c>
      <c r="H91" s="302">
        <f t="shared" si="11"/>
        <v>0.22438356164383561</v>
      </c>
      <c r="I91" s="302">
        <f t="shared" si="11"/>
        <v>0.17452054794520547</v>
      </c>
      <c r="L91" s="191" t="s">
        <v>821</v>
      </c>
      <c r="M91" s="191" t="s">
        <v>1674</v>
      </c>
      <c r="N91" s="192" t="s">
        <v>1879</v>
      </c>
      <c r="O91" s="302">
        <f t="shared" si="12"/>
        <v>0.17452054794520547</v>
      </c>
      <c r="P91" s="302">
        <f t="shared" si="12"/>
        <v>0.37397260273972599</v>
      </c>
      <c r="Q91" s="302">
        <f t="shared" si="12"/>
        <v>0.17452054794520547</v>
      </c>
      <c r="U91" s="191" t="s">
        <v>821</v>
      </c>
      <c r="V91" s="191" t="s">
        <v>1674</v>
      </c>
      <c r="W91" s="192" t="s">
        <v>1879</v>
      </c>
      <c r="X91" s="302">
        <f t="shared" si="13"/>
        <v>0.37397260273972599</v>
      </c>
      <c r="Y91" s="302">
        <f t="shared" si="13"/>
        <v>0.49863013698630126</v>
      </c>
      <c r="Z91" s="302">
        <f t="shared" si="13"/>
        <v>0.17452054794520547</v>
      </c>
    </row>
    <row r="92" spans="4:26">
      <c r="D92" s="192"/>
      <c r="E92" s="191" t="s">
        <v>1674</v>
      </c>
      <c r="F92" s="192" t="s">
        <v>1872</v>
      </c>
      <c r="G92" s="302">
        <f t="shared" si="11"/>
        <v>0.17452054794520547</v>
      </c>
      <c r="H92" s="302">
        <f t="shared" si="11"/>
        <v>0.22438356164383561</v>
      </c>
      <c r="I92" s="302">
        <f t="shared" si="11"/>
        <v>0.17452054794520547</v>
      </c>
      <c r="L92" s="192"/>
      <c r="M92" s="191" t="s">
        <v>1674</v>
      </c>
      <c r="N92" s="192" t="s">
        <v>1872</v>
      </c>
      <c r="O92" s="302">
        <f t="shared" si="12"/>
        <v>0.17452054794520547</v>
      </c>
      <c r="P92" s="302">
        <f t="shared" si="12"/>
        <v>0.37397260273972599</v>
      </c>
      <c r="Q92" s="302">
        <f t="shared" si="12"/>
        <v>0.17452054794520547</v>
      </c>
      <c r="U92" s="192"/>
      <c r="V92" s="191" t="s">
        <v>1674</v>
      </c>
      <c r="W92" s="192" t="s">
        <v>1872</v>
      </c>
      <c r="X92" s="302">
        <f t="shared" si="13"/>
        <v>0.37397260273972599</v>
      </c>
      <c r="Y92" s="302">
        <f t="shared" si="13"/>
        <v>0.49863013698630126</v>
      </c>
      <c r="Z92" s="302">
        <f t="shared" si="13"/>
        <v>0.17452054794520547</v>
      </c>
    </row>
    <row r="93" spans="4:26">
      <c r="D93" s="192"/>
      <c r="E93" s="191" t="s">
        <v>1674</v>
      </c>
      <c r="F93" s="192" t="s">
        <v>1867</v>
      </c>
      <c r="G93" s="302">
        <f t="shared" si="11"/>
        <v>0.17452054794520547</v>
      </c>
      <c r="H93" s="302">
        <f t="shared" si="11"/>
        <v>0.22438356164383561</v>
      </c>
      <c r="I93" s="302">
        <f t="shared" si="11"/>
        <v>0.17452054794520547</v>
      </c>
      <c r="L93" s="192"/>
      <c r="M93" s="191" t="s">
        <v>1674</v>
      </c>
      <c r="N93" s="192" t="s">
        <v>1867</v>
      </c>
      <c r="O93" s="302">
        <f t="shared" si="12"/>
        <v>0.17452054794520547</v>
      </c>
      <c r="P93" s="302">
        <f t="shared" si="12"/>
        <v>0.37397260273972599</v>
      </c>
      <c r="Q93" s="302">
        <f t="shared" si="12"/>
        <v>0.17452054794520547</v>
      </c>
      <c r="U93" s="192"/>
      <c r="V93" s="191" t="s">
        <v>1674</v>
      </c>
      <c r="W93" s="192" t="s">
        <v>1867</v>
      </c>
      <c r="X93" s="302">
        <f t="shared" si="13"/>
        <v>0.37397260273972599</v>
      </c>
      <c r="Y93" s="302">
        <f t="shared" si="13"/>
        <v>0.49863013698630126</v>
      </c>
      <c r="Z93" s="302">
        <f t="shared" si="13"/>
        <v>0.17452054794520547</v>
      </c>
    </row>
    <row r="94" spans="4:26">
      <c r="D94" s="191" t="s">
        <v>1677</v>
      </c>
      <c r="E94" s="191" t="s">
        <v>1678</v>
      </c>
      <c r="F94" s="192" t="s">
        <v>1851</v>
      </c>
      <c r="G94" s="302">
        <f t="shared" si="11"/>
        <v>0.17452054794520547</v>
      </c>
      <c r="H94" s="302">
        <f t="shared" si="11"/>
        <v>0.22438356164383561</v>
      </c>
      <c r="I94" s="302">
        <f t="shared" si="11"/>
        <v>0.17452054794520547</v>
      </c>
      <c r="L94" s="191" t="s">
        <v>1677</v>
      </c>
      <c r="M94" s="191" t="s">
        <v>1678</v>
      </c>
      <c r="N94" s="192" t="s">
        <v>1851</v>
      </c>
      <c r="O94" s="302">
        <f t="shared" si="12"/>
        <v>0.17452054794520547</v>
      </c>
      <c r="P94" s="302">
        <f t="shared" si="12"/>
        <v>0.37397260273972599</v>
      </c>
      <c r="Q94" s="302">
        <f t="shared" si="12"/>
        <v>0.17452054794520547</v>
      </c>
      <c r="U94" s="191" t="s">
        <v>1677</v>
      </c>
      <c r="V94" s="191" t="s">
        <v>1678</v>
      </c>
      <c r="W94" s="192" t="s">
        <v>1851</v>
      </c>
      <c r="X94" s="302">
        <f t="shared" si="13"/>
        <v>0.37397260273972599</v>
      </c>
      <c r="Y94" s="302">
        <f t="shared" si="13"/>
        <v>0.49863013698630126</v>
      </c>
      <c r="Z94" s="302">
        <f t="shared" si="13"/>
        <v>0.17452054794520547</v>
      </c>
    </row>
    <row r="95" spans="4:26">
      <c r="D95" s="191" t="s">
        <v>1679</v>
      </c>
      <c r="E95" s="191" t="s">
        <v>1680</v>
      </c>
      <c r="F95" s="192" t="s">
        <v>1857</v>
      </c>
      <c r="G95" s="302">
        <f t="shared" si="11"/>
        <v>0.17452054794520547</v>
      </c>
      <c r="H95" s="302">
        <f t="shared" si="11"/>
        <v>0.22438356164383561</v>
      </c>
      <c r="I95" s="302">
        <f t="shared" si="11"/>
        <v>0.17452054794520547</v>
      </c>
      <c r="L95" s="191" t="s">
        <v>1679</v>
      </c>
      <c r="M95" s="191" t="s">
        <v>1680</v>
      </c>
      <c r="N95" s="192" t="s">
        <v>1857</v>
      </c>
      <c r="O95" s="302">
        <f t="shared" si="12"/>
        <v>0.17452054794520547</v>
      </c>
      <c r="P95" s="302">
        <f t="shared" si="12"/>
        <v>0.37397260273972599</v>
      </c>
      <c r="Q95" s="302">
        <f t="shared" si="12"/>
        <v>0.17452054794520547</v>
      </c>
      <c r="U95" s="191" t="s">
        <v>1679</v>
      </c>
      <c r="V95" s="191" t="s">
        <v>1680</v>
      </c>
      <c r="W95" s="192" t="s">
        <v>1857</v>
      </c>
      <c r="X95" s="302">
        <f t="shared" si="13"/>
        <v>0.37397260273972599</v>
      </c>
      <c r="Y95" s="302">
        <f t="shared" si="13"/>
        <v>0.49863013698630126</v>
      </c>
      <c r="Z95" s="302">
        <f t="shared" si="13"/>
        <v>0.17452054794520547</v>
      </c>
    </row>
    <row r="96" spans="4:26">
      <c r="D96" s="191"/>
      <c r="E96" s="191" t="s">
        <v>1680</v>
      </c>
      <c r="F96" s="192" t="s">
        <v>1837</v>
      </c>
      <c r="G96" s="302">
        <f t="shared" si="11"/>
        <v>0.17452054794520547</v>
      </c>
      <c r="H96" s="302">
        <f t="shared" si="11"/>
        <v>0.22438356164383561</v>
      </c>
      <c r="I96" s="302">
        <f t="shared" si="11"/>
        <v>0.17452054794520547</v>
      </c>
      <c r="L96" s="191"/>
      <c r="M96" s="191" t="s">
        <v>1680</v>
      </c>
      <c r="N96" s="192" t="s">
        <v>1837</v>
      </c>
      <c r="O96" s="302">
        <f t="shared" si="12"/>
        <v>0.17452054794520547</v>
      </c>
      <c r="P96" s="302">
        <f t="shared" si="12"/>
        <v>0.37397260273972599</v>
      </c>
      <c r="Q96" s="302">
        <f t="shared" si="12"/>
        <v>0.17452054794520547</v>
      </c>
      <c r="U96" s="191"/>
      <c r="V96" s="191" t="s">
        <v>1680</v>
      </c>
      <c r="W96" s="192" t="s">
        <v>1837</v>
      </c>
      <c r="X96" s="302">
        <f t="shared" si="13"/>
        <v>0.37397260273972599</v>
      </c>
      <c r="Y96" s="302">
        <f t="shared" si="13"/>
        <v>0.49863013698630126</v>
      </c>
      <c r="Z96" s="302">
        <f t="shared" si="13"/>
        <v>0.17452054794520547</v>
      </c>
    </row>
    <row r="97" spans="4:26">
      <c r="D97" s="191" t="s">
        <v>1681</v>
      </c>
      <c r="E97" s="191" t="s">
        <v>1682</v>
      </c>
      <c r="F97" s="192" t="s">
        <v>1862</v>
      </c>
      <c r="G97" s="302">
        <f t="shared" si="11"/>
        <v>0.17452054794520547</v>
      </c>
      <c r="H97" s="302">
        <f t="shared" si="11"/>
        <v>0.22438356164383561</v>
      </c>
      <c r="I97" s="302">
        <f t="shared" si="11"/>
        <v>0.17452054794520547</v>
      </c>
      <c r="L97" s="191" t="s">
        <v>1681</v>
      </c>
      <c r="M97" s="191" t="s">
        <v>1682</v>
      </c>
      <c r="N97" s="192" t="s">
        <v>1862</v>
      </c>
      <c r="O97" s="302">
        <f t="shared" si="12"/>
        <v>0.17452054794520547</v>
      </c>
      <c r="P97" s="302">
        <f t="shared" si="12"/>
        <v>0.37397260273972599</v>
      </c>
      <c r="Q97" s="302">
        <f t="shared" si="12"/>
        <v>0.17452054794520547</v>
      </c>
      <c r="U97" s="191" t="s">
        <v>1681</v>
      </c>
      <c r="V97" s="191" t="s">
        <v>1682</v>
      </c>
      <c r="W97" s="192" t="s">
        <v>1862</v>
      </c>
      <c r="X97" s="302">
        <f t="shared" si="13"/>
        <v>0.37397260273972599</v>
      </c>
      <c r="Y97" s="302">
        <f t="shared" si="13"/>
        <v>0.49863013698630126</v>
      </c>
      <c r="Z97" s="302">
        <f t="shared" si="13"/>
        <v>0.17452054794520547</v>
      </c>
    </row>
    <row r="98" spans="4:26">
      <c r="D98" s="191" t="s">
        <v>1683</v>
      </c>
      <c r="E98" s="191" t="s">
        <v>1684</v>
      </c>
      <c r="F98" s="192" t="s">
        <v>1861</v>
      </c>
      <c r="G98" s="302">
        <f t="shared" si="11"/>
        <v>0.17452054794520547</v>
      </c>
      <c r="H98" s="302">
        <f t="shared" si="11"/>
        <v>0.22438356164383561</v>
      </c>
      <c r="I98" s="302">
        <f t="shared" si="11"/>
        <v>0.17452054794520547</v>
      </c>
      <c r="L98" s="191" t="s">
        <v>1683</v>
      </c>
      <c r="M98" s="191" t="s">
        <v>1684</v>
      </c>
      <c r="N98" s="192" t="s">
        <v>1861</v>
      </c>
      <c r="O98" s="302">
        <f t="shared" si="12"/>
        <v>0.17452054794520547</v>
      </c>
      <c r="P98" s="302">
        <f t="shared" si="12"/>
        <v>0.37397260273972599</v>
      </c>
      <c r="Q98" s="302">
        <f t="shared" si="12"/>
        <v>0.17452054794520547</v>
      </c>
      <c r="U98" s="191" t="s">
        <v>1683</v>
      </c>
      <c r="V98" s="191" t="s">
        <v>1684</v>
      </c>
      <c r="W98" s="192" t="s">
        <v>1861</v>
      </c>
      <c r="X98" s="302">
        <f t="shared" si="13"/>
        <v>0.37397260273972599</v>
      </c>
      <c r="Y98" s="302">
        <f t="shared" si="13"/>
        <v>0.49863013698630126</v>
      </c>
      <c r="Z98" s="302">
        <f t="shared" si="13"/>
        <v>0.17452054794520547</v>
      </c>
    </row>
    <row r="99" spans="4:26">
      <c r="D99" s="193" t="s">
        <v>1686</v>
      </c>
      <c r="E99" s="193" t="s">
        <v>1687</v>
      </c>
      <c r="F99" s="303" t="s">
        <v>1855</v>
      </c>
      <c r="G99" s="302">
        <f t="shared" si="11"/>
        <v>0.17452054794520547</v>
      </c>
      <c r="H99" s="302">
        <f t="shared" si="11"/>
        <v>0.22438356164383561</v>
      </c>
      <c r="I99" s="302">
        <f t="shared" si="11"/>
        <v>0.17452054794520547</v>
      </c>
      <c r="L99" s="193" t="s">
        <v>1686</v>
      </c>
      <c r="M99" s="193" t="s">
        <v>1687</v>
      </c>
      <c r="N99" s="303" t="s">
        <v>1855</v>
      </c>
      <c r="O99" s="302">
        <f t="shared" si="12"/>
        <v>0.17452054794520547</v>
      </c>
      <c r="P99" s="302">
        <f t="shared" si="12"/>
        <v>0.37397260273972599</v>
      </c>
      <c r="Q99" s="302">
        <f t="shared" si="12"/>
        <v>0.17452054794520547</v>
      </c>
      <c r="U99" s="193" t="s">
        <v>1686</v>
      </c>
      <c r="V99" s="193" t="s">
        <v>1687</v>
      </c>
      <c r="W99" s="303" t="s">
        <v>1855</v>
      </c>
      <c r="X99" s="302">
        <f t="shared" si="13"/>
        <v>0.37397260273972599</v>
      </c>
      <c r="Y99" s="302">
        <f t="shared" si="13"/>
        <v>0.49863013698630126</v>
      </c>
      <c r="Z99" s="302">
        <f t="shared" si="13"/>
        <v>0.17452054794520547</v>
      </c>
    </row>
    <row r="100" spans="4:26">
      <c r="D100" s="303"/>
      <c r="E100" s="193" t="s">
        <v>1687</v>
      </c>
      <c r="F100" s="303" t="s">
        <v>1832</v>
      </c>
      <c r="G100" s="302">
        <f t="shared" si="11"/>
        <v>0.17452054794520547</v>
      </c>
      <c r="H100" s="302">
        <f t="shared" si="11"/>
        <v>0.22438356164383561</v>
      </c>
      <c r="I100" s="302">
        <f t="shared" si="11"/>
        <v>0.17452054794520547</v>
      </c>
      <c r="L100" s="303"/>
      <c r="M100" s="193" t="s">
        <v>1687</v>
      </c>
      <c r="N100" s="303" t="s">
        <v>1832</v>
      </c>
      <c r="O100" s="302">
        <f t="shared" si="12"/>
        <v>0.17452054794520547</v>
      </c>
      <c r="P100" s="302">
        <f t="shared" si="12"/>
        <v>0.37397260273972599</v>
      </c>
      <c r="Q100" s="302">
        <f t="shared" si="12"/>
        <v>0.17452054794520547</v>
      </c>
      <c r="U100" s="303"/>
      <c r="V100" s="193" t="s">
        <v>1687</v>
      </c>
      <c r="W100" s="303" t="s">
        <v>1832</v>
      </c>
      <c r="X100" s="302">
        <f t="shared" si="13"/>
        <v>0.37397260273972599</v>
      </c>
      <c r="Y100" s="302">
        <f t="shared" si="13"/>
        <v>0.49863013698630126</v>
      </c>
      <c r="Z100" s="302">
        <f t="shared" si="13"/>
        <v>0.17452054794520547</v>
      </c>
    </row>
    <row r="101" spans="4:26">
      <c r="E101" s="299" t="s">
        <v>1998</v>
      </c>
      <c r="F101" s="299" t="s">
        <v>1999</v>
      </c>
      <c r="G101" s="302" cm="1">
        <f t="array" ref="G101">AVERAGE(
  _xlfn._xlws.FILTER(
    G58:G100,
    (ISNUMBER(SEARCH("JP",$E58:$E100)) +
     ISNUMBER(SEARCH("MA",$E58:$E100)) +
     ISNUMBER(SEARCH("VN",$E58:$E100)) +
     ISNUMBER(SEARCH("KO",$E58:$E100)) +
     ISNUMBER(SEARCH("TW",$E58:$E100)) +
     ISNUMBER(SEARCH("ID",$E58:$E100)) +
     ISNUMBER(SEARCH("TH",$E58:$E100))) &gt; 0
  )
)</f>
        <v>0.17452054794520547</v>
      </c>
      <c r="H101" s="302" cm="1">
        <f t="array" ref="H101">AVERAGE(
  _xlfn._xlws.FILTER(
    H58:H100,
    (ISNUMBER(SEARCH("JP",$E58:$E100)) +
     ISNUMBER(SEARCH("MA",$E58:$E100)) +
     ISNUMBER(SEARCH("VN",$E58:$E100)) +
     ISNUMBER(SEARCH("KO",$E58:$E100)) +
     ISNUMBER(SEARCH("TW",$E58:$E100)) +
     ISNUMBER(SEARCH("ID",$E58:$E100)) +
     ISNUMBER(SEARCH("TH",$E58:$E100))) &gt; 0
  )
)</f>
        <v>0.22438356164383561</v>
      </c>
      <c r="I101" s="302" cm="1">
        <f t="array" ref="I101">AVERAGE(
  _xlfn._xlws.FILTER(
    I58:I100,
    (ISNUMBER(SEARCH("JP",$E58:$E100)) +
     ISNUMBER(SEARCH("MA",$E58:$E100)) +
     ISNUMBER(SEARCH("VN",$E58:$E100)) +
     ISNUMBER(SEARCH("KO",$E58:$E100)) +
     ISNUMBER(SEARCH("TW",$E58:$E100)) +
     ISNUMBER(SEARCH("ID",$E58:$E100)) +
     ISNUMBER(SEARCH("TH",$E58:$E100))) &gt; 0
  )
)</f>
        <v>0.17452054794520547</v>
      </c>
      <c r="M101" s="299" t="s">
        <v>1998</v>
      </c>
      <c r="N101" s="299" t="s">
        <v>1999</v>
      </c>
      <c r="O101" s="302" cm="1">
        <f t="array" ref="O101">AVERAGE(
  _xlfn._xlws.FILTER(
    O58:O100,
    (ISNUMBER(SEARCH("JP",$M58:$M100)) +
     ISNUMBER(SEARCH("MA",$M58:$M100)) +
     ISNUMBER(SEARCH("VN",$M58:$M100)) +
     ISNUMBER(SEARCH("KO",$M58:$M100)) +
     ISNUMBER(SEARCH("TW",$M58:$M100)) +
     ISNUMBER(SEARCH("ID",$M58:$M100)) +
     ISNUMBER(SEARCH("TH",$M58:$M100))) &gt; 0
  )
)</f>
        <v>0.26178082191780833</v>
      </c>
      <c r="P101" s="302" cm="1">
        <f t="array" ref="P101">AVERAGE(
  _xlfn._xlws.FILTER(
    P58:P100,
    (ISNUMBER(SEARCH("JP",$M58:$M100)) +
     ISNUMBER(SEARCH("MA",$M58:$M100)) +
     ISNUMBER(SEARCH("VN",$M58:$M100)) +
     ISNUMBER(SEARCH("KO",$M58:$M100)) +
     ISNUMBER(SEARCH("TW",$M58:$M100)) +
     ISNUMBER(SEARCH("ID",$M58:$M100)) +
     ISNUMBER(SEARCH("TH",$M58:$M100))) &gt; 0
  )
)</f>
        <v>0.37397260273972593</v>
      </c>
      <c r="Q101" s="302" cm="1">
        <f t="array" ref="Q101">AVERAGE(
  _xlfn._xlws.FILTER(
    Q58:Q100,
    (ISNUMBER(SEARCH("JP",$M58:$M100)) +
     ISNUMBER(SEARCH("MA",$M58:$M100)) +
     ISNUMBER(SEARCH("VN",$M58:$M100)) +
     ISNUMBER(SEARCH("KO",$M58:$M100)) +
     ISNUMBER(SEARCH("TW",$M58:$M100)) +
     ISNUMBER(SEARCH("ID",$M58:$M100)) +
     ISNUMBER(SEARCH("TH",$M58:$M100))) &gt; 0
  )
)</f>
        <v>0.17452054794520547</v>
      </c>
      <c r="V101" s="299" t="s">
        <v>1998</v>
      </c>
      <c r="W101" s="299" t="s">
        <v>1999</v>
      </c>
      <c r="X101" s="302" cm="1">
        <f t="array" ref="X101">AVERAGE(
  _xlfn._xlws.FILTER(
    X58:X100,
    (ISNUMBER(SEARCH("JP",$V58:$V100)) +
     ISNUMBER(SEARCH("MA",$V58:$V100)) +
     ISNUMBER(SEARCH("VN",$V58:$V100)) +
     ISNUMBER(SEARCH("KO",$V58:$V100)) +
     ISNUMBER(SEARCH("TW",$V58:$V100)) +
     ISNUMBER(SEARCH("ID",$V58:$V100)) +
     ISNUMBER(SEARCH("TH",$V58:$V100))) &gt; 0
  )
)</f>
        <v>0.37397260273972593</v>
      </c>
      <c r="Y101" s="302" cm="1">
        <f t="array" ref="Y101">AVERAGE(
  _xlfn._xlws.FILTER(
    Y58:Y100,
    (ISNUMBER(SEARCH("JP",$V58:$V100)) +
     ISNUMBER(SEARCH("MA",$V58:$V100)) +
     ISNUMBER(SEARCH("VN",$V58:$V100)) +
     ISNUMBER(SEARCH("KO",$V58:$V100)) +
     ISNUMBER(SEARCH("TW",$V58:$V100)) +
     ISNUMBER(SEARCH("ID",$V58:$V100)) +
     ISNUMBER(SEARCH("TH",$V58:$V100))) &gt; 0
  )
)</f>
        <v>0.49863013698630126</v>
      </c>
      <c r="Z101" s="302" cm="1">
        <f t="array" ref="Z101">AVERAGE(
  _xlfn._xlws.FILTER(
    Z58:Z100,
    (ISNUMBER(SEARCH("JP",$V58:$V100)) +
     ISNUMBER(SEARCH("MA",$V58:$V100)) +
     ISNUMBER(SEARCH("VN",$V58:$V100)) +
     ISNUMBER(SEARCH("KO",$V58:$V100)) +
     ISNUMBER(SEARCH("TW",$V58:$V100)) +
     ISNUMBER(SEARCH("ID",$V58:$V100)) +
     ISNUMBER(SEARCH("TH",$V58:$V100))) &gt; 0
  )
)</f>
        <v>0.17452054794520547</v>
      </c>
    </row>
  </sheetData>
  <mergeCells count="12">
    <mergeCell ref="G32:I32"/>
    <mergeCell ref="O32:Q32"/>
    <mergeCell ref="X32:Z32"/>
    <mergeCell ref="G33:I33"/>
    <mergeCell ref="O33:Q33"/>
    <mergeCell ref="X33:Z33"/>
    <mergeCell ref="G6:I6"/>
    <mergeCell ref="O6:Q6"/>
    <mergeCell ref="X6:Z6"/>
    <mergeCell ref="G7:I7"/>
    <mergeCell ref="O7:Q7"/>
    <mergeCell ref="X7:Z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9956-0994-4411-A8E9-69791B928746}">
  <sheetPr>
    <tabColor rgb="FFFFC000"/>
  </sheetPr>
  <dimension ref="A1:J321"/>
  <sheetViews>
    <sheetView workbookViewId="0">
      <selection activeCell="J33" sqref="J33"/>
    </sheetView>
  </sheetViews>
  <sheetFormatPr defaultRowHeight="14.5"/>
  <cols>
    <col min="1" max="1" width="11" style="34" bestFit="1" customWidth="1"/>
    <col min="2" max="2" width="45.7265625" style="34" bestFit="1" customWidth="1"/>
    <col min="3" max="3" width="15.453125" style="34" bestFit="1" customWidth="1"/>
    <col min="4" max="4" width="5.453125" style="34" bestFit="1" customWidth="1"/>
    <col min="5" max="5" width="5.453125" style="34" customWidth="1"/>
    <col min="6" max="6" width="10.54296875" style="34" bestFit="1" customWidth="1"/>
    <col min="7" max="7" width="9.1796875" style="35"/>
    <col min="8" max="8" width="18.54296875" style="35" bestFit="1" customWidth="1"/>
    <col min="9" max="10" width="9.1796875" style="35"/>
  </cols>
  <sheetData>
    <row r="1" spans="1:10">
      <c r="A1" s="34" t="s">
        <v>7</v>
      </c>
      <c r="B1" s="34" t="s">
        <v>8</v>
      </c>
      <c r="C1" s="34" t="s">
        <v>9</v>
      </c>
      <c r="D1" s="34" t="s">
        <v>10</v>
      </c>
      <c r="E1" s="34" t="s">
        <v>828</v>
      </c>
      <c r="F1" s="34" t="s">
        <v>829</v>
      </c>
      <c r="G1" s="34" t="s">
        <v>830</v>
      </c>
      <c r="H1" s="34" t="s">
        <v>831</v>
      </c>
      <c r="I1" s="35" t="s">
        <v>832</v>
      </c>
      <c r="J1" s="35" t="s">
        <v>833</v>
      </c>
    </row>
    <row r="2" spans="1:10">
      <c r="A2" s="34">
        <v>111</v>
      </c>
      <c r="B2" s="34" t="s">
        <v>692</v>
      </c>
      <c r="C2" s="34" t="s">
        <v>693</v>
      </c>
      <c r="D2" s="34" t="s">
        <v>65</v>
      </c>
    </row>
    <row r="3" spans="1:10">
      <c r="A3" s="34">
        <v>520</v>
      </c>
      <c r="B3" s="34" t="s">
        <v>63</v>
      </c>
      <c r="C3" s="34" t="s">
        <v>64</v>
      </c>
      <c r="D3" s="34" t="s">
        <v>65</v>
      </c>
    </row>
    <row r="4" spans="1:10">
      <c r="A4" s="34">
        <v>1100</v>
      </c>
      <c r="B4" s="34" t="s">
        <v>100</v>
      </c>
      <c r="C4" s="34" t="s">
        <v>101</v>
      </c>
      <c r="D4" s="34" t="s">
        <v>65</v>
      </c>
    </row>
    <row r="5" spans="1:10">
      <c r="A5" s="34">
        <v>4004</v>
      </c>
      <c r="B5" s="34" t="s">
        <v>94</v>
      </c>
      <c r="C5" s="34" t="s">
        <v>95</v>
      </c>
      <c r="D5" s="34" t="s">
        <v>65</v>
      </c>
    </row>
    <row r="6" spans="1:10">
      <c r="A6" s="34">
        <v>11515</v>
      </c>
      <c r="B6" s="34" t="s">
        <v>124</v>
      </c>
      <c r="C6" s="34" t="s">
        <v>125</v>
      </c>
      <c r="D6" s="34" t="s">
        <v>65</v>
      </c>
    </row>
    <row r="7" spans="1:10">
      <c r="A7" s="34">
        <v>22715</v>
      </c>
      <c r="B7" s="34" t="s">
        <v>192</v>
      </c>
      <c r="C7" s="34" t="s">
        <v>193</v>
      </c>
      <c r="D7" s="34" t="s">
        <v>65</v>
      </c>
    </row>
    <row r="8" spans="1:10">
      <c r="A8" s="34">
        <v>29010</v>
      </c>
      <c r="B8" s="34" t="s">
        <v>225</v>
      </c>
      <c r="C8" s="34" t="s">
        <v>226</v>
      </c>
      <c r="D8" s="34" t="s">
        <v>65</v>
      </c>
    </row>
    <row r="9" spans="1:10">
      <c r="A9" s="34">
        <v>31400</v>
      </c>
      <c r="B9" s="34" t="s">
        <v>280</v>
      </c>
      <c r="C9" s="34" t="s">
        <v>281</v>
      </c>
      <c r="D9" s="34" t="s">
        <v>65</v>
      </c>
    </row>
    <row r="10" spans="1:10">
      <c r="A10" s="34">
        <v>32035</v>
      </c>
      <c r="B10" s="34" t="s">
        <v>246</v>
      </c>
      <c r="C10" s="34" t="s">
        <v>247</v>
      </c>
      <c r="D10" s="34" t="s">
        <v>65</v>
      </c>
    </row>
    <row r="11" spans="1:10">
      <c r="A11" s="34">
        <v>34512</v>
      </c>
      <c r="B11" s="34" t="s">
        <v>298</v>
      </c>
      <c r="C11" s="34" t="s">
        <v>299</v>
      </c>
      <c r="D11" s="34" t="s">
        <v>65</v>
      </c>
    </row>
    <row r="12" spans="1:10">
      <c r="A12" s="34">
        <v>36016</v>
      </c>
      <c r="B12" s="34" t="s">
        <v>336</v>
      </c>
      <c r="C12" s="34" t="s">
        <v>337</v>
      </c>
      <c r="D12" s="34" t="s">
        <v>65</v>
      </c>
    </row>
    <row r="13" spans="1:10">
      <c r="A13" s="34">
        <v>39720</v>
      </c>
      <c r="B13" s="34" t="s">
        <v>349</v>
      </c>
      <c r="C13" s="34" t="s">
        <v>350</v>
      </c>
      <c r="D13" s="34" t="s">
        <v>65</v>
      </c>
    </row>
    <row r="14" spans="1:10">
      <c r="A14" s="34">
        <v>39770</v>
      </c>
      <c r="B14" s="34" t="s">
        <v>352</v>
      </c>
      <c r="C14" s="34" t="s">
        <v>353</v>
      </c>
      <c r="D14" s="34" t="s">
        <v>65</v>
      </c>
    </row>
    <row r="15" spans="1:10">
      <c r="A15" s="34">
        <v>51005</v>
      </c>
      <c r="B15" s="34" t="s">
        <v>413</v>
      </c>
      <c r="C15" s="34" t="s">
        <v>414</v>
      </c>
      <c r="D15" s="34" t="s">
        <v>65</v>
      </c>
    </row>
    <row r="16" spans="1:10">
      <c r="A16" s="34">
        <v>52020</v>
      </c>
      <c r="B16" s="34" t="s">
        <v>429</v>
      </c>
      <c r="C16" s="34" t="s">
        <v>430</v>
      </c>
      <c r="D16" s="34" t="s">
        <v>65</v>
      </c>
    </row>
    <row r="17" spans="1:10">
      <c r="A17" s="34">
        <v>52650</v>
      </c>
      <c r="B17" s="34" t="s">
        <v>434</v>
      </c>
      <c r="C17" s="34" t="s">
        <v>435</v>
      </c>
      <c r="D17" s="34" t="s">
        <v>65</v>
      </c>
    </row>
    <row r="18" spans="1:10">
      <c r="A18" s="34">
        <v>54205</v>
      </c>
      <c r="B18" s="34" t="s">
        <v>243</v>
      </c>
      <c r="C18" s="34" t="s">
        <v>244</v>
      </c>
      <c r="D18" s="34" t="s">
        <v>65</v>
      </c>
    </row>
    <row r="19" spans="1:10">
      <c r="A19" s="34">
        <v>62306</v>
      </c>
      <c r="B19" s="34" t="s">
        <v>496</v>
      </c>
      <c r="C19" s="34" t="s">
        <v>497</v>
      </c>
      <c r="D19" s="34" t="s">
        <v>65</v>
      </c>
    </row>
    <row r="20" spans="1:10">
      <c r="A20" s="34">
        <v>63010</v>
      </c>
      <c r="B20" s="34" t="s">
        <v>527</v>
      </c>
      <c r="C20" s="34" t="s">
        <v>528</v>
      </c>
      <c r="D20" s="34" t="s">
        <v>65</v>
      </c>
    </row>
    <row r="21" spans="1:10">
      <c r="A21" s="34">
        <v>73073</v>
      </c>
      <c r="B21" s="34" t="s">
        <v>588</v>
      </c>
      <c r="C21" s="34" t="s">
        <v>589</v>
      </c>
      <c r="D21" s="34" t="s">
        <v>65</v>
      </c>
    </row>
    <row r="22" spans="1:10">
      <c r="A22" s="34">
        <v>96505</v>
      </c>
      <c r="B22" s="34" t="s">
        <v>726</v>
      </c>
      <c r="C22" s="34" t="s">
        <v>727</v>
      </c>
      <c r="D22" s="34" t="s">
        <v>65</v>
      </c>
    </row>
    <row r="23" spans="1:10">
      <c r="A23" s="34">
        <v>99010</v>
      </c>
      <c r="B23" s="34" t="s">
        <v>744</v>
      </c>
      <c r="C23" s="34" t="s">
        <v>745</v>
      </c>
      <c r="D23" s="34" t="s">
        <v>65</v>
      </c>
    </row>
    <row r="24" spans="1:10">
      <c r="A24" s="34">
        <v>101020</v>
      </c>
      <c r="B24" s="34" t="s">
        <v>481</v>
      </c>
      <c r="C24" s="34" t="s">
        <v>482</v>
      </c>
      <c r="D24" s="34" t="s">
        <v>65</v>
      </c>
    </row>
    <row r="25" spans="1:10">
      <c r="A25" s="34">
        <v>104510</v>
      </c>
      <c r="B25" s="34" t="s">
        <v>777</v>
      </c>
      <c r="C25" s="34" t="s">
        <v>778</v>
      </c>
      <c r="D25" s="34" t="s">
        <v>65</v>
      </c>
    </row>
    <row r="26" spans="1:10">
      <c r="A26" s="34">
        <v>120945</v>
      </c>
      <c r="B26" s="34" t="s">
        <v>317</v>
      </c>
      <c r="C26" s="34" t="s">
        <v>318</v>
      </c>
      <c r="D26" s="34" t="s">
        <v>319</v>
      </c>
    </row>
    <row r="27" spans="1:10">
      <c r="A27" s="34">
        <v>122007</v>
      </c>
      <c r="B27" s="34" t="s">
        <v>390</v>
      </c>
      <c r="C27" s="34" t="s">
        <v>391</v>
      </c>
      <c r="D27" s="34" t="s">
        <v>319</v>
      </c>
    </row>
    <row r="28" spans="1:10">
      <c r="A28" s="34">
        <v>122530</v>
      </c>
      <c r="B28" s="34" t="s">
        <v>321</v>
      </c>
      <c r="C28" s="34" t="s">
        <v>318</v>
      </c>
      <c r="D28" s="34" t="s">
        <v>319</v>
      </c>
      <c r="J28" s="35" t="s">
        <v>834</v>
      </c>
    </row>
    <row r="29" spans="1:10">
      <c r="A29" s="34">
        <v>122531</v>
      </c>
      <c r="B29" s="34" t="s">
        <v>626</v>
      </c>
      <c r="C29" s="34" t="s">
        <v>627</v>
      </c>
      <c r="D29" s="34" t="s">
        <v>319</v>
      </c>
    </row>
    <row r="30" spans="1:10">
      <c r="A30" s="34">
        <v>129004</v>
      </c>
      <c r="B30" s="34" t="s">
        <v>147</v>
      </c>
      <c r="C30" s="34" t="s">
        <v>148</v>
      </c>
      <c r="D30" s="34" t="s">
        <v>149</v>
      </c>
    </row>
    <row r="31" spans="1:10">
      <c r="A31" s="34">
        <v>129010</v>
      </c>
      <c r="B31" s="34" t="s">
        <v>151</v>
      </c>
      <c r="C31" s="34" t="s">
        <v>148</v>
      </c>
      <c r="D31" s="34" t="s">
        <v>149</v>
      </c>
      <c r="J31" s="35" t="s">
        <v>834</v>
      </c>
    </row>
    <row r="32" spans="1:10">
      <c r="A32" s="34">
        <v>129129</v>
      </c>
      <c r="B32" s="34" t="s">
        <v>152</v>
      </c>
      <c r="C32" s="34" t="s">
        <v>153</v>
      </c>
      <c r="D32" s="34" t="s">
        <v>149</v>
      </c>
    </row>
    <row r="33" spans="1:10">
      <c r="A33" s="34">
        <v>134900</v>
      </c>
      <c r="B33" s="34" t="s">
        <v>261</v>
      </c>
      <c r="C33" s="34" t="s">
        <v>262</v>
      </c>
      <c r="D33" s="34" t="s">
        <v>149</v>
      </c>
    </row>
    <row r="34" spans="1:10">
      <c r="A34" s="34">
        <v>517814</v>
      </c>
      <c r="B34" s="34" t="s">
        <v>515</v>
      </c>
      <c r="C34" s="34" t="s">
        <v>513</v>
      </c>
      <c r="D34" s="34" t="s">
        <v>190</v>
      </c>
    </row>
    <row r="35" spans="1:10">
      <c r="A35" s="34">
        <v>137001</v>
      </c>
      <c r="B35" s="34" t="s">
        <v>290</v>
      </c>
      <c r="C35" s="34" t="s">
        <v>291</v>
      </c>
      <c r="D35" s="34" t="s">
        <v>149</v>
      </c>
      <c r="G35" s="35">
        <v>2.5</v>
      </c>
    </row>
    <row r="36" spans="1:10">
      <c r="A36" s="34">
        <v>140300</v>
      </c>
      <c r="B36" s="34" t="s">
        <v>181</v>
      </c>
      <c r="C36" s="34" t="s">
        <v>182</v>
      </c>
      <c r="D36" s="34" t="s">
        <v>149</v>
      </c>
    </row>
    <row r="37" spans="1:10">
      <c r="A37" s="34">
        <v>140301</v>
      </c>
      <c r="B37" s="34" t="s">
        <v>354</v>
      </c>
      <c r="C37" s="34" t="s">
        <v>355</v>
      </c>
      <c r="D37" s="34" t="s">
        <v>149</v>
      </c>
    </row>
    <row r="38" spans="1:10">
      <c r="A38" s="34">
        <v>149500</v>
      </c>
      <c r="B38" s="34" t="s">
        <v>296</v>
      </c>
      <c r="C38" s="34" t="s">
        <v>297</v>
      </c>
      <c r="D38" s="34" t="s">
        <v>149</v>
      </c>
    </row>
    <row r="39" spans="1:10">
      <c r="A39" s="34">
        <v>151005</v>
      </c>
      <c r="B39" s="34" t="s">
        <v>532</v>
      </c>
      <c r="C39" s="34" t="s">
        <v>533</v>
      </c>
      <c r="D39" s="34" t="s">
        <v>149</v>
      </c>
      <c r="J39" s="35" t="s">
        <v>834</v>
      </c>
    </row>
    <row r="40" spans="1:10">
      <c r="A40" s="34">
        <v>152705</v>
      </c>
      <c r="B40" s="34" t="s">
        <v>516</v>
      </c>
      <c r="C40" s="34" t="s">
        <v>517</v>
      </c>
      <c r="D40" s="34" t="s">
        <v>149</v>
      </c>
      <c r="J40" s="35" t="s">
        <v>834</v>
      </c>
    </row>
    <row r="41" spans="1:10">
      <c r="A41" s="34">
        <v>153005</v>
      </c>
      <c r="B41" s="34" t="s">
        <v>521</v>
      </c>
      <c r="C41" s="34" t="s">
        <v>522</v>
      </c>
      <c r="D41" s="34" t="s">
        <v>149</v>
      </c>
    </row>
    <row r="42" spans="1:10">
      <c r="A42" s="34">
        <v>153505</v>
      </c>
      <c r="B42" s="34" t="s">
        <v>232</v>
      </c>
      <c r="C42" s="34" t="s">
        <v>233</v>
      </c>
      <c r="D42" s="34" t="s">
        <v>149</v>
      </c>
    </row>
    <row r="43" spans="1:10">
      <c r="A43" s="34">
        <v>156002</v>
      </c>
      <c r="B43" s="34" t="s">
        <v>572</v>
      </c>
      <c r="C43" s="34" t="s">
        <v>573</v>
      </c>
      <c r="D43" s="34" t="s">
        <v>149</v>
      </c>
    </row>
    <row r="44" spans="1:10">
      <c r="A44" s="34">
        <v>156006</v>
      </c>
      <c r="B44" s="34" t="s">
        <v>523</v>
      </c>
      <c r="C44" s="34" t="s">
        <v>522</v>
      </c>
      <c r="D44" s="34" t="s">
        <v>149</v>
      </c>
    </row>
    <row r="45" spans="1:10">
      <c r="A45" s="34">
        <v>160006</v>
      </c>
      <c r="B45" s="34" t="s">
        <v>643</v>
      </c>
      <c r="C45" s="34" t="s">
        <v>644</v>
      </c>
      <c r="D45" s="34" t="s">
        <v>149</v>
      </c>
    </row>
    <row r="46" spans="1:10">
      <c r="A46" s="34">
        <v>160008</v>
      </c>
      <c r="B46" s="34" t="s">
        <v>646</v>
      </c>
      <c r="C46" s="34" t="s">
        <v>644</v>
      </c>
      <c r="D46" s="34" t="s">
        <v>149</v>
      </c>
    </row>
    <row r="47" spans="1:10">
      <c r="A47" s="34">
        <v>160009</v>
      </c>
      <c r="B47" s="34" t="s">
        <v>647</v>
      </c>
      <c r="C47" s="34" t="s">
        <v>644</v>
      </c>
      <c r="D47" s="34" t="s">
        <v>149</v>
      </c>
    </row>
    <row r="48" spans="1:10">
      <c r="A48" s="34">
        <v>166150</v>
      </c>
      <c r="B48" s="34" t="s">
        <v>800</v>
      </c>
      <c r="C48" s="34" t="s">
        <v>801</v>
      </c>
      <c r="D48" s="34" t="s">
        <v>149</v>
      </c>
    </row>
    <row r="49" spans="1:4">
      <c r="A49" s="34">
        <v>167003</v>
      </c>
      <c r="B49" s="34" t="s">
        <v>802</v>
      </c>
      <c r="C49" s="34" t="s">
        <v>801</v>
      </c>
      <c r="D49" s="34" t="s">
        <v>149</v>
      </c>
    </row>
    <row r="50" spans="1:4">
      <c r="A50" s="34">
        <v>167025</v>
      </c>
      <c r="B50" s="34" t="s">
        <v>804</v>
      </c>
      <c r="C50" s="34" t="s">
        <v>801</v>
      </c>
      <c r="D50" s="34" t="s">
        <v>149</v>
      </c>
    </row>
    <row r="51" spans="1:4">
      <c r="A51" s="34">
        <v>167035</v>
      </c>
      <c r="B51" s="34" t="s">
        <v>806</v>
      </c>
      <c r="C51" s="34" t="s">
        <v>801</v>
      </c>
      <c r="D51" s="34" t="s">
        <v>149</v>
      </c>
    </row>
    <row r="52" spans="1:4">
      <c r="A52" s="34">
        <v>176000</v>
      </c>
      <c r="B52" s="34" t="s">
        <v>106</v>
      </c>
      <c r="C52" s="34" t="s">
        <v>107</v>
      </c>
      <c r="D52" s="34" t="s">
        <v>108</v>
      </c>
    </row>
    <row r="53" spans="1:4">
      <c r="A53" s="34">
        <v>176001</v>
      </c>
      <c r="B53" s="34" t="s">
        <v>110</v>
      </c>
      <c r="C53" s="34" t="s">
        <v>107</v>
      </c>
      <c r="D53" s="34" t="s">
        <v>108</v>
      </c>
    </row>
    <row r="54" spans="1:4">
      <c r="A54" s="34">
        <v>176006</v>
      </c>
      <c r="B54" s="34" t="s">
        <v>111</v>
      </c>
      <c r="C54" s="34" t="s">
        <v>107</v>
      </c>
      <c r="D54" s="34" t="s">
        <v>108</v>
      </c>
    </row>
    <row r="55" spans="1:4">
      <c r="A55" s="34">
        <v>177501</v>
      </c>
      <c r="B55" s="34" t="s">
        <v>356</v>
      </c>
      <c r="C55" s="34" t="s">
        <v>357</v>
      </c>
      <c r="D55" s="34" t="s">
        <v>108</v>
      </c>
    </row>
    <row r="56" spans="1:4">
      <c r="A56" s="34">
        <v>178580</v>
      </c>
      <c r="B56" s="34" t="s">
        <v>530</v>
      </c>
      <c r="C56" s="34" t="s">
        <v>531</v>
      </c>
      <c r="D56" s="34" t="s">
        <v>108</v>
      </c>
    </row>
    <row r="57" spans="1:4">
      <c r="A57" s="34">
        <v>201501</v>
      </c>
      <c r="B57" s="34" t="s">
        <v>459</v>
      </c>
      <c r="C57" s="34" t="s">
        <v>460</v>
      </c>
      <c r="D57" s="34" t="s">
        <v>461</v>
      </c>
    </row>
    <row r="58" spans="1:4">
      <c r="A58" s="34">
        <v>201505</v>
      </c>
      <c r="B58" s="34" t="s">
        <v>463</v>
      </c>
      <c r="C58" s="34" t="s">
        <v>460</v>
      </c>
      <c r="D58" s="34" t="s">
        <v>461</v>
      </c>
    </row>
    <row r="59" spans="1:4">
      <c r="A59" s="34">
        <v>208710</v>
      </c>
      <c r="B59" s="34" t="s">
        <v>792</v>
      </c>
      <c r="C59" s="34" t="s">
        <v>793</v>
      </c>
      <c r="D59" s="34" t="s">
        <v>461</v>
      </c>
    </row>
    <row r="60" spans="1:4">
      <c r="A60" s="34">
        <v>213008</v>
      </c>
      <c r="B60" s="34" t="s">
        <v>74</v>
      </c>
      <c r="C60" s="34" t="s">
        <v>75</v>
      </c>
      <c r="D60" s="34" t="s">
        <v>76</v>
      </c>
    </row>
    <row r="61" spans="1:4">
      <c r="A61" s="34">
        <v>217517</v>
      </c>
      <c r="B61" s="34" t="s">
        <v>97</v>
      </c>
      <c r="C61" s="34" t="s">
        <v>98</v>
      </c>
      <c r="D61" s="34" t="s">
        <v>76</v>
      </c>
    </row>
    <row r="62" spans="1:4">
      <c r="A62" s="34">
        <v>220586</v>
      </c>
      <c r="B62" s="34" t="s">
        <v>91</v>
      </c>
      <c r="C62" s="34" t="s">
        <v>92</v>
      </c>
      <c r="D62" s="34" t="s">
        <v>76</v>
      </c>
    </row>
    <row r="63" spans="1:4">
      <c r="A63" s="34">
        <v>220900</v>
      </c>
      <c r="B63" s="34" t="s">
        <v>118</v>
      </c>
      <c r="C63" s="34" t="s">
        <v>119</v>
      </c>
      <c r="D63" s="34" t="s">
        <v>76</v>
      </c>
    </row>
    <row r="64" spans="1:4">
      <c r="A64" s="34">
        <v>221010</v>
      </c>
      <c r="B64" s="34" t="s">
        <v>103</v>
      </c>
      <c r="C64" s="34" t="s">
        <v>104</v>
      </c>
      <c r="D64" s="34" t="s">
        <v>76</v>
      </c>
    </row>
    <row r="65" spans="1:4">
      <c r="A65" s="34">
        <v>222010</v>
      </c>
      <c r="B65" s="34" t="s">
        <v>115</v>
      </c>
      <c r="C65" s="34" t="s">
        <v>116</v>
      </c>
      <c r="D65" s="34" t="s">
        <v>76</v>
      </c>
    </row>
    <row r="66" spans="1:4">
      <c r="A66" s="34">
        <v>224505</v>
      </c>
      <c r="B66" s="34" t="s">
        <v>144</v>
      </c>
      <c r="C66" s="34" t="s">
        <v>145</v>
      </c>
      <c r="D66" s="34" t="s">
        <v>76</v>
      </c>
    </row>
    <row r="67" spans="1:4">
      <c r="A67" s="34">
        <v>225625</v>
      </c>
      <c r="B67" s="34" t="s">
        <v>154</v>
      </c>
      <c r="C67" s="34" t="s">
        <v>155</v>
      </c>
      <c r="D67" s="34" t="s">
        <v>76</v>
      </c>
    </row>
    <row r="68" spans="1:4">
      <c r="A68" s="34">
        <v>227500</v>
      </c>
      <c r="B68" s="34" t="s">
        <v>157</v>
      </c>
      <c r="C68" s="34" t="s">
        <v>158</v>
      </c>
      <c r="D68" s="34" t="s">
        <v>76</v>
      </c>
    </row>
    <row r="69" spans="1:4">
      <c r="A69" s="34">
        <v>228002</v>
      </c>
      <c r="B69" s="34" t="s">
        <v>160</v>
      </c>
      <c r="C69" s="34" t="s">
        <v>161</v>
      </c>
      <c r="D69" s="34" t="s">
        <v>76</v>
      </c>
    </row>
    <row r="70" spans="1:4">
      <c r="A70" s="34">
        <v>232400</v>
      </c>
      <c r="B70" s="34" t="s">
        <v>236</v>
      </c>
      <c r="C70" s="34" t="s">
        <v>237</v>
      </c>
      <c r="D70" s="34" t="s">
        <v>76</v>
      </c>
    </row>
    <row r="71" spans="1:4">
      <c r="A71" s="34">
        <v>232401</v>
      </c>
      <c r="B71" s="34" t="s">
        <v>239</v>
      </c>
      <c r="C71" s="34" t="s">
        <v>237</v>
      </c>
      <c r="D71" s="34" t="s">
        <v>76</v>
      </c>
    </row>
    <row r="72" spans="1:4">
      <c r="A72" s="34">
        <v>240124</v>
      </c>
      <c r="B72" s="34" t="s">
        <v>207</v>
      </c>
      <c r="C72" s="34" t="s">
        <v>208</v>
      </c>
      <c r="D72" s="34" t="s">
        <v>76</v>
      </c>
    </row>
    <row r="73" spans="1:4">
      <c r="A73" s="34">
        <v>242020</v>
      </c>
      <c r="B73" s="34" t="s">
        <v>211</v>
      </c>
      <c r="C73" s="34" t="s">
        <v>212</v>
      </c>
      <c r="D73" s="34" t="s">
        <v>76</v>
      </c>
    </row>
    <row r="74" spans="1:4">
      <c r="A74" s="34">
        <v>245509</v>
      </c>
      <c r="B74" s="34" t="s">
        <v>217</v>
      </c>
      <c r="C74" s="34" t="s">
        <v>218</v>
      </c>
      <c r="D74" s="34" t="s">
        <v>76</v>
      </c>
    </row>
    <row r="75" spans="1:4">
      <c r="A75" s="34">
        <v>245545</v>
      </c>
      <c r="B75" s="34" t="s">
        <v>220</v>
      </c>
      <c r="C75" s="34" t="s">
        <v>218</v>
      </c>
      <c r="D75" s="34" t="s">
        <v>76</v>
      </c>
    </row>
    <row r="76" spans="1:4">
      <c r="A76" s="34">
        <v>253005</v>
      </c>
      <c r="B76" s="34" t="s">
        <v>267</v>
      </c>
      <c r="C76" s="34" t="s">
        <v>268</v>
      </c>
      <c r="D76" s="34" t="s">
        <v>76</v>
      </c>
    </row>
    <row r="77" spans="1:4">
      <c r="A77" s="34">
        <v>253506</v>
      </c>
      <c r="B77" s="34" t="s">
        <v>273</v>
      </c>
      <c r="C77" s="34" t="s">
        <v>274</v>
      </c>
      <c r="D77" s="34" t="s">
        <v>76</v>
      </c>
    </row>
    <row r="78" spans="1:4">
      <c r="A78" s="34">
        <v>254002</v>
      </c>
      <c r="B78" s="34" t="s">
        <v>277</v>
      </c>
      <c r="C78" s="34" t="s">
        <v>278</v>
      </c>
      <c r="D78" s="34" t="s">
        <v>76</v>
      </c>
    </row>
    <row r="79" spans="1:4">
      <c r="A79" s="34">
        <v>255005</v>
      </c>
      <c r="B79" s="34" t="s">
        <v>286</v>
      </c>
      <c r="C79" s="34" t="s">
        <v>287</v>
      </c>
      <c r="D79" s="34" t="s">
        <v>76</v>
      </c>
    </row>
    <row r="80" spans="1:4">
      <c r="A80" s="34">
        <v>255025</v>
      </c>
      <c r="B80" s="34" t="s">
        <v>283</v>
      </c>
      <c r="C80" s="34" t="s">
        <v>284</v>
      </c>
      <c r="D80" s="34" t="s">
        <v>76</v>
      </c>
    </row>
    <row r="81" spans="1:7">
      <c r="A81" s="34">
        <v>256030</v>
      </c>
      <c r="B81" s="34" t="s">
        <v>288</v>
      </c>
      <c r="C81" s="34" t="s">
        <v>289</v>
      </c>
      <c r="D81" s="34" t="s">
        <v>76</v>
      </c>
    </row>
    <row r="82" spans="1:7">
      <c r="A82" s="34">
        <v>266405</v>
      </c>
      <c r="B82" s="34" t="s">
        <v>362</v>
      </c>
      <c r="C82" s="34" t="s">
        <v>363</v>
      </c>
      <c r="D82" s="34" t="s">
        <v>76</v>
      </c>
    </row>
    <row r="83" spans="1:7">
      <c r="A83" s="34">
        <v>266861</v>
      </c>
      <c r="B83" s="34" t="s">
        <v>635</v>
      </c>
      <c r="C83" s="34" t="s">
        <v>636</v>
      </c>
      <c r="D83" s="34" t="s">
        <v>76</v>
      </c>
    </row>
    <row r="84" spans="1:7">
      <c r="A84" s="34">
        <v>270800</v>
      </c>
      <c r="B84" s="34" t="s">
        <v>424</v>
      </c>
      <c r="C84" s="34" t="s">
        <v>425</v>
      </c>
      <c r="D84" s="34" t="s">
        <v>76</v>
      </c>
    </row>
    <row r="85" spans="1:7">
      <c r="A85" s="34">
        <v>273518</v>
      </c>
      <c r="B85" s="34" t="s">
        <v>419</v>
      </c>
      <c r="C85" s="34" t="s">
        <v>420</v>
      </c>
      <c r="D85" s="34" t="s">
        <v>76</v>
      </c>
    </row>
    <row r="86" spans="1:7">
      <c r="A86" s="34">
        <v>274301</v>
      </c>
      <c r="B86" s="34" t="s">
        <v>427</v>
      </c>
      <c r="C86" s="34" t="s">
        <v>428</v>
      </c>
      <c r="D86" s="34" t="s">
        <v>76</v>
      </c>
    </row>
    <row r="87" spans="1:7">
      <c r="A87" s="34">
        <v>282100</v>
      </c>
      <c r="B87" s="34" t="s">
        <v>175</v>
      </c>
      <c r="C87" s="34" t="s">
        <v>176</v>
      </c>
      <c r="D87" s="34" t="s">
        <v>76</v>
      </c>
    </row>
    <row r="88" spans="1:7">
      <c r="A88" s="34">
        <v>282101</v>
      </c>
      <c r="B88" s="34" t="s">
        <v>483</v>
      </c>
      <c r="C88" s="34" t="s">
        <v>484</v>
      </c>
      <c r="D88" s="34" t="s">
        <v>76</v>
      </c>
    </row>
    <row r="89" spans="1:7">
      <c r="A89" s="34">
        <v>291000</v>
      </c>
      <c r="B89" s="34" t="s">
        <v>575</v>
      </c>
      <c r="C89" s="34" t="s">
        <v>576</v>
      </c>
      <c r="D89" s="34" t="s">
        <v>76</v>
      </c>
    </row>
    <row r="90" spans="1:7">
      <c r="A90" s="34">
        <v>297005</v>
      </c>
      <c r="B90" s="34" t="s">
        <v>534</v>
      </c>
      <c r="C90" s="34" t="s">
        <v>535</v>
      </c>
      <c r="D90" s="34" t="s">
        <v>76</v>
      </c>
    </row>
    <row r="91" spans="1:7">
      <c r="A91" s="34">
        <v>297507</v>
      </c>
      <c r="B91" s="34" t="s">
        <v>559</v>
      </c>
      <c r="C91" s="34" t="s">
        <v>560</v>
      </c>
      <c r="D91" s="34" t="s">
        <v>76</v>
      </c>
    </row>
    <row r="92" spans="1:7">
      <c r="A92" s="34">
        <v>297509</v>
      </c>
      <c r="B92" s="34" t="s">
        <v>562</v>
      </c>
      <c r="C92" s="34" t="s">
        <v>560</v>
      </c>
      <c r="D92" s="34" t="s">
        <v>76</v>
      </c>
    </row>
    <row r="93" spans="1:7">
      <c r="A93" s="34">
        <v>298007</v>
      </c>
      <c r="B93" s="34" t="s">
        <v>563</v>
      </c>
      <c r="C93" s="34" t="s">
        <v>564</v>
      </c>
      <c r="D93" s="34" t="s">
        <v>76</v>
      </c>
    </row>
    <row r="94" spans="1:7">
      <c r="A94" s="34">
        <v>298008</v>
      </c>
      <c r="B94" s="34" t="s">
        <v>566</v>
      </c>
      <c r="C94" s="34" t="s">
        <v>564</v>
      </c>
      <c r="D94" s="34" t="s">
        <v>76</v>
      </c>
    </row>
    <row r="95" spans="1:7">
      <c r="A95" s="34">
        <v>301535</v>
      </c>
      <c r="B95" s="34" t="s">
        <v>774</v>
      </c>
      <c r="C95" s="34" t="s">
        <v>775</v>
      </c>
      <c r="D95" s="34" t="s">
        <v>76</v>
      </c>
    </row>
    <row r="96" spans="1:7">
      <c r="A96" s="34">
        <v>304495</v>
      </c>
      <c r="B96" s="34" t="s">
        <v>577</v>
      </c>
      <c r="C96" s="34" t="s">
        <v>576</v>
      </c>
      <c r="D96" s="34" t="s">
        <v>76</v>
      </c>
      <c r="G96" s="36">
        <f>250/88</f>
        <v>2.8409090909090908</v>
      </c>
    </row>
    <row r="97" spans="1:10">
      <c r="A97" s="34">
        <v>304500</v>
      </c>
      <c r="B97" s="34" t="s">
        <v>276</v>
      </c>
      <c r="C97" s="34" t="s">
        <v>274</v>
      </c>
      <c r="D97" s="34" t="s">
        <v>76</v>
      </c>
    </row>
    <row r="98" spans="1:10">
      <c r="A98" s="34">
        <v>886509</v>
      </c>
      <c r="B98" s="34" t="s">
        <v>502</v>
      </c>
      <c r="C98" s="34" t="s">
        <v>500</v>
      </c>
      <c r="D98" s="34" t="s">
        <v>71</v>
      </c>
      <c r="E98" s="34">
        <v>1</v>
      </c>
      <c r="F98" s="34">
        <v>1</v>
      </c>
      <c r="G98" s="35">
        <v>0.25</v>
      </c>
      <c r="J98" s="35" t="s">
        <v>835</v>
      </c>
    </row>
    <row r="99" spans="1:10">
      <c r="A99" s="34">
        <v>304552</v>
      </c>
      <c r="B99" s="34" t="s">
        <v>569</v>
      </c>
      <c r="C99" s="34" t="s">
        <v>570</v>
      </c>
      <c r="D99" s="34" t="s">
        <v>76</v>
      </c>
    </row>
    <row r="100" spans="1:10">
      <c r="A100" s="34">
        <v>304553</v>
      </c>
      <c r="B100" s="34" t="s">
        <v>510</v>
      </c>
      <c r="C100" s="34" t="s">
        <v>511</v>
      </c>
      <c r="D100" s="34" t="s">
        <v>76</v>
      </c>
    </row>
    <row r="101" spans="1:10">
      <c r="A101" s="34">
        <v>306310</v>
      </c>
      <c r="B101" s="34" t="s">
        <v>331</v>
      </c>
      <c r="C101" s="34" t="s">
        <v>332</v>
      </c>
      <c r="D101" s="34" t="s">
        <v>76</v>
      </c>
    </row>
    <row r="102" spans="1:10">
      <c r="A102" s="34">
        <v>306316</v>
      </c>
      <c r="B102" s="34" t="s">
        <v>334</v>
      </c>
      <c r="C102" s="34" t="s">
        <v>335</v>
      </c>
      <c r="D102" s="34" t="s">
        <v>76</v>
      </c>
    </row>
    <row r="103" spans="1:10">
      <c r="A103" s="34">
        <v>308005</v>
      </c>
      <c r="B103" s="34" t="s">
        <v>597</v>
      </c>
      <c r="C103" s="34" t="s">
        <v>598</v>
      </c>
      <c r="D103" s="34" t="s">
        <v>76</v>
      </c>
    </row>
    <row r="104" spans="1:10">
      <c r="A104" s="34">
        <v>309100</v>
      </c>
      <c r="B104" s="34" t="s">
        <v>601</v>
      </c>
      <c r="C104" s="34" t="s">
        <v>602</v>
      </c>
      <c r="D104" s="34" t="s">
        <v>76</v>
      </c>
    </row>
    <row r="105" spans="1:10">
      <c r="A105" s="34">
        <v>309509</v>
      </c>
      <c r="B105" s="34" t="s">
        <v>612</v>
      </c>
      <c r="C105" s="34" t="s">
        <v>613</v>
      </c>
      <c r="D105" s="34" t="s">
        <v>76</v>
      </c>
    </row>
    <row r="106" spans="1:10">
      <c r="A106" s="34">
        <v>310516</v>
      </c>
      <c r="B106" s="34" t="s">
        <v>604</v>
      </c>
      <c r="C106" s="34" t="s">
        <v>605</v>
      </c>
      <c r="D106" s="34" t="s">
        <v>76</v>
      </c>
    </row>
    <row r="107" spans="1:10">
      <c r="A107" s="34">
        <v>311000</v>
      </c>
      <c r="B107" s="34" t="s">
        <v>638</v>
      </c>
      <c r="C107" s="34" t="s">
        <v>639</v>
      </c>
      <c r="D107" s="34" t="s">
        <v>76</v>
      </c>
    </row>
    <row r="108" spans="1:10">
      <c r="A108" s="34">
        <v>313010</v>
      </c>
      <c r="B108" s="34" t="s">
        <v>186</v>
      </c>
      <c r="C108" s="34" t="s">
        <v>187</v>
      </c>
      <c r="D108" s="34" t="s">
        <v>76</v>
      </c>
    </row>
    <row r="109" spans="1:10">
      <c r="A109" s="34">
        <v>313023</v>
      </c>
      <c r="B109" s="34" t="s">
        <v>622</v>
      </c>
      <c r="C109" s="34" t="s">
        <v>623</v>
      </c>
      <c r="D109" s="34" t="s">
        <v>76</v>
      </c>
    </row>
    <row r="110" spans="1:10">
      <c r="A110" s="34">
        <v>313510</v>
      </c>
      <c r="B110" s="34" t="s">
        <v>628</v>
      </c>
      <c r="C110" s="34" t="s">
        <v>629</v>
      </c>
      <c r="D110" s="34" t="s">
        <v>76</v>
      </c>
    </row>
    <row r="111" spans="1:10">
      <c r="A111" s="34">
        <v>314006</v>
      </c>
      <c r="B111" s="34" t="s">
        <v>625</v>
      </c>
      <c r="C111" s="34" t="s">
        <v>623</v>
      </c>
      <c r="D111" s="34" t="s">
        <v>76</v>
      </c>
    </row>
    <row r="112" spans="1:10">
      <c r="A112" s="34">
        <v>316751</v>
      </c>
      <c r="B112" s="34" t="s">
        <v>669</v>
      </c>
      <c r="C112" s="34" t="s">
        <v>670</v>
      </c>
      <c r="D112" s="34" t="s">
        <v>76</v>
      </c>
    </row>
    <row r="113" spans="1:10">
      <c r="A113" s="34">
        <v>326202</v>
      </c>
      <c r="B113" s="34" t="s">
        <v>716</v>
      </c>
      <c r="C113" s="34" t="s">
        <v>717</v>
      </c>
      <c r="D113" s="34" t="s">
        <v>76</v>
      </c>
    </row>
    <row r="114" spans="1:10">
      <c r="A114" s="34">
        <v>331015</v>
      </c>
      <c r="B114" s="34" t="s">
        <v>700</v>
      </c>
      <c r="C114" s="34" t="s">
        <v>701</v>
      </c>
      <c r="D114" s="34" t="s">
        <v>76</v>
      </c>
    </row>
    <row r="115" spans="1:10">
      <c r="A115" s="34">
        <v>333503</v>
      </c>
      <c r="B115" s="34" t="s">
        <v>718</v>
      </c>
      <c r="C115" s="34" t="s">
        <v>717</v>
      </c>
      <c r="D115" s="34" t="s">
        <v>76</v>
      </c>
    </row>
    <row r="116" spans="1:10">
      <c r="A116" s="34">
        <v>335533</v>
      </c>
      <c r="B116" s="34" t="s">
        <v>756</v>
      </c>
      <c r="C116" s="34" t="s">
        <v>757</v>
      </c>
      <c r="D116" s="34" t="s">
        <v>76</v>
      </c>
    </row>
    <row r="117" spans="1:10">
      <c r="A117" s="34">
        <v>337525</v>
      </c>
      <c r="B117" s="34" t="s">
        <v>724</v>
      </c>
      <c r="C117" s="34" t="s">
        <v>725</v>
      </c>
      <c r="D117" s="34" t="s">
        <v>76</v>
      </c>
    </row>
    <row r="118" spans="1:10">
      <c r="A118" s="34">
        <v>339007</v>
      </c>
      <c r="B118" s="34" t="s">
        <v>733</v>
      </c>
      <c r="C118" s="34" t="s">
        <v>734</v>
      </c>
      <c r="D118" s="34" t="s">
        <v>76</v>
      </c>
    </row>
    <row r="119" spans="1:10">
      <c r="A119" s="34">
        <v>339733</v>
      </c>
      <c r="B119" s="34" t="s">
        <v>736</v>
      </c>
      <c r="C119" s="34" t="s">
        <v>737</v>
      </c>
      <c r="D119" s="34" t="s">
        <v>76</v>
      </c>
    </row>
    <row r="120" spans="1:10">
      <c r="A120" s="34">
        <v>340015</v>
      </c>
      <c r="B120" s="34" t="s">
        <v>739</v>
      </c>
      <c r="C120" s="34" t="s">
        <v>740</v>
      </c>
      <c r="D120" s="34" t="s">
        <v>76</v>
      </c>
    </row>
    <row r="121" spans="1:10">
      <c r="A121" s="34">
        <v>340017</v>
      </c>
      <c r="B121" s="34" t="s">
        <v>681</v>
      </c>
      <c r="C121" s="34" t="s">
        <v>682</v>
      </c>
      <c r="D121" s="34" t="s">
        <v>76</v>
      </c>
    </row>
    <row r="122" spans="1:10">
      <c r="A122" s="34">
        <v>340100</v>
      </c>
      <c r="B122" s="34" t="s">
        <v>759</v>
      </c>
      <c r="C122" s="34" t="s">
        <v>760</v>
      </c>
      <c r="D122" s="34" t="s">
        <v>76</v>
      </c>
    </row>
    <row r="123" spans="1:10">
      <c r="A123" s="34">
        <v>345008</v>
      </c>
      <c r="B123" s="34" t="s">
        <v>794</v>
      </c>
      <c r="C123" s="34" t="s">
        <v>795</v>
      </c>
      <c r="D123" s="34" t="s">
        <v>76</v>
      </c>
    </row>
    <row r="124" spans="1:10">
      <c r="A124" s="34">
        <v>347750</v>
      </c>
      <c r="B124" s="34" t="s">
        <v>786</v>
      </c>
      <c r="C124" s="34" t="s">
        <v>787</v>
      </c>
      <c r="D124" s="34" t="s">
        <v>76</v>
      </c>
    </row>
    <row r="125" spans="1:10">
      <c r="A125" s="34">
        <v>349526</v>
      </c>
      <c r="B125" s="34" t="s">
        <v>788</v>
      </c>
      <c r="C125" s="34" t="s">
        <v>787</v>
      </c>
      <c r="D125" s="34" t="s">
        <v>76</v>
      </c>
    </row>
    <row r="126" spans="1:10">
      <c r="A126" s="34">
        <v>349527</v>
      </c>
      <c r="B126" s="34" t="s">
        <v>789</v>
      </c>
      <c r="C126" s="34" t="s">
        <v>787</v>
      </c>
      <c r="D126" s="34" t="s">
        <v>76</v>
      </c>
    </row>
    <row r="127" spans="1:10">
      <c r="A127" s="34">
        <v>349529</v>
      </c>
      <c r="B127" s="34" t="s">
        <v>178</v>
      </c>
      <c r="C127" s="34" t="s">
        <v>179</v>
      </c>
      <c r="D127" s="34" t="s">
        <v>76</v>
      </c>
    </row>
    <row r="128" spans="1:10">
      <c r="A128" s="34">
        <v>886512</v>
      </c>
      <c r="B128" s="34" t="s">
        <v>503</v>
      </c>
      <c r="C128" s="34" t="s">
        <v>500</v>
      </c>
      <c r="D128" s="34" t="s">
        <v>71</v>
      </c>
      <c r="E128" s="34">
        <v>1</v>
      </c>
      <c r="F128" s="34">
        <v>1</v>
      </c>
      <c r="G128" s="35">
        <v>0.25</v>
      </c>
      <c r="J128" s="35" t="s">
        <v>835</v>
      </c>
    </row>
    <row r="129" spans="1:10">
      <c r="A129" s="34">
        <v>385000</v>
      </c>
      <c r="B129" s="34" t="s">
        <v>83</v>
      </c>
      <c r="C129" s="34" t="s">
        <v>489</v>
      </c>
      <c r="D129" s="34" t="s">
        <v>205</v>
      </c>
      <c r="E129" s="34">
        <v>1</v>
      </c>
      <c r="F129" s="34">
        <v>1</v>
      </c>
      <c r="G129" s="35">
        <v>0.25</v>
      </c>
      <c r="J129" s="35" t="s">
        <v>835</v>
      </c>
    </row>
    <row r="130" spans="1:10">
      <c r="A130" s="34">
        <v>385001</v>
      </c>
      <c r="B130" s="34" t="s">
        <v>83</v>
      </c>
      <c r="C130" s="34" t="s">
        <v>204</v>
      </c>
      <c r="D130" s="34" t="s">
        <v>205</v>
      </c>
      <c r="E130" s="34">
        <v>1</v>
      </c>
      <c r="F130" s="34">
        <v>1</v>
      </c>
      <c r="G130" s="35">
        <v>0.25</v>
      </c>
      <c r="J130" s="35" t="s">
        <v>835</v>
      </c>
    </row>
    <row r="131" spans="1:10">
      <c r="A131" s="34">
        <v>400510</v>
      </c>
      <c r="B131" s="34" t="s">
        <v>78</v>
      </c>
      <c r="C131" s="34" t="s">
        <v>79</v>
      </c>
      <c r="D131" s="34" t="s">
        <v>80</v>
      </c>
    </row>
    <row r="132" spans="1:10">
      <c r="A132" s="34">
        <v>406505</v>
      </c>
      <c r="B132" s="34" t="s">
        <v>346</v>
      </c>
      <c r="C132" s="34" t="s">
        <v>347</v>
      </c>
      <c r="D132" s="34" t="s">
        <v>80</v>
      </c>
    </row>
    <row r="133" spans="1:10">
      <c r="A133" s="34">
        <v>410020</v>
      </c>
      <c r="B133" s="34" t="s">
        <v>472</v>
      </c>
      <c r="C133" s="34" t="s">
        <v>473</v>
      </c>
      <c r="D133" s="34" t="s">
        <v>80</v>
      </c>
    </row>
    <row r="134" spans="1:10">
      <c r="A134" s="34">
        <v>413550</v>
      </c>
      <c r="B134" s="34" t="s">
        <v>590</v>
      </c>
      <c r="C134" s="34" t="s">
        <v>591</v>
      </c>
      <c r="D134" s="34" t="s">
        <v>80</v>
      </c>
    </row>
    <row r="135" spans="1:10">
      <c r="A135" s="34">
        <v>413551</v>
      </c>
      <c r="B135" s="34" t="s">
        <v>593</v>
      </c>
      <c r="C135" s="34" t="s">
        <v>591</v>
      </c>
      <c r="D135" s="34" t="s">
        <v>80</v>
      </c>
    </row>
    <row r="136" spans="1:10">
      <c r="A136" s="34">
        <v>416010</v>
      </c>
      <c r="B136" s="34" t="s">
        <v>666</v>
      </c>
      <c r="C136" s="34" t="s">
        <v>667</v>
      </c>
      <c r="D136" s="34" t="s">
        <v>80</v>
      </c>
    </row>
    <row r="137" spans="1:10">
      <c r="A137" s="34">
        <v>417205</v>
      </c>
      <c r="B137" s="34" t="s">
        <v>707</v>
      </c>
      <c r="C137" s="34" t="s">
        <v>708</v>
      </c>
      <c r="D137" s="34" t="s">
        <v>80</v>
      </c>
    </row>
    <row r="138" spans="1:10">
      <c r="A138" s="34">
        <v>418515</v>
      </c>
      <c r="B138" s="34" t="s">
        <v>746</v>
      </c>
      <c r="C138" s="34" t="s">
        <v>747</v>
      </c>
      <c r="D138" s="34" t="s">
        <v>80</v>
      </c>
    </row>
    <row r="139" spans="1:10">
      <c r="A139" s="34">
        <v>420002</v>
      </c>
      <c r="B139" s="34" t="s">
        <v>816</v>
      </c>
      <c r="C139" s="34" t="s">
        <v>817</v>
      </c>
      <c r="D139" s="34" t="s">
        <v>80</v>
      </c>
    </row>
    <row r="140" spans="1:10">
      <c r="A140" s="34">
        <v>466466</v>
      </c>
      <c r="B140" s="34" t="s">
        <v>676</v>
      </c>
      <c r="C140" s="34" t="s">
        <v>677</v>
      </c>
      <c r="D140" s="34" t="s">
        <v>128</v>
      </c>
    </row>
    <row r="141" spans="1:10">
      <c r="A141" s="34">
        <v>467005</v>
      </c>
      <c r="B141" s="34" t="s">
        <v>126</v>
      </c>
      <c r="C141" s="34" t="s">
        <v>127</v>
      </c>
      <c r="D141" s="34" t="s">
        <v>128</v>
      </c>
      <c r="J141" s="35" t="s">
        <v>834</v>
      </c>
    </row>
    <row r="142" spans="1:10">
      <c r="A142" s="34">
        <v>470012</v>
      </c>
      <c r="B142" s="34" t="s">
        <v>198</v>
      </c>
      <c r="C142" s="34" t="s">
        <v>199</v>
      </c>
      <c r="D142" s="34" t="s">
        <v>128</v>
      </c>
    </row>
    <row r="143" spans="1:10">
      <c r="A143" s="34">
        <v>476505</v>
      </c>
      <c r="B143" s="34" t="s">
        <v>395</v>
      </c>
      <c r="C143" s="34" t="s">
        <v>396</v>
      </c>
      <c r="D143" s="34" t="s">
        <v>128</v>
      </c>
      <c r="J143" s="35" t="s">
        <v>834</v>
      </c>
    </row>
    <row r="144" spans="1:10">
      <c r="A144" s="34">
        <v>476510</v>
      </c>
      <c r="B144" s="34" t="s">
        <v>399</v>
      </c>
      <c r="C144" s="34" t="s">
        <v>400</v>
      </c>
      <c r="D144" s="34" t="s">
        <v>128</v>
      </c>
      <c r="J144" s="35" t="s">
        <v>834</v>
      </c>
    </row>
    <row r="145" spans="1:10">
      <c r="A145" s="34">
        <v>476512</v>
      </c>
      <c r="B145" s="34" t="s">
        <v>398</v>
      </c>
      <c r="C145" s="34" t="s">
        <v>396</v>
      </c>
      <c r="D145" s="34" t="s">
        <v>128</v>
      </c>
    </row>
    <row r="146" spans="1:10">
      <c r="A146" s="34">
        <v>477005</v>
      </c>
      <c r="B146" s="34" t="s">
        <v>404</v>
      </c>
      <c r="C146" s="34" t="s">
        <v>405</v>
      </c>
      <c r="D146" s="34" t="s">
        <v>128</v>
      </c>
      <c r="J146" s="35" t="s">
        <v>834</v>
      </c>
    </row>
    <row r="147" spans="1:10">
      <c r="A147" s="34">
        <v>480505</v>
      </c>
      <c r="B147" s="34" t="s">
        <v>447</v>
      </c>
      <c r="C147" s="34" t="s">
        <v>448</v>
      </c>
      <c r="D147" s="34" t="s">
        <v>128</v>
      </c>
    </row>
    <row r="148" spans="1:10">
      <c r="A148" s="34">
        <v>481005</v>
      </c>
      <c r="B148" s="34" t="s">
        <v>450</v>
      </c>
      <c r="C148" s="34" t="s">
        <v>451</v>
      </c>
      <c r="D148" s="34" t="s">
        <v>128</v>
      </c>
      <c r="J148" s="35" t="s">
        <v>834</v>
      </c>
    </row>
    <row r="149" spans="1:10">
      <c r="A149" s="34">
        <v>481010</v>
      </c>
      <c r="B149" s="34" t="s">
        <v>452</v>
      </c>
      <c r="C149" s="34" t="s">
        <v>451</v>
      </c>
      <c r="D149" s="34" t="s">
        <v>128</v>
      </c>
      <c r="J149" s="35" t="s">
        <v>834</v>
      </c>
    </row>
    <row r="150" spans="1:10">
      <c r="A150" s="34">
        <v>490150</v>
      </c>
      <c r="B150" s="34" t="s">
        <v>609</v>
      </c>
      <c r="C150" s="34" t="s">
        <v>610</v>
      </c>
      <c r="D150" s="34" t="s">
        <v>128</v>
      </c>
    </row>
    <row r="151" spans="1:10">
      <c r="A151" s="34">
        <v>499502</v>
      </c>
      <c r="B151" s="34" t="s">
        <v>769</v>
      </c>
      <c r="C151" s="34" t="s">
        <v>770</v>
      </c>
      <c r="D151" s="34" t="s">
        <v>128</v>
      </c>
    </row>
    <row r="152" spans="1:10">
      <c r="A152" s="34">
        <v>516004</v>
      </c>
      <c r="B152" s="34" t="s">
        <v>147</v>
      </c>
      <c r="C152" s="34" t="s">
        <v>189</v>
      </c>
      <c r="D152" s="34" t="s">
        <v>190</v>
      </c>
    </row>
    <row r="153" spans="1:10">
      <c r="A153" s="34">
        <v>517010</v>
      </c>
      <c r="B153" s="34" t="s">
        <v>422</v>
      </c>
      <c r="C153" s="34" t="s">
        <v>423</v>
      </c>
      <c r="D153" s="34" t="s">
        <v>190</v>
      </c>
      <c r="J153" s="35" t="s">
        <v>834</v>
      </c>
    </row>
    <row r="154" spans="1:10">
      <c r="A154" s="34">
        <v>517813</v>
      </c>
      <c r="B154" s="34" t="s">
        <v>512</v>
      </c>
      <c r="C154" s="34" t="s">
        <v>513</v>
      </c>
      <c r="D154" s="34" t="s">
        <v>190</v>
      </c>
    </row>
    <row r="155" spans="1:10">
      <c r="A155" s="34">
        <v>886517</v>
      </c>
      <c r="B155" s="34" t="s">
        <v>504</v>
      </c>
      <c r="C155" s="34" t="s">
        <v>500</v>
      </c>
      <c r="D155" s="34" t="s">
        <v>71</v>
      </c>
      <c r="E155" s="34">
        <v>1</v>
      </c>
      <c r="F155" s="34">
        <v>1</v>
      </c>
      <c r="G155" s="35">
        <v>0.25</v>
      </c>
      <c r="J155" s="35" t="s">
        <v>835</v>
      </c>
    </row>
    <row r="156" spans="1:10">
      <c r="A156" s="34">
        <v>518085</v>
      </c>
      <c r="B156" s="34" t="s">
        <v>585</v>
      </c>
      <c r="C156" s="34" t="s">
        <v>586</v>
      </c>
      <c r="D156" s="34" t="s">
        <v>190</v>
      </c>
    </row>
    <row r="157" spans="1:10">
      <c r="A157" s="34">
        <v>518505</v>
      </c>
      <c r="B157" s="34" t="s">
        <v>640</v>
      </c>
      <c r="C157" s="34" t="s">
        <v>641</v>
      </c>
      <c r="D157" s="34" t="s">
        <v>190</v>
      </c>
      <c r="J157" s="35" t="s">
        <v>834</v>
      </c>
    </row>
    <row r="158" spans="1:10">
      <c r="A158" s="34">
        <v>518510</v>
      </c>
      <c r="B158" s="34" t="s">
        <v>642</v>
      </c>
      <c r="C158" s="34" t="s">
        <v>641</v>
      </c>
      <c r="D158" s="34" t="s">
        <v>190</v>
      </c>
    </row>
    <row r="159" spans="1:10">
      <c r="A159" s="34">
        <v>536304</v>
      </c>
      <c r="B159" s="34" t="s">
        <v>251</v>
      </c>
      <c r="C159" s="34" t="s">
        <v>252</v>
      </c>
      <c r="D159" s="34" t="s">
        <v>253</v>
      </c>
    </row>
    <row r="160" spans="1:10">
      <c r="A160" s="34">
        <v>538013</v>
      </c>
      <c r="B160" s="34" t="s">
        <v>83</v>
      </c>
      <c r="C160" s="34" t="s">
        <v>494</v>
      </c>
      <c r="D160" s="34" t="s">
        <v>253</v>
      </c>
      <c r="E160" s="34">
        <v>1</v>
      </c>
      <c r="F160" s="34">
        <v>1</v>
      </c>
      <c r="G160" s="35">
        <v>0.25</v>
      </c>
      <c r="J160" s="35" t="s">
        <v>835</v>
      </c>
    </row>
    <row r="161" spans="1:10">
      <c r="A161" s="34">
        <v>886520</v>
      </c>
      <c r="B161" s="34" t="s">
        <v>505</v>
      </c>
      <c r="C161" s="34" t="s">
        <v>500</v>
      </c>
      <c r="D161" s="34" t="s">
        <v>71</v>
      </c>
      <c r="E161" s="34">
        <v>1</v>
      </c>
      <c r="F161" s="34">
        <v>1</v>
      </c>
      <c r="G161" s="35">
        <v>0.25</v>
      </c>
      <c r="J161" s="35" t="s">
        <v>835</v>
      </c>
    </row>
    <row r="162" spans="1:10">
      <c r="A162" s="34">
        <v>555225</v>
      </c>
      <c r="B162" s="34" t="s">
        <v>582</v>
      </c>
      <c r="C162" s="34" t="s">
        <v>583</v>
      </c>
      <c r="D162" s="34" t="s">
        <v>136</v>
      </c>
    </row>
    <row r="163" spans="1:10">
      <c r="A163" s="34">
        <v>558070</v>
      </c>
      <c r="B163" s="34" t="s">
        <v>134</v>
      </c>
      <c r="C163" s="34" t="s">
        <v>135</v>
      </c>
      <c r="D163" s="34" t="s">
        <v>136</v>
      </c>
    </row>
    <row r="164" spans="1:10">
      <c r="A164" s="34">
        <v>562665</v>
      </c>
      <c r="B164" s="34" t="s">
        <v>195</v>
      </c>
      <c r="C164" s="34" t="s">
        <v>196</v>
      </c>
      <c r="D164" s="34" t="s">
        <v>136</v>
      </c>
    </row>
    <row r="165" spans="1:10">
      <c r="A165" s="34">
        <v>562865</v>
      </c>
      <c r="B165" s="34" t="s">
        <v>201</v>
      </c>
      <c r="C165" s="34" t="s">
        <v>202</v>
      </c>
      <c r="D165" s="34" t="s">
        <v>136</v>
      </c>
    </row>
    <row r="166" spans="1:10">
      <c r="A166" s="34">
        <v>565545</v>
      </c>
      <c r="B166" s="34" t="s">
        <v>293</v>
      </c>
      <c r="C166" s="34" t="s">
        <v>294</v>
      </c>
      <c r="D166" s="34" t="s">
        <v>136</v>
      </c>
    </row>
    <row r="167" spans="1:10">
      <c r="A167" s="34">
        <v>565803</v>
      </c>
      <c r="B167" s="34" t="s">
        <v>310</v>
      </c>
      <c r="C167" s="34" t="s">
        <v>311</v>
      </c>
      <c r="D167" s="34" t="s">
        <v>136</v>
      </c>
    </row>
    <row r="168" spans="1:10">
      <c r="A168" s="34">
        <v>565805</v>
      </c>
      <c r="B168" s="34" t="s">
        <v>313</v>
      </c>
      <c r="C168" s="34" t="s">
        <v>311</v>
      </c>
      <c r="D168" s="34" t="s">
        <v>136</v>
      </c>
    </row>
    <row r="169" spans="1:10">
      <c r="A169" s="34">
        <v>565806</v>
      </c>
      <c r="B169" s="34" t="s">
        <v>436</v>
      </c>
      <c r="C169" s="34" t="s">
        <v>437</v>
      </c>
      <c r="D169" s="34" t="s">
        <v>136</v>
      </c>
    </row>
    <row r="170" spans="1:10">
      <c r="A170" s="34">
        <v>565807</v>
      </c>
      <c r="B170" s="34" t="s">
        <v>300</v>
      </c>
      <c r="C170" s="34" t="s">
        <v>301</v>
      </c>
      <c r="D170" s="34" t="s">
        <v>136</v>
      </c>
    </row>
    <row r="171" spans="1:10">
      <c r="A171" s="34">
        <v>566501</v>
      </c>
      <c r="B171" s="34" t="s">
        <v>303</v>
      </c>
      <c r="C171" s="34" t="s">
        <v>301</v>
      </c>
      <c r="D171" s="34" t="s">
        <v>136</v>
      </c>
    </row>
    <row r="172" spans="1:10">
      <c r="A172" s="34">
        <v>566505</v>
      </c>
      <c r="B172" s="34" t="s">
        <v>772</v>
      </c>
      <c r="C172" s="34" t="s">
        <v>773</v>
      </c>
      <c r="D172" s="34" t="s">
        <v>136</v>
      </c>
    </row>
    <row r="173" spans="1:10">
      <c r="A173" s="34">
        <v>568010</v>
      </c>
      <c r="B173" s="34" t="s">
        <v>328</v>
      </c>
      <c r="C173" s="34" t="s">
        <v>329</v>
      </c>
      <c r="D173" s="34" t="s">
        <v>136</v>
      </c>
    </row>
    <row r="174" spans="1:10">
      <c r="A174" s="34">
        <v>568016</v>
      </c>
      <c r="B174" s="34" t="s">
        <v>341</v>
      </c>
      <c r="C174" s="34" t="s">
        <v>342</v>
      </c>
      <c r="D174" s="34" t="s">
        <v>136</v>
      </c>
    </row>
    <row r="175" spans="1:10">
      <c r="A175" s="34">
        <v>568017</v>
      </c>
      <c r="B175" s="34" t="s">
        <v>338</v>
      </c>
      <c r="C175" s="34" t="s">
        <v>339</v>
      </c>
      <c r="D175" s="34" t="s">
        <v>136</v>
      </c>
    </row>
    <row r="176" spans="1:10">
      <c r="A176" s="34">
        <v>570240</v>
      </c>
      <c r="B176" s="34" t="s">
        <v>431</v>
      </c>
      <c r="C176" s="34" t="s">
        <v>432</v>
      </c>
      <c r="D176" s="34" t="s">
        <v>136</v>
      </c>
    </row>
    <row r="177" spans="1:10">
      <c r="A177" s="34">
        <v>570440</v>
      </c>
      <c r="B177" s="34" t="s">
        <v>379</v>
      </c>
      <c r="C177" s="34" t="s">
        <v>380</v>
      </c>
      <c r="D177" s="34" t="s">
        <v>136</v>
      </c>
    </row>
    <row r="178" spans="1:10">
      <c r="A178" s="34">
        <v>570505</v>
      </c>
      <c r="B178" s="34" t="s">
        <v>382</v>
      </c>
      <c r="C178" s="34" t="s">
        <v>383</v>
      </c>
      <c r="D178" s="34" t="s">
        <v>136</v>
      </c>
    </row>
    <row r="179" spans="1:10">
      <c r="A179" s="34">
        <v>570507</v>
      </c>
      <c r="B179" s="34" t="s">
        <v>384</v>
      </c>
      <c r="C179" s="34" t="s">
        <v>383</v>
      </c>
      <c r="D179" s="34" t="s">
        <v>136</v>
      </c>
    </row>
    <row r="180" spans="1:10">
      <c r="A180" s="34">
        <v>570620</v>
      </c>
      <c r="B180" s="34" t="s">
        <v>385</v>
      </c>
      <c r="C180" s="34" t="s">
        <v>386</v>
      </c>
      <c r="D180" s="34" t="s">
        <v>136</v>
      </c>
    </row>
    <row r="181" spans="1:10">
      <c r="A181" s="34">
        <v>571536</v>
      </c>
      <c r="B181" s="34" t="s">
        <v>388</v>
      </c>
      <c r="C181" s="34" t="s">
        <v>389</v>
      </c>
      <c r="D181" s="34" t="s">
        <v>136</v>
      </c>
    </row>
    <row r="182" spans="1:10">
      <c r="A182" s="34">
        <v>576503</v>
      </c>
      <c r="B182" s="34" t="s">
        <v>195</v>
      </c>
      <c r="C182" s="34" t="s">
        <v>454</v>
      </c>
      <c r="D182" s="34" t="s">
        <v>136</v>
      </c>
    </row>
    <row r="183" spans="1:10">
      <c r="A183" s="34">
        <v>577277</v>
      </c>
      <c r="B183" s="34" t="s">
        <v>763</v>
      </c>
      <c r="C183" s="34" t="s">
        <v>764</v>
      </c>
      <c r="D183" s="34" t="s">
        <v>136</v>
      </c>
    </row>
    <row r="184" spans="1:10">
      <c r="A184" s="34">
        <v>578010</v>
      </c>
      <c r="B184" s="34" t="s">
        <v>467</v>
      </c>
      <c r="C184" s="34" t="s">
        <v>465</v>
      </c>
      <c r="D184" s="34" t="s">
        <v>136</v>
      </c>
    </row>
    <row r="185" spans="1:10">
      <c r="A185" s="34">
        <v>582003</v>
      </c>
      <c r="B185" s="34" t="s">
        <v>195</v>
      </c>
      <c r="C185" s="34" t="s">
        <v>508</v>
      </c>
      <c r="D185" s="34" t="s">
        <v>136</v>
      </c>
    </row>
    <row r="186" spans="1:10">
      <c r="A186" s="34">
        <v>587875</v>
      </c>
      <c r="B186" s="34" t="s">
        <v>579</v>
      </c>
      <c r="C186" s="34" t="s">
        <v>580</v>
      </c>
      <c r="D186" s="34" t="s">
        <v>136</v>
      </c>
    </row>
    <row r="187" spans="1:10">
      <c r="A187" s="34">
        <v>589209</v>
      </c>
      <c r="B187" s="34" t="s">
        <v>594</v>
      </c>
      <c r="C187" s="34" t="s">
        <v>595</v>
      </c>
      <c r="D187" s="34" t="s">
        <v>136</v>
      </c>
    </row>
    <row r="188" spans="1:10">
      <c r="A188" s="34">
        <v>590610</v>
      </c>
      <c r="B188" s="34" t="s">
        <v>618</v>
      </c>
      <c r="C188" s="34" t="s">
        <v>619</v>
      </c>
      <c r="D188" s="34" t="s">
        <v>136</v>
      </c>
    </row>
    <row r="189" spans="1:10">
      <c r="A189" s="34">
        <v>593005</v>
      </c>
      <c r="B189" s="34" t="s">
        <v>655</v>
      </c>
      <c r="C189" s="34" t="s">
        <v>656</v>
      </c>
      <c r="D189" s="34" t="s">
        <v>136</v>
      </c>
    </row>
    <row r="190" spans="1:10">
      <c r="A190" s="34">
        <v>596010</v>
      </c>
      <c r="B190" s="34" t="s">
        <v>672</v>
      </c>
      <c r="C190" s="34" t="s">
        <v>673</v>
      </c>
      <c r="D190" s="34" t="s">
        <v>136</v>
      </c>
    </row>
    <row r="191" spans="1:10">
      <c r="A191" s="34">
        <v>600505</v>
      </c>
      <c r="B191" s="34" t="s">
        <v>683</v>
      </c>
      <c r="C191" s="34" t="s">
        <v>684</v>
      </c>
      <c r="D191" s="34" t="s">
        <v>136</v>
      </c>
    </row>
    <row r="192" spans="1:10">
      <c r="A192" s="34">
        <v>886506</v>
      </c>
      <c r="B192" s="34" t="s">
        <v>499</v>
      </c>
      <c r="C192" s="34" t="s">
        <v>500</v>
      </c>
      <c r="D192" s="34" t="s">
        <v>71</v>
      </c>
      <c r="E192" s="34">
        <v>1</v>
      </c>
      <c r="F192" s="34">
        <v>1</v>
      </c>
      <c r="G192" s="35">
        <v>0.25</v>
      </c>
      <c r="J192" s="35" t="s">
        <v>835</v>
      </c>
    </row>
    <row r="193" spans="1:10">
      <c r="A193" s="34">
        <v>601006</v>
      </c>
      <c r="B193" s="34" t="s">
        <v>796</v>
      </c>
      <c r="C193" s="34" t="s">
        <v>797</v>
      </c>
      <c r="D193" s="34" t="s">
        <v>136</v>
      </c>
    </row>
    <row r="194" spans="1:10">
      <c r="A194" s="34">
        <v>602005</v>
      </c>
      <c r="B194" s="34" t="s">
        <v>697</v>
      </c>
      <c r="C194" s="34" t="s">
        <v>698</v>
      </c>
      <c r="D194" s="34" t="s">
        <v>136</v>
      </c>
    </row>
    <row r="195" spans="1:10">
      <c r="A195" s="34">
        <v>605515</v>
      </c>
      <c r="B195" s="34" t="s">
        <v>748</v>
      </c>
      <c r="C195" s="34" t="s">
        <v>749</v>
      </c>
      <c r="D195" s="34" t="s">
        <v>136</v>
      </c>
    </row>
    <row r="196" spans="1:10">
      <c r="A196" s="34">
        <v>607540</v>
      </c>
      <c r="B196" s="34" t="s">
        <v>343</v>
      </c>
      <c r="C196" s="34" t="s">
        <v>342</v>
      </c>
      <c r="D196" s="34" t="s">
        <v>136</v>
      </c>
    </row>
    <row r="197" spans="1:10">
      <c r="A197" s="34">
        <v>607541</v>
      </c>
      <c r="B197" s="34" t="s">
        <v>810</v>
      </c>
      <c r="C197" s="34" t="s">
        <v>811</v>
      </c>
      <c r="D197" s="34" t="s">
        <v>136</v>
      </c>
    </row>
    <row r="198" spans="1:10">
      <c r="A198" s="34">
        <v>611030</v>
      </c>
      <c r="B198" s="34" t="s">
        <v>812</v>
      </c>
      <c r="C198" s="34" t="s">
        <v>811</v>
      </c>
      <c r="D198" s="34" t="s">
        <v>136</v>
      </c>
    </row>
    <row r="199" spans="1:10">
      <c r="A199" s="34">
        <v>631020</v>
      </c>
      <c r="B199" s="34" t="s">
        <v>83</v>
      </c>
      <c r="C199" s="34" t="s">
        <v>84</v>
      </c>
      <c r="D199" s="34" t="s">
        <v>85</v>
      </c>
      <c r="E199" s="34">
        <v>1</v>
      </c>
      <c r="F199" s="34">
        <v>1</v>
      </c>
      <c r="G199" s="35">
        <v>0.25</v>
      </c>
      <c r="J199" s="35" t="s">
        <v>835</v>
      </c>
    </row>
    <row r="200" spans="1:10">
      <c r="A200" s="34">
        <v>676592</v>
      </c>
      <c r="B200" s="34" t="s">
        <v>130</v>
      </c>
      <c r="C200" s="34" t="s">
        <v>131</v>
      </c>
      <c r="D200" s="34" t="s">
        <v>132</v>
      </c>
    </row>
    <row r="201" spans="1:10">
      <c r="A201" s="34">
        <v>677503</v>
      </c>
      <c r="B201" s="34" t="s">
        <v>141</v>
      </c>
      <c r="C201" s="34" t="s">
        <v>142</v>
      </c>
      <c r="D201" s="34" t="s">
        <v>132</v>
      </c>
    </row>
    <row r="202" spans="1:10">
      <c r="A202" s="34">
        <v>682505</v>
      </c>
      <c r="B202" s="34" t="s">
        <v>184</v>
      </c>
      <c r="C202" s="34" t="s">
        <v>185</v>
      </c>
      <c r="D202" s="34" t="s">
        <v>132</v>
      </c>
    </row>
    <row r="203" spans="1:10">
      <c r="A203" s="34">
        <v>689560</v>
      </c>
      <c r="B203" s="34" t="s">
        <v>209</v>
      </c>
      <c r="C203" s="34" t="s">
        <v>210</v>
      </c>
      <c r="D203" s="34" t="s">
        <v>132</v>
      </c>
    </row>
    <row r="204" spans="1:10">
      <c r="A204" s="34">
        <v>702530</v>
      </c>
      <c r="B204" s="34" t="s">
        <v>307</v>
      </c>
      <c r="C204" s="34" t="s">
        <v>308</v>
      </c>
      <c r="D204" s="34" t="s">
        <v>132</v>
      </c>
    </row>
    <row r="205" spans="1:10">
      <c r="A205" s="34">
        <v>710530</v>
      </c>
      <c r="B205" s="34" t="s">
        <v>401</v>
      </c>
      <c r="C205" s="34" t="s">
        <v>402</v>
      </c>
      <c r="D205" s="34" t="s">
        <v>132</v>
      </c>
    </row>
    <row r="206" spans="1:10">
      <c r="A206" s="34">
        <v>712575</v>
      </c>
      <c r="B206" s="34" t="s">
        <v>416</v>
      </c>
      <c r="C206" s="34" t="s">
        <v>417</v>
      </c>
      <c r="D206" s="34" t="s">
        <v>132</v>
      </c>
    </row>
    <row r="207" spans="1:10">
      <c r="A207" s="34">
        <v>720600</v>
      </c>
      <c r="B207" s="34" t="s">
        <v>468</v>
      </c>
      <c r="C207" s="34" t="s">
        <v>469</v>
      </c>
      <c r="D207" s="34" t="s">
        <v>132</v>
      </c>
    </row>
    <row r="208" spans="1:10">
      <c r="A208" s="34">
        <v>721180</v>
      </c>
      <c r="B208" s="34" t="s">
        <v>471</v>
      </c>
      <c r="C208" s="34" t="s">
        <v>469</v>
      </c>
      <c r="D208" s="34" t="s">
        <v>132</v>
      </c>
    </row>
    <row r="209" spans="1:10">
      <c r="A209" s="34">
        <v>729020</v>
      </c>
      <c r="B209" s="34" t="s">
        <v>518</v>
      </c>
      <c r="C209" s="34" t="s">
        <v>519</v>
      </c>
      <c r="D209" s="34" t="s">
        <v>132</v>
      </c>
    </row>
    <row r="210" spans="1:10">
      <c r="A210" s="34">
        <v>731205</v>
      </c>
      <c r="B210" s="34" t="s">
        <v>270</v>
      </c>
      <c r="C210" s="34" t="s">
        <v>271</v>
      </c>
      <c r="D210" s="34" t="s">
        <v>132</v>
      </c>
    </row>
    <row r="211" spans="1:10">
      <c r="A211" s="34">
        <v>735030</v>
      </c>
      <c r="B211" s="34" t="s">
        <v>599</v>
      </c>
      <c r="C211" s="34" t="s">
        <v>600</v>
      </c>
      <c r="D211" s="34" t="s">
        <v>132</v>
      </c>
    </row>
    <row r="212" spans="1:10">
      <c r="A212" s="34">
        <v>754585</v>
      </c>
      <c r="B212" s="34" t="s">
        <v>710</v>
      </c>
      <c r="C212" s="34" t="s">
        <v>711</v>
      </c>
      <c r="D212" s="34" t="s">
        <v>132</v>
      </c>
    </row>
    <row r="213" spans="1:10">
      <c r="A213" s="34">
        <v>786225</v>
      </c>
      <c r="B213" s="34" t="s">
        <v>456</v>
      </c>
      <c r="C213" s="34" t="s">
        <v>454</v>
      </c>
      <c r="D213" s="34" t="s">
        <v>168</v>
      </c>
    </row>
    <row r="214" spans="1:10">
      <c r="A214" s="34">
        <v>787005</v>
      </c>
      <c r="B214" s="34" t="s">
        <v>166</v>
      </c>
      <c r="C214" s="34" t="s">
        <v>167</v>
      </c>
      <c r="D214" s="34" t="s">
        <v>168</v>
      </c>
      <c r="J214" s="35" t="s">
        <v>834</v>
      </c>
    </row>
    <row r="215" spans="1:10">
      <c r="A215" s="34">
        <v>787010</v>
      </c>
      <c r="B215" s="34" t="s">
        <v>170</v>
      </c>
      <c r="C215" s="34" t="s">
        <v>167</v>
      </c>
      <c r="D215" s="34" t="s">
        <v>168</v>
      </c>
    </row>
    <row r="216" spans="1:10">
      <c r="A216" s="34">
        <v>787097</v>
      </c>
      <c r="B216" s="34" t="s">
        <v>171</v>
      </c>
      <c r="C216" s="34" t="s">
        <v>167</v>
      </c>
      <c r="D216" s="34" t="s">
        <v>168</v>
      </c>
    </row>
    <row r="217" spans="1:10">
      <c r="A217" s="34">
        <v>788008</v>
      </c>
      <c r="B217" s="34" t="s">
        <v>228</v>
      </c>
      <c r="C217" s="34" t="s">
        <v>229</v>
      </c>
      <c r="D217" s="34" t="s">
        <v>168</v>
      </c>
    </row>
    <row r="218" spans="1:10">
      <c r="A218" s="34">
        <v>788020</v>
      </c>
      <c r="B218" s="34" t="s">
        <v>231</v>
      </c>
      <c r="C218" s="34" t="s">
        <v>229</v>
      </c>
      <c r="D218" s="34" t="s">
        <v>168</v>
      </c>
    </row>
    <row r="219" spans="1:10">
      <c r="A219" s="34">
        <v>789505</v>
      </c>
      <c r="B219" s="34" t="s">
        <v>314</v>
      </c>
      <c r="C219" s="34" t="s">
        <v>315</v>
      </c>
      <c r="D219" s="34" t="s">
        <v>168</v>
      </c>
    </row>
    <row r="220" spans="1:10">
      <c r="A220" s="34">
        <v>790990</v>
      </c>
      <c r="B220" s="34" t="s">
        <v>407</v>
      </c>
      <c r="C220" s="34" t="s">
        <v>408</v>
      </c>
      <c r="D220" s="34" t="s">
        <v>168</v>
      </c>
    </row>
    <row r="221" spans="1:10">
      <c r="A221" s="34">
        <v>791730</v>
      </c>
      <c r="B221" s="34" t="s">
        <v>444</v>
      </c>
      <c r="C221" s="34" t="s">
        <v>445</v>
      </c>
      <c r="D221" s="34" t="s">
        <v>168</v>
      </c>
    </row>
    <row r="222" spans="1:10">
      <c r="A222" s="34">
        <v>792025</v>
      </c>
      <c r="B222" s="34" t="s">
        <v>458</v>
      </c>
      <c r="C222" s="34" t="s">
        <v>454</v>
      </c>
      <c r="D222" s="34" t="s">
        <v>168</v>
      </c>
    </row>
    <row r="223" spans="1:10">
      <c r="A223" s="34">
        <v>793960</v>
      </c>
      <c r="B223" s="34" t="s">
        <v>536</v>
      </c>
      <c r="C223" s="34" t="s">
        <v>537</v>
      </c>
      <c r="D223" s="34" t="s">
        <v>168</v>
      </c>
    </row>
    <row r="224" spans="1:10">
      <c r="A224" s="34">
        <v>793961</v>
      </c>
      <c r="B224" s="34" t="s">
        <v>539</v>
      </c>
      <c r="C224" s="34" t="s">
        <v>537</v>
      </c>
      <c r="D224" s="34" t="s">
        <v>168</v>
      </c>
    </row>
    <row r="225" spans="1:10">
      <c r="A225" s="34">
        <v>793962</v>
      </c>
      <c r="B225" s="34" t="s">
        <v>540</v>
      </c>
      <c r="C225" s="34" t="s">
        <v>537</v>
      </c>
      <c r="D225" s="34" t="s">
        <v>168</v>
      </c>
    </row>
    <row r="226" spans="1:10">
      <c r="A226" s="34">
        <v>794205</v>
      </c>
      <c r="B226" s="34" t="s">
        <v>524</v>
      </c>
      <c r="C226" s="34" t="s">
        <v>525</v>
      </c>
      <c r="D226" s="34" t="s">
        <v>168</v>
      </c>
    </row>
    <row r="227" spans="1:10">
      <c r="A227" s="34">
        <v>794505</v>
      </c>
      <c r="B227" s="34" t="s">
        <v>542</v>
      </c>
      <c r="C227" s="34" t="s">
        <v>537</v>
      </c>
      <c r="D227" s="34" t="s">
        <v>168</v>
      </c>
    </row>
    <row r="228" spans="1:10">
      <c r="A228" s="34">
        <v>794540</v>
      </c>
      <c r="B228" s="34" t="s">
        <v>544</v>
      </c>
      <c r="C228" s="34" t="s">
        <v>537</v>
      </c>
      <c r="D228" s="34" t="s">
        <v>168</v>
      </c>
    </row>
    <row r="229" spans="1:10">
      <c r="A229" s="34">
        <v>794550</v>
      </c>
      <c r="B229" s="34" t="s">
        <v>546</v>
      </c>
      <c r="C229" s="34" t="s">
        <v>537</v>
      </c>
      <c r="D229" s="34" t="s">
        <v>168</v>
      </c>
    </row>
    <row r="230" spans="1:10">
      <c r="A230" s="34">
        <v>794553</v>
      </c>
      <c r="B230" s="34" t="s">
        <v>548</v>
      </c>
      <c r="C230" s="34" t="s">
        <v>537</v>
      </c>
      <c r="D230" s="34" t="s">
        <v>168</v>
      </c>
    </row>
    <row r="231" spans="1:10">
      <c r="A231" s="34">
        <v>794555</v>
      </c>
      <c r="B231" s="34" t="s">
        <v>550</v>
      </c>
      <c r="C231" s="34" t="s">
        <v>537</v>
      </c>
      <c r="D231" s="34" t="s">
        <v>168</v>
      </c>
    </row>
    <row r="232" spans="1:10">
      <c r="A232" s="34">
        <v>794560</v>
      </c>
      <c r="B232" s="34" t="s">
        <v>552</v>
      </c>
      <c r="C232" s="34" t="s">
        <v>537</v>
      </c>
      <c r="D232" s="34" t="s">
        <v>168</v>
      </c>
    </row>
    <row r="233" spans="1:10">
      <c r="A233" s="34">
        <v>794598</v>
      </c>
      <c r="B233" s="34" t="s">
        <v>554</v>
      </c>
      <c r="C233" s="34" t="s">
        <v>537</v>
      </c>
      <c r="D233" s="34" t="s">
        <v>168</v>
      </c>
    </row>
    <row r="234" spans="1:10">
      <c r="A234" s="34">
        <v>795005</v>
      </c>
      <c r="B234" s="34" t="s">
        <v>567</v>
      </c>
      <c r="C234" s="34" t="s">
        <v>568</v>
      </c>
      <c r="D234" s="34" t="s">
        <v>168</v>
      </c>
    </row>
    <row r="235" spans="1:10">
      <c r="A235" s="34">
        <v>795007</v>
      </c>
      <c r="B235" s="34" t="s">
        <v>555</v>
      </c>
      <c r="C235" s="34" t="s">
        <v>537</v>
      </c>
      <c r="D235" s="34" t="s">
        <v>168</v>
      </c>
    </row>
    <row r="236" spans="1:10">
      <c r="A236" s="34">
        <v>795026</v>
      </c>
      <c r="B236" s="34" t="s">
        <v>557</v>
      </c>
      <c r="C236" s="34" t="s">
        <v>537</v>
      </c>
      <c r="D236" s="34" t="s">
        <v>168</v>
      </c>
    </row>
    <row r="237" spans="1:10">
      <c r="A237" s="34">
        <v>797660</v>
      </c>
      <c r="B237" s="34" t="s">
        <v>705</v>
      </c>
      <c r="C237" s="34" t="s">
        <v>706</v>
      </c>
      <c r="D237" s="34" t="s">
        <v>168</v>
      </c>
    </row>
    <row r="238" spans="1:10">
      <c r="A238" s="34">
        <v>810001</v>
      </c>
      <c r="B238" s="34" t="s">
        <v>87</v>
      </c>
      <c r="C238" s="34" t="s">
        <v>88</v>
      </c>
      <c r="D238" s="34" t="s">
        <v>71</v>
      </c>
      <c r="E238" s="34">
        <v>1</v>
      </c>
      <c r="F238" s="34">
        <v>1</v>
      </c>
      <c r="G238" s="35">
        <v>0.25</v>
      </c>
      <c r="J238" s="35" t="s">
        <v>835</v>
      </c>
    </row>
    <row r="239" spans="1:10">
      <c r="A239" s="34">
        <v>810002</v>
      </c>
      <c r="B239" s="34" t="s">
        <v>90</v>
      </c>
      <c r="C239" s="34" t="s">
        <v>88</v>
      </c>
      <c r="D239" s="34" t="s">
        <v>71</v>
      </c>
    </row>
    <row r="240" spans="1:10">
      <c r="A240" s="34">
        <v>810003</v>
      </c>
      <c r="B240" s="34" t="s">
        <v>90</v>
      </c>
      <c r="C240" s="34" t="s">
        <v>88</v>
      </c>
      <c r="D240" s="34" t="s">
        <v>71</v>
      </c>
    </row>
    <row r="241" spans="1:10">
      <c r="A241" s="34">
        <v>810535</v>
      </c>
      <c r="B241" s="34" t="s">
        <v>90</v>
      </c>
      <c r="C241" s="34" t="s">
        <v>88</v>
      </c>
      <c r="D241" s="34" t="s">
        <v>71</v>
      </c>
    </row>
    <row r="242" spans="1:10">
      <c r="A242" s="34">
        <v>810537</v>
      </c>
      <c r="B242" s="34" t="s">
        <v>69</v>
      </c>
      <c r="C242" s="34" t="s">
        <v>70</v>
      </c>
      <c r="D242" s="34" t="s">
        <v>71</v>
      </c>
    </row>
    <row r="243" spans="1:10">
      <c r="A243" s="34">
        <v>810538</v>
      </c>
      <c r="B243" s="34" t="s">
        <v>90</v>
      </c>
      <c r="C243" s="34" t="s">
        <v>88</v>
      </c>
      <c r="D243" s="34" t="s">
        <v>71</v>
      </c>
    </row>
    <row r="244" spans="1:10">
      <c r="A244" s="34">
        <v>819202</v>
      </c>
      <c r="B244" s="34" t="s">
        <v>121</v>
      </c>
      <c r="C244" s="34" t="s">
        <v>122</v>
      </c>
      <c r="D244" s="34" t="s">
        <v>71</v>
      </c>
    </row>
    <row r="245" spans="1:10">
      <c r="A245" s="34">
        <v>820010</v>
      </c>
      <c r="B245" s="34" t="s">
        <v>112</v>
      </c>
      <c r="C245" s="34" t="s">
        <v>113</v>
      </c>
      <c r="D245" s="34" t="s">
        <v>71</v>
      </c>
    </row>
    <row r="246" spans="1:10">
      <c r="A246" s="34">
        <v>828031</v>
      </c>
      <c r="B246" s="34" t="s">
        <v>163</v>
      </c>
      <c r="C246" s="34" t="s">
        <v>164</v>
      </c>
      <c r="D246" s="34" t="s">
        <v>71</v>
      </c>
    </row>
    <row r="247" spans="1:10">
      <c r="A247" s="34">
        <v>829535</v>
      </c>
      <c r="B247" s="34" t="s">
        <v>172</v>
      </c>
      <c r="C247" s="34" t="s">
        <v>173</v>
      </c>
      <c r="D247" s="34" t="s">
        <v>71</v>
      </c>
    </row>
    <row r="248" spans="1:10">
      <c r="A248" s="34">
        <v>829537</v>
      </c>
      <c r="B248" s="34" t="s">
        <v>138</v>
      </c>
      <c r="C248" s="34" t="s">
        <v>139</v>
      </c>
      <c r="D248" s="34" t="s">
        <v>71</v>
      </c>
      <c r="E248" s="34">
        <v>1</v>
      </c>
      <c r="F248" s="34">
        <v>1</v>
      </c>
      <c r="G248" s="35">
        <v>0.25</v>
      </c>
      <c r="J248" s="35" t="s">
        <v>835</v>
      </c>
    </row>
    <row r="249" spans="1:10">
      <c r="A249" s="34">
        <v>840509</v>
      </c>
      <c r="B249" s="34" t="s">
        <v>729</v>
      </c>
      <c r="C249" s="34" t="s">
        <v>730</v>
      </c>
      <c r="D249" s="34" t="s">
        <v>71</v>
      </c>
      <c r="E249" s="34">
        <v>1</v>
      </c>
      <c r="F249" s="34">
        <v>1</v>
      </c>
    </row>
    <row r="250" spans="1:10">
      <c r="A250" s="34">
        <v>840510</v>
      </c>
      <c r="B250" s="34" t="s">
        <v>648</v>
      </c>
      <c r="C250" s="34" t="s">
        <v>644</v>
      </c>
      <c r="D250" s="34" t="s">
        <v>71</v>
      </c>
      <c r="E250" s="34">
        <v>1</v>
      </c>
      <c r="F250" s="34">
        <v>1</v>
      </c>
    </row>
    <row r="251" spans="1:10">
      <c r="A251" s="34">
        <v>840512</v>
      </c>
      <c r="B251" s="34" t="s">
        <v>221</v>
      </c>
      <c r="C251" s="34" t="s">
        <v>222</v>
      </c>
      <c r="D251" s="34" t="s">
        <v>71</v>
      </c>
      <c r="E251" s="34">
        <v>1</v>
      </c>
      <c r="F251" s="34">
        <v>1</v>
      </c>
    </row>
    <row r="252" spans="1:10">
      <c r="A252" s="34">
        <v>840513</v>
      </c>
      <c r="B252" s="34" t="s">
        <v>224</v>
      </c>
      <c r="C252" s="34" t="s">
        <v>222</v>
      </c>
      <c r="D252" s="34" t="s">
        <v>71</v>
      </c>
      <c r="E252" s="34">
        <v>1</v>
      </c>
      <c r="F252" s="34">
        <v>1</v>
      </c>
    </row>
    <row r="253" spans="1:10">
      <c r="A253" s="34">
        <v>840515</v>
      </c>
      <c r="B253" s="34" t="s">
        <v>214</v>
      </c>
      <c r="C253" s="34" t="s">
        <v>215</v>
      </c>
      <c r="D253" s="34" t="s">
        <v>71</v>
      </c>
    </row>
    <row r="254" spans="1:10">
      <c r="A254" s="34">
        <v>840516</v>
      </c>
      <c r="B254" s="34" t="s">
        <v>751</v>
      </c>
      <c r="C254" s="34" t="s">
        <v>752</v>
      </c>
      <c r="D254" s="34" t="s">
        <v>71</v>
      </c>
      <c r="E254" s="34">
        <v>1</v>
      </c>
      <c r="F254" s="34">
        <v>1</v>
      </c>
    </row>
    <row r="255" spans="1:10">
      <c r="A255" s="34">
        <v>843000</v>
      </c>
      <c r="B255" s="34" t="s">
        <v>255</v>
      </c>
      <c r="C255" s="34" t="s">
        <v>256</v>
      </c>
      <c r="D255" s="34" t="s">
        <v>71</v>
      </c>
    </row>
    <row r="256" spans="1:10">
      <c r="A256" s="34">
        <v>843002</v>
      </c>
      <c r="B256" s="34" t="s">
        <v>266</v>
      </c>
      <c r="C256" s="34" t="s">
        <v>265</v>
      </c>
      <c r="D256" s="34" t="s">
        <v>71</v>
      </c>
    </row>
    <row r="257" spans="1:4">
      <c r="A257" s="34">
        <v>846006</v>
      </c>
      <c r="B257" s="34" t="s">
        <v>258</v>
      </c>
      <c r="C257" s="34" t="s">
        <v>259</v>
      </c>
      <c r="D257" s="34" t="s">
        <v>71</v>
      </c>
    </row>
    <row r="258" spans="1:4">
      <c r="A258" s="34">
        <v>846847</v>
      </c>
      <c r="B258" s="34" t="s">
        <v>240</v>
      </c>
      <c r="C258" s="34" t="s">
        <v>241</v>
      </c>
      <c r="D258" s="34" t="s">
        <v>71</v>
      </c>
    </row>
    <row r="259" spans="1:4">
      <c r="A259" s="34">
        <v>848548</v>
      </c>
      <c r="B259" s="34" t="s">
        <v>304</v>
      </c>
      <c r="C259" s="34" t="s">
        <v>305</v>
      </c>
      <c r="D259" s="34" t="s">
        <v>71</v>
      </c>
    </row>
    <row r="260" spans="1:4">
      <c r="A260" s="34">
        <v>853005</v>
      </c>
      <c r="B260" s="34" t="s">
        <v>110</v>
      </c>
      <c r="C260" s="34" t="s">
        <v>344</v>
      </c>
      <c r="D260" s="34" t="s">
        <v>71</v>
      </c>
    </row>
    <row r="261" spans="1:4">
      <c r="A261" s="34">
        <v>853007</v>
      </c>
      <c r="B261" s="34" t="s">
        <v>359</v>
      </c>
      <c r="C261" s="34" t="s">
        <v>360</v>
      </c>
      <c r="D261" s="34" t="s">
        <v>71</v>
      </c>
    </row>
    <row r="262" spans="1:4">
      <c r="A262" s="34">
        <v>858053</v>
      </c>
      <c r="B262" s="34" t="s">
        <v>364</v>
      </c>
      <c r="C262" s="34" t="s">
        <v>365</v>
      </c>
      <c r="D262" s="34" t="s">
        <v>71</v>
      </c>
    </row>
    <row r="263" spans="1:4">
      <c r="A263" s="34">
        <v>858054</v>
      </c>
      <c r="B263" s="34" t="s">
        <v>368</v>
      </c>
      <c r="C263" s="34" t="s">
        <v>365</v>
      </c>
      <c r="D263" s="34" t="s">
        <v>71</v>
      </c>
    </row>
    <row r="264" spans="1:4">
      <c r="A264" s="34">
        <v>858055</v>
      </c>
      <c r="B264" s="34" t="s">
        <v>370</v>
      </c>
      <c r="C264" s="34" t="s">
        <v>365</v>
      </c>
      <c r="D264" s="34" t="s">
        <v>71</v>
      </c>
    </row>
    <row r="265" spans="1:4">
      <c r="A265" s="34">
        <v>858056</v>
      </c>
      <c r="B265" s="34" t="s">
        <v>372</v>
      </c>
      <c r="C265" s="34" t="s">
        <v>365</v>
      </c>
      <c r="D265" s="34" t="s">
        <v>71</v>
      </c>
    </row>
    <row r="266" spans="1:4">
      <c r="A266" s="34">
        <v>858063</v>
      </c>
      <c r="B266" s="34" t="s">
        <v>438</v>
      </c>
      <c r="C266" s="34" t="s">
        <v>439</v>
      </c>
      <c r="D266" s="34" t="s">
        <v>71</v>
      </c>
    </row>
    <row r="267" spans="1:4">
      <c r="A267" s="34">
        <v>858065</v>
      </c>
      <c r="B267" s="34" t="s">
        <v>374</v>
      </c>
      <c r="C267" s="34" t="s">
        <v>365</v>
      </c>
      <c r="D267" s="34" t="s">
        <v>71</v>
      </c>
    </row>
    <row r="268" spans="1:4">
      <c r="A268" s="34">
        <v>858078</v>
      </c>
      <c r="B268" s="34" t="s">
        <v>376</v>
      </c>
      <c r="C268" s="34" t="s">
        <v>377</v>
      </c>
      <c r="D268" s="34" t="s">
        <v>71</v>
      </c>
    </row>
    <row r="269" spans="1:4">
      <c r="A269" s="34">
        <v>866503</v>
      </c>
      <c r="B269" s="34" t="s">
        <v>409</v>
      </c>
      <c r="C269" s="34" t="s">
        <v>410</v>
      </c>
      <c r="D269" s="34" t="s">
        <v>71</v>
      </c>
    </row>
    <row r="270" spans="1:4">
      <c r="A270" s="34">
        <v>866505</v>
      </c>
      <c r="B270" s="34" t="s">
        <v>412</v>
      </c>
      <c r="C270" s="34" t="s">
        <v>410</v>
      </c>
      <c r="D270" s="34" t="s">
        <v>71</v>
      </c>
    </row>
    <row r="271" spans="1:4">
      <c r="A271" s="34">
        <v>867017</v>
      </c>
      <c r="B271" s="34" t="s">
        <v>712</v>
      </c>
      <c r="C271" s="34" t="s">
        <v>713</v>
      </c>
      <c r="D271" s="34" t="s">
        <v>71</v>
      </c>
    </row>
    <row r="272" spans="1:4">
      <c r="A272" s="34">
        <v>871048</v>
      </c>
      <c r="B272" s="34" t="s">
        <v>441</v>
      </c>
      <c r="C272" s="34" t="s">
        <v>439</v>
      </c>
      <c r="D272" s="34" t="s">
        <v>71</v>
      </c>
    </row>
    <row r="273" spans="1:10">
      <c r="A273" s="34">
        <v>871049</v>
      </c>
      <c r="B273" s="34" t="s">
        <v>443</v>
      </c>
      <c r="C273" s="34" t="s">
        <v>439</v>
      </c>
      <c r="D273" s="34" t="s">
        <v>71</v>
      </c>
    </row>
    <row r="274" spans="1:10">
      <c r="A274" s="34">
        <v>875260</v>
      </c>
      <c r="B274" s="34" t="s">
        <v>264</v>
      </c>
      <c r="C274" s="34" t="s">
        <v>265</v>
      </c>
      <c r="D274" s="34" t="s">
        <v>71</v>
      </c>
    </row>
    <row r="275" spans="1:10">
      <c r="A275" s="34">
        <v>880533</v>
      </c>
      <c r="B275" s="34" t="s">
        <v>475</v>
      </c>
      <c r="C275" s="34" t="s">
        <v>476</v>
      </c>
      <c r="D275" s="34" t="s">
        <v>71</v>
      </c>
    </row>
    <row r="276" spans="1:10">
      <c r="A276" s="34">
        <v>882008</v>
      </c>
      <c r="B276" s="34" t="s">
        <v>486</v>
      </c>
      <c r="C276" s="34" t="s">
        <v>487</v>
      </c>
      <c r="D276" s="34" t="s">
        <v>71</v>
      </c>
    </row>
    <row r="277" spans="1:10">
      <c r="A277" s="34">
        <v>884033</v>
      </c>
      <c r="B277" s="34" t="s">
        <v>491</v>
      </c>
      <c r="C277" s="34" t="s">
        <v>492</v>
      </c>
      <c r="D277" s="34" t="s">
        <v>71</v>
      </c>
    </row>
    <row r="278" spans="1:10">
      <c r="A278" s="34">
        <v>136015</v>
      </c>
      <c r="B278" s="34" t="s">
        <v>249</v>
      </c>
      <c r="C278" s="34" t="s">
        <v>250</v>
      </c>
      <c r="D278" s="34" t="s">
        <v>149</v>
      </c>
      <c r="E278" s="34">
        <v>1</v>
      </c>
      <c r="F278" s="34">
        <v>1</v>
      </c>
      <c r="G278" s="35">
        <v>0.25</v>
      </c>
      <c r="J278" s="35" t="s">
        <v>835</v>
      </c>
    </row>
    <row r="279" spans="1:10">
      <c r="A279" s="34">
        <v>304501</v>
      </c>
      <c r="B279" s="34" t="s">
        <v>578</v>
      </c>
      <c r="C279" s="34" t="s">
        <v>576</v>
      </c>
      <c r="D279" s="34" t="s">
        <v>76</v>
      </c>
    </row>
    <row r="280" spans="1:10">
      <c r="A280" s="34">
        <v>350503</v>
      </c>
      <c r="B280" s="34" t="s">
        <v>790</v>
      </c>
      <c r="C280" s="34" t="s">
        <v>791</v>
      </c>
      <c r="D280" s="34" t="s">
        <v>76</v>
      </c>
    </row>
    <row r="281" spans="1:10">
      <c r="A281" s="34">
        <v>601004</v>
      </c>
      <c r="B281" s="34" t="s">
        <v>685</v>
      </c>
      <c r="C281" s="34" t="s">
        <v>686</v>
      </c>
      <c r="D281" s="34" t="s">
        <v>136</v>
      </c>
    </row>
    <row r="282" spans="1:10">
      <c r="A282" s="34">
        <v>548900</v>
      </c>
      <c r="B282" s="34" t="s">
        <v>780</v>
      </c>
      <c r="C282" s="34" t="s">
        <v>781</v>
      </c>
      <c r="D282" s="34" t="s">
        <v>253</v>
      </c>
    </row>
    <row r="283" spans="1:10">
      <c r="A283" s="34">
        <v>886533</v>
      </c>
      <c r="B283" s="34" t="s">
        <v>506</v>
      </c>
      <c r="C283" s="34" t="s">
        <v>500</v>
      </c>
      <c r="D283" s="34" t="s">
        <v>71</v>
      </c>
    </row>
    <row r="284" spans="1:10">
      <c r="A284" s="34">
        <v>886570</v>
      </c>
      <c r="B284" s="34" t="s">
        <v>507</v>
      </c>
      <c r="C284" s="34" t="s">
        <v>500</v>
      </c>
      <c r="D284" s="34" t="s">
        <v>71</v>
      </c>
    </row>
    <row r="285" spans="1:10">
      <c r="A285" s="34">
        <v>886623</v>
      </c>
      <c r="B285" s="34" t="s">
        <v>478</v>
      </c>
      <c r="C285" s="34" t="s">
        <v>479</v>
      </c>
      <c r="D285" s="34" t="s">
        <v>71</v>
      </c>
    </row>
    <row r="286" spans="1:10">
      <c r="A286" s="34">
        <v>898030</v>
      </c>
      <c r="B286" s="34" t="s">
        <v>798</v>
      </c>
      <c r="C286" s="34" t="s">
        <v>6</v>
      </c>
      <c r="D286" s="34" t="s">
        <v>71</v>
      </c>
    </row>
    <row r="287" spans="1:10">
      <c r="A287" s="34">
        <v>904033</v>
      </c>
      <c r="B287" s="34" t="s">
        <v>606</v>
      </c>
      <c r="C287" s="34" t="s">
        <v>607</v>
      </c>
      <c r="D287" s="34" t="s">
        <v>71</v>
      </c>
    </row>
    <row r="288" spans="1:10">
      <c r="A288" s="34">
        <v>906015</v>
      </c>
      <c r="B288" s="34" t="s">
        <v>615</v>
      </c>
      <c r="C288" s="34" t="s">
        <v>616</v>
      </c>
      <c r="D288" s="34" t="s">
        <v>71</v>
      </c>
    </row>
    <row r="289" spans="1:10">
      <c r="A289" s="34">
        <v>911510</v>
      </c>
      <c r="B289" s="34" t="s">
        <v>630</v>
      </c>
      <c r="C289" s="34" t="s">
        <v>631</v>
      </c>
      <c r="D289" s="34" t="s">
        <v>71</v>
      </c>
    </row>
    <row r="290" spans="1:10">
      <c r="A290" s="34">
        <v>911520</v>
      </c>
      <c r="B290" s="34" t="s">
        <v>632</v>
      </c>
      <c r="C290" s="34" t="s">
        <v>631</v>
      </c>
      <c r="D290" s="34" t="s">
        <v>71</v>
      </c>
    </row>
    <row r="291" spans="1:10">
      <c r="A291" s="34">
        <v>911525</v>
      </c>
      <c r="B291" s="34" t="s">
        <v>633</v>
      </c>
      <c r="C291" s="34" t="s">
        <v>631</v>
      </c>
      <c r="D291" s="34" t="s">
        <v>71</v>
      </c>
    </row>
    <row r="292" spans="1:10">
      <c r="A292" s="34">
        <v>911533</v>
      </c>
      <c r="B292" s="34" t="s">
        <v>634</v>
      </c>
      <c r="C292" s="34" t="s">
        <v>631</v>
      </c>
      <c r="D292" s="34" t="s">
        <v>71</v>
      </c>
    </row>
    <row r="293" spans="1:10">
      <c r="A293" s="34">
        <v>913030</v>
      </c>
      <c r="B293" s="34" t="s">
        <v>630</v>
      </c>
      <c r="C293" s="34" t="s">
        <v>650</v>
      </c>
      <c r="D293" s="34" t="s">
        <v>71</v>
      </c>
    </row>
    <row r="294" spans="1:10">
      <c r="A294" s="34">
        <v>913054</v>
      </c>
      <c r="B294" s="34" t="s">
        <v>620</v>
      </c>
      <c r="C294" s="34" t="s">
        <v>621</v>
      </c>
      <c r="D294" s="34" t="s">
        <v>71</v>
      </c>
    </row>
    <row r="295" spans="1:10">
      <c r="A295" s="34">
        <v>913055</v>
      </c>
      <c r="B295" s="34" t="s">
        <v>765</v>
      </c>
      <c r="C295" s="34" t="s">
        <v>766</v>
      </c>
      <c r="D295" s="34" t="s">
        <v>71</v>
      </c>
    </row>
    <row r="296" spans="1:10">
      <c r="A296" s="34">
        <v>914510</v>
      </c>
      <c r="B296" s="34" t="s">
        <v>652</v>
      </c>
      <c r="C296" s="34" t="s">
        <v>653</v>
      </c>
      <c r="D296" s="34" t="s">
        <v>71</v>
      </c>
    </row>
    <row r="297" spans="1:10">
      <c r="A297" s="34">
        <v>916501</v>
      </c>
      <c r="B297" s="34" t="s">
        <v>658</v>
      </c>
      <c r="C297" s="34" t="s">
        <v>659</v>
      </c>
      <c r="D297" s="34" t="s">
        <v>71</v>
      </c>
    </row>
    <row r="298" spans="1:10">
      <c r="A298" s="34">
        <v>916710</v>
      </c>
      <c r="B298" s="34" t="s">
        <v>661</v>
      </c>
      <c r="C298" s="34" t="s">
        <v>662</v>
      </c>
      <c r="D298" s="34" t="s">
        <v>71</v>
      </c>
      <c r="E298" s="34">
        <v>1</v>
      </c>
      <c r="F298" s="34">
        <v>1</v>
      </c>
    </row>
    <row r="299" spans="1:10">
      <c r="A299" s="34">
        <v>916711</v>
      </c>
      <c r="B299" s="34" t="s">
        <v>664</v>
      </c>
      <c r="C299" s="34" t="s">
        <v>662</v>
      </c>
      <c r="D299" s="34" t="s">
        <v>71</v>
      </c>
      <c r="E299" s="34">
        <v>1</v>
      </c>
      <c r="F299" s="34">
        <v>1</v>
      </c>
    </row>
    <row r="300" spans="1:10">
      <c r="A300" s="34">
        <v>916712</v>
      </c>
      <c r="B300" s="34" t="s">
        <v>665</v>
      </c>
      <c r="C300" s="34" t="s">
        <v>662</v>
      </c>
      <c r="D300" s="34" t="s">
        <v>71</v>
      </c>
      <c r="E300" s="34">
        <v>1</v>
      </c>
      <c r="F300" s="34">
        <v>1</v>
      </c>
    </row>
    <row r="301" spans="1:10">
      <c r="A301" s="34">
        <v>925011</v>
      </c>
      <c r="B301" s="34" t="s">
        <v>393</v>
      </c>
      <c r="C301" s="34" t="s">
        <v>394</v>
      </c>
      <c r="D301" s="34" t="s">
        <v>71</v>
      </c>
    </row>
    <row r="302" spans="1:10">
      <c r="A302" s="34">
        <v>925012</v>
      </c>
      <c r="B302" s="34" t="s">
        <v>83</v>
      </c>
      <c r="C302" s="34" t="s">
        <v>674</v>
      </c>
      <c r="D302" s="34" t="s">
        <v>71</v>
      </c>
      <c r="E302" s="34">
        <v>1</v>
      </c>
      <c r="F302" s="34">
        <v>1</v>
      </c>
      <c r="G302" s="35">
        <v>0.25</v>
      </c>
      <c r="J302" s="35" t="s">
        <v>835</v>
      </c>
    </row>
    <row r="303" spans="1:10">
      <c r="A303" s="34">
        <v>925013</v>
      </c>
      <c r="B303" s="34" t="s">
        <v>808</v>
      </c>
      <c r="C303" s="34" t="s">
        <v>809</v>
      </c>
      <c r="D303" s="34" t="s">
        <v>71</v>
      </c>
    </row>
    <row r="304" spans="1:10">
      <c r="A304" s="34">
        <v>926005</v>
      </c>
      <c r="B304" s="34" t="s">
        <v>678</v>
      </c>
      <c r="C304" s="34" t="s">
        <v>679</v>
      </c>
      <c r="D304" s="34" t="s">
        <v>71</v>
      </c>
    </row>
    <row r="305" spans="1:10">
      <c r="A305" s="34">
        <v>928532</v>
      </c>
      <c r="B305" s="34" t="s">
        <v>687</v>
      </c>
      <c r="C305" s="34" t="s">
        <v>688</v>
      </c>
      <c r="D305" s="34" t="s">
        <v>71</v>
      </c>
    </row>
    <row r="306" spans="1:10">
      <c r="A306" s="34">
        <v>928715</v>
      </c>
      <c r="B306" s="34" t="s">
        <v>690</v>
      </c>
      <c r="C306" s="34" t="s">
        <v>691</v>
      </c>
      <c r="D306" s="34" t="s">
        <v>71</v>
      </c>
    </row>
    <row r="307" spans="1:10">
      <c r="A307" s="34">
        <v>935002</v>
      </c>
      <c r="B307" s="34" t="s">
        <v>714</v>
      </c>
      <c r="C307" s="34" t="s">
        <v>715</v>
      </c>
      <c r="D307" s="34" t="s">
        <v>71</v>
      </c>
    </row>
    <row r="308" spans="1:10">
      <c r="A308" s="34">
        <v>936006</v>
      </c>
      <c r="B308" s="34" t="s">
        <v>719</v>
      </c>
      <c r="C308" s="34" t="s">
        <v>720</v>
      </c>
      <c r="D308" s="34" t="s">
        <v>71</v>
      </c>
    </row>
    <row r="309" spans="1:10">
      <c r="A309" s="34">
        <v>937530</v>
      </c>
      <c r="B309" s="34" t="s">
        <v>83</v>
      </c>
      <c r="C309" s="34" t="s">
        <v>732</v>
      </c>
      <c r="D309" s="34" t="s">
        <v>71</v>
      </c>
      <c r="E309" s="34">
        <v>1</v>
      </c>
      <c r="F309" s="34">
        <v>1</v>
      </c>
      <c r="G309" s="35">
        <v>0.25</v>
      </c>
      <c r="J309" s="35" t="s">
        <v>835</v>
      </c>
    </row>
    <row r="310" spans="1:10">
      <c r="A310" s="34">
        <v>937534</v>
      </c>
      <c r="B310" s="34" t="s">
        <v>702</v>
      </c>
      <c r="C310" s="34" t="s">
        <v>703</v>
      </c>
      <c r="D310" s="34" t="s">
        <v>71</v>
      </c>
    </row>
    <row r="311" spans="1:10">
      <c r="A311" s="34">
        <v>937535</v>
      </c>
      <c r="B311" s="34" t="s">
        <v>695</v>
      </c>
      <c r="C311" s="34" t="s">
        <v>696</v>
      </c>
      <c r="D311" s="34" t="s">
        <v>71</v>
      </c>
    </row>
    <row r="312" spans="1:10">
      <c r="A312" s="34">
        <v>939033</v>
      </c>
      <c r="B312" s="34" t="s">
        <v>742</v>
      </c>
      <c r="C312" s="34" t="s">
        <v>743</v>
      </c>
      <c r="D312" s="34" t="s">
        <v>71</v>
      </c>
    </row>
    <row r="313" spans="1:10">
      <c r="A313" s="34">
        <v>940015</v>
      </c>
      <c r="B313" s="34" t="s">
        <v>754</v>
      </c>
      <c r="C313" s="34" t="s">
        <v>752</v>
      </c>
      <c r="D313" s="34" t="s">
        <v>71</v>
      </c>
    </row>
    <row r="314" spans="1:10">
      <c r="A314" s="34">
        <v>940025</v>
      </c>
      <c r="B314" s="34" t="s">
        <v>755</v>
      </c>
      <c r="C314" s="34" t="s">
        <v>752</v>
      </c>
      <c r="D314" s="34" t="s">
        <v>71</v>
      </c>
    </row>
    <row r="315" spans="1:10">
      <c r="A315" s="34">
        <v>944344</v>
      </c>
      <c r="B315" s="34" t="s">
        <v>761</v>
      </c>
      <c r="C315" s="34" t="s">
        <v>762</v>
      </c>
      <c r="D315" s="34" t="s">
        <v>71</v>
      </c>
    </row>
    <row r="316" spans="1:10">
      <c r="A316" s="34">
        <v>944708</v>
      </c>
      <c r="B316" s="34" t="s">
        <v>767</v>
      </c>
      <c r="C316" s="34" t="s">
        <v>766</v>
      </c>
      <c r="D316" s="34" t="s">
        <v>71</v>
      </c>
    </row>
    <row r="317" spans="1:10">
      <c r="A317" s="34">
        <v>947505</v>
      </c>
      <c r="B317" s="34" t="s">
        <v>783</v>
      </c>
      <c r="C317" s="34" t="s">
        <v>784</v>
      </c>
      <c r="D317" s="34" t="s">
        <v>71</v>
      </c>
    </row>
    <row r="318" spans="1:10">
      <c r="A318" s="34">
        <v>976503</v>
      </c>
      <c r="B318" s="34" t="s">
        <v>322</v>
      </c>
      <c r="C318" s="34" t="s">
        <v>323</v>
      </c>
      <c r="D318" s="34" t="s">
        <v>324</v>
      </c>
    </row>
    <row r="319" spans="1:10">
      <c r="A319" s="34">
        <v>976505</v>
      </c>
      <c r="B319" s="34" t="s">
        <v>326</v>
      </c>
      <c r="C319" s="34" t="s">
        <v>323</v>
      </c>
      <c r="D319" s="34" t="s">
        <v>324</v>
      </c>
    </row>
    <row r="320" spans="1:10">
      <c r="A320" s="34">
        <v>985505</v>
      </c>
      <c r="B320" s="34" t="s">
        <v>722</v>
      </c>
      <c r="C320" s="34" t="s">
        <v>723</v>
      </c>
      <c r="D320" s="34" t="s">
        <v>324</v>
      </c>
    </row>
    <row r="321" spans="1:4">
      <c r="A321" s="34">
        <v>998008</v>
      </c>
      <c r="B321" s="34" t="s">
        <v>813</v>
      </c>
      <c r="C321" s="34" t="s">
        <v>814</v>
      </c>
      <c r="D321" s="34" t="s">
        <v>324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AC56-BE93-4F03-B6E5-7131008C4138}">
  <sheetPr>
    <tabColor rgb="FFFFC000"/>
  </sheetPr>
  <dimension ref="A1:G322"/>
  <sheetViews>
    <sheetView workbookViewId="0">
      <selection activeCell="G8" sqref="G8"/>
    </sheetView>
  </sheetViews>
  <sheetFormatPr defaultRowHeight="14.5"/>
  <cols>
    <col min="1" max="1" width="11" style="10" bestFit="1" customWidth="1"/>
    <col min="2" max="2" width="50.54296875" style="10" bestFit="1" customWidth="1"/>
    <col min="3" max="3" width="15.453125" style="10" bestFit="1" customWidth="1"/>
    <col min="4" max="4" width="5.26953125" style="10" bestFit="1" customWidth="1"/>
    <col min="5" max="5" width="12.7265625" style="10" bestFit="1" customWidth="1"/>
    <col min="6" max="7" width="9.1796875" style="10"/>
  </cols>
  <sheetData>
    <row r="1" spans="1:7">
      <c r="A1" s="10" t="s">
        <v>7</v>
      </c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10" t="s">
        <v>13</v>
      </c>
    </row>
    <row r="2" spans="1:7">
      <c r="A2" s="10">
        <v>111</v>
      </c>
      <c r="B2" s="10" t="s">
        <v>692</v>
      </c>
      <c r="C2" s="10" t="s">
        <v>693</v>
      </c>
      <c r="D2" s="10" t="s">
        <v>65</v>
      </c>
      <c r="E2" s="10" t="s">
        <v>1622</v>
      </c>
      <c r="F2" s="10" t="s">
        <v>2092</v>
      </c>
      <c r="G2" s="10" t="s">
        <v>682</v>
      </c>
    </row>
    <row r="3" spans="1:7">
      <c r="A3" s="10">
        <v>520</v>
      </c>
      <c r="B3" s="10" t="s">
        <v>63</v>
      </c>
      <c r="C3" s="10" t="s">
        <v>64</v>
      </c>
      <c r="D3" s="10" t="s">
        <v>65</v>
      </c>
      <c r="E3" s="10" t="s">
        <v>1622</v>
      </c>
      <c r="F3" s="10" t="s">
        <v>2092</v>
      </c>
      <c r="G3" s="10" t="s">
        <v>682</v>
      </c>
    </row>
    <row r="4" spans="1:7">
      <c r="A4" s="10">
        <v>1100</v>
      </c>
      <c r="B4" s="10" t="s">
        <v>100</v>
      </c>
      <c r="C4" s="10" t="s">
        <v>101</v>
      </c>
      <c r="D4" s="10" t="s">
        <v>65</v>
      </c>
      <c r="E4" s="10" t="s">
        <v>1622</v>
      </c>
      <c r="F4" s="10" t="s">
        <v>2092</v>
      </c>
      <c r="G4" s="10" t="s">
        <v>682</v>
      </c>
    </row>
    <row r="5" spans="1:7">
      <c r="A5" s="10">
        <v>4004</v>
      </c>
      <c r="B5" s="10" t="s">
        <v>94</v>
      </c>
      <c r="C5" s="10" t="s">
        <v>95</v>
      </c>
      <c r="D5" s="10" t="s">
        <v>65</v>
      </c>
      <c r="E5" s="10" t="s">
        <v>1622</v>
      </c>
      <c r="F5" s="10" t="s">
        <v>2092</v>
      </c>
      <c r="G5" s="10" t="s">
        <v>682</v>
      </c>
    </row>
    <row r="6" spans="1:7">
      <c r="A6" s="10">
        <v>11515</v>
      </c>
      <c r="B6" s="10" t="s">
        <v>124</v>
      </c>
      <c r="C6" s="10" t="s">
        <v>125</v>
      </c>
      <c r="D6" s="10" t="s">
        <v>65</v>
      </c>
      <c r="E6" s="10" t="s">
        <v>1622</v>
      </c>
      <c r="F6" s="10" t="s">
        <v>2092</v>
      </c>
      <c r="G6" s="10" t="s">
        <v>537</v>
      </c>
    </row>
    <row r="7" spans="1:7">
      <c r="A7" s="10">
        <v>22715</v>
      </c>
      <c r="B7" s="10" t="s">
        <v>192</v>
      </c>
      <c r="C7" s="10" t="s">
        <v>193</v>
      </c>
      <c r="D7" s="10" t="s">
        <v>65</v>
      </c>
      <c r="E7" s="10" t="s">
        <v>1622</v>
      </c>
      <c r="F7" s="10" t="s">
        <v>2092</v>
      </c>
      <c r="G7" s="10" t="s">
        <v>682</v>
      </c>
    </row>
    <row r="8" spans="1:7">
      <c r="A8" s="10">
        <v>29010</v>
      </c>
      <c r="B8" s="10" t="s">
        <v>225</v>
      </c>
      <c r="C8" s="10" t="s">
        <v>226</v>
      </c>
      <c r="D8" s="10" t="s">
        <v>65</v>
      </c>
      <c r="E8" s="10" t="s">
        <v>1622</v>
      </c>
      <c r="F8" s="10" t="s">
        <v>2092</v>
      </c>
      <c r="G8" s="10" t="s">
        <v>537</v>
      </c>
    </row>
    <row r="9" spans="1:7">
      <c r="A9" s="10">
        <v>31400</v>
      </c>
      <c r="B9" s="10" t="s">
        <v>280</v>
      </c>
      <c r="C9" s="10" t="s">
        <v>281</v>
      </c>
      <c r="D9" s="10" t="s">
        <v>65</v>
      </c>
      <c r="E9" s="10" t="s">
        <v>1622</v>
      </c>
      <c r="F9" s="10" t="s">
        <v>2092</v>
      </c>
      <c r="G9" s="10" t="s">
        <v>682</v>
      </c>
    </row>
    <row r="10" spans="1:7">
      <c r="A10" s="10">
        <v>32035</v>
      </c>
      <c r="B10" s="10" t="s">
        <v>246</v>
      </c>
      <c r="C10" s="10" t="s">
        <v>247</v>
      </c>
      <c r="D10" s="10" t="s">
        <v>65</v>
      </c>
      <c r="E10" s="10" t="s">
        <v>1622</v>
      </c>
      <c r="F10" s="10" t="s">
        <v>2092</v>
      </c>
      <c r="G10" s="10" t="s">
        <v>537</v>
      </c>
    </row>
    <row r="11" spans="1:7">
      <c r="A11" s="10">
        <v>34512</v>
      </c>
      <c r="B11" s="10" t="s">
        <v>298</v>
      </c>
      <c r="C11" s="10" t="s">
        <v>299</v>
      </c>
      <c r="D11" s="10" t="s">
        <v>65</v>
      </c>
      <c r="E11" s="10" t="s">
        <v>1622</v>
      </c>
      <c r="F11" s="10" t="s">
        <v>2092</v>
      </c>
      <c r="G11" s="10" t="s">
        <v>682</v>
      </c>
    </row>
    <row r="12" spans="1:7">
      <c r="A12" s="10">
        <v>36016</v>
      </c>
      <c r="B12" s="10" t="s">
        <v>336</v>
      </c>
      <c r="C12" s="10" t="s">
        <v>337</v>
      </c>
      <c r="D12" s="10" t="s">
        <v>65</v>
      </c>
      <c r="E12" s="10" t="s">
        <v>1622</v>
      </c>
      <c r="F12" s="10" t="s">
        <v>2092</v>
      </c>
      <c r="G12" s="10" t="s">
        <v>682</v>
      </c>
    </row>
    <row r="13" spans="1:7">
      <c r="A13" s="10">
        <v>39720</v>
      </c>
      <c r="B13" s="10" t="s">
        <v>349</v>
      </c>
      <c r="C13" s="10" t="s">
        <v>350</v>
      </c>
      <c r="D13" s="10" t="s">
        <v>65</v>
      </c>
      <c r="E13" s="10" t="s">
        <v>1622</v>
      </c>
      <c r="F13" s="10" t="s">
        <v>2092</v>
      </c>
      <c r="G13" s="10" t="s">
        <v>537</v>
      </c>
    </row>
    <row r="14" spans="1:7">
      <c r="A14" s="10">
        <v>39770</v>
      </c>
      <c r="B14" s="10" t="s">
        <v>352</v>
      </c>
      <c r="C14" s="10" t="s">
        <v>353</v>
      </c>
      <c r="D14" s="10" t="s">
        <v>65</v>
      </c>
      <c r="E14" s="10" t="s">
        <v>1622</v>
      </c>
      <c r="F14" s="10" t="s">
        <v>2092</v>
      </c>
      <c r="G14" s="10" t="s">
        <v>537</v>
      </c>
    </row>
    <row r="15" spans="1:7">
      <c r="A15" s="10">
        <v>51005</v>
      </c>
      <c r="B15" s="10" t="s">
        <v>413</v>
      </c>
      <c r="C15" s="10" t="s">
        <v>414</v>
      </c>
      <c r="D15" s="10" t="s">
        <v>65</v>
      </c>
      <c r="E15" s="10" t="s">
        <v>1622</v>
      </c>
      <c r="F15" s="10" t="s">
        <v>2092</v>
      </c>
      <c r="G15" s="10" t="s">
        <v>682</v>
      </c>
    </row>
    <row r="16" spans="1:7">
      <c r="A16" s="10">
        <v>52020</v>
      </c>
      <c r="B16" s="10" t="s">
        <v>429</v>
      </c>
      <c r="C16" s="10" t="s">
        <v>430</v>
      </c>
      <c r="D16" s="10" t="s">
        <v>65</v>
      </c>
      <c r="E16" s="10" t="s">
        <v>1622</v>
      </c>
      <c r="F16" s="10" t="s">
        <v>2092</v>
      </c>
      <c r="G16" s="10" t="s">
        <v>682</v>
      </c>
    </row>
    <row r="17" spans="1:7">
      <c r="A17" s="10">
        <v>52650</v>
      </c>
      <c r="B17" s="10" t="s">
        <v>434</v>
      </c>
      <c r="C17" s="10" t="s">
        <v>435</v>
      </c>
      <c r="D17" s="10" t="s">
        <v>65</v>
      </c>
      <c r="E17" s="10" t="s">
        <v>1622</v>
      </c>
      <c r="F17" s="10" t="s">
        <v>2092</v>
      </c>
      <c r="G17" s="10" t="s">
        <v>537</v>
      </c>
    </row>
    <row r="18" spans="1:7">
      <c r="A18" s="10">
        <v>54205</v>
      </c>
      <c r="B18" s="10" t="s">
        <v>243</v>
      </c>
      <c r="C18" s="10" t="s">
        <v>244</v>
      </c>
      <c r="D18" s="10" t="s">
        <v>65</v>
      </c>
      <c r="E18" s="10" t="s">
        <v>1622</v>
      </c>
      <c r="F18" s="10" t="s">
        <v>2092</v>
      </c>
      <c r="G18" s="10" t="s">
        <v>682</v>
      </c>
    </row>
    <row r="19" spans="1:7">
      <c r="A19" s="10">
        <v>62306</v>
      </c>
      <c r="B19" s="10" t="s">
        <v>496</v>
      </c>
      <c r="C19" s="10" t="s">
        <v>497</v>
      </c>
      <c r="D19" s="10" t="s">
        <v>65</v>
      </c>
      <c r="E19" s="10" t="s">
        <v>1622</v>
      </c>
      <c r="F19" s="10" t="s">
        <v>2092</v>
      </c>
      <c r="G19" s="10" t="s">
        <v>682</v>
      </c>
    </row>
    <row r="20" spans="1:7">
      <c r="A20" s="10">
        <v>63010</v>
      </c>
      <c r="B20" s="10" t="s">
        <v>527</v>
      </c>
      <c r="C20" s="10" t="s">
        <v>528</v>
      </c>
      <c r="D20" s="10" t="s">
        <v>65</v>
      </c>
      <c r="E20" s="10" t="s">
        <v>1622</v>
      </c>
      <c r="F20" s="10" t="s">
        <v>2092</v>
      </c>
      <c r="G20" s="10" t="s">
        <v>682</v>
      </c>
    </row>
    <row r="21" spans="1:7">
      <c r="A21" s="10">
        <v>73073</v>
      </c>
      <c r="B21" s="10" t="s">
        <v>588</v>
      </c>
      <c r="C21" s="10" t="s">
        <v>589</v>
      </c>
      <c r="D21" s="10" t="s">
        <v>65</v>
      </c>
      <c r="E21" s="10" t="s">
        <v>1622</v>
      </c>
      <c r="F21" s="10" t="s">
        <v>2092</v>
      </c>
      <c r="G21" s="10" t="s">
        <v>537</v>
      </c>
    </row>
    <row r="22" spans="1:7">
      <c r="A22" s="10">
        <v>96505</v>
      </c>
      <c r="B22" s="10" t="s">
        <v>726</v>
      </c>
      <c r="C22" s="10" t="s">
        <v>727</v>
      </c>
      <c r="D22" s="10" t="s">
        <v>65</v>
      </c>
      <c r="E22" s="10" t="s">
        <v>1622</v>
      </c>
      <c r="F22" s="10" t="s">
        <v>2092</v>
      </c>
      <c r="G22" s="10" t="s">
        <v>682</v>
      </c>
    </row>
    <row r="23" spans="1:7">
      <c r="A23" s="10">
        <v>99010</v>
      </c>
      <c r="B23" s="10" t="s">
        <v>744</v>
      </c>
      <c r="C23" s="10" t="s">
        <v>745</v>
      </c>
      <c r="D23" s="10" t="s">
        <v>65</v>
      </c>
      <c r="E23" s="10" t="s">
        <v>1622</v>
      </c>
      <c r="F23" s="10" t="s">
        <v>2092</v>
      </c>
      <c r="G23" s="10" t="s">
        <v>682</v>
      </c>
    </row>
    <row r="24" spans="1:7">
      <c r="A24" s="10">
        <v>101020</v>
      </c>
      <c r="B24" s="10" t="s">
        <v>481</v>
      </c>
      <c r="C24" s="10" t="s">
        <v>482</v>
      </c>
      <c r="D24" s="10" t="s">
        <v>65</v>
      </c>
      <c r="E24" s="10" t="s">
        <v>1622</v>
      </c>
      <c r="F24" s="10" t="s">
        <v>2092</v>
      </c>
      <c r="G24" s="10" t="s">
        <v>537</v>
      </c>
    </row>
    <row r="25" spans="1:7">
      <c r="A25" s="10">
        <v>104510</v>
      </c>
      <c r="B25" s="10" t="s">
        <v>777</v>
      </c>
      <c r="C25" s="10" t="s">
        <v>778</v>
      </c>
      <c r="D25" s="10" t="s">
        <v>65</v>
      </c>
      <c r="E25" s="10" t="s">
        <v>1622</v>
      </c>
      <c r="F25" s="10" t="s">
        <v>2092</v>
      </c>
      <c r="G25" s="10" t="s">
        <v>682</v>
      </c>
    </row>
    <row r="26" spans="1:7">
      <c r="A26" s="10">
        <v>120945</v>
      </c>
      <c r="B26" s="10" t="s">
        <v>317</v>
      </c>
      <c r="C26" s="10" t="s">
        <v>318</v>
      </c>
      <c r="D26" s="10" t="s">
        <v>319</v>
      </c>
      <c r="E26" s="10" t="s">
        <v>2094</v>
      </c>
      <c r="G26" s="10" t="s">
        <v>2093</v>
      </c>
    </row>
    <row r="27" spans="1:7">
      <c r="A27" s="10">
        <v>122007</v>
      </c>
      <c r="B27" s="10" t="s">
        <v>390</v>
      </c>
      <c r="C27" s="10" t="s">
        <v>391</v>
      </c>
      <c r="D27" s="10" t="s">
        <v>319</v>
      </c>
      <c r="E27" s="10" t="s">
        <v>2094</v>
      </c>
      <c r="G27" s="10" t="s">
        <v>2093</v>
      </c>
    </row>
    <row r="28" spans="1:7">
      <c r="A28" s="10">
        <v>122530</v>
      </c>
      <c r="B28" s="10" t="s">
        <v>321</v>
      </c>
      <c r="C28" s="10" t="s">
        <v>318</v>
      </c>
      <c r="D28" s="10" t="s">
        <v>319</v>
      </c>
      <c r="E28" s="10" t="s">
        <v>2094</v>
      </c>
      <c r="G28" s="10" t="s">
        <v>2093</v>
      </c>
    </row>
    <row r="29" spans="1:7">
      <c r="A29" s="10">
        <v>122531</v>
      </c>
      <c r="B29" s="10" t="s">
        <v>626</v>
      </c>
      <c r="C29" s="10" t="s">
        <v>627</v>
      </c>
      <c r="D29" s="10" t="s">
        <v>319</v>
      </c>
      <c r="E29" s="10" t="s">
        <v>2094</v>
      </c>
      <c r="G29" s="10" t="s">
        <v>2093</v>
      </c>
    </row>
    <row r="30" spans="1:7">
      <c r="A30" s="10">
        <v>129004</v>
      </c>
      <c r="B30" s="10" t="s">
        <v>147</v>
      </c>
      <c r="C30" s="10" t="s">
        <v>148</v>
      </c>
      <c r="D30" s="10" t="s">
        <v>149</v>
      </c>
      <c r="E30" s="10" t="s">
        <v>1628</v>
      </c>
      <c r="F30" s="10" t="s">
        <v>2090</v>
      </c>
      <c r="G30" s="10" t="s">
        <v>537</v>
      </c>
    </row>
    <row r="31" spans="1:7">
      <c r="A31" s="10">
        <v>129010</v>
      </c>
      <c r="B31" s="10" t="s">
        <v>151</v>
      </c>
      <c r="C31" s="10" t="s">
        <v>148</v>
      </c>
      <c r="D31" s="10" t="s">
        <v>149</v>
      </c>
      <c r="E31" s="10" t="s">
        <v>1628</v>
      </c>
      <c r="F31" s="10" t="s">
        <v>2090</v>
      </c>
      <c r="G31" s="10" t="s">
        <v>537</v>
      </c>
    </row>
    <row r="32" spans="1:7">
      <c r="A32" s="10">
        <v>129129</v>
      </c>
      <c r="B32" s="10" t="s">
        <v>152</v>
      </c>
      <c r="C32" s="10" t="s">
        <v>153</v>
      </c>
      <c r="D32" s="10" t="s">
        <v>149</v>
      </c>
      <c r="E32" s="10" t="s">
        <v>1628</v>
      </c>
      <c r="F32" s="10" t="s">
        <v>2090</v>
      </c>
      <c r="G32" s="10" t="s">
        <v>537</v>
      </c>
    </row>
    <row r="33" spans="1:7">
      <c r="A33" s="10">
        <v>134900</v>
      </c>
      <c r="B33" s="10" t="s">
        <v>261</v>
      </c>
      <c r="C33" s="10" t="s">
        <v>262</v>
      </c>
      <c r="D33" s="10" t="s">
        <v>149</v>
      </c>
      <c r="E33" s="10" t="s">
        <v>1628</v>
      </c>
      <c r="F33" s="10" t="s">
        <v>2090</v>
      </c>
      <c r="G33" s="10" t="s">
        <v>537</v>
      </c>
    </row>
    <row r="34" spans="1:7">
      <c r="A34" s="10">
        <v>136015</v>
      </c>
      <c r="B34" s="10" t="s">
        <v>249</v>
      </c>
      <c r="C34" s="10" t="s">
        <v>250</v>
      </c>
      <c r="D34" s="10" t="s">
        <v>149</v>
      </c>
      <c r="E34" s="10" t="s">
        <v>1628</v>
      </c>
      <c r="F34" s="10" t="s">
        <v>2090</v>
      </c>
      <c r="G34" s="10" t="s">
        <v>537</v>
      </c>
    </row>
    <row r="35" spans="1:7">
      <c r="A35" s="10">
        <v>137001</v>
      </c>
      <c r="B35" s="10" t="s">
        <v>290</v>
      </c>
      <c r="C35" s="10" t="s">
        <v>291</v>
      </c>
      <c r="D35" s="10" t="s">
        <v>149</v>
      </c>
      <c r="E35" s="10" t="s">
        <v>1628</v>
      </c>
      <c r="F35" s="10" t="s">
        <v>2090</v>
      </c>
      <c r="G35" s="10" t="s">
        <v>537</v>
      </c>
    </row>
    <row r="36" spans="1:7">
      <c r="A36" s="10">
        <v>140300</v>
      </c>
      <c r="B36" s="10" t="s">
        <v>181</v>
      </c>
      <c r="C36" s="10" t="s">
        <v>182</v>
      </c>
      <c r="D36" s="10" t="s">
        <v>149</v>
      </c>
      <c r="E36" s="10" t="s">
        <v>1628</v>
      </c>
      <c r="F36" s="10" t="s">
        <v>2090</v>
      </c>
      <c r="G36" s="10" t="s">
        <v>537</v>
      </c>
    </row>
    <row r="37" spans="1:7">
      <c r="A37" s="10">
        <v>140301</v>
      </c>
      <c r="B37" s="10" t="s">
        <v>354</v>
      </c>
      <c r="C37" s="10" t="s">
        <v>355</v>
      </c>
      <c r="D37" s="10" t="s">
        <v>149</v>
      </c>
      <c r="E37" s="10" t="s">
        <v>1628</v>
      </c>
      <c r="F37" s="10" t="s">
        <v>2090</v>
      </c>
      <c r="G37" s="10" t="s">
        <v>537</v>
      </c>
    </row>
    <row r="38" spans="1:7">
      <c r="A38" s="10">
        <v>149500</v>
      </c>
      <c r="B38" s="10" t="s">
        <v>296</v>
      </c>
      <c r="C38" s="10" t="s">
        <v>297</v>
      </c>
      <c r="D38" s="10" t="s">
        <v>149</v>
      </c>
      <c r="E38" s="10" t="s">
        <v>1628</v>
      </c>
      <c r="F38" s="10" t="s">
        <v>2090</v>
      </c>
      <c r="G38" s="10" t="s">
        <v>537</v>
      </c>
    </row>
    <row r="39" spans="1:7">
      <c r="A39" s="10">
        <v>151005</v>
      </c>
      <c r="B39" s="10" t="s">
        <v>532</v>
      </c>
      <c r="C39" s="10" t="s">
        <v>533</v>
      </c>
      <c r="D39" s="10" t="s">
        <v>149</v>
      </c>
      <c r="E39" s="10" t="s">
        <v>1628</v>
      </c>
      <c r="F39" s="10" t="s">
        <v>2090</v>
      </c>
      <c r="G39" s="10" t="s">
        <v>537</v>
      </c>
    </row>
    <row r="40" spans="1:7">
      <c r="A40" s="10">
        <v>152705</v>
      </c>
      <c r="B40" s="10" t="s">
        <v>516</v>
      </c>
      <c r="C40" s="10" t="s">
        <v>517</v>
      </c>
      <c r="D40" s="10" t="s">
        <v>149</v>
      </c>
      <c r="E40" s="10" t="s">
        <v>1628</v>
      </c>
      <c r="F40" s="10" t="s">
        <v>2090</v>
      </c>
      <c r="G40" s="10" t="s">
        <v>537</v>
      </c>
    </row>
    <row r="41" spans="1:7">
      <c r="A41" s="10">
        <v>153005</v>
      </c>
      <c r="B41" s="10" t="s">
        <v>521</v>
      </c>
      <c r="C41" s="10" t="s">
        <v>522</v>
      </c>
      <c r="D41" s="10" t="s">
        <v>149</v>
      </c>
      <c r="E41" s="10" t="s">
        <v>1628</v>
      </c>
      <c r="F41" s="10" t="s">
        <v>2090</v>
      </c>
      <c r="G41" s="10" t="s">
        <v>537</v>
      </c>
    </row>
    <row r="42" spans="1:7">
      <c r="A42" s="10">
        <v>153505</v>
      </c>
      <c r="B42" s="10" t="s">
        <v>232</v>
      </c>
      <c r="C42" s="10" t="s">
        <v>233</v>
      </c>
      <c r="D42" s="10" t="s">
        <v>149</v>
      </c>
      <c r="E42" s="10" t="s">
        <v>1628</v>
      </c>
      <c r="F42" s="10" t="s">
        <v>2090</v>
      </c>
      <c r="G42" s="10" t="s">
        <v>537</v>
      </c>
    </row>
    <row r="43" spans="1:7">
      <c r="A43" s="10">
        <v>156002</v>
      </c>
      <c r="B43" s="10" t="s">
        <v>572</v>
      </c>
      <c r="C43" s="10" t="s">
        <v>573</v>
      </c>
      <c r="D43" s="10" t="s">
        <v>149</v>
      </c>
      <c r="E43" s="10" t="s">
        <v>1628</v>
      </c>
      <c r="F43" s="10" t="s">
        <v>2090</v>
      </c>
      <c r="G43" s="10" t="s">
        <v>537</v>
      </c>
    </row>
    <row r="44" spans="1:7">
      <c r="A44" s="10">
        <v>156006</v>
      </c>
      <c r="B44" s="10" t="s">
        <v>523</v>
      </c>
      <c r="C44" s="10" t="s">
        <v>522</v>
      </c>
      <c r="D44" s="10" t="s">
        <v>149</v>
      </c>
      <c r="E44" s="10" t="s">
        <v>1628</v>
      </c>
      <c r="F44" s="10" t="s">
        <v>2090</v>
      </c>
      <c r="G44" s="10" t="s">
        <v>537</v>
      </c>
    </row>
    <row r="45" spans="1:7">
      <c r="A45" s="10">
        <v>160006</v>
      </c>
      <c r="B45" s="10" t="s">
        <v>643</v>
      </c>
      <c r="C45" s="10" t="s">
        <v>644</v>
      </c>
      <c r="D45" s="10" t="s">
        <v>149</v>
      </c>
      <c r="E45" s="10" t="s">
        <v>1628</v>
      </c>
      <c r="F45" s="10" t="s">
        <v>2090</v>
      </c>
      <c r="G45" s="10" t="s">
        <v>537</v>
      </c>
    </row>
    <row r="46" spans="1:7">
      <c r="A46" s="10">
        <v>160008</v>
      </c>
      <c r="B46" s="10" t="s">
        <v>646</v>
      </c>
      <c r="C46" s="10" t="s">
        <v>644</v>
      </c>
      <c r="D46" s="10" t="s">
        <v>149</v>
      </c>
      <c r="E46" s="10" t="s">
        <v>1628</v>
      </c>
      <c r="F46" s="10" t="s">
        <v>2090</v>
      </c>
      <c r="G46" s="10" t="s">
        <v>537</v>
      </c>
    </row>
    <row r="47" spans="1:7">
      <c r="A47" s="10">
        <v>160009</v>
      </c>
      <c r="B47" s="10" t="s">
        <v>647</v>
      </c>
      <c r="C47" s="10" t="s">
        <v>644</v>
      </c>
      <c r="D47" s="10" t="s">
        <v>149</v>
      </c>
      <c r="E47" s="10" t="s">
        <v>1628</v>
      </c>
      <c r="F47" s="10" t="s">
        <v>2090</v>
      </c>
      <c r="G47" s="10" t="s">
        <v>537</v>
      </c>
    </row>
    <row r="48" spans="1:7">
      <c r="A48" s="10">
        <v>166150</v>
      </c>
      <c r="B48" s="10" t="s">
        <v>800</v>
      </c>
      <c r="C48" s="10" t="s">
        <v>801</v>
      </c>
      <c r="D48" s="10" t="s">
        <v>149</v>
      </c>
      <c r="E48" s="10" t="s">
        <v>1628</v>
      </c>
      <c r="F48" s="10" t="s">
        <v>2090</v>
      </c>
      <c r="G48" s="10" t="s">
        <v>537</v>
      </c>
    </row>
    <row r="49" spans="1:7">
      <c r="A49" s="10">
        <v>167003</v>
      </c>
      <c r="B49" s="10" t="s">
        <v>802</v>
      </c>
      <c r="C49" s="10" t="s">
        <v>801</v>
      </c>
      <c r="D49" s="10" t="s">
        <v>149</v>
      </c>
      <c r="E49" s="10" t="s">
        <v>1628</v>
      </c>
      <c r="F49" s="10" t="s">
        <v>2090</v>
      </c>
      <c r="G49" s="10" t="s">
        <v>537</v>
      </c>
    </row>
    <row r="50" spans="1:7">
      <c r="A50" s="10">
        <v>167025</v>
      </c>
      <c r="B50" s="10" t="s">
        <v>804</v>
      </c>
      <c r="C50" s="10" t="s">
        <v>801</v>
      </c>
      <c r="D50" s="10" t="s">
        <v>149</v>
      </c>
      <c r="E50" s="10" t="s">
        <v>1628</v>
      </c>
      <c r="F50" s="10" t="s">
        <v>2090</v>
      </c>
      <c r="G50" s="10" t="s">
        <v>537</v>
      </c>
    </row>
    <row r="51" spans="1:7">
      <c r="A51" s="10">
        <v>167035</v>
      </c>
      <c r="B51" s="10" t="s">
        <v>806</v>
      </c>
      <c r="C51" s="10" t="s">
        <v>801</v>
      </c>
      <c r="D51" s="10" t="s">
        <v>149</v>
      </c>
      <c r="E51" s="10" t="s">
        <v>1628</v>
      </c>
      <c r="F51" s="10" t="s">
        <v>2090</v>
      </c>
      <c r="G51" s="10" t="s">
        <v>537</v>
      </c>
    </row>
    <row r="52" spans="1:7">
      <c r="A52" s="10">
        <v>176000</v>
      </c>
      <c r="B52" s="10" t="s">
        <v>106</v>
      </c>
      <c r="C52" s="10" t="s">
        <v>107</v>
      </c>
      <c r="D52" s="10" t="s">
        <v>108</v>
      </c>
      <c r="E52" s="10" t="s">
        <v>2094</v>
      </c>
      <c r="G52" s="10" t="s">
        <v>2093</v>
      </c>
    </row>
    <row r="53" spans="1:7">
      <c r="A53" s="10">
        <v>176001</v>
      </c>
      <c r="B53" s="10" t="s">
        <v>110</v>
      </c>
      <c r="C53" s="10" t="s">
        <v>107</v>
      </c>
      <c r="D53" s="10" t="s">
        <v>108</v>
      </c>
      <c r="E53" s="10" t="s">
        <v>2094</v>
      </c>
      <c r="G53" s="10" t="s">
        <v>2093</v>
      </c>
    </row>
    <row r="54" spans="1:7">
      <c r="A54" s="10">
        <v>176006</v>
      </c>
      <c r="B54" s="10" t="s">
        <v>111</v>
      </c>
      <c r="C54" s="10" t="s">
        <v>107</v>
      </c>
      <c r="D54" s="10" t="s">
        <v>108</v>
      </c>
      <c r="E54" s="10" t="s">
        <v>2094</v>
      </c>
      <c r="G54" s="10" t="s">
        <v>2093</v>
      </c>
    </row>
    <row r="55" spans="1:7">
      <c r="A55" s="10">
        <v>177501</v>
      </c>
      <c r="B55" s="10" t="s">
        <v>356</v>
      </c>
      <c r="C55" s="10" t="s">
        <v>357</v>
      </c>
      <c r="D55" s="10" t="s">
        <v>108</v>
      </c>
      <c r="E55" s="10" t="s">
        <v>2094</v>
      </c>
      <c r="G55" s="10" t="s">
        <v>2093</v>
      </c>
    </row>
    <row r="56" spans="1:7">
      <c r="A56" s="10">
        <v>178580</v>
      </c>
      <c r="B56" s="10" t="s">
        <v>530</v>
      </c>
      <c r="C56" s="10" t="s">
        <v>531</v>
      </c>
      <c r="D56" s="10" t="s">
        <v>108</v>
      </c>
      <c r="E56" s="10" t="s">
        <v>2094</v>
      </c>
      <c r="G56" s="10" t="s">
        <v>2093</v>
      </c>
    </row>
    <row r="57" spans="1:7">
      <c r="A57" s="10">
        <v>201501</v>
      </c>
      <c r="B57" s="10" t="s">
        <v>459</v>
      </c>
      <c r="C57" s="10" t="s">
        <v>460</v>
      </c>
      <c r="D57" s="10" t="s">
        <v>461</v>
      </c>
      <c r="E57" s="10" t="s">
        <v>1622</v>
      </c>
      <c r="F57" s="10" t="s">
        <v>2092</v>
      </c>
      <c r="G57" s="10" t="s">
        <v>682</v>
      </c>
    </row>
    <row r="58" spans="1:7">
      <c r="A58" s="10">
        <v>201505</v>
      </c>
      <c r="B58" s="10" t="s">
        <v>463</v>
      </c>
      <c r="C58" s="10" t="s">
        <v>460</v>
      </c>
      <c r="D58" s="10" t="s">
        <v>461</v>
      </c>
      <c r="E58" s="10" t="s">
        <v>1622</v>
      </c>
      <c r="F58" s="10" t="s">
        <v>2092</v>
      </c>
      <c r="G58" s="10" t="s">
        <v>682</v>
      </c>
    </row>
    <row r="59" spans="1:7">
      <c r="A59" s="10">
        <v>208710</v>
      </c>
      <c r="B59" s="10" t="s">
        <v>792</v>
      </c>
      <c r="C59" s="10" t="s">
        <v>793</v>
      </c>
      <c r="D59" s="10" t="s">
        <v>461</v>
      </c>
      <c r="E59" s="10" t="s">
        <v>1622</v>
      </c>
      <c r="F59" s="10" t="s">
        <v>2092</v>
      </c>
      <c r="G59" s="10" t="s">
        <v>682</v>
      </c>
    </row>
    <row r="60" spans="1:7">
      <c r="A60" s="10">
        <v>213008</v>
      </c>
      <c r="B60" s="10" t="s">
        <v>74</v>
      </c>
      <c r="C60" s="10" t="s">
        <v>75</v>
      </c>
      <c r="D60" s="10" t="s">
        <v>76</v>
      </c>
      <c r="E60" s="10" t="s">
        <v>2069</v>
      </c>
      <c r="F60" s="10" t="s">
        <v>2092</v>
      </c>
      <c r="G60" s="10" t="s">
        <v>682</v>
      </c>
    </row>
    <row r="61" spans="1:7">
      <c r="A61" s="10">
        <v>217517</v>
      </c>
      <c r="B61" s="10" t="s">
        <v>97</v>
      </c>
      <c r="C61" s="10" t="s">
        <v>98</v>
      </c>
      <c r="D61" s="10" t="s">
        <v>76</v>
      </c>
      <c r="E61" s="10" t="s">
        <v>2069</v>
      </c>
      <c r="F61" s="10" t="s">
        <v>2092</v>
      </c>
      <c r="G61" s="10" t="s">
        <v>682</v>
      </c>
    </row>
    <row r="62" spans="1:7">
      <c r="A62" s="10">
        <v>220586</v>
      </c>
      <c r="B62" s="10" t="s">
        <v>91</v>
      </c>
      <c r="C62" s="10" t="s">
        <v>92</v>
      </c>
      <c r="D62" s="10" t="s">
        <v>76</v>
      </c>
      <c r="E62" s="10" t="s">
        <v>2069</v>
      </c>
      <c r="F62" s="10" t="s">
        <v>2092</v>
      </c>
      <c r="G62" s="10" t="s">
        <v>682</v>
      </c>
    </row>
    <row r="63" spans="1:7">
      <c r="A63" s="10">
        <v>220900</v>
      </c>
      <c r="B63" s="10" t="s">
        <v>118</v>
      </c>
      <c r="C63" s="10" t="s">
        <v>119</v>
      </c>
      <c r="D63" s="10" t="s">
        <v>76</v>
      </c>
      <c r="E63" s="10" t="s">
        <v>2069</v>
      </c>
      <c r="F63" s="10" t="s">
        <v>2092</v>
      </c>
      <c r="G63" s="10" t="s">
        <v>682</v>
      </c>
    </row>
    <row r="64" spans="1:7">
      <c r="A64" s="10">
        <v>221010</v>
      </c>
      <c r="B64" s="10" t="s">
        <v>103</v>
      </c>
      <c r="C64" s="10" t="s">
        <v>104</v>
      </c>
      <c r="D64" s="10" t="s">
        <v>76</v>
      </c>
      <c r="E64" s="10" t="s">
        <v>2069</v>
      </c>
      <c r="F64" s="10" t="s">
        <v>2092</v>
      </c>
      <c r="G64" s="10" t="s">
        <v>682</v>
      </c>
    </row>
    <row r="65" spans="1:7">
      <c r="A65" s="10">
        <v>222010</v>
      </c>
      <c r="B65" s="10" t="s">
        <v>115</v>
      </c>
      <c r="C65" s="10" t="s">
        <v>116</v>
      </c>
      <c r="D65" s="10" t="s">
        <v>76</v>
      </c>
      <c r="E65" s="10" t="s">
        <v>2069</v>
      </c>
      <c r="F65" s="10" t="s">
        <v>2092</v>
      </c>
      <c r="G65" s="10" t="s">
        <v>682</v>
      </c>
    </row>
    <row r="66" spans="1:7">
      <c r="A66" s="10">
        <v>224505</v>
      </c>
      <c r="B66" s="10" t="s">
        <v>144</v>
      </c>
      <c r="C66" s="10" t="s">
        <v>145</v>
      </c>
      <c r="D66" s="10" t="s">
        <v>76</v>
      </c>
      <c r="E66" s="10" t="s">
        <v>2069</v>
      </c>
      <c r="F66" s="10" t="s">
        <v>2092</v>
      </c>
      <c r="G66" s="10" t="s">
        <v>682</v>
      </c>
    </row>
    <row r="67" spans="1:7">
      <c r="A67" s="10">
        <v>225625</v>
      </c>
      <c r="B67" s="10" t="s">
        <v>154</v>
      </c>
      <c r="C67" s="10" t="s">
        <v>155</v>
      </c>
      <c r="D67" s="10" t="s">
        <v>76</v>
      </c>
      <c r="E67" s="10" t="s">
        <v>2069</v>
      </c>
      <c r="F67" s="10" t="s">
        <v>2092</v>
      </c>
      <c r="G67" s="10" t="s">
        <v>682</v>
      </c>
    </row>
    <row r="68" spans="1:7">
      <c r="A68" s="10">
        <v>227500</v>
      </c>
      <c r="B68" s="10" t="s">
        <v>157</v>
      </c>
      <c r="C68" s="10" t="s">
        <v>158</v>
      </c>
      <c r="D68" s="10" t="s">
        <v>76</v>
      </c>
      <c r="E68" s="10" t="s">
        <v>2069</v>
      </c>
      <c r="F68" s="10" t="s">
        <v>2092</v>
      </c>
      <c r="G68" s="10" t="s">
        <v>682</v>
      </c>
    </row>
    <row r="69" spans="1:7">
      <c r="A69" s="10">
        <v>228002</v>
      </c>
      <c r="B69" s="10" t="s">
        <v>160</v>
      </c>
      <c r="C69" s="10" t="s">
        <v>161</v>
      </c>
      <c r="D69" s="10" t="s">
        <v>76</v>
      </c>
      <c r="E69" s="10" t="s">
        <v>2069</v>
      </c>
      <c r="F69" s="10" t="s">
        <v>2092</v>
      </c>
      <c r="G69" s="10" t="s">
        <v>682</v>
      </c>
    </row>
    <row r="70" spans="1:7">
      <c r="A70" s="10">
        <v>232400</v>
      </c>
      <c r="B70" s="10" t="s">
        <v>236</v>
      </c>
      <c r="C70" s="10" t="s">
        <v>237</v>
      </c>
      <c r="D70" s="10" t="s">
        <v>76</v>
      </c>
      <c r="E70" s="10" t="s">
        <v>2069</v>
      </c>
      <c r="F70" s="10" t="s">
        <v>2092</v>
      </c>
      <c r="G70" s="10" t="s">
        <v>682</v>
      </c>
    </row>
    <row r="71" spans="1:7">
      <c r="A71" s="10">
        <v>232401</v>
      </c>
      <c r="B71" s="10" t="s">
        <v>239</v>
      </c>
      <c r="C71" s="10" t="s">
        <v>237</v>
      </c>
      <c r="D71" s="10" t="s">
        <v>76</v>
      </c>
      <c r="E71" s="10" t="s">
        <v>2069</v>
      </c>
      <c r="F71" s="10" t="s">
        <v>2092</v>
      </c>
      <c r="G71" s="10" t="s">
        <v>682</v>
      </c>
    </row>
    <row r="72" spans="1:7">
      <c r="A72" s="10">
        <v>240124</v>
      </c>
      <c r="B72" s="10" t="s">
        <v>207</v>
      </c>
      <c r="C72" s="10" t="s">
        <v>208</v>
      </c>
      <c r="D72" s="10" t="s">
        <v>76</v>
      </c>
      <c r="E72" s="10" t="s">
        <v>2069</v>
      </c>
      <c r="F72" s="10" t="s">
        <v>2092</v>
      </c>
      <c r="G72" s="10" t="s">
        <v>682</v>
      </c>
    </row>
    <row r="73" spans="1:7">
      <c r="A73" s="10">
        <v>242020</v>
      </c>
      <c r="B73" s="10" t="s">
        <v>211</v>
      </c>
      <c r="C73" s="10" t="s">
        <v>212</v>
      </c>
      <c r="D73" s="10" t="s">
        <v>76</v>
      </c>
      <c r="E73" s="10" t="s">
        <v>2069</v>
      </c>
      <c r="F73" s="10" t="s">
        <v>2092</v>
      </c>
      <c r="G73" s="10" t="s">
        <v>682</v>
      </c>
    </row>
    <row r="74" spans="1:7">
      <c r="A74" s="10">
        <v>245509</v>
      </c>
      <c r="B74" s="10" t="s">
        <v>217</v>
      </c>
      <c r="C74" s="10" t="s">
        <v>218</v>
      </c>
      <c r="D74" s="10" t="s">
        <v>76</v>
      </c>
      <c r="E74" s="10" t="s">
        <v>2069</v>
      </c>
      <c r="F74" s="10" t="s">
        <v>2092</v>
      </c>
      <c r="G74" s="10" t="s">
        <v>682</v>
      </c>
    </row>
    <row r="75" spans="1:7">
      <c r="A75" s="10">
        <v>245545</v>
      </c>
      <c r="B75" s="10" t="s">
        <v>220</v>
      </c>
      <c r="C75" s="10" t="s">
        <v>218</v>
      </c>
      <c r="D75" s="10" t="s">
        <v>76</v>
      </c>
      <c r="E75" s="10" t="s">
        <v>2069</v>
      </c>
      <c r="F75" s="10" t="s">
        <v>2092</v>
      </c>
      <c r="G75" s="10" t="s">
        <v>682</v>
      </c>
    </row>
    <row r="76" spans="1:7">
      <c r="A76" s="10">
        <v>253005</v>
      </c>
      <c r="B76" s="10" t="s">
        <v>267</v>
      </c>
      <c r="C76" s="10" t="s">
        <v>268</v>
      </c>
      <c r="D76" s="10" t="s">
        <v>76</v>
      </c>
      <c r="E76" s="10" t="s">
        <v>2069</v>
      </c>
      <c r="F76" s="10" t="s">
        <v>2092</v>
      </c>
      <c r="G76" s="10" t="s">
        <v>682</v>
      </c>
    </row>
    <row r="77" spans="1:7">
      <c r="A77" s="10">
        <v>253506</v>
      </c>
      <c r="B77" s="10" t="s">
        <v>273</v>
      </c>
      <c r="C77" s="10" t="s">
        <v>274</v>
      </c>
      <c r="D77" s="10" t="s">
        <v>76</v>
      </c>
      <c r="E77" s="10" t="s">
        <v>2069</v>
      </c>
      <c r="F77" s="10" t="s">
        <v>2092</v>
      </c>
      <c r="G77" s="10" t="s">
        <v>682</v>
      </c>
    </row>
    <row r="78" spans="1:7">
      <c r="A78" s="10">
        <v>254002</v>
      </c>
      <c r="B78" s="10" t="s">
        <v>277</v>
      </c>
      <c r="C78" s="10" t="s">
        <v>278</v>
      </c>
      <c r="D78" s="10" t="s">
        <v>76</v>
      </c>
      <c r="E78" s="10" t="s">
        <v>2069</v>
      </c>
      <c r="F78" s="10" t="s">
        <v>2092</v>
      </c>
      <c r="G78" s="10" t="s">
        <v>682</v>
      </c>
    </row>
    <row r="79" spans="1:7">
      <c r="A79" s="10">
        <v>255005</v>
      </c>
      <c r="B79" s="10" t="s">
        <v>286</v>
      </c>
      <c r="C79" s="10" t="s">
        <v>287</v>
      </c>
      <c r="D79" s="10" t="s">
        <v>76</v>
      </c>
      <c r="E79" s="10" t="s">
        <v>2069</v>
      </c>
      <c r="F79" s="10" t="s">
        <v>2092</v>
      </c>
      <c r="G79" s="10" t="s">
        <v>682</v>
      </c>
    </row>
    <row r="80" spans="1:7">
      <c r="A80" s="10">
        <v>255025</v>
      </c>
      <c r="B80" s="10" t="s">
        <v>283</v>
      </c>
      <c r="C80" s="10" t="s">
        <v>284</v>
      </c>
      <c r="D80" s="10" t="s">
        <v>76</v>
      </c>
      <c r="E80" s="10" t="s">
        <v>2069</v>
      </c>
      <c r="F80" s="10" t="s">
        <v>2092</v>
      </c>
      <c r="G80" s="10" t="s">
        <v>682</v>
      </c>
    </row>
    <row r="81" spans="1:7">
      <c r="A81" s="10">
        <v>256030</v>
      </c>
      <c r="B81" s="10" t="s">
        <v>288</v>
      </c>
      <c r="C81" s="10" t="s">
        <v>289</v>
      </c>
      <c r="D81" s="10" t="s">
        <v>76</v>
      </c>
      <c r="E81" s="10" t="s">
        <v>2069</v>
      </c>
      <c r="F81" s="10" t="s">
        <v>2092</v>
      </c>
      <c r="G81" s="10" t="s">
        <v>682</v>
      </c>
    </row>
    <row r="82" spans="1:7">
      <c r="A82" s="10">
        <v>266405</v>
      </c>
      <c r="B82" s="10" t="s">
        <v>362</v>
      </c>
      <c r="C82" s="10" t="s">
        <v>363</v>
      </c>
      <c r="D82" s="10" t="s">
        <v>76</v>
      </c>
      <c r="E82" s="10" t="s">
        <v>2069</v>
      </c>
      <c r="F82" s="10" t="s">
        <v>2092</v>
      </c>
      <c r="G82" s="10" t="s">
        <v>682</v>
      </c>
    </row>
    <row r="83" spans="1:7">
      <c r="A83" s="10">
        <v>266861</v>
      </c>
      <c r="B83" s="10" t="s">
        <v>635</v>
      </c>
      <c r="C83" s="10" t="s">
        <v>636</v>
      </c>
      <c r="D83" s="10" t="s">
        <v>76</v>
      </c>
      <c r="E83" s="10" t="s">
        <v>2069</v>
      </c>
      <c r="F83" s="10" t="s">
        <v>2092</v>
      </c>
      <c r="G83" s="10" t="s">
        <v>682</v>
      </c>
    </row>
    <row r="84" spans="1:7">
      <c r="A84" s="10">
        <v>270800</v>
      </c>
      <c r="B84" s="10" t="s">
        <v>424</v>
      </c>
      <c r="C84" s="10" t="s">
        <v>425</v>
      </c>
      <c r="D84" s="10" t="s">
        <v>76</v>
      </c>
      <c r="E84" s="10" t="s">
        <v>2069</v>
      </c>
      <c r="F84" s="10" t="s">
        <v>2092</v>
      </c>
      <c r="G84" s="10" t="s">
        <v>682</v>
      </c>
    </row>
    <row r="85" spans="1:7">
      <c r="A85" s="10">
        <v>273518</v>
      </c>
      <c r="B85" s="10" t="s">
        <v>419</v>
      </c>
      <c r="C85" s="10" t="s">
        <v>420</v>
      </c>
      <c r="D85" s="10" t="s">
        <v>76</v>
      </c>
      <c r="E85" s="10" t="s">
        <v>2069</v>
      </c>
      <c r="F85" s="10" t="s">
        <v>2092</v>
      </c>
      <c r="G85" s="10" t="s">
        <v>682</v>
      </c>
    </row>
    <row r="86" spans="1:7">
      <c r="A86" s="10">
        <v>274301</v>
      </c>
      <c r="B86" s="10" t="s">
        <v>427</v>
      </c>
      <c r="C86" s="10" t="s">
        <v>428</v>
      </c>
      <c r="D86" s="10" t="s">
        <v>76</v>
      </c>
      <c r="E86" s="10" t="s">
        <v>2069</v>
      </c>
      <c r="F86" s="10" t="s">
        <v>2092</v>
      </c>
      <c r="G86" s="10" t="s">
        <v>682</v>
      </c>
    </row>
    <row r="87" spans="1:7">
      <c r="A87" s="10">
        <v>282100</v>
      </c>
      <c r="B87" s="10" t="s">
        <v>175</v>
      </c>
      <c r="C87" s="10" t="s">
        <v>176</v>
      </c>
      <c r="D87" s="10" t="s">
        <v>76</v>
      </c>
      <c r="E87" s="10" t="s">
        <v>2069</v>
      </c>
      <c r="F87" s="10" t="s">
        <v>2092</v>
      </c>
      <c r="G87" s="10" t="s">
        <v>682</v>
      </c>
    </row>
    <row r="88" spans="1:7">
      <c r="A88" s="10">
        <v>282101</v>
      </c>
      <c r="B88" s="10" t="s">
        <v>483</v>
      </c>
      <c r="C88" s="10" t="s">
        <v>484</v>
      </c>
      <c r="D88" s="10" t="s">
        <v>76</v>
      </c>
      <c r="E88" s="10" t="s">
        <v>2069</v>
      </c>
      <c r="F88" s="10" t="s">
        <v>2092</v>
      </c>
      <c r="G88" s="10" t="s">
        <v>682</v>
      </c>
    </row>
    <row r="89" spans="1:7">
      <c r="A89" s="10">
        <v>291000</v>
      </c>
      <c r="B89" s="10" t="s">
        <v>575</v>
      </c>
      <c r="C89" s="10" t="s">
        <v>576</v>
      </c>
      <c r="D89" s="10" t="s">
        <v>76</v>
      </c>
      <c r="E89" s="10" t="s">
        <v>2069</v>
      </c>
      <c r="F89" s="10" t="s">
        <v>2092</v>
      </c>
      <c r="G89" s="10" t="s">
        <v>682</v>
      </c>
    </row>
    <row r="90" spans="1:7">
      <c r="A90" s="10">
        <v>297005</v>
      </c>
      <c r="B90" s="10" t="s">
        <v>534</v>
      </c>
      <c r="C90" s="10" t="s">
        <v>535</v>
      </c>
      <c r="D90" s="10" t="s">
        <v>76</v>
      </c>
      <c r="E90" s="10" t="s">
        <v>2069</v>
      </c>
      <c r="F90" s="10" t="s">
        <v>2092</v>
      </c>
      <c r="G90" s="10" t="s">
        <v>682</v>
      </c>
    </row>
    <row r="91" spans="1:7">
      <c r="A91" s="10">
        <v>297507</v>
      </c>
      <c r="B91" s="10" t="s">
        <v>559</v>
      </c>
      <c r="C91" s="10" t="s">
        <v>560</v>
      </c>
      <c r="D91" s="10" t="s">
        <v>76</v>
      </c>
      <c r="E91" s="10" t="s">
        <v>2069</v>
      </c>
      <c r="F91" s="10" t="s">
        <v>2092</v>
      </c>
      <c r="G91" s="10" t="s">
        <v>682</v>
      </c>
    </row>
    <row r="92" spans="1:7">
      <c r="A92" s="10">
        <v>297509</v>
      </c>
      <c r="B92" s="10" t="s">
        <v>562</v>
      </c>
      <c r="C92" s="10" t="s">
        <v>560</v>
      </c>
      <c r="D92" s="10" t="s">
        <v>76</v>
      </c>
      <c r="E92" s="10" t="s">
        <v>2069</v>
      </c>
      <c r="F92" s="10" t="s">
        <v>2092</v>
      </c>
      <c r="G92" s="10" t="s">
        <v>682</v>
      </c>
    </row>
    <row r="93" spans="1:7">
      <c r="A93" s="10">
        <v>298007</v>
      </c>
      <c r="B93" s="10" t="s">
        <v>563</v>
      </c>
      <c r="C93" s="10" t="s">
        <v>564</v>
      </c>
      <c r="D93" s="10" t="s">
        <v>76</v>
      </c>
      <c r="E93" s="10" t="s">
        <v>2069</v>
      </c>
      <c r="F93" s="10" t="s">
        <v>2092</v>
      </c>
      <c r="G93" s="10" t="s">
        <v>682</v>
      </c>
    </row>
    <row r="94" spans="1:7">
      <c r="A94" s="10">
        <v>298008</v>
      </c>
      <c r="B94" s="10" t="s">
        <v>566</v>
      </c>
      <c r="C94" s="10" t="s">
        <v>564</v>
      </c>
      <c r="D94" s="10" t="s">
        <v>76</v>
      </c>
      <c r="E94" s="10" t="s">
        <v>2069</v>
      </c>
      <c r="F94" s="10" t="s">
        <v>2092</v>
      </c>
      <c r="G94" s="10" t="s">
        <v>682</v>
      </c>
    </row>
    <row r="95" spans="1:7">
      <c r="A95" s="10">
        <v>301535</v>
      </c>
      <c r="B95" s="10" t="s">
        <v>774</v>
      </c>
      <c r="C95" s="10" t="s">
        <v>775</v>
      </c>
      <c r="D95" s="10" t="s">
        <v>76</v>
      </c>
      <c r="E95" s="10" t="s">
        <v>2069</v>
      </c>
      <c r="F95" s="10" t="s">
        <v>2092</v>
      </c>
      <c r="G95" s="10" t="s">
        <v>682</v>
      </c>
    </row>
    <row r="96" spans="1:7">
      <c r="A96" s="10">
        <v>304495</v>
      </c>
      <c r="B96" s="10" t="s">
        <v>577</v>
      </c>
      <c r="C96" s="10" t="s">
        <v>576</v>
      </c>
      <c r="D96" s="10" t="s">
        <v>76</v>
      </c>
      <c r="E96" s="10" t="s">
        <v>2069</v>
      </c>
      <c r="F96" s="10" t="s">
        <v>2092</v>
      </c>
      <c r="G96" s="10" t="s">
        <v>682</v>
      </c>
    </row>
    <row r="97" spans="1:7">
      <c r="A97" s="10">
        <v>304500</v>
      </c>
      <c r="B97" s="10" t="s">
        <v>276</v>
      </c>
      <c r="C97" s="10" t="s">
        <v>274</v>
      </c>
      <c r="D97" s="10" t="s">
        <v>76</v>
      </c>
      <c r="E97" s="10" t="s">
        <v>2069</v>
      </c>
      <c r="F97" s="10" t="s">
        <v>2092</v>
      </c>
      <c r="G97" s="10" t="s">
        <v>682</v>
      </c>
    </row>
    <row r="98" spans="1:7">
      <c r="A98" s="10">
        <v>304501</v>
      </c>
      <c r="B98" s="10" t="s">
        <v>578</v>
      </c>
      <c r="C98" s="10" t="s">
        <v>576</v>
      </c>
      <c r="D98" s="10" t="s">
        <v>76</v>
      </c>
      <c r="E98" s="10" t="s">
        <v>2069</v>
      </c>
      <c r="F98" s="10" t="s">
        <v>2092</v>
      </c>
      <c r="G98" s="10" t="s">
        <v>682</v>
      </c>
    </row>
    <row r="99" spans="1:7">
      <c r="A99" s="10">
        <v>304552</v>
      </c>
      <c r="B99" s="10" t="s">
        <v>569</v>
      </c>
      <c r="C99" s="10" t="s">
        <v>570</v>
      </c>
      <c r="D99" s="10" t="s">
        <v>76</v>
      </c>
      <c r="E99" s="10" t="s">
        <v>2069</v>
      </c>
      <c r="F99" s="10" t="s">
        <v>2092</v>
      </c>
      <c r="G99" s="10" t="s">
        <v>682</v>
      </c>
    </row>
    <row r="100" spans="1:7">
      <c r="A100" s="10">
        <v>304553</v>
      </c>
      <c r="B100" s="10" t="s">
        <v>510</v>
      </c>
      <c r="C100" s="10" t="s">
        <v>511</v>
      </c>
      <c r="D100" s="10" t="s">
        <v>76</v>
      </c>
      <c r="E100" s="10" t="s">
        <v>2069</v>
      </c>
      <c r="F100" s="10" t="s">
        <v>2092</v>
      </c>
      <c r="G100" s="10" t="s">
        <v>682</v>
      </c>
    </row>
    <row r="101" spans="1:7">
      <c r="A101" s="10">
        <v>306310</v>
      </c>
      <c r="B101" s="10" t="s">
        <v>331</v>
      </c>
      <c r="C101" s="10" t="s">
        <v>332</v>
      </c>
      <c r="D101" s="10" t="s">
        <v>76</v>
      </c>
      <c r="E101" s="10" t="s">
        <v>2069</v>
      </c>
      <c r="F101" s="10" t="s">
        <v>2092</v>
      </c>
      <c r="G101" s="10" t="s">
        <v>682</v>
      </c>
    </row>
    <row r="102" spans="1:7">
      <c r="A102" s="10">
        <v>306316</v>
      </c>
      <c r="B102" s="10" t="s">
        <v>334</v>
      </c>
      <c r="C102" s="10" t="s">
        <v>335</v>
      </c>
      <c r="D102" s="10" t="s">
        <v>76</v>
      </c>
      <c r="E102" s="10" t="s">
        <v>2069</v>
      </c>
      <c r="F102" s="10" t="s">
        <v>2092</v>
      </c>
      <c r="G102" s="10" t="s">
        <v>682</v>
      </c>
    </row>
    <row r="103" spans="1:7">
      <c r="A103" s="10">
        <v>308005</v>
      </c>
      <c r="B103" s="10" t="s">
        <v>597</v>
      </c>
      <c r="C103" s="10" t="s">
        <v>598</v>
      </c>
      <c r="D103" s="10" t="s">
        <v>76</v>
      </c>
      <c r="E103" s="10" t="s">
        <v>2069</v>
      </c>
      <c r="F103" s="10" t="s">
        <v>2092</v>
      </c>
      <c r="G103" s="10" t="s">
        <v>682</v>
      </c>
    </row>
    <row r="104" spans="1:7">
      <c r="A104" s="10">
        <v>309100</v>
      </c>
      <c r="B104" s="10" t="s">
        <v>601</v>
      </c>
      <c r="C104" s="10" t="s">
        <v>602</v>
      </c>
      <c r="D104" s="10" t="s">
        <v>76</v>
      </c>
      <c r="E104" s="10" t="s">
        <v>2069</v>
      </c>
      <c r="F104" s="10" t="s">
        <v>2092</v>
      </c>
      <c r="G104" s="10" t="s">
        <v>682</v>
      </c>
    </row>
    <row r="105" spans="1:7">
      <c r="A105" s="10">
        <v>309509</v>
      </c>
      <c r="B105" s="10" t="s">
        <v>612</v>
      </c>
      <c r="C105" s="10" t="s">
        <v>613</v>
      </c>
      <c r="D105" s="10" t="s">
        <v>76</v>
      </c>
      <c r="E105" s="10" t="s">
        <v>2069</v>
      </c>
      <c r="F105" s="10" t="s">
        <v>2092</v>
      </c>
      <c r="G105" s="10" t="s">
        <v>682</v>
      </c>
    </row>
    <row r="106" spans="1:7">
      <c r="A106" s="10">
        <v>310516</v>
      </c>
      <c r="B106" s="10" t="s">
        <v>604</v>
      </c>
      <c r="C106" s="10" t="s">
        <v>605</v>
      </c>
      <c r="D106" s="10" t="s">
        <v>76</v>
      </c>
      <c r="E106" s="10" t="s">
        <v>2069</v>
      </c>
      <c r="F106" s="10" t="s">
        <v>2092</v>
      </c>
      <c r="G106" s="10" t="s">
        <v>682</v>
      </c>
    </row>
    <row r="107" spans="1:7">
      <c r="A107" s="10">
        <v>311000</v>
      </c>
      <c r="B107" s="10" t="s">
        <v>638</v>
      </c>
      <c r="C107" s="10" t="s">
        <v>639</v>
      </c>
      <c r="D107" s="10" t="s">
        <v>76</v>
      </c>
      <c r="E107" s="10" t="s">
        <v>2069</v>
      </c>
      <c r="F107" s="10" t="s">
        <v>2092</v>
      </c>
      <c r="G107" s="10" t="s">
        <v>682</v>
      </c>
    </row>
    <row r="108" spans="1:7">
      <c r="A108" s="10">
        <v>313010</v>
      </c>
      <c r="B108" s="10" t="s">
        <v>186</v>
      </c>
      <c r="C108" s="10" t="s">
        <v>187</v>
      </c>
      <c r="D108" s="10" t="s">
        <v>76</v>
      </c>
      <c r="E108" s="10" t="s">
        <v>2069</v>
      </c>
      <c r="F108" s="10" t="s">
        <v>2092</v>
      </c>
      <c r="G108" s="10" t="s">
        <v>682</v>
      </c>
    </row>
    <row r="109" spans="1:7">
      <c r="A109" s="10">
        <v>313023</v>
      </c>
      <c r="B109" s="10" t="s">
        <v>622</v>
      </c>
      <c r="C109" s="10" t="s">
        <v>623</v>
      </c>
      <c r="D109" s="10" t="s">
        <v>76</v>
      </c>
      <c r="E109" s="10" t="s">
        <v>2069</v>
      </c>
      <c r="F109" s="10" t="s">
        <v>2092</v>
      </c>
      <c r="G109" s="10" t="s">
        <v>682</v>
      </c>
    </row>
    <row r="110" spans="1:7">
      <c r="A110" s="10">
        <v>313510</v>
      </c>
      <c r="B110" s="10" t="s">
        <v>628</v>
      </c>
      <c r="C110" s="10" t="s">
        <v>629</v>
      </c>
      <c r="D110" s="10" t="s">
        <v>76</v>
      </c>
      <c r="E110" s="10" t="s">
        <v>2069</v>
      </c>
      <c r="F110" s="10" t="s">
        <v>2092</v>
      </c>
      <c r="G110" s="10" t="s">
        <v>682</v>
      </c>
    </row>
    <row r="111" spans="1:7">
      <c r="A111" s="10">
        <v>314006</v>
      </c>
      <c r="B111" s="10" t="s">
        <v>625</v>
      </c>
      <c r="C111" s="10" t="s">
        <v>623</v>
      </c>
      <c r="D111" s="10" t="s">
        <v>76</v>
      </c>
      <c r="E111" s="10" t="s">
        <v>2069</v>
      </c>
      <c r="F111" s="10" t="s">
        <v>2092</v>
      </c>
      <c r="G111" s="10" t="s">
        <v>682</v>
      </c>
    </row>
    <row r="112" spans="1:7">
      <c r="A112" s="10">
        <v>316751</v>
      </c>
      <c r="B112" s="10" t="s">
        <v>669</v>
      </c>
      <c r="C112" s="10" t="s">
        <v>670</v>
      </c>
      <c r="D112" s="10" t="s">
        <v>76</v>
      </c>
      <c r="E112" s="10" t="s">
        <v>2069</v>
      </c>
      <c r="F112" s="10" t="s">
        <v>2092</v>
      </c>
      <c r="G112" s="10" t="s">
        <v>682</v>
      </c>
    </row>
    <row r="113" spans="1:7">
      <c r="A113" s="10">
        <v>326202</v>
      </c>
      <c r="B113" s="10" t="s">
        <v>716</v>
      </c>
      <c r="C113" s="10" t="s">
        <v>717</v>
      </c>
      <c r="D113" s="10" t="s">
        <v>76</v>
      </c>
      <c r="E113" s="10" t="s">
        <v>2069</v>
      </c>
      <c r="F113" s="10" t="s">
        <v>2092</v>
      </c>
      <c r="G113" s="10" t="s">
        <v>682</v>
      </c>
    </row>
    <row r="114" spans="1:7">
      <c r="A114" s="10">
        <v>331015</v>
      </c>
      <c r="B114" s="10" t="s">
        <v>700</v>
      </c>
      <c r="C114" s="10" t="s">
        <v>701</v>
      </c>
      <c r="D114" s="10" t="s">
        <v>76</v>
      </c>
      <c r="E114" s="10" t="s">
        <v>2069</v>
      </c>
      <c r="F114" s="10" t="s">
        <v>2092</v>
      </c>
      <c r="G114" s="10" t="s">
        <v>682</v>
      </c>
    </row>
    <row r="115" spans="1:7">
      <c r="A115" s="10">
        <v>333503</v>
      </c>
      <c r="B115" s="10" t="s">
        <v>718</v>
      </c>
      <c r="C115" s="10" t="s">
        <v>717</v>
      </c>
      <c r="D115" s="10" t="s">
        <v>76</v>
      </c>
      <c r="E115" s="10" t="s">
        <v>2069</v>
      </c>
      <c r="F115" s="10" t="s">
        <v>2092</v>
      </c>
      <c r="G115" s="10" t="s">
        <v>682</v>
      </c>
    </row>
    <row r="116" spans="1:7">
      <c r="A116" s="10">
        <v>335533</v>
      </c>
      <c r="B116" s="10" t="s">
        <v>756</v>
      </c>
      <c r="C116" s="10" t="s">
        <v>757</v>
      </c>
      <c r="D116" s="10" t="s">
        <v>76</v>
      </c>
      <c r="E116" s="10" t="s">
        <v>2069</v>
      </c>
      <c r="F116" s="10" t="s">
        <v>2092</v>
      </c>
      <c r="G116" s="10" t="s">
        <v>682</v>
      </c>
    </row>
    <row r="117" spans="1:7">
      <c r="A117" s="10">
        <v>337525</v>
      </c>
      <c r="B117" s="10" t="s">
        <v>724</v>
      </c>
      <c r="C117" s="10" t="s">
        <v>725</v>
      </c>
      <c r="D117" s="10" t="s">
        <v>76</v>
      </c>
      <c r="E117" s="10" t="s">
        <v>2069</v>
      </c>
      <c r="F117" s="10" t="s">
        <v>2092</v>
      </c>
      <c r="G117" s="10" t="s">
        <v>682</v>
      </c>
    </row>
    <row r="118" spans="1:7">
      <c r="A118" s="10">
        <v>339007</v>
      </c>
      <c r="B118" s="10" t="s">
        <v>733</v>
      </c>
      <c r="C118" s="10" t="s">
        <v>734</v>
      </c>
      <c r="D118" s="10" t="s">
        <v>76</v>
      </c>
      <c r="E118" s="10" t="s">
        <v>2069</v>
      </c>
      <c r="F118" s="10" t="s">
        <v>2092</v>
      </c>
      <c r="G118" s="10" t="s">
        <v>682</v>
      </c>
    </row>
    <row r="119" spans="1:7">
      <c r="A119" s="10">
        <v>339733</v>
      </c>
      <c r="B119" s="10" t="s">
        <v>736</v>
      </c>
      <c r="C119" s="10" t="s">
        <v>737</v>
      </c>
      <c r="D119" s="10" t="s">
        <v>76</v>
      </c>
      <c r="E119" s="10" t="s">
        <v>2069</v>
      </c>
      <c r="F119" s="10" t="s">
        <v>2092</v>
      </c>
      <c r="G119" s="10" t="s">
        <v>682</v>
      </c>
    </row>
    <row r="120" spans="1:7">
      <c r="A120" s="10">
        <v>340015</v>
      </c>
      <c r="B120" s="10" t="s">
        <v>739</v>
      </c>
      <c r="C120" s="10" t="s">
        <v>740</v>
      </c>
      <c r="D120" s="10" t="s">
        <v>76</v>
      </c>
      <c r="E120" s="10" t="s">
        <v>2069</v>
      </c>
      <c r="F120" s="10" t="s">
        <v>2092</v>
      </c>
      <c r="G120" s="10" t="s">
        <v>682</v>
      </c>
    </row>
    <row r="121" spans="1:7">
      <c r="A121" s="10">
        <v>340017</v>
      </c>
      <c r="B121" s="10" t="s">
        <v>681</v>
      </c>
      <c r="C121" s="10" t="s">
        <v>682</v>
      </c>
      <c r="D121" s="10" t="s">
        <v>76</v>
      </c>
      <c r="E121" s="10" t="s">
        <v>2069</v>
      </c>
      <c r="F121" s="10" t="s">
        <v>2092</v>
      </c>
      <c r="G121" s="10" t="s">
        <v>682</v>
      </c>
    </row>
    <row r="122" spans="1:7">
      <c r="A122" s="10">
        <v>340100</v>
      </c>
      <c r="B122" s="10" t="s">
        <v>759</v>
      </c>
      <c r="C122" s="10" t="s">
        <v>760</v>
      </c>
      <c r="D122" s="10" t="s">
        <v>76</v>
      </c>
      <c r="E122" s="10" t="s">
        <v>2069</v>
      </c>
      <c r="F122" s="10" t="s">
        <v>2092</v>
      </c>
      <c r="G122" s="10" t="s">
        <v>682</v>
      </c>
    </row>
    <row r="123" spans="1:7">
      <c r="A123" s="10">
        <v>345008</v>
      </c>
      <c r="B123" s="10" t="s">
        <v>794</v>
      </c>
      <c r="C123" s="10" t="s">
        <v>795</v>
      </c>
      <c r="D123" s="10" t="s">
        <v>76</v>
      </c>
      <c r="E123" s="10" t="s">
        <v>2069</v>
      </c>
      <c r="F123" s="10" t="s">
        <v>2092</v>
      </c>
      <c r="G123" s="10" t="s">
        <v>682</v>
      </c>
    </row>
    <row r="124" spans="1:7">
      <c r="A124" s="10">
        <v>347750</v>
      </c>
      <c r="B124" s="10" t="s">
        <v>786</v>
      </c>
      <c r="C124" s="10" t="s">
        <v>787</v>
      </c>
      <c r="D124" s="10" t="s">
        <v>76</v>
      </c>
      <c r="E124" s="10" t="s">
        <v>2069</v>
      </c>
      <c r="F124" s="10" t="s">
        <v>2092</v>
      </c>
      <c r="G124" s="10" t="s">
        <v>682</v>
      </c>
    </row>
    <row r="125" spans="1:7">
      <c r="A125" s="10">
        <v>349526</v>
      </c>
      <c r="B125" s="10" t="s">
        <v>788</v>
      </c>
      <c r="C125" s="10" t="s">
        <v>787</v>
      </c>
      <c r="D125" s="10" t="s">
        <v>76</v>
      </c>
      <c r="E125" s="10" t="s">
        <v>2069</v>
      </c>
      <c r="F125" s="10" t="s">
        <v>2092</v>
      </c>
      <c r="G125" s="10" t="s">
        <v>682</v>
      </c>
    </row>
    <row r="126" spans="1:7">
      <c r="A126" s="10">
        <v>349527</v>
      </c>
      <c r="B126" s="10" t="s">
        <v>789</v>
      </c>
      <c r="C126" s="10" t="s">
        <v>787</v>
      </c>
      <c r="D126" s="10" t="s">
        <v>76</v>
      </c>
      <c r="E126" s="10" t="s">
        <v>2069</v>
      </c>
      <c r="F126" s="10" t="s">
        <v>2092</v>
      </c>
      <c r="G126" s="10" t="s">
        <v>682</v>
      </c>
    </row>
    <row r="127" spans="1:7">
      <c r="A127" s="10">
        <v>349529</v>
      </c>
      <c r="B127" s="10" t="s">
        <v>178</v>
      </c>
      <c r="C127" s="10" t="s">
        <v>179</v>
      </c>
      <c r="D127" s="10" t="s">
        <v>76</v>
      </c>
      <c r="E127" s="10" t="s">
        <v>2069</v>
      </c>
      <c r="F127" s="10" t="s">
        <v>2092</v>
      </c>
      <c r="G127" s="10" t="s">
        <v>682</v>
      </c>
    </row>
    <row r="128" spans="1:7">
      <c r="A128" s="10">
        <v>350503</v>
      </c>
      <c r="B128" s="10" t="s">
        <v>790</v>
      </c>
      <c r="C128" s="10" t="s">
        <v>791</v>
      </c>
      <c r="D128" s="10" t="s">
        <v>76</v>
      </c>
      <c r="E128" s="10" t="s">
        <v>2069</v>
      </c>
      <c r="F128" s="10" t="s">
        <v>2092</v>
      </c>
      <c r="G128" s="10" t="s">
        <v>682</v>
      </c>
    </row>
    <row r="129" spans="1:7">
      <c r="A129" s="10">
        <v>385000</v>
      </c>
      <c r="B129" s="10" t="s">
        <v>83</v>
      </c>
      <c r="C129" s="10" t="s">
        <v>489</v>
      </c>
      <c r="D129" s="10" t="s">
        <v>205</v>
      </c>
      <c r="E129" s="10" t="s">
        <v>2066</v>
      </c>
      <c r="F129" s="10" t="s">
        <v>2066</v>
      </c>
      <c r="G129" s="10" t="s">
        <v>241</v>
      </c>
    </row>
    <row r="130" spans="1:7">
      <c r="A130" s="10">
        <v>385001</v>
      </c>
      <c r="B130" s="10" t="s">
        <v>83</v>
      </c>
      <c r="C130" s="10" t="s">
        <v>204</v>
      </c>
      <c r="D130" s="10" t="s">
        <v>205</v>
      </c>
      <c r="E130" s="10" t="s">
        <v>2066</v>
      </c>
      <c r="F130" s="10" t="s">
        <v>2066</v>
      </c>
      <c r="G130" s="10" t="s">
        <v>241</v>
      </c>
    </row>
    <row r="131" spans="1:7">
      <c r="A131" s="10">
        <v>400510</v>
      </c>
      <c r="B131" s="10" t="s">
        <v>78</v>
      </c>
      <c r="C131" s="10" t="s">
        <v>79</v>
      </c>
      <c r="D131" s="10" t="s">
        <v>80</v>
      </c>
      <c r="E131" s="10" t="s">
        <v>1628</v>
      </c>
      <c r="F131" s="10" t="s">
        <v>2090</v>
      </c>
      <c r="G131" s="10" t="s">
        <v>439</v>
      </c>
    </row>
    <row r="132" spans="1:7">
      <c r="A132" s="10">
        <v>406505</v>
      </c>
      <c r="B132" s="10" t="s">
        <v>346</v>
      </c>
      <c r="C132" s="10" t="s">
        <v>347</v>
      </c>
      <c r="D132" s="10" t="s">
        <v>80</v>
      </c>
      <c r="E132" s="10" t="s">
        <v>1628</v>
      </c>
      <c r="F132" s="10" t="s">
        <v>2090</v>
      </c>
      <c r="G132" s="10" t="s">
        <v>439</v>
      </c>
    </row>
    <row r="133" spans="1:7">
      <c r="A133" s="10">
        <v>410020</v>
      </c>
      <c r="B133" s="10" t="s">
        <v>472</v>
      </c>
      <c r="C133" s="10" t="s">
        <v>473</v>
      </c>
      <c r="D133" s="10" t="s">
        <v>80</v>
      </c>
      <c r="E133" s="10" t="s">
        <v>1628</v>
      </c>
      <c r="F133" s="10" t="s">
        <v>2090</v>
      </c>
      <c r="G133" s="10" t="s">
        <v>439</v>
      </c>
    </row>
    <row r="134" spans="1:7">
      <c r="A134" s="10">
        <v>413550</v>
      </c>
      <c r="B134" s="10" t="s">
        <v>590</v>
      </c>
      <c r="C134" s="10" t="s">
        <v>591</v>
      </c>
      <c r="D134" s="10" t="s">
        <v>80</v>
      </c>
      <c r="E134" s="10" t="s">
        <v>1628</v>
      </c>
      <c r="F134" s="10" t="s">
        <v>2090</v>
      </c>
      <c r="G134" s="10" t="s">
        <v>439</v>
      </c>
    </row>
    <row r="135" spans="1:7">
      <c r="A135" s="10">
        <v>413551</v>
      </c>
      <c r="B135" s="10" t="s">
        <v>593</v>
      </c>
      <c r="C135" s="10" t="s">
        <v>591</v>
      </c>
      <c r="D135" s="10" t="s">
        <v>80</v>
      </c>
      <c r="E135" s="10" t="s">
        <v>1628</v>
      </c>
      <c r="F135" s="10" t="s">
        <v>2090</v>
      </c>
      <c r="G135" s="10" t="s">
        <v>439</v>
      </c>
    </row>
    <row r="136" spans="1:7">
      <c r="A136" s="10">
        <v>416010</v>
      </c>
      <c r="B136" s="10" t="s">
        <v>666</v>
      </c>
      <c r="C136" s="10" t="s">
        <v>667</v>
      </c>
      <c r="D136" s="10" t="s">
        <v>80</v>
      </c>
      <c r="E136" s="10" t="s">
        <v>1628</v>
      </c>
      <c r="F136" s="10" t="s">
        <v>2090</v>
      </c>
      <c r="G136" s="10" t="s">
        <v>439</v>
      </c>
    </row>
    <row r="137" spans="1:7">
      <c r="A137" s="10">
        <v>417205</v>
      </c>
      <c r="B137" s="10" t="s">
        <v>707</v>
      </c>
      <c r="C137" s="10" t="s">
        <v>708</v>
      </c>
      <c r="D137" s="10" t="s">
        <v>80</v>
      </c>
      <c r="E137" s="10" t="s">
        <v>1628</v>
      </c>
      <c r="F137" s="10" t="s">
        <v>2090</v>
      </c>
      <c r="G137" s="10" t="s">
        <v>439</v>
      </c>
    </row>
    <row r="138" spans="1:7">
      <c r="A138" s="10">
        <v>418515</v>
      </c>
      <c r="B138" s="10" t="s">
        <v>746</v>
      </c>
      <c r="C138" s="10" t="s">
        <v>747</v>
      </c>
      <c r="D138" s="10" t="s">
        <v>80</v>
      </c>
      <c r="E138" s="10" t="s">
        <v>1628</v>
      </c>
      <c r="F138" s="10" t="s">
        <v>2090</v>
      </c>
      <c r="G138" s="10" t="s">
        <v>439</v>
      </c>
    </row>
    <row r="139" spans="1:7">
      <c r="A139" s="10">
        <v>420002</v>
      </c>
      <c r="B139" s="10" t="s">
        <v>816</v>
      </c>
      <c r="C139" s="10" t="s">
        <v>817</v>
      </c>
      <c r="D139" s="10" t="s">
        <v>80</v>
      </c>
      <c r="E139" s="10" t="s">
        <v>1628</v>
      </c>
      <c r="F139" s="10" t="s">
        <v>2090</v>
      </c>
      <c r="G139" s="10" t="s">
        <v>439</v>
      </c>
    </row>
    <row r="140" spans="1:7">
      <c r="A140" s="10">
        <v>466466</v>
      </c>
      <c r="B140" s="10" t="s">
        <v>676</v>
      </c>
      <c r="C140" s="10" t="s">
        <v>677</v>
      </c>
      <c r="D140" s="10" t="s">
        <v>128</v>
      </c>
      <c r="E140" s="10" t="s">
        <v>1628</v>
      </c>
      <c r="F140" s="10" t="s">
        <v>2090</v>
      </c>
      <c r="G140" s="10" t="s">
        <v>537</v>
      </c>
    </row>
    <row r="141" spans="1:7">
      <c r="A141" s="10">
        <v>467005</v>
      </c>
      <c r="B141" s="10" t="s">
        <v>126</v>
      </c>
      <c r="C141" s="10" t="s">
        <v>127</v>
      </c>
      <c r="D141" s="10" t="s">
        <v>128</v>
      </c>
      <c r="E141" s="10" t="s">
        <v>1628</v>
      </c>
      <c r="F141" s="10" t="s">
        <v>2090</v>
      </c>
      <c r="G141" s="10" t="s">
        <v>537</v>
      </c>
    </row>
    <row r="142" spans="1:7">
      <c r="A142" s="10">
        <v>470012</v>
      </c>
      <c r="B142" s="10" t="s">
        <v>198</v>
      </c>
      <c r="C142" s="10" t="s">
        <v>199</v>
      </c>
      <c r="D142" s="10" t="s">
        <v>128</v>
      </c>
      <c r="E142" s="10" t="s">
        <v>1628</v>
      </c>
      <c r="F142" s="10" t="s">
        <v>2090</v>
      </c>
      <c r="G142" s="10" t="s">
        <v>537</v>
      </c>
    </row>
    <row r="143" spans="1:7">
      <c r="A143" s="10">
        <v>476505</v>
      </c>
      <c r="B143" s="10" t="s">
        <v>395</v>
      </c>
      <c r="C143" s="10" t="s">
        <v>396</v>
      </c>
      <c r="D143" s="10" t="s">
        <v>128</v>
      </c>
      <c r="E143" s="10" t="s">
        <v>1628</v>
      </c>
      <c r="F143" s="10" t="s">
        <v>2090</v>
      </c>
      <c r="G143" s="10" t="s">
        <v>537</v>
      </c>
    </row>
    <row r="144" spans="1:7">
      <c r="A144" s="10">
        <v>476510</v>
      </c>
      <c r="B144" s="10" t="s">
        <v>399</v>
      </c>
      <c r="C144" s="10" t="s">
        <v>400</v>
      </c>
      <c r="D144" s="10" t="s">
        <v>128</v>
      </c>
      <c r="E144" s="10" t="s">
        <v>1628</v>
      </c>
      <c r="F144" s="10" t="s">
        <v>2090</v>
      </c>
      <c r="G144" s="10" t="s">
        <v>537</v>
      </c>
    </row>
    <row r="145" spans="1:7">
      <c r="A145" s="10">
        <v>476512</v>
      </c>
      <c r="B145" s="10" t="s">
        <v>398</v>
      </c>
      <c r="C145" s="10" t="s">
        <v>396</v>
      </c>
      <c r="D145" s="10" t="s">
        <v>128</v>
      </c>
      <c r="E145" s="10" t="s">
        <v>1628</v>
      </c>
      <c r="F145" s="10" t="s">
        <v>2090</v>
      </c>
      <c r="G145" s="10" t="s">
        <v>537</v>
      </c>
    </row>
    <row r="146" spans="1:7">
      <c r="A146" s="10">
        <v>477005</v>
      </c>
      <c r="B146" s="10" t="s">
        <v>404</v>
      </c>
      <c r="C146" s="10" t="s">
        <v>405</v>
      </c>
      <c r="D146" s="10" t="s">
        <v>128</v>
      </c>
      <c r="E146" s="10" t="s">
        <v>1628</v>
      </c>
      <c r="F146" s="10" t="s">
        <v>2090</v>
      </c>
      <c r="G146" s="10" t="s">
        <v>537</v>
      </c>
    </row>
    <row r="147" spans="1:7">
      <c r="A147" s="10">
        <v>480505</v>
      </c>
      <c r="B147" s="10" t="s">
        <v>447</v>
      </c>
      <c r="C147" s="10" t="s">
        <v>448</v>
      </c>
      <c r="D147" s="10" t="s">
        <v>128</v>
      </c>
      <c r="E147" s="10" t="s">
        <v>1628</v>
      </c>
      <c r="F147" s="10" t="s">
        <v>2090</v>
      </c>
      <c r="G147" s="10" t="s">
        <v>537</v>
      </c>
    </row>
    <row r="148" spans="1:7">
      <c r="A148" s="10">
        <v>481005</v>
      </c>
      <c r="B148" s="10" t="s">
        <v>450</v>
      </c>
      <c r="C148" s="10" t="s">
        <v>451</v>
      </c>
      <c r="D148" s="10" t="s">
        <v>128</v>
      </c>
      <c r="E148" s="10" t="s">
        <v>1628</v>
      </c>
      <c r="F148" s="10" t="s">
        <v>2090</v>
      </c>
      <c r="G148" s="10" t="s">
        <v>537</v>
      </c>
    </row>
    <row r="149" spans="1:7">
      <c r="A149" s="10">
        <v>481010</v>
      </c>
      <c r="B149" s="10" t="s">
        <v>452</v>
      </c>
      <c r="C149" s="10" t="s">
        <v>451</v>
      </c>
      <c r="D149" s="10" t="s">
        <v>128</v>
      </c>
      <c r="E149" s="10" t="s">
        <v>1628</v>
      </c>
      <c r="F149" s="10" t="s">
        <v>2090</v>
      </c>
      <c r="G149" s="10" t="s">
        <v>537</v>
      </c>
    </row>
    <row r="150" spans="1:7">
      <c r="A150" s="10">
        <v>490150</v>
      </c>
      <c r="B150" s="10" t="s">
        <v>609</v>
      </c>
      <c r="C150" s="10" t="s">
        <v>610</v>
      </c>
      <c r="D150" s="10" t="s">
        <v>128</v>
      </c>
      <c r="E150" s="10" t="s">
        <v>1628</v>
      </c>
      <c r="F150" s="10" t="s">
        <v>2090</v>
      </c>
      <c r="G150" s="10" t="s">
        <v>537</v>
      </c>
    </row>
    <row r="151" spans="1:7">
      <c r="A151" s="10">
        <v>499502</v>
      </c>
      <c r="B151" s="10" t="s">
        <v>769</v>
      </c>
      <c r="C151" s="10" t="s">
        <v>770</v>
      </c>
      <c r="D151" s="10" t="s">
        <v>128</v>
      </c>
      <c r="E151" s="10" t="s">
        <v>1628</v>
      </c>
      <c r="F151" s="10" t="s">
        <v>2090</v>
      </c>
      <c r="G151" s="10" t="s">
        <v>537</v>
      </c>
    </row>
    <row r="152" spans="1:7">
      <c r="A152" s="10">
        <v>516004</v>
      </c>
      <c r="B152" s="10" t="s">
        <v>147</v>
      </c>
      <c r="C152" s="10" t="s">
        <v>189</v>
      </c>
      <c r="D152" s="10" t="s">
        <v>190</v>
      </c>
      <c r="E152" s="10" t="s">
        <v>1628</v>
      </c>
      <c r="F152" s="10" t="s">
        <v>2090</v>
      </c>
      <c r="G152" s="10" t="s">
        <v>537</v>
      </c>
    </row>
    <row r="153" spans="1:7">
      <c r="A153" s="10">
        <v>517010</v>
      </c>
      <c r="B153" s="10" t="s">
        <v>422</v>
      </c>
      <c r="C153" s="10" t="s">
        <v>423</v>
      </c>
      <c r="D153" s="10" t="s">
        <v>190</v>
      </c>
      <c r="E153" s="10" t="s">
        <v>1628</v>
      </c>
      <c r="F153" s="10" t="s">
        <v>2090</v>
      </c>
      <c r="G153" s="10" t="s">
        <v>537</v>
      </c>
    </row>
    <row r="154" spans="1:7">
      <c r="A154" s="10">
        <v>517813</v>
      </c>
      <c r="B154" s="10" t="s">
        <v>512</v>
      </c>
      <c r="C154" s="10" t="s">
        <v>513</v>
      </c>
      <c r="D154" s="10" t="s">
        <v>190</v>
      </c>
      <c r="E154" s="10" t="s">
        <v>1628</v>
      </c>
      <c r="F154" s="10" t="s">
        <v>2090</v>
      </c>
      <c r="G154" s="10" t="s">
        <v>537</v>
      </c>
    </row>
    <row r="155" spans="1:7">
      <c r="A155" s="10">
        <v>517814</v>
      </c>
      <c r="B155" s="10" t="s">
        <v>515</v>
      </c>
      <c r="C155" s="10" t="s">
        <v>513</v>
      </c>
      <c r="D155" s="10" t="s">
        <v>190</v>
      </c>
      <c r="E155" s="10" t="s">
        <v>1628</v>
      </c>
      <c r="F155" s="10" t="s">
        <v>2090</v>
      </c>
      <c r="G155" s="10" t="s">
        <v>537</v>
      </c>
    </row>
    <row r="156" spans="1:7">
      <c r="A156" s="10">
        <v>518085</v>
      </c>
      <c r="B156" s="10" t="s">
        <v>585</v>
      </c>
      <c r="C156" s="10" t="s">
        <v>586</v>
      </c>
      <c r="D156" s="10" t="s">
        <v>190</v>
      </c>
      <c r="E156" s="10" t="s">
        <v>1628</v>
      </c>
      <c r="F156" s="10" t="s">
        <v>2090</v>
      </c>
      <c r="G156" s="10" t="s">
        <v>537</v>
      </c>
    </row>
    <row r="157" spans="1:7">
      <c r="A157" s="10">
        <v>518505</v>
      </c>
      <c r="B157" s="10" t="s">
        <v>640</v>
      </c>
      <c r="C157" s="10" t="s">
        <v>641</v>
      </c>
      <c r="D157" s="10" t="s">
        <v>190</v>
      </c>
      <c r="E157" s="10" t="s">
        <v>1628</v>
      </c>
      <c r="F157" s="10" t="s">
        <v>2090</v>
      </c>
      <c r="G157" s="10" t="s">
        <v>537</v>
      </c>
    </row>
    <row r="158" spans="1:7">
      <c r="A158" s="10">
        <v>518510</v>
      </c>
      <c r="B158" s="10" t="s">
        <v>642</v>
      </c>
      <c r="C158" s="10" t="s">
        <v>641</v>
      </c>
      <c r="D158" s="10" t="s">
        <v>190</v>
      </c>
      <c r="E158" s="10" t="s">
        <v>1628</v>
      </c>
      <c r="F158" s="10" t="s">
        <v>2090</v>
      </c>
      <c r="G158" s="10" t="s">
        <v>537</v>
      </c>
    </row>
    <row r="159" spans="1:7">
      <c r="A159" s="10">
        <v>536304</v>
      </c>
      <c r="B159" s="10" t="s">
        <v>251</v>
      </c>
      <c r="C159" s="10" t="s">
        <v>252</v>
      </c>
      <c r="D159" s="10" t="s">
        <v>253</v>
      </c>
      <c r="E159" s="10" t="s">
        <v>2066</v>
      </c>
      <c r="F159" s="10" t="s">
        <v>2066</v>
      </c>
      <c r="G159" s="10" t="s">
        <v>2093</v>
      </c>
    </row>
    <row r="160" spans="1:7">
      <c r="A160" s="10">
        <v>538013</v>
      </c>
      <c r="B160" s="10" t="s">
        <v>83</v>
      </c>
      <c r="C160" s="10" t="s">
        <v>494</v>
      </c>
      <c r="D160" s="10" t="s">
        <v>253</v>
      </c>
      <c r="E160" s="10" t="s">
        <v>2066</v>
      </c>
      <c r="F160" s="10" t="s">
        <v>2066</v>
      </c>
      <c r="G160" s="10" t="s">
        <v>2093</v>
      </c>
    </row>
    <row r="161" spans="1:7">
      <c r="A161" s="10">
        <v>548900</v>
      </c>
      <c r="B161" s="10" t="s">
        <v>780</v>
      </c>
      <c r="C161" s="10" t="s">
        <v>781</v>
      </c>
      <c r="D161" s="10" t="s">
        <v>253</v>
      </c>
      <c r="E161" s="10" t="s">
        <v>2066</v>
      </c>
      <c r="F161" s="10" t="s">
        <v>2066</v>
      </c>
      <c r="G161" s="10" t="s">
        <v>2093</v>
      </c>
    </row>
    <row r="162" spans="1:7">
      <c r="A162" s="10">
        <v>555225</v>
      </c>
      <c r="B162" s="10" t="s">
        <v>582</v>
      </c>
      <c r="C162" s="10" t="s">
        <v>583</v>
      </c>
      <c r="D162" s="10" t="s">
        <v>136</v>
      </c>
      <c r="E162" s="10" t="s">
        <v>1622</v>
      </c>
      <c r="F162" s="10" t="s">
        <v>2092</v>
      </c>
      <c r="G162" s="10" t="s">
        <v>682</v>
      </c>
    </row>
    <row r="163" spans="1:7">
      <c r="A163" s="10">
        <v>558070</v>
      </c>
      <c r="B163" s="10" t="s">
        <v>134</v>
      </c>
      <c r="C163" s="10" t="s">
        <v>135</v>
      </c>
      <c r="D163" s="10" t="s">
        <v>136</v>
      </c>
      <c r="E163" s="10" t="s">
        <v>1622</v>
      </c>
      <c r="F163" s="10" t="s">
        <v>2092</v>
      </c>
      <c r="G163" s="10" t="s">
        <v>682</v>
      </c>
    </row>
    <row r="164" spans="1:7">
      <c r="A164" s="10">
        <v>562665</v>
      </c>
      <c r="B164" s="10" t="s">
        <v>195</v>
      </c>
      <c r="C164" s="10" t="s">
        <v>196</v>
      </c>
      <c r="D164" s="10" t="s">
        <v>136</v>
      </c>
      <c r="E164" s="10" t="s">
        <v>1622</v>
      </c>
      <c r="F164" s="10" t="s">
        <v>2092</v>
      </c>
      <c r="G164" s="10" t="s">
        <v>682</v>
      </c>
    </row>
    <row r="165" spans="1:7">
      <c r="A165" s="10">
        <v>562865</v>
      </c>
      <c r="B165" s="10" t="s">
        <v>201</v>
      </c>
      <c r="C165" s="10" t="s">
        <v>202</v>
      </c>
      <c r="D165" s="10" t="s">
        <v>136</v>
      </c>
      <c r="E165" s="10" t="s">
        <v>1622</v>
      </c>
      <c r="F165" s="10" t="s">
        <v>2092</v>
      </c>
      <c r="G165" s="10" t="s">
        <v>682</v>
      </c>
    </row>
    <row r="166" spans="1:7">
      <c r="A166" s="10">
        <v>565545</v>
      </c>
      <c r="B166" s="10" t="s">
        <v>293</v>
      </c>
      <c r="C166" s="10" t="s">
        <v>294</v>
      </c>
      <c r="D166" s="10" t="s">
        <v>136</v>
      </c>
      <c r="E166" s="10" t="s">
        <v>1622</v>
      </c>
      <c r="F166" s="10" t="s">
        <v>2092</v>
      </c>
      <c r="G166" s="10" t="s">
        <v>682</v>
      </c>
    </row>
    <row r="167" spans="1:7">
      <c r="A167" s="10">
        <v>565803</v>
      </c>
      <c r="B167" s="10" t="s">
        <v>310</v>
      </c>
      <c r="C167" s="10" t="s">
        <v>311</v>
      </c>
      <c r="D167" s="10" t="s">
        <v>136</v>
      </c>
      <c r="E167" s="10" t="s">
        <v>1622</v>
      </c>
      <c r="F167" s="10" t="s">
        <v>2092</v>
      </c>
      <c r="G167" s="10" t="s">
        <v>682</v>
      </c>
    </row>
    <row r="168" spans="1:7">
      <c r="A168" s="10">
        <v>565805</v>
      </c>
      <c r="B168" s="10" t="s">
        <v>313</v>
      </c>
      <c r="C168" s="10" t="s">
        <v>311</v>
      </c>
      <c r="D168" s="10" t="s">
        <v>136</v>
      </c>
      <c r="E168" s="10" t="s">
        <v>1622</v>
      </c>
      <c r="F168" s="10" t="s">
        <v>2092</v>
      </c>
      <c r="G168" s="10" t="s">
        <v>682</v>
      </c>
    </row>
    <row r="169" spans="1:7">
      <c r="A169" s="10">
        <v>565806</v>
      </c>
      <c r="B169" s="10" t="s">
        <v>436</v>
      </c>
      <c r="C169" s="10" t="s">
        <v>437</v>
      </c>
      <c r="D169" s="10" t="s">
        <v>136</v>
      </c>
      <c r="E169" s="10" t="s">
        <v>1622</v>
      </c>
      <c r="F169" s="10" t="s">
        <v>2092</v>
      </c>
      <c r="G169" s="10" t="s">
        <v>682</v>
      </c>
    </row>
    <row r="170" spans="1:7">
      <c r="A170" s="10">
        <v>565807</v>
      </c>
      <c r="B170" s="10" t="s">
        <v>300</v>
      </c>
      <c r="C170" s="10" t="s">
        <v>301</v>
      </c>
      <c r="D170" s="10" t="s">
        <v>136</v>
      </c>
      <c r="E170" s="10" t="s">
        <v>1622</v>
      </c>
      <c r="F170" s="10" t="s">
        <v>2092</v>
      </c>
      <c r="G170" s="10" t="s">
        <v>682</v>
      </c>
    </row>
    <row r="171" spans="1:7">
      <c r="A171" s="10">
        <v>566501</v>
      </c>
      <c r="B171" s="10" t="s">
        <v>303</v>
      </c>
      <c r="C171" s="10" t="s">
        <v>301</v>
      </c>
      <c r="D171" s="10" t="s">
        <v>136</v>
      </c>
      <c r="E171" s="10" t="s">
        <v>1622</v>
      </c>
      <c r="F171" s="10" t="s">
        <v>2092</v>
      </c>
      <c r="G171" s="10" t="s">
        <v>682</v>
      </c>
    </row>
    <row r="172" spans="1:7">
      <c r="A172" s="10">
        <v>566505</v>
      </c>
      <c r="B172" s="10" t="s">
        <v>772</v>
      </c>
      <c r="C172" s="10" t="s">
        <v>773</v>
      </c>
      <c r="D172" s="10" t="s">
        <v>136</v>
      </c>
      <c r="E172" s="10" t="s">
        <v>1622</v>
      </c>
      <c r="F172" s="10" t="s">
        <v>2092</v>
      </c>
      <c r="G172" s="10" t="s">
        <v>682</v>
      </c>
    </row>
    <row r="173" spans="1:7">
      <c r="A173" s="10">
        <v>568010</v>
      </c>
      <c r="B173" s="10" t="s">
        <v>328</v>
      </c>
      <c r="C173" s="10" t="s">
        <v>329</v>
      </c>
      <c r="D173" s="10" t="s">
        <v>136</v>
      </c>
      <c r="E173" s="10" t="s">
        <v>1622</v>
      </c>
      <c r="F173" s="10" t="s">
        <v>2092</v>
      </c>
      <c r="G173" s="10" t="s">
        <v>682</v>
      </c>
    </row>
    <row r="174" spans="1:7">
      <c r="A174" s="10">
        <v>568016</v>
      </c>
      <c r="B174" s="10" t="s">
        <v>341</v>
      </c>
      <c r="C174" s="10" t="s">
        <v>342</v>
      </c>
      <c r="D174" s="10" t="s">
        <v>136</v>
      </c>
      <c r="E174" s="10" t="s">
        <v>1622</v>
      </c>
      <c r="F174" s="10" t="s">
        <v>2092</v>
      </c>
      <c r="G174" s="10" t="s">
        <v>682</v>
      </c>
    </row>
    <row r="175" spans="1:7">
      <c r="A175" s="10">
        <v>568017</v>
      </c>
      <c r="B175" s="10" t="s">
        <v>338</v>
      </c>
      <c r="C175" s="10" t="s">
        <v>339</v>
      </c>
      <c r="D175" s="10" t="s">
        <v>136</v>
      </c>
      <c r="E175" s="10" t="s">
        <v>1622</v>
      </c>
      <c r="F175" s="10" t="s">
        <v>2092</v>
      </c>
      <c r="G175" s="10" t="s">
        <v>682</v>
      </c>
    </row>
    <row r="176" spans="1:7">
      <c r="A176" s="10">
        <v>570240</v>
      </c>
      <c r="B176" s="10" t="s">
        <v>431</v>
      </c>
      <c r="C176" s="10" t="s">
        <v>432</v>
      </c>
      <c r="D176" s="10" t="s">
        <v>136</v>
      </c>
      <c r="E176" s="10" t="s">
        <v>1622</v>
      </c>
      <c r="F176" s="10" t="s">
        <v>2092</v>
      </c>
      <c r="G176" s="10" t="s">
        <v>682</v>
      </c>
    </row>
    <row r="177" spans="1:7">
      <c r="A177" s="10">
        <v>570440</v>
      </c>
      <c r="B177" s="10" t="s">
        <v>379</v>
      </c>
      <c r="C177" s="10" t="s">
        <v>380</v>
      </c>
      <c r="D177" s="10" t="s">
        <v>136</v>
      </c>
      <c r="E177" s="10" t="s">
        <v>1622</v>
      </c>
      <c r="F177" s="10" t="s">
        <v>2092</v>
      </c>
      <c r="G177" s="10" t="s">
        <v>682</v>
      </c>
    </row>
    <row r="178" spans="1:7">
      <c r="A178" s="10">
        <v>570505</v>
      </c>
      <c r="B178" s="10" t="s">
        <v>382</v>
      </c>
      <c r="C178" s="10" t="s">
        <v>383</v>
      </c>
      <c r="D178" s="10" t="s">
        <v>136</v>
      </c>
      <c r="E178" s="10" t="s">
        <v>1622</v>
      </c>
      <c r="F178" s="10" t="s">
        <v>2092</v>
      </c>
      <c r="G178" s="10" t="s">
        <v>682</v>
      </c>
    </row>
    <row r="179" spans="1:7">
      <c r="A179" s="10">
        <v>570507</v>
      </c>
      <c r="B179" s="10" t="s">
        <v>384</v>
      </c>
      <c r="C179" s="10" t="s">
        <v>383</v>
      </c>
      <c r="D179" s="10" t="s">
        <v>136</v>
      </c>
      <c r="E179" s="10" t="s">
        <v>1622</v>
      </c>
      <c r="F179" s="10" t="s">
        <v>2092</v>
      </c>
      <c r="G179" s="10" t="s">
        <v>682</v>
      </c>
    </row>
    <row r="180" spans="1:7">
      <c r="A180" s="10">
        <v>570620</v>
      </c>
      <c r="B180" s="10" t="s">
        <v>385</v>
      </c>
      <c r="C180" s="10" t="s">
        <v>386</v>
      </c>
      <c r="D180" s="10" t="s">
        <v>136</v>
      </c>
      <c r="E180" s="10" t="s">
        <v>1622</v>
      </c>
      <c r="F180" s="10" t="s">
        <v>2092</v>
      </c>
      <c r="G180" s="10" t="s">
        <v>682</v>
      </c>
    </row>
    <row r="181" spans="1:7">
      <c r="A181" s="10">
        <v>571536</v>
      </c>
      <c r="B181" s="10" t="s">
        <v>388</v>
      </c>
      <c r="C181" s="10" t="s">
        <v>389</v>
      </c>
      <c r="D181" s="10" t="s">
        <v>136</v>
      </c>
      <c r="E181" s="10" t="s">
        <v>1622</v>
      </c>
      <c r="F181" s="10" t="s">
        <v>2092</v>
      </c>
      <c r="G181" s="10" t="s">
        <v>682</v>
      </c>
    </row>
    <row r="182" spans="1:7">
      <c r="A182" s="10">
        <v>576503</v>
      </c>
      <c r="B182" s="10" t="s">
        <v>195</v>
      </c>
      <c r="C182" s="10" t="s">
        <v>454</v>
      </c>
      <c r="D182" s="10" t="s">
        <v>136</v>
      </c>
      <c r="E182" s="10" t="s">
        <v>1622</v>
      </c>
      <c r="F182" s="10" t="s">
        <v>2092</v>
      </c>
      <c r="G182" s="10" t="s">
        <v>682</v>
      </c>
    </row>
    <row r="183" spans="1:7">
      <c r="A183" s="10">
        <v>577277</v>
      </c>
      <c r="B183" s="10" t="s">
        <v>763</v>
      </c>
      <c r="C183" s="10" t="s">
        <v>764</v>
      </c>
      <c r="D183" s="10" t="s">
        <v>136</v>
      </c>
      <c r="E183" s="10" t="s">
        <v>1622</v>
      </c>
      <c r="F183" s="10" t="s">
        <v>2092</v>
      </c>
      <c r="G183" s="10" t="s">
        <v>682</v>
      </c>
    </row>
    <row r="184" spans="1:7">
      <c r="A184" s="10">
        <v>578010</v>
      </c>
      <c r="B184" s="10" t="s">
        <v>467</v>
      </c>
      <c r="C184" s="10" t="s">
        <v>465</v>
      </c>
      <c r="D184" s="10" t="s">
        <v>136</v>
      </c>
      <c r="E184" s="10" t="s">
        <v>1622</v>
      </c>
      <c r="F184" s="10" t="s">
        <v>2092</v>
      </c>
      <c r="G184" s="10" t="s">
        <v>682</v>
      </c>
    </row>
    <row r="185" spans="1:7">
      <c r="A185" s="10">
        <v>582003</v>
      </c>
      <c r="B185" s="10" t="s">
        <v>195</v>
      </c>
      <c r="C185" s="10" t="s">
        <v>508</v>
      </c>
      <c r="D185" s="10" t="s">
        <v>136</v>
      </c>
      <c r="E185" s="10" t="s">
        <v>1622</v>
      </c>
      <c r="F185" s="10" t="s">
        <v>2092</v>
      </c>
      <c r="G185" s="10" t="s">
        <v>682</v>
      </c>
    </row>
    <row r="186" spans="1:7">
      <c r="A186" s="10">
        <v>587875</v>
      </c>
      <c r="B186" s="10" t="s">
        <v>579</v>
      </c>
      <c r="C186" s="10" t="s">
        <v>580</v>
      </c>
      <c r="D186" s="10" t="s">
        <v>136</v>
      </c>
      <c r="E186" s="10" t="s">
        <v>1622</v>
      </c>
      <c r="F186" s="10" t="s">
        <v>2092</v>
      </c>
      <c r="G186" s="10" t="s">
        <v>682</v>
      </c>
    </row>
    <row r="187" spans="1:7">
      <c r="A187" s="10">
        <v>589209</v>
      </c>
      <c r="B187" s="10" t="s">
        <v>594</v>
      </c>
      <c r="C187" s="10" t="s">
        <v>595</v>
      </c>
      <c r="D187" s="10" t="s">
        <v>136</v>
      </c>
      <c r="E187" s="10" t="s">
        <v>1622</v>
      </c>
      <c r="F187" s="10" t="s">
        <v>2092</v>
      </c>
      <c r="G187" s="10" t="s">
        <v>682</v>
      </c>
    </row>
    <row r="188" spans="1:7">
      <c r="A188" s="10">
        <v>590610</v>
      </c>
      <c r="B188" s="10" t="s">
        <v>618</v>
      </c>
      <c r="C188" s="10" t="s">
        <v>619</v>
      </c>
      <c r="D188" s="10" t="s">
        <v>136</v>
      </c>
      <c r="E188" s="10" t="s">
        <v>1622</v>
      </c>
      <c r="F188" s="10" t="s">
        <v>2092</v>
      </c>
      <c r="G188" s="10" t="s">
        <v>682</v>
      </c>
    </row>
    <row r="189" spans="1:7">
      <c r="A189" s="10">
        <v>593005</v>
      </c>
      <c r="B189" s="10" t="s">
        <v>655</v>
      </c>
      <c r="C189" s="10" t="s">
        <v>656</v>
      </c>
      <c r="D189" s="10" t="s">
        <v>136</v>
      </c>
      <c r="E189" s="10" t="s">
        <v>1622</v>
      </c>
      <c r="F189" s="10" t="s">
        <v>2092</v>
      </c>
      <c r="G189" s="10" t="s">
        <v>682</v>
      </c>
    </row>
    <row r="190" spans="1:7">
      <c r="A190" s="10">
        <v>596010</v>
      </c>
      <c r="B190" s="10" t="s">
        <v>672</v>
      </c>
      <c r="C190" s="10" t="s">
        <v>673</v>
      </c>
      <c r="D190" s="10" t="s">
        <v>136</v>
      </c>
      <c r="E190" s="10" t="s">
        <v>1622</v>
      </c>
      <c r="F190" s="10" t="s">
        <v>2092</v>
      </c>
      <c r="G190" s="10" t="s">
        <v>682</v>
      </c>
    </row>
    <row r="191" spans="1:7">
      <c r="A191" s="10">
        <v>600505</v>
      </c>
      <c r="B191" s="10" t="s">
        <v>683</v>
      </c>
      <c r="C191" s="10" t="s">
        <v>684</v>
      </c>
      <c r="D191" s="10" t="s">
        <v>136</v>
      </c>
      <c r="E191" s="10" t="s">
        <v>1622</v>
      </c>
      <c r="F191" s="10" t="s">
        <v>2092</v>
      </c>
      <c r="G191" s="10" t="s">
        <v>682</v>
      </c>
    </row>
    <row r="192" spans="1:7">
      <c r="A192" s="10">
        <v>601004</v>
      </c>
      <c r="B192" s="10" t="s">
        <v>685</v>
      </c>
      <c r="C192" s="10" t="s">
        <v>686</v>
      </c>
      <c r="D192" s="10" t="s">
        <v>136</v>
      </c>
      <c r="E192" s="10" t="s">
        <v>1622</v>
      </c>
      <c r="F192" s="10" t="s">
        <v>2092</v>
      </c>
      <c r="G192" s="10" t="s">
        <v>682</v>
      </c>
    </row>
    <row r="193" spans="1:7">
      <c r="A193" s="10">
        <v>601006</v>
      </c>
      <c r="B193" s="10" t="s">
        <v>796</v>
      </c>
      <c r="C193" s="10" t="s">
        <v>797</v>
      </c>
      <c r="D193" s="10" t="s">
        <v>136</v>
      </c>
      <c r="E193" s="10" t="s">
        <v>1622</v>
      </c>
      <c r="F193" s="10" t="s">
        <v>2092</v>
      </c>
      <c r="G193" s="10" t="s">
        <v>682</v>
      </c>
    </row>
    <row r="194" spans="1:7">
      <c r="A194" s="10">
        <v>602005</v>
      </c>
      <c r="B194" s="10" t="s">
        <v>697</v>
      </c>
      <c r="C194" s="10" t="s">
        <v>698</v>
      </c>
      <c r="D194" s="10" t="s">
        <v>136</v>
      </c>
      <c r="E194" s="10" t="s">
        <v>1622</v>
      </c>
      <c r="F194" s="10" t="s">
        <v>2092</v>
      </c>
      <c r="G194" s="10" t="s">
        <v>682</v>
      </c>
    </row>
    <row r="195" spans="1:7">
      <c r="A195" s="10">
        <v>605515</v>
      </c>
      <c r="B195" s="10" t="s">
        <v>748</v>
      </c>
      <c r="C195" s="10" t="s">
        <v>749</v>
      </c>
      <c r="D195" s="10" t="s">
        <v>136</v>
      </c>
      <c r="E195" s="10" t="s">
        <v>1622</v>
      </c>
      <c r="F195" s="10" t="s">
        <v>2092</v>
      </c>
      <c r="G195" s="10" t="s">
        <v>682</v>
      </c>
    </row>
    <row r="196" spans="1:7">
      <c r="A196" s="10">
        <v>607540</v>
      </c>
      <c r="B196" s="10" t="s">
        <v>343</v>
      </c>
      <c r="C196" s="10" t="s">
        <v>342</v>
      </c>
      <c r="D196" s="10" t="s">
        <v>136</v>
      </c>
      <c r="E196" s="10" t="s">
        <v>1622</v>
      </c>
      <c r="F196" s="10" t="s">
        <v>2092</v>
      </c>
      <c r="G196" s="10" t="s">
        <v>682</v>
      </c>
    </row>
    <row r="197" spans="1:7">
      <c r="A197" s="10">
        <v>607541</v>
      </c>
      <c r="B197" s="10" t="s">
        <v>810</v>
      </c>
      <c r="C197" s="10" t="s">
        <v>811</v>
      </c>
      <c r="D197" s="10" t="s">
        <v>136</v>
      </c>
      <c r="E197" s="10" t="s">
        <v>1622</v>
      </c>
      <c r="F197" s="10" t="s">
        <v>2092</v>
      </c>
      <c r="G197" s="10" t="s">
        <v>682</v>
      </c>
    </row>
    <row r="198" spans="1:7">
      <c r="A198" s="10">
        <v>611030</v>
      </c>
      <c r="B198" s="10" t="s">
        <v>812</v>
      </c>
      <c r="C198" s="10" t="s">
        <v>811</v>
      </c>
      <c r="D198" s="10" t="s">
        <v>136</v>
      </c>
      <c r="E198" s="10" t="s">
        <v>1622</v>
      </c>
      <c r="F198" s="10" t="s">
        <v>2092</v>
      </c>
      <c r="G198" s="10" t="s">
        <v>682</v>
      </c>
    </row>
    <row r="199" spans="1:7">
      <c r="A199" s="10">
        <v>631020</v>
      </c>
      <c r="B199" s="10" t="s">
        <v>83</v>
      </c>
      <c r="C199" s="10" t="s">
        <v>84</v>
      </c>
      <c r="D199" s="10" t="s">
        <v>85</v>
      </c>
      <c r="E199" s="10" t="s">
        <v>2066</v>
      </c>
      <c r="F199" s="10" t="s">
        <v>2066</v>
      </c>
      <c r="G199" s="10" t="s">
        <v>241</v>
      </c>
    </row>
    <row r="200" spans="1:7">
      <c r="A200" s="10">
        <v>676592</v>
      </c>
      <c r="B200" s="10" t="s">
        <v>130</v>
      </c>
      <c r="C200" s="10" t="s">
        <v>131</v>
      </c>
      <c r="D200" s="10" t="s">
        <v>132</v>
      </c>
      <c r="E200" s="10" t="s">
        <v>1622</v>
      </c>
      <c r="F200" s="10" t="s">
        <v>2092</v>
      </c>
      <c r="G200" s="10" t="s">
        <v>682</v>
      </c>
    </row>
    <row r="201" spans="1:7">
      <c r="A201" s="10">
        <v>677503</v>
      </c>
      <c r="B201" s="10" t="s">
        <v>141</v>
      </c>
      <c r="C201" s="10" t="s">
        <v>142</v>
      </c>
      <c r="D201" s="10" t="s">
        <v>132</v>
      </c>
      <c r="E201" s="10" t="s">
        <v>1622</v>
      </c>
      <c r="F201" s="10" t="s">
        <v>2092</v>
      </c>
      <c r="G201" s="10" t="s">
        <v>682</v>
      </c>
    </row>
    <row r="202" spans="1:7">
      <c r="A202" s="10">
        <v>682505</v>
      </c>
      <c r="B202" s="10" t="s">
        <v>184</v>
      </c>
      <c r="C202" s="10" t="s">
        <v>185</v>
      </c>
      <c r="D202" s="10" t="s">
        <v>132</v>
      </c>
      <c r="E202" s="10" t="s">
        <v>1622</v>
      </c>
      <c r="F202" s="10" t="s">
        <v>2092</v>
      </c>
      <c r="G202" s="10" t="s">
        <v>682</v>
      </c>
    </row>
    <row r="203" spans="1:7">
      <c r="A203" s="10">
        <v>689560</v>
      </c>
      <c r="B203" s="10" t="s">
        <v>209</v>
      </c>
      <c r="C203" s="10" t="s">
        <v>210</v>
      </c>
      <c r="D203" s="10" t="s">
        <v>132</v>
      </c>
      <c r="E203" s="10" t="s">
        <v>1622</v>
      </c>
      <c r="F203" s="10" t="s">
        <v>2092</v>
      </c>
      <c r="G203" s="10" t="s">
        <v>682</v>
      </c>
    </row>
    <row r="204" spans="1:7">
      <c r="A204" s="10">
        <v>702530</v>
      </c>
      <c r="B204" s="10" t="s">
        <v>307</v>
      </c>
      <c r="C204" s="10" t="s">
        <v>308</v>
      </c>
      <c r="D204" s="10" t="s">
        <v>132</v>
      </c>
      <c r="E204" s="10" t="s">
        <v>1622</v>
      </c>
      <c r="F204" s="10" t="s">
        <v>2092</v>
      </c>
      <c r="G204" s="10" t="s">
        <v>682</v>
      </c>
    </row>
    <row r="205" spans="1:7">
      <c r="A205" s="10">
        <v>710530</v>
      </c>
      <c r="B205" s="10" t="s">
        <v>401</v>
      </c>
      <c r="C205" s="10" t="s">
        <v>402</v>
      </c>
      <c r="D205" s="10" t="s">
        <v>132</v>
      </c>
      <c r="E205" s="10" t="s">
        <v>1622</v>
      </c>
      <c r="F205" s="10" t="s">
        <v>2092</v>
      </c>
      <c r="G205" s="10" t="s">
        <v>682</v>
      </c>
    </row>
    <row r="206" spans="1:7">
      <c r="A206" s="10">
        <v>712575</v>
      </c>
      <c r="B206" s="10" t="s">
        <v>416</v>
      </c>
      <c r="C206" s="10" t="s">
        <v>417</v>
      </c>
      <c r="D206" s="10" t="s">
        <v>132</v>
      </c>
      <c r="E206" s="10" t="s">
        <v>1622</v>
      </c>
      <c r="F206" s="10" t="s">
        <v>2092</v>
      </c>
      <c r="G206" s="10" t="s">
        <v>682</v>
      </c>
    </row>
    <row r="207" spans="1:7">
      <c r="A207" s="10">
        <v>720600</v>
      </c>
      <c r="B207" s="10" t="s">
        <v>468</v>
      </c>
      <c r="C207" s="10" t="s">
        <v>469</v>
      </c>
      <c r="D207" s="10" t="s">
        <v>132</v>
      </c>
      <c r="E207" s="10" t="s">
        <v>1622</v>
      </c>
      <c r="F207" s="10" t="s">
        <v>2092</v>
      </c>
      <c r="G207" s="10" t="s">
        <v>682</v>
      </c>
    </row>
    <row r="208" spans="1:7">
      <c r="A208" s="10">
        <v>721180</v>
      </c>
      <c r="B208" s="10" t="s">
        <v>471</v>
      </c>
      <c r="C208" s="10" t="s">
        <v>469</v>
      </c>
      <c r="D208" s="10" t="s">
        <v>132</v>
      </c>
      <c r="E208" s="10" t="s">
        <v>1622</v>
      </c>
      <c r="F208" s="10" t="s">
        <v>2092</v>
      </c>
      <c r="G208" s="10" t="s">
        <v>682</v>
      </c>
    </row>
    <row r="209" spans="1:7">
      <c r="A209" s="10">
        <v>729020</v>
      </c>
      <c r="B209" s="10" t="s">
        <v>518</v>
      </c>
      <c r="C209" s="10" t="s">
        <v>519</v>
      </c>
      <c r="D209" s="10" t="s">
        <v>132</v>
      </c>
      <c r="E209" s="10" t="s">
        <v>1622</v>
      </c>
      <c r="F209" s="10" t="s">
        <v>2092</v>
      </c>
      <c r="G209" s="10" t="s">
        <v>682</v>
      </c>
    </row>
    <row r="210" spans="1:7">
      <c r="A210" s="10">
        <v>731205</v>
      </c>
      <c r="B210" s="10" t="s">
        <v>270</v>
      </c>
      <c r="C210" s="10" t="s">
        <v>271</v>
      </c>
      <c r="D210" s="10" t="s">
        <v>132</v>
      </c>
      <c r="E210" s="10" t="s">
        <v>1622</v>
      </c>
      <c r="F210" s="10" t="s">
        <v>2092</v>
      </c>
      <c r="G210" s="10" t="s">
        <v>682</v>
      </c>
    </row>
    <row r="211" spans="1:7">
      <c r="A211" s="10">
        <v>735030</v>
      </c>
      <c r="B211" s="10" t="s">
        <v>599</v>
      </c>
      <c r="C211" s="10" t="s">
        <v>600</v>
      </c>
      <c r="D211" s="10" t="s">
        <v>132</v>
      </c>
      <c r="E211" s="10" t="s">
        <v>1622</v>
      </c>
      <c r="F211" s="10" t="s">
        <v>2092</v>
      </c>
      <c r="G211" s="10" t="s">
        <v>682</v>
      </c>
    </row>
    <row r="212" spans="1:7">
      <c r="A212" s="10">
        <v>754585</v>
      </c>
      <c r="B212" s="10" t="s">
        <v>710</v>
      </c>
      <c r="C212" s="10" t="s">
        <v>711</v>
      </c>
      <c r="D212" s="10" t="s">
        <v>132</v>
      </c>
      <c r="E212" s="10" t="s">
        <v>1622</v>
      </c>
      <c r="F212" s="10" t="s">
        <v>2092</v>
      </c>
      <c r="G212" s="10" t="s">
        <v>682</v>
      </c>
    </row>
    <row r="213" spans="1:7">
      <c r="A213" s="10">
        <v>786225</v>
      </c>
      <c r="B213" s="10" t="s">
        <v>456</v>
      </c>
      <c r="C213" s="10" t="s">
        <v>454</v>
      </c>
      <c r="D213" s="10" t="s">
        <v>168</v>
      </c>
      <c r="E213" s="10" t="s">
        <v>1628</v>
      </c>
      <c r="F213" s="10" t="s">
        <v>2090</v>
      </c>
      <c r="G213" s="10" t="s">
        <v>537</v>
      </c>
    </row>
    <row r="214" spans="1:7">
      <c r="A214" s="10">
        <v>787005</v>
      </c>
      <c r="B214" s="10" t="s">
        <v>166</v>
      </c>
      <c r="C214" s="10" t="s">
        <v>167</v>
      </c>
      <c r="D214" s="10" t="s">
        <v>168</v>
      </c>
      <c r="E214" s="10" t="s">
        <v>1628</v>
      </c>
      <c r="F214" s="10" t="s">
        <v>2090</v>
      </c>
      <c r="G214" s="10" t="s">
        <v>537</v>
      </c>
    </row>
    <row r="215" spans="1:7">
      <c r="A215" s="10">
        <v>787010</v>
      </c>
      <c r="B215" s="10" t="s">
        <v>170</v>
      </c>
      <c r="C215" s="10" t="s">
        <v>167</v>
      </c>
      <c r="D215" s="10" t="s">
        <v>168</v>
      </c>
      <c r="E215" s="10" t="s">
        <v>1628</v>
      </c>
      <c r="F215" s="10" t="s">
        <v>2090</v>
      </c>
      <c r="G215" s="10" t="s">
        <v>537</v>
      </c>
    </row>
    <row r="216" spans="1:7">
      <c r="A216" s="10">
        <v>787097</v>
      </c>
      <c r="B216" s="10" t="s">
        <v>171</v>
      </c>
      <c r="C216" s="10" t="s">
        <v>167</v>
      </c>
      <c r="D216" s="10" t="s">
        <v>168</v>
      </c>
      <c r="E216" s="10" t="s">
        <v>1628</v>
      </c>
      <c r="F216" s="10" t="s">
        <v>2090</v>
      </c>
      <c r="G216" s="10" t="s">
        <v>537</v>
      </c>
    </row>
    <row r="217" spans="1:7">
      <c r="A217" s="10">
        <v>788008</v>
      </c>
      <c r="B217" s="10" t="s">
        <v>228</v>
      </c>
      <c r="C217" s="10" t="s">
        <v>229</v>
      </c>
      <c r="D217" s="10" t="s">
        <v>168</v>
      </c>
      <c r="E217" s="10" t="s">
        <v>1628</v>
      </c>
      <c r="F217" s="10" t="s">
        <v>2090</v>
      </c>
      <c r="G217" s="10" t="s">
        <v>537</v>
      </c>
    </row>
    <row r="218" spans="1:7">
      <c r="A218" s="10">
        <v>788020</v>
      </c>
      <c r="B218" s="10" t="s">
        <v>231</v>
      </c>
      <c r="C218" s="10" t="s">
        <v>229</v>
      </c>
      <c r="D218" s="10" t="s">
        <v>168</v>
      </c>
      <c r="E218" s="10" t="s">
        <v>1628</v>
      </c>
      <c r="F218" s="10" t="s">
        <v>2090</v>
      </c>
      <c r="G218" s="10" t="s">
        <v>537</v>
      </c>
    </row>
    <row r="219" spans="1:7">
      <c r="A219" s="10">
        <v>789505</v>
      </c>
      <c r="B219" s="10" t="s">
        <v>314</v>
      </c>
      <c r="C219" s="10" t="s">
        <v>315</v>
      </c>
      <c r="D219" s="10" t="s">
        <v>168</v>
      </c>
      <c r="E219" s="10" t="s">
        <v>1628</v>
      </c>
      <c r="F219" s="10" t="s">
        <v>2090</v>
      </c>
      <c r="G219" s="10" t="s">
        <v>537</v>
      </c>
    </row>
    <row r="220" spans="1:7">
      <c r="A220" s="10">
        <v>790990</v>
      </c>
      <c r="B220" s="10" t="s">
        <v>407</v>
      </c>
      <c r="C220" s="10" t="s">
        <v>408</v>
      </c>
      <c r="D220" s="10" t="s">
        <v>168</v>
      </c>
      <c r="E220" s="10" t="s">
        <v>1628</v>
      </c>
      <c r="F220" s="10" t="s">
        <v>2090</v>
      </c>
      <c r="G220" s="10" t="s">
        <v>537</v>
      </c>
    </row>
    <row r="221" spans="1:7">
      <c r="A221" s="10">
        <v>791730</v>
      </c>
      <c r="B221" s="10" t="s">
        <v>444</v>
      </c>
      <c r="C221" s="10" t="s">
        <v>445</v>
      </c>
      <c r="D221" s="10" t="s">
        <v>168</v>
      </c>
      <c r="E221" s="10" t="s">
        <v>1628</v>
      </c>
      <c r="F221" s="10" t="s">
        <v>2090</v>
      </c>
      <c r="G221" s="10" t="s">
        <v>537</v>
      </c>
    </row>
    <row r="222" spans="1:7">
      <c r="A222" s="10">
        <v>792025</v>
      </c>
      <c r="B222" s="10" t="s">
        <v>458</v>
      </c>
      <c r="C222" s="10" t="s">
        <v>454</v>
      </c>
      <c r="D222" s="10" t="s">
        <v>168</v>
      </c>
      <c r="E222" s="10" t="s">
        <v>1628</v>
      </c>
      <c r="F222" s="10" t="s">
        <v>2090</v>
      </c>
      <c r="G222" s="10" t="s">
        <v>537</v>
      </c>
    </row>
    <row r="223" spans="1:7">
      <c r="A223" s="10">
        <v>793960</v>
      </c>
      <c r="B223" s="10" t="s">
        <v>536</v>
      </c>
      <c r="C223" s="10" t="s">
        <v>537</v>
      </c>
      <c r="D223" s="10" t="s">
        <v>168</v>
      </c>
      <c r="E223" s="10" t="s">
        <v>1628</v>
      </c>
      <c r="F223" s="10" t="s">
        <v>2090</v>
      </c>
      <c r="G223" s="10" t="s">
        <v>537</v>
      </c>
    </row>
    <row r="224" spans="1:7">
      <c r="A224" s="10">
        <v>793961</v>
      </c>
      <c r="B224" s="10" t="s">
        <v>539</v>
      </c>
      <c r="C224" s="10" t="s">
        <v>537</v>
      </c>
      <c r="D224" s="10" t="s">
        <v>168</v>
      </c>
      <c r="E224" s="10" t="s">
        <v>1628</v>
      </c>
      <c r="F224" s="10" t="s">
        <v>2090</v>
      </c>
      <c r="G224" s="10" t="s">
        <v>537</v>
      </c>
    </row>
    <row r="225" spans="1:7">
      <c r="A225" s="10">
        <v>793962</v>
      </c>
      <c r="B225" s="10" t="s">
        <v>540</v>
      </c>
      <c r="C225" s="10" t="s">
        <v>537</v>
      </c>
      <c r="D225" s="10" t="s">
        <v>168</v>
      </c>
      <c r="E225" s="10" t="s">
        <v>1628</v>
      </c>
      <c r="F225" s="10" t="s">
        <v>2090</v>
      </c>
      <c r="G225" s="10" t="s">
        <v>537</v>
      </c>
    </row>
    <row r="226" spans="1:7">
      <c r="A226" s="10">
        <v>794205</v>
      </c>
      <c r="B226" s="10" t="s">
        <v>524</v>
      </c>
      <c r="C226" s="10" t="s">
        <v>525</v>
      </c>
      <c r="D226" s="10" t="s">
        <v>168</v>
      </c>
      <c r="E226" s="10" t="s">
        <v>1628</v>
      </c>
      <c r="F226" s="10" t="s">
        <v>2090</v>
      </c>
      <c r="G226" s="10" t="s">
        <v>537</v>
      </c>
    </row>
    <row r="227" spans="1:7">
      <c r="A227" s="10">
        <v>794505</v>
      </c>
      <c r="B227" s="10" t="s">
        <v>542</v>
      </c>
      <c r="C227" s="10" t="s">
        <v>537</v>
      </c>
      <c r="D227" s="10" t="s">
        <v>168</v>
      </c>
      <c r="E227" s="10" t="s">
        <v>1628</v>
      </c>
      <c r="F227" s="10" t="s">
        <v>2090</v>
      </c>
      <c r="G227" s="10" t="s">
        <v>537</v>
      </c>
    </row>
    <row r="228" spans="1:7">
      <c r="A228" s="10">
        <v>794540</v>
      </c>
      <c r="B228" s="10" t="s">
        <v>544</v>
      </c>
      <c r="C228" s="10" t="s">
        <v>537</v>
      </c>
      <c r="D228" s="10" t="s">
        <v>168</v>
      </c>
      <c r="E228" s="10" t="s">
        <v>1628</v>
      </c>
      <c r="F228" s="10" t="s">
        <v>2090</v>
      </c>
      <c r="G228" s="10" t="s">
        <v>537</v>
      </c>
    </row>
    <row r="229" spans="1:7">
      <c r="A229" s="10">
        <v>794550</v>
      </c>
      <c r="B229" s="10" t="s">
        <v>546</v>
      </c>
      <c r="C229" s="10" t="s">
        <v>537</v>
      </c>
      <c r="D229" s="10" t="s">
        <v>168</v>
      </c>
      <c r="E229" s="10" t="s">
        <v>1628</v>
      </c>
      <c r="F229" s="10" t="s">
        <v>2090</v>
      </c>
      <c r="G229" s="10" t="s">
        <v>537</v>
      </c>
    </row>
    <row r="230" spans="1:7">
      <c r="A230" s="10">
        <v>794553</v>
      </c>
      <c r="B230" s="10" t="s">
        <v>548</v>
      </c>
      <c r="C230" s="10" t="s">
        <v>537</v>
      </c>
      <c r="D230" s="10" t="s">
        <v>168</v>
      </c>
      <c r="E230" s="10" t="s">
        <v>1628</v>
      </c>
      <c r="F230" s="10" t="s">
        <v>2090</v>
      </c>
      <c r="G230" s="10" t="s">
        <v>537</v>
      </c>
    </row>
    <row r="231" spans="1:7">
      <c r="A231" s="10">
        <v>794555</v>
      </c>
      <c r="B231" s="10" t="s">
        <v>550</v>
      </c>
      <c r="C231" s="10" t="s">
        <v>537</v>
      </c>
      <c r="D231" s="10" t="s">
        <v>168</v>
      </c>
      <c r="E231" s="10" t="s">
        <v>1628</v>
      </c>
      <c r="F231" s="10" t="s">
        <v>2090</v>
      </c>
      <c r="G231" s="10" t="s">
        <v>537</v>
      </c>
    </row>
    <row r="232" spans="1:7">
      <c r="A232" s="10">
        <v>794560</v>
      </c>
      <c r="B232" s="10" t="s">
        <v>552</v>
      </c>
      <c r="C232" s="10" t="s">
        <v>537</v>
      </c>
      <c r="D232" s="10" t="s">
        <v>168</v>
      </c>
      <c r="E232" s="10" t="s">
        <v>1628</v>
      </c>
      <c r="F232" s="10" t="s">
        <v>2090</v>
      </c>
      <c r="G232" s="10" t="s">
        <v>537</v>
      </c>
    </row>
    <row r="233" spans="1:7">
      <c r="A233" s="10">
        <v>794598</v>
      </c>
      <c r="B233" s="10" t="s">
        <v>554</v>
      </c>
      <c r="C233" s="10" t="s">
        <v>537</v>
      </c>
      <c r="D233" s="10" t="s">
        <v>168</v>
      </c>
      <c r="E233" s="10" t="s">
        <v>1628</v>
      </c>
      <c r="F233" s="10" t="s">
        <v>2090</v>
      </c>
      <c r="G233" s="10" t="s">
        <v>537</v>
      </c>
    </row>
    <row r="234" spans="1:7">
      <c r="A234" s="10">
        <v>795005</v>
      </c>
      <c r="B234" s="10" t="s">
        <v>567</v>
      </c>
      <c r="C234" s="10" t="s">
        <v>568</v>
      </c>
      <c r="D234" s="10" t="s">
        <v>168</v>
      </c>
      <c r="E234" s="10" t="s">
        <v>1628</v>
      </c>
      <c r="F234" s="10" t="s">
        <v>2090</v>
      </c>
      <c r="G234" s="10" t="s">
        <v>537</v>
      </c>
    </row>
    <row r="235" spans="1:7">
      <c r="A235" s="10">
        <v>795007</v>
      </c>
      <c r="B235" s="10" t="s">
        <v>555</v>
      </c>
      <c r="C235" s="10" t="s">
        <v>537</v>
      </c>
      <c r="D235" s="10" t="s">
        <v>168</v>
      </c>
      <c r="E235" s="10" t="s">
        <v>1628</v>
      </c>
      <c r="F235" s="10" t="s">
        <v>2090</v>
      </c>
      <c r="G235" s="10" t="s">
        <v>537</v>
      </c>
    </row>
    <row r="236" spans="1:7">
      <c r="A236" s="10">
        <v>795026</v>
      </c>
      <c r="B236" s="10" t="s">
        <v>557</v>
      </c>
      <c r="C236" s="10" t="s">
        <v>537</v>
      </c>
      <c r="D236" s="10" t="s">
        <v>168</v>
      </c>
      <c r="E236" s="10" t="s">
        <v>1628</v>
      </c>
      <c r="F236" s="10" t="s">
        <v>2090</v>
      </c>
      <c r="G236" s="10" t="s">
        <v>537</v>
      </c>
    </row>
    <row r="237" spans="1:7">
      <c r="A237" s="10">
        <v>797660</v>
      </c>
      <c r="B237" s="10" t="s">
        <v>705</v>
      </c>
      <c r="C237" s="10" t="s">
        <v>706</v>
      </c>
      <c r="D237" s="10" t="s">
        <v>168</v>
      </c>
      <c r="E237" s="10" t="s">
        <v>1628</v>
      </c>
      <c r="F237" s="10" t="s">
        <v>2090</v>
      </c>
      <c r="G237" s="10" t="s">
        <v>537</v>
      </c>
    </row>
    <row r="238" spans="1:7">
      <c r="A238" s="10">
        <v>810001</v>
      </c>
      <c r="B238" s="10" t="s">
        <v>87</v>
      </c>
      <c r="C238" s="10" t="s">
        <v>88</v>
      </c>
      <c r="D238" s="10" t="s">
        <v>71</v>
      </c>
      <c r="E238" s="10" t="s">
        <v>2066</v>
      </c>
      <c r="F238" s="10" t="s">
        <v>2066</v>
      </c>
      <c r="G238" s="10" t="s">
        <v>241</v>
      </c>
    </row>
    <row r="239" spans="1:7">
      <c r="A239" s="10">
        <v>810002</v>
      </c>
      <c r="B239" s="10" t="s">
        <v>90</v>
      </c>
      <c r="C239" s="10" t="s">
        <v>88</v>
      </c>
      <c r="D239" s="10" t="s">
        <v>71</v>
      </c>
      <c r="E239" s="10" t="s">
        <v>2066</v>
      </c>
      <c r="F239" s="10" t="s">
        <v>2066</v>
      </c>
      <c r="G239" s="10" t="s">
        <v>241</v>
      </c>
    </row>
    <row r="240" spans="1:7">
      <c r="A240" s="10">
        <v>810003</v>
      </c>
      <c r="B240" s="10" t="s">
        <v>90</v>
      </c>
      <c r="C240" s="10" t="s">
        <v>88</v>
      </c>
      <c r="D240" s="10" t="s">
        <v>71</v>
      </c>
      <c r="E240" s="10" t="s">
        <v>2066</v>
      </c>
      <c r="F240" s="10" t="s">
        <v>2066</v>
      </c>
      <c r="G240" s="10" t="s">
        <v>241</v>
      </c>
    </row>
    <row r="241" spans="1:7">
      <c r="A241" s="10">
        <v>810535</v>
      </c>
      <c r="B241" s="10" t="s">
        <v>90</v>
      </c>
      <c r="C241" s="10" t="s">
        <v>88</v>
      </c>
      <c r="D241" s="10" t="s">
        <v>71</v>
      </c>
      <c r="E241" s="10" t="s">
        <v>2066</v>
      </c>
      <c r="F241" s="10" t="s">
        <v>2066</v>
      </c>
      <c r="G241" s="10" t="s">
        <v>241</v>
      </c>
    </row>
    <row r="242" spans="1:7">
      <c r="A242" s="10">
        <v>810537</v>
      </c>
      <c r="B242" s="10" t="s">
        <v>69</v>
      </c>
      <c r="C242" s="10" t="s">
        <v>70</v>
      </c>
      <c r="D242" s="10" t="s">
        <v>71</v>
      </c>
      <c r="E242" s="10" t="s">
        <v>2066</v>
      </c>
      <c r="F242" s="10" t="s">
        <v>2066</v>
      </c>
      <c r="G242" s="10" t="s">
        <v>241</v>
      </c>
    </row>
    <row r="243" spans="1:7">
      <c r="A243" s="10">
        <v>810538</v>
      </c>
      <c r="B243" s="10" t="s">
        <v>90</v>
      </c>
      <c r="C243" s="10" t="s">
        <v>88</v>
      </c>
      <c r="D243" s="10" t="s">
        <v>71</v>
      </c>
      <c r="E243" s="10" t="s">
        <v>2066</v>
      </c>
      <c r="F243" s="10" t="s">
        <v>2066</v>
      </c>
      <c r="G243" s="10" t="s">
        <v>241</v>
      </c>
    </row>
    <row r="244" spans="1:7">
      <c r="A244" s="10">
        <v>819202</v>
      </c>
      <c r="B244" s="10" t="s">
        <v>121</v>
      </c>
      <c r="C244" s="10" t="s">
        <v>122</v>
      </c>
      <c r="D244" s="10" t="s">
        <v>71</v>
      </c>
      <c r="E244" s="10" t="s">
        <v>2068</v>
      </c>
      <c r="F244" s="10" t="s">
        <v>2091</v>
      </c>
      <c r="G244" s="10" t="s">
        <v>439</v>
      </c>
    </row>
    <row r="245" spans="1:7">
      <c r="A245" s="10">
        <v>820010</v>
      </c>
      <c r="B245" s="10" t="s">
        <v>112</v>
      </c>
      <c r="C245" s="10" t="s">
        <v>113</v>
      </c>
      <c r="D245" s="10" t="s">
        <v>71</v>
      </c>
      <c r="E245" s="10" t="s">
        <v>2066</v>
      </c>
      <c r="F245" s="10" t="s">
        <v>2066</v>
      </c>
      <c r="G245" s="10" t="s">
        <v>241</v>
      </c>
    </row>
    <row r="246" spans="1:7">
      <c r="A246" s="10">
        <v>828031</v>
      </c>
      <c r="B246" s="10" t="s">
        <v>163</v>
      </c>
      <c r="C246" s="10" t="s">
        <v>164</v>
      </c>
      <c r="D246" s="10" t="s">
        <v>71</v>
      </c>
      <c r="E246" s="10" t="s">
        <v>2066</v>
      </c>
      <c r="F246" s="10" t="s">
        <v>2066</v>
      </c>
      <c r="G246" s="10" t="s">
        <v>241</v>
      </c>
    </row>
    <row r="247" spans="1:7">
      <c r="A247" s="10">
        <v>829535</v>
      </c>
      <c r="B247" s="10" t="s">
        <v>172</v>
      </c>
      <c r="C247" s="10" t="s">
        <v>173</v>
      </c>
      <c r="D247" s="10" t="s">
        <v>71</v>
      </c>
      <c r="E247" s="10" t="s">
        <v>2068</v>
      </c>
      <c r="F247" s="10" t="s">
        <v>2091</v>
      </c>
      <c r="G247" s="10" t="s">
        <v>439</v>
      </c>
    </row>
    <row r="248" spans="1:7">
      <c r="A248" s="10">
        <v>829537</v>
      </c>
      <c r="B248" s="10" t="s">
        <v>138</v>
      </c>
      <c r="C248" s="10" t="s">
        <v>139</v>
      </c>
      <c r="D248" s="10" t="s">
        <v>71</v>
      </c>
      <c r="E248" s="10" t="s">
        <v>2066</v>
      </c>
      <c r="F248" s="10" t="s">
        <v>2066</v>
      </c>
      <c r="G248" s="10" t="s">
        <v>241</v>
      </c>
    </row>
    <row r="249" spans="1:7">
      <c r="A249" s="10">
        <v>840509</v>
      </c>
      <c r="B249" s="10" t="s">
        <v>2095</v>
      </c>
      <c r="C249" s="10" t="s">
        <v>732</v>
      </c>
      <c r="D249" s="10" t="s">
        <v>71</v>
      </c>
      <c r="E249" s="10" t="s">
        <v>2066</v>
      </c>
      <c r="F249" s="10" t="s">
        <v>2066</v>
      </c>
      <c r="G249" s="10" t="s">
        <v>241</v>
      </c>
    </row>
    <row r="250" spans="1:7">
      <c r="A250" s="10">
        <v>840510</v>
      </c>
      <c r="B250" s="10" t="s">
        <v>648</v>
      </c>
      <c r="C250" s="10" t="s">
        <v>644</v>
      </c>
      <c r="D250" s="10" t="s">
        <v>71</v>
      </c>
      <c r="E250" s="10" t="s">
        <v>2068</v>
      </c>
      <c r="F250" s="10" t="s">
        <v>2091</v>
      </c>
      <c r="G250" s="10" t="s">
        <v>439</v>
      </c>
    </row>
    <row r="251" spans="1:7">
      <c r="A251" s="10">
        <v>840512</v>
      </c>
      <c r="B251" s="10" t="s">
        <v>221</v>
      </c>
      <c r="C251" s="10" t="s">
        <v>222</v>
      </c>
      <c r="D251" s="10" t="s">
        <v>71</v>
      </c>
      <c r="E251" s="10" t="s">
        <v>2068</v>
      </c>
      <c r="F251" s="10" t="s">
        <v>2091</v>
      </c>
      <c r="G251" s="10" t="s">
        <v>439</v>
      </c>
    </row>
    <row r="252" spans="1:7">
      <c r="A252" s="10">
        <v>840513</v>
      </c>
      <c r="B252" s="10" t="s">
        <v>224</v>
      </c>
      <c r="C252" s="10" t="s">
        <v>222</v>
      </c>
      <c r="D252" s="10" t="s">
        <v>71</v>
      </c>
      <c r="E252" s="10" t="s">
        <v>2068</v>
      </c>
      <c r="F252" s="10" t="s">
        <v>2091</v>
      </c>
      <c r="G252" s="10" t="s">
        <v>439</v>
      </c>
    </row>
    <row r="253" spans="1:7">
      <c r="A253" s="10">
        <v>840515</v>
      </c>
      <c r="B253" s="10" t="s">
        <v>214</v>
      </c>
      <c r="C253" s="10" t="s">
        <v>215</v>
      </c>
      <c r="D253" s="10" t="s">
        <v>71</v>
      </c>
      <c r="E253" s="10" t="s">
        <v>2066</v>
      </c>
      <c r="F253" s="10" t="s">
        <v>2066</v>
      </c>
      <c r="G253" s="10" t="s">
        <v>241</v>
      </c>
    </row>
    <row r="254" spans="1:7">
      <c r="A254" s="10">
        <v>840516</v>
      </c>
      <c r="B254" s="10" t="s">
        <v>751</v>
      </c>
      <c r="C254" s="10" t="s">
        <v>752</v>
      </c>
      <c r="D254" s="10" t="s">
        <v>71</v>
      </c>
      <c r="E254" s="10" t="s">
        <v>2068</v>
      </c>
      <c r="F254" s="10" t="s">
        <v>2091</v>
      </c>
      <c r="G254" s="10" t="s">
        <v>439</v>
      </c>
    </row>
    <row r="255" spans="1:7">
      <c r="A255" s="10">
        <v>843000</v>
      </c>
      <c r="B255" s="10" t="s">
        <v>255</v>
      </c>
      <c r="C255" s="10" t="s">
        <v>256</v>
      </c>
      <c r="D255" s="10" t="s">
        <v>71</v>
      </c>
      <c r="E255" s="10" t="s">
        <v>2066</v>
      </c>
      <c r="F255" s="10" t="s">
        <v>2066</v>
      </c>
      <c r="G255" s="10" t="s">
        <v>241</v>
      </c>
    </row>
    <row r="256" spans="1:7">
      <c r="A256" s="10">
        <v>843002</v>
      </c>
      <c r="B256" s="10" t="s">
        <v>266</v>
      </c>
      <c r="C256" s="10" t="s">
        <v>265</v>
      </c>
      <c r="D256" s="10" t="s">
        <v>71</v>
      </c>
      <c r="E256" s="10" t="s">
        <v>2066</v>
      </c>
      <c r="F256" s="10" t="s">
        <v>2066</v>
      </c>
      <c r="G256" s="10" t="s">
        <v>241</v>
      </c>
    </row>
    <row r="257" spans="1:7">
      <c r="A257" s="10">
        <v>846006</v>
      </c>
      <c r="B257" s="10" t="s">
        <v>258</v>
      </c>
      <c r="C257" s="10" t="s">
        <v>259</v>
      </c>
      <c r="D257" s="10" t="s">
        <v>71</v>
      </c>
      <c r="E257" s="10" t="s">
        <v>2068</v>
      </c>
      <c r="F257" s="10" t="s">
        <v>2091</v>
      </c>
      <c r="G257" s="10" t="s">
        <v>439</v>
      </c>
    </row>
    <row r="258" spans="1:7">
      <c r="A258" s="10">
        <v>846847</v>
      </c>
      <c r="B258" s="10" t="s">
        <v>240</v>
      </c>
      <c r="C258" s="10" t="s">
        <v>241</v>
      </c>
      <c r="D258" s="10" t="s">
        <v>71</v>
      </c>
      <c r="E258" s="10" t="s">
        <v>2066</v>
      </c>
      <c r="F258" s="10" t="s">
        <v>2066</v>
      </c>
      <c r="G258" s="10" t="s">
        <v>241</v>
      </c>
    </row>
    <row r="259" spans="1:7">
      <c r="A259" s="10">
        <v>848548</v>
      </c>
      <c r="B259" s="10" t="s">
        <v>304</v>
      </c>
      <c r="C259" s="10" t="s">
        <v>305</v>
      </c>
      <c r="D259" s="10" t="s">
        <v>71</v>
      </c>
      <c r="E259" s="10" t="s">
        <v>2068</v>
      </c>
      <c r="F259" s="10" t="s">
        <v>2091</v>
      </c>
      <c r="G259" s="10" t="s">
        <v>439</v>
      </c>
    </row>
    <row r="260" spans="1:7">
      <c r="A260" s="10">
        <v>853005</v>
      </c>
      <c r="B260" s="10" t="s">
        <v>110</v>
      </c>
      <c r="C260" s="10" t="s">
        <v>344</v>
      </c>
      <c r="D260" s="10" t="s">
        <v>71</v>
      </c>
      <c r="E260" s="10" t="s">
        <v>2066</v>
      </c>
      <c r="F260" s="10" t="s">
        <v>2066</v>
      </c>
      <c r="G260" s="10" t="s">
        <v>241</v>
      </c>
    </row>
    <row r="261" spans="1:7">
      <c r="A261" s="10">
        <v>853007</v>
      </c>
      <c r="B261" s="10" t="s">
        <v>359</v>
      </c>
      <c r="C261" s="10" t="s">
        <v>360</v>
      </c>
      <c r="D261" s="10" t="s">
        <v>71</v>
      </c>
      <c r="E261" s="10" t="s">
        <v>2066</v>
      </c>
      <c r="F261" s="10" t="s">
        <v>2066</v>
      </c>
      <c r="G261" s="10" t="s">
        <v>241</v>
      </c>
    </row>
    <row r="262" spans="1:7">
      <c r="A262" s="10">
        <v>858053</v>
      </c>
      <c r="B262" s="10" t="s">
        <v>364</v>
      </c>
      <c r="C262" s="10" t="s">
        <v>365</v>
      </c>
      <c r="D262" s="10" t="s">
        <v>71</v>
      </c>
      <c r="E262" s="10" t="s">
        <v>2068</v>
      </c>
      <c r="F262" s="10" t="s">
        <v>2091</v>
      </c>
      <c r="G262" s="10" t="s">
        <v>439</v>
      </c>
    </row>
    <row r="263" spans="1:7">
      <c r="A263" s="10">
        <v>858054</v>
      </c>
      <c r="B263" s="10" t="s">
        <v>368</v>
      </c>
      <c r="C263" s="10" t="s">
        <v>365</v>
      </c>
      <c r="D263" s="10" t="s">
        <v>71</v>
      </c>
      <c r="E263" s="10" t="s">
        <v>2068</v>
      </c>
      <c r="F263" s="10" t="s">
        <v>2091</v>
      </c>
      <c r="G263" s="10" t="s">
        <v>439</v>
      </c>
    </row>
    <row r="264" spans="1:7">
      <c r="A264" s="10">
        <v>858055</v>
      </c>
      <c r="B264" s="10" t="s">
        <v>370</v>
      </c>
      <c r="C264" s="10" t="s">
        <v>365</v>
      </c>
      <c r="D264" s="10" t="s">
        <v>71</v>
      </c>
      <c r="E264" s="10" t="s">
        <v>2068</v>
      </c>
      <c r="F264" s="10" t="s">
        <v>2091</v>
      </c>
      <c r="G264" s="10" t="s">
        <v>439</v>
      </c>
    </row>
    <row r="265" spans="1:7">
      <c r="A265" s="10">
        <v>858056</v>
      </c>
      <c r="B265" s="10" t="s">
        <v>372</v>
      </c>
      <c r="C265" s="10" t="s">
        <v>365</v>
      </c>
      <c r="D265" s="10" t="s">
        <v>71</v>
      </c>
      <c r="E265" s="10" t="s">
        <v>2068</v>
      </c>
      <c r="F265" s="10" t="s">
        <v>2091</v>
      </c>
      <c r="G265" s="10" t="s">
        <v>439</v>
      </c>
    </row>
    <row r="266" spans="1:7">
      <c r="A266" s="10">
        <v>858063</v>
      </c>
      <c r="B266" s="10" t="s">
        <v>438</v>
      </c>
      <c r="C266" s="10" t="s">
        <v>439</v>
      </c>
      <c r="D266" s="10" t="s">
        <v>71</v>
      </c>
      <c r="E266" s="10" t="s">
        <v>2068</v>
      </c>
      <c r="F266" s="10" t="s">
        <v>2091</v>
      </c>
      <c r="G266" s="10" t="s">
        <v>439</v>
      </c>
    </row>
    <row r="267" spans="1:7">
      <c r="A267" s="10">
        <v>858065</v>
      </c>
      <c r="B267" s="10" t="s">
        <v>374</v>
      </c>
      <c r="C267" s="10" t="s">
        <v>365</v>
      </c>
      <c r="D267" s="10" t="s">
        <v>71</v>
      </c>
      <c r="E267" s="10" t="s">
        <v>2068</v>
      </c>
      <c r="F267" s="10" t="s">
        <v>2091</v>
      </c>
      <c r="G267" s="10" t="s">
        <v>439</v>
      </c>
    </row>
    <row r="268" spans="1:7">
      <c r="A268" s="10">
        <v>858078</v>
      </c>
      <c r="B268" s="10" t="s">
        <v>376</v>
      </c>
      <c r="C268" s="10" t="s">
        <v>377</v>
      </c>
      <c r="D268" s="10" t="s">
        <v>71</v>
      </c>
      <c r="E268" s="10" t="s">
        <v>2066</v>
      </c>
      <c r="F268" s="10" t="s">
        <v>2066</v>
      </c>
      <c r="G268" s="10" t="s">
        <v>241</v>
      </c>
    </row>
    <row r="269" spans="1:7">
      <c r="A269" s="10">
        <v>866503</v>
      </c>
      <c r="B269" s="10" t="s">
        <v>409</v>
      </c>
      <c r="C269" s="10" t="s">
        <v>410</v>
      </c>
      <c r="D269" s="10" t="s">
        <v>71</v>
      </c>
      <c r="E269" s="10" t="s">
        <v>2068</v>
      </c>
      <c r="F269" s="10" t="s">
        <v>2091</v>
      </c>
      <c r="G269" s="10" t="s">
        <v>439</v>
      </c>
    </row>
    <row r="270" spans="1:7">
      <c r="A270" s="10">
        <v>866505</v>
      </c>
      <c r="B270" s="10" t="s">
        <v>412</v>
      </c>
      <c r="C270" s="10" t="s">
        <v>410</v>
      </c>
      <c r="D270" s="10" t="s">
        <v>71</v>
      </c>
      <c r="E270" s="10" t="s">
        <v>2068</v>
      </c>
      <c r="F270" s="10" t="s">
        <v>2091</v>
      </c>
      <c r="G270" s="10" t="s">
        <v>439</v>
      </c>
    </row>
    <row r="271" spans="1:7">
      <c r="A271" s="10">
        <v>867017</v>
      </c>
      <c r="B271" s="10" t="s">
        <v>712</v>
      </c>
      <c r="C271" s="10" t="s">
        <v>713</v>
      </c>
      <c r="D271" s="10" t="s">
        <v>71</v>
      </c>
      <c r="E271" s="10" t="s">
        <v>2066</v>
      </c>
      <c r="F271" s="10" t="s">
        <v>2066</v>
      </c>
      <c r="G271" s="10" t="s">
        <v>241</v>
      </c>
    </row>
    <row r="272" spans="1:7">
      <c r="A272" s="10">
        <v>871048</v>
      </c>
      <c r="B272" s="10" t="s">
        <v>441</v>
      </c>
      <c r="C272" s="10" t="s">
        <v>439</v>
      </c>
      <c r="D272" s="10" t="s">
        <v>71</v>
      </c>
      <c r="E272" s="10" t="s">
        <v>2068</v>
      </c>
      <c r="F272" s="10" t="s">
        <v>2091</v>
      </c>
      <c r="G272" s="10" t="s">
        <v>439</v>
      </c>
    </row>
    <row r="273" spans="1:7">
      <c r="A273" s="10">
        <v>871049</v>
      </c>
      <c r="B273" s="10" t="s">
        <v>443</v>
      </c>
      <c r="C273" s="10" t="s">
        <v>439</v>
      </c>
      <c r="D273" s="10" t="s">
        <v>71</v>
      </c>
      <c r="E273" s="10" t="s">
        <v>2068</v>
      </c>
      <c r="F273" s="10" t="s">
        <v>2091</v>
      </c>
      <c r="G273" s="10" t="s">
        <v>439</v>
      </c>
    </row>
    <row r="274" spans="1:7">
      <c r="A274" s="10">
        <v>875260</v>
      </c>
      <c r="B274" s="10" t="s">
        <v>264</v>
      </c>
      <c r="C274" s="10" t="s">
        <v>265</v>
      </c>
      <c r="D274" s="10" t="s">
        <v>71</v>
      </c>
      <c r="E274" s="10" t="s">
        <v>2066</v>
      </c>
      <c r="F274" s="10" t="s">
        <v>2066</v>
      </c>
      <c r="G274" s="10" t="s">
        <v>241</v>
      </c>
    </row>
    <row r="275" spans="1:7">
      <c r="A275" s="10">
        <v>880533</v>
      </c>
      <c r="B275" s="10" t="s">
        <v>475</v>
      </c>
      <c r="C275" s="10" t="s">
        <v>476</v>
      </c>
      <c r="D275" s="10" t="s">
        <v>71</v>
      </c>
      <c r="E275" s="10" t="s">
        <v>2066</v>
      </c>
      <c r="F275" s="10" t="s">
        <v>2066</v>
      </c>
      <c r="G275" s="10" t="s">
        <v>241</v>
      </c>
    </row>
    <row r="276" spans="1:7">
      <c r="A276" s="10">
        <v>882008</v>
      </c>
      <c r="B276" s="10" t="s">
        <v>486</v>
      </c>
      <c r="C276" s="10" t="s">
        <v>487</v>
      </c>
      <c r="D276" s="10" t="s">
        <v>71</v>
      </c>
      <c r="E276" s="10" t="s">
        <v>2066</v>
      </c>
      <c r="F276" s="10" t="s">
        <v>2066</v>
      </c>
      <c r="G276" s="10" t="s">
        <v>241</v>
      </c>
    </row>
    <row r="277" spans="1:7">
      <c r="A277" s="10">
        <v>884033</v>
      </c>
      <c r="B277" s="10" t="s">
        <v>491</v>
      </c>
      <c r="C277" s="10" t="s">
        <v>492</v>
      </c>
      <c r="D277" s="10" t="s">
        <v>71</v>
      </c>
      <c r="E277" s="10" t="s">
        <v>2066</v>
      </c>
      <c r="F277" s="10" t="s">
        <v>2066</v>
      </c>
      <c r="G277" s="10" t="s">
        <v>241</v>
      </c>
    </row>
    <row r="278" spans="1:7">
      <c r="A278" s="10">
        <v>886506</v>
      </c>
      <c r="B278" s="10" t="s">
        <v>499</v>
      </c>
      <c r="C278" s="10" t="s">
        <v>500</v>
      </c>
      <c r="D278" s="10" t="s">
        <v>71</v>
      </c>
      <c r="E278" s="10" t="s">
        <v>2066</v>
      </c>
      <c r="F278" s="10" t="s">
        <v>2066</v>
      </c>
      <c r="G278" s="10" t="s">
        <v>241</v>
      </c>
    </row>
    <row r="279" spans="1:7">
      <c r="A279" s="10">
        <v>886509</v>
      </c>
      <c r="B279" s="10" t="s">
        <v>502</v>
      </c>
      <c r="C279" s="10" t="s">
        <v>500</v>
      </c>
      <c r="D279" s="10" t="s">
        <v>71</v>
      </c>
      <c r="E279" s="10" t="s">
        <v>2066</v>
      </c>
      <c r="F279" s="10" t="s">
        <v>2066</v>
      </c>
      <c r="G279" s="10" t="s">
        <v>241</v>
      </c>
    </row>
    <row r="280" spans="1:7">
      <c r="A280" s="10">
        <v>886512</v>
      </c>
      <c r="B280" s="10" t="s">
        <v>503</v>
      </c>
      <c r="C280" s="10" t="s">
        <v>500</v>
      </c>
      <c r="D280" s="10" t="s">
        <v>71</v>
      </c>
      <c r="E280" s="10" t="s">
        <v>2066</v>
      </c>
      <c r="F280" s="10" t="s">
        <v>2066</v>
      </c>
      <c r="G280" s="10" t="s">
        <v>241</v>
      </c>
    </row>
    <row r="281" spans="1:7">
      <c r="A281" s="10">
        <v>886517</v>
      </c>
      <c r="B281" s="10" t="s">
        <v>504</v>
      </c>
      <c r="C281" s="10" t="s">
        <v>500</v>
      </c>
      <c r="D281" s="10" t="s">
        <v>71</v>
      </c>
      <c r="E281" s="10" t="s">
        <v>2066</v>
      </c>
      <c r="F281" s="10" t="s">
        <v>2066</v>
      </c>
      <c r="G281" s="10" t="s">
        <v>241</v>
      </c>
    </row>
    <row r="282" spans="1:7">
      <c r="A282" s="10">
        <v>886520</v>
      </c>
      <c r="B282" s="10" t="s">
        <v>505</v>
      </c>
      <c r="C282" s="10" t="s">
        <v>500</v>
      </c>
      <c r="D282" s="10" t="s">
        <v>71</v>
      </c>
      <c r="E282" s="10" t="s">
        <v>2066</v>
      </c>
      <c r="F282" s="10" t="s">
        <v>2066</v>
      </c>
      <c r="G282" s="10" t="s">
        <v>241</v>
      </c>
    </row>
    <row r="283" spans="1:7">
      <c r="A283" s="10">
        <v>886533</v>
      </c>
      <c r="B283" s="10" t="s">
        <v>506</v>
      </c>
      <c r="C283" s="10" t="s">
        <v>500</v>
      </c>
      <c r="D283" s="10" t="s">
        <v>71</v>
      </c>
      <c r="E283" s="10" t="s">
        <v>2066</v>
      </c>
      <c r="F283" s="10" t="s">
        <v>2066</v>
      </c>
      <c r="G283" s="10" t="s">
        <v>241</v>
      </c>
    </row>
    <row r="284" spans="1:7">
      <c r="A284" s="10">
        <v>886570</v>
      </c>
      <c r="B284" s="10" t="s">
        <v>507</v>
      </c>
      <c r="C284" s="10" t="s">
        <v>500</v>
      </c>
      <c r="D284" s="10" t="s">
        <v>71</v>
      </c>
      <c r="E284" s="10" t="s">
        <v>2066</v>
      </c>
      <c r="F284" s="10" t="s">
        <v>2066</v>
      </c>
      <c r="G284" s="10" t="s">
        <v>241</v>
      </c>
    </row>
    <row r="285" spans="1:7">
      <c r="A285" s="10">
        <v>886623</v>
      </c>
      <c r="B285" s="10" t="s">
        <v>478</v>
      </c>
      <c r="C285" s="10" t="s">
        <v>479</v>
      </c>
      <c r="D285" s="10" t="s">
        <v>71</v>
      </c>
      <c r="E285" s="10" t="s">
        <v>2068</v>
      </c>
      <c r="F285" s="10" t="s">
        <v>2091</v>
      </c>
      <c r="G285" s="10" t="s">
        <v>439</v>
      </c>
    </row>
    <row r="286" spans="1:7">
      <c r="A286" s="10">
        <v>898030</v>
      </c>
      <c r="B286" s="10" t="s">
        <v>798</v>
      </c>
      <c r="C286" s="10" t="s">
        <v>6</v>
      </c>
      <c r="D286" s="10" t="s">
        <v>71</v>
      </c>
      <c r="E286" s="10" t="s">
        <v>2068</v>
      </c>
      <c r="F286" s="10" t="s">
        <v>2091</v>
      </c>
      <c r="G286" s="10" t="s">
        <v>439</v>
      </c>
    </row>
    <row r="287" spans="1:7">
      <c r="A287" s="10">
        <v>898030</v>
      </c>
      <c r="B287" s="10" t="s">
        <v>798</v>
      </c>
      <c r="C287" s="10" t="s">
        <v>6</v>
      </c>
      <c r="D287" s="10" t="s">
        <v>71</v>
      </c>
      <c r="E287" s="10" t="s">
        <v>2068</v>
      </c>
      <c r="F287" s="10" t="s">
        <v>2091</v>
      </c>
      <c r="G287" s="10" t="s">
        <v>6</v>
      </c>
    </row>
    <row r="288" spans="1:7">
      <c r="A288" s="10">
        <v>904033</v>
      </c>
      <c r="B288" s="10" t="s">
        <v>606</v>
      </c>
      <c r="C288" s="10" t="s">
        <v>607</v>
      </c>
      <c r="D288" s="10" t="s">
        <v>71</v>
      </c>
      <c r="E288" s="10" t="s">
        <v>2066</v>
      </c>
      <c r="F288" s="10" t="s">
        <v>2066</v>
      </c>
      <c r="G288" s="10" t="s">
        <v>241</v>
      </c>
    </row>
    <row r="289" spans="1:7">
      <c r="A289" s="10">
        <v>906015</v>
      </c>
      <c r="B289" s="10" t="s">
        <v>615</v>
      </c>
      <c r="C289" s="10" t="s">
        <v>616</v>
      </c>
      <c r="D289" s="10" t="s">
        <v>71</v>
      </c>
      <c r="E289" s="10" t="s">
        <v>2066</v>
      </c>
      <c r="F289" s="10" t="s">
        <v>2066</v>
      </c>
      <c r="G289" s="10" t="s">
        <v>241</v>
      </c>
    </row>
    <row r="290" spans="1:7">
      <c r="A290" s="10">
        <v>911510</v>
      </c>
      <c r="B290" s="10" t="s">
        <v>630</v>
      </c>
      <c r="C290" s="10" t="s">
        <v>631</v>
      </c>
      <c r="D290" s="10" t="s">
        <v>71</v>
      </c>
      <c r="E290" s="10" t="s">
        <v>2066</v>
      </c>
      <c r="F290" s="10" t="s">
        <v>2066</v>
      </c>
      <c r="G290" s="10" t="s">
        <v>241</v>
      </c>
    </row>
    <row r="291" spans="1:7">
      <c r="A291" s="10">
        <v>911520</v>
      </c>
      <c r="B291" s="10" t="s">
        <v>632</v>
      </c>
      <c r="C291" s="10" t="s">
        <v>631</v>
      </c>
      <c r="D291" s="10" t="s">
        <v>71</v>
      </c>
      <c r="E291" s="10" t="s">
        <v>2066</v>
      </c>
      <c r="F291" s="10" t="s">
        <v>2066</v>
      </c>
      <c r="G291" s="10" t="s">
        <v>241</v>
      </c>
    </row>
    <row r="292" spans="1:7">
      <c r="A292" s="10">
        <v>911525</v>
      </c>
      <c r="B292" s="10" t="s">
        <v>633</v>
      </c>
      <c r="C292" s="10" t="s">
        <v>631</v>
      </c>
      <c r="D292" s="10" t="s">
        <v>71</v>
      </c>
      <c r="E292" s="10" t="s">
        <v>2066</v>
      </c>
      <c r="F292" s="10" t="s">
        <v>2066</v>
      </c>
      <c r="G292" s="10" t="s">
        <v>241</v>
      </c>
    </row>
    <row r="293" spans="1:7">
      <c r="A293" s="10">
        <v>911533</v>
      </c>
      <c r="B293" s="10" t="s">
        <v>634</v>
      </c>
      <c r="C293" s="10" t="s">
        <v>631</v>
      </c>
      <c r="D293" s="10" t="s">
        <v>71</v>
      </c>
      <c r="E293" s="10" t="s">
        <v>2066</v>
      </c>
      <c r="F293" s="10" t="s">
        <v>2066</v>
      </c>
      <c r="G293" s="10" t="s">
        <v>241</v>
      </c>
    </row>
    <row r="294" spans="1:7">
      <c r="A294" s="10">
        <v>913030</v>
      </c>
      <c r="B294" s="10" t="s">
        <v>630</v>
      </c>
      <c r="C294" s="10" t="s">
        <v>650</v>
      </c>
      <c r="D294" s="10" t="s">
        <v>71</v>
      </c>
      <c r="E294" s="10" t="s">
        <v>2066</v>
      </c>
      <c r="F294" s="10" t="s">
        <v>2066</v>
      </c>
      <c r="G294" s="10" t="s">
        <v>241</v>
      </c>
    </row>
    <row r="295" spans="1:7">
      <c r="A295" s="10">
        <v>913054</v>
      </c>
      <c r="B295" s="10" t="s">
        <v>620</v>
      </c>
      <c r="C295" s="10" t="s">
        <v>621</v>
      </c>
      <c r="D295" s="10" t="s">
        <v>71</v>
      </c>
      <c r="E295" s="10" t="s">
        <v>2068</v>
      </c>
      <c r="F295" s="10" t="s">
        <v>2091</v>
      </c>
      <c r="G295" s="10" t="s">
        <v>439</v>
      </c>
    </row>
    <row r="296" spans="1:7">
      <c r="A296" s="10">
        <v>913055</v>
      </c>
      <c r="B296" s="10" t="s">
        <v>765</v>
      </c>
      <c r="C296" s="10" t="s">
        <v>766</v>
      </c>
      <c r="D296" s="10" t="s">
        <v>71</v>
      </c>
      <c r="E296" s="10" t="s">
        <v>2066</v>
      </c>
      <c r="F296" s="10" t="s">
        <v>2066</v>
      </c>
      <c r="G296" s="10" t="s">
        <v>241</v>
      </c>
    </row>
    <row r="297" spans="1:7">
      <c r="A297" s="10">
        <v>914510</v>
      </c>
      <c r="B297" s="10" t="s">
        <v>652</v>
      </c>
      <c r="C297" s="10" t="s">
        <v>653</v>
      </c>
      <c r="D297" s="10" t="s">
        <v>71</v>
      </c>
      <c r="E297" s="10" t="s">
        <v>2066</v>
      </c>
      <c r="F297" s="10" t="s">
        <v>2066</v>
      </c>
      <c r="G297" s="10" t="s">
        <v>241</v>
      </c>
    </row>
    <row r="298" spans="1:7">
      <c r="A298" s="10">
        <v>916501</v>
      </c>
      <c r="B298" s="10" t="s">
        <v>658</v>
      </c>
      <c r="C298" s="10" t="s">
        <v>659</v>
      </c>
      <c r="D298" s="10" t="s">
        <v>71</v>
      </c>
      <c r="E298" s="10" t="s">
        <v>2066</v>
      </c>
      <c r="F298" s="10" t="s">
        <v>2066</v>
      </c>
      <c r="G298" s="10" t="s">
        <v>241</v>
      </c>
    </row>
    <row r="299" spans="1:7">
      <c r="A299" s="10">
        <v>916710</v>
      </c>
      <c r="B299" s="10" t="s">
        <v>661</v>
      </c>
      <c r="C299" s="10" t="s">
        <v>662</v>
      </c>
      <c r="D299" s="10" t="s">
        <v>71</v>
      </c>
      <c r="E299" s="10" t="s">
        <v>2068</v>
      </c>
      <c r="F299" s="10" t="s">
        <v>2091</v>
      </c>
      <c r="G299" s="10" t="s">
        <v>439</v>
      </c>
    </row>
    <row r="300" spans="1:7">
      <c r="A300" s="10">
        <v>916711</v>
      </c>
      <c r="B300" s="10" t="s">
        <v>664</v>
      </c>
      <c r="C300" s="10" t="s">
        <v>662</v>
      </c>
      <c r="D300" s="10" t="s">
        <v>71</v>
      </c>
      <c r="E300" s="10" t="s">
        <v>2068</v>
      </c>
      <c r="F300" s="10" t="s">
        <v>2091</v>
      </c>
      <c r="G300" s="10" t="s">
        <v>439</v>
      </c>
    </row>
    <row r="301" spans="1:7">
      <c r="A301" s="10">
        <v>916712</v>
      </c>
      <c r="B301" s="10" t="s">
        <v>665</v>
      </c>
      <c r="C301" s="10" t="s">
        <v>662</v>
      </c>
      <c r="D301" s="10" t="s">
        <v>71</v>
      </c>
      <c r="E301" s="10" t="s">
        <v>2068</v>
      </c>
      <c r="F301" s="10" t="s">
        <v>2091</v>
      </c>
      <c r="G301" s="10" t="s">
        <v>439</v>
      </c>
    </row>
    <row r="302" spans="1:7">
      <c r="A302" s="10">
        <v>925011</v>
      </c>
      <c r="B302" s="10" t="s">
        <v>393</v>
      </c>
      <c r="C302" s="10" t="s">
        <v>394</v>
      </c>
      <c r="D302" s="10" t="s">
        <v>71</v>
      </c>
      <c r="E302" s="10" t="s">
        <v>2066</v>
      </c>
      <c r="F302" s="10" t="s">
        <v>2066</v>
      </c>
      <c r="G302" s="10" t="s">
        <v>241</v>
      </c>
    </row>
    <row r="303" spans="1:7">
      <c r="A303" s="10">
        <v>925012</v>
      </c>
      <c r="B303" s="10" t="s">
        <v>83</v>
      </c>
      <c r="C303" s="10" t="s">
        <v>674</v>
      </c>
      <c r="D303" s="10" t="s">
        <v>71</v>
      </c>
      <c r="E303" s="10" t="s">
        <v>2066</v>
      </c>
      <c r="F303" s="10" t="s">
        <v>2066</v>
      </c>
      <c r="G303" s="10" t="s">
        <v>241</v>
      </c>
    </row>
    <row r="304" spans="1:7">
      <c r="A304" s="10">
        <v>925013</v>
      </c>
      <c r="B304" s="10" t="s">
        <v>808</v>
      </c>
      <c r="C304" s="10" t="s">
        <v>809</v>
      </c>
      <c r="D304" s="10" t="s">
        <v>71</v>
      </c>
      <c r="E304" s="10" t="s">
        <v>2068</v>
      </c>
      <c r="F304" s="10" t="s">
        <v>2091</v>
      </c>
      <c r="G304" s="10" t="s">
        <v>439</v>
      </c>
    </row>
    <row r="305" spans="1:7">
      <c r="A305" s="10">
        <v>926005</v>
      </c>
      <c r="B305" s="10" t="s">
        <v>678</v>
      </c>
      <c r="C305" s="10" t="s">
        <v>679</v>
      </c>
      <c r="D305" s="10" t="s">
        <v>71</v>
      </c>
      <c r="E305" s="10" t="s">
        <v>2068</v>
      </c>
      <c r="F305" s="10" t="s">
        <v>2091</v>
      </c>
      <c r="G305" s="10" t="s">
        <v>439</v>
      </c>
    </row>
    <row r="306" spans="1:7">
      <c r="A306" s="10">
        <v>928532</v>
      </c>
      <c r="B306" s="10" t="s">
        <v>687</v>
      </c>
      <c r="C306" s="10" t="s">
        <v>688</v>
      </c>
      <c r="D306" s="10" t="s">
        <v>71</v>
      </c>
      <c r="E306" s="10" t="s">
        <v>2066</v>
      </c>
      <c r="F306" s="10" t="s">
        <v>2066</v>
      </c>
      <c r="G306" s="10" t="s">
        <v>241</v>
      </c>
    </row>
    <row r="307" spans="1:7">
      <c r="A307" s="10">
        <v>928715</v>
      </c>
      <c r="B307" s="10" t="s">
        <v>690</v>
      </c>
      <c r="C307" s="10" t="s">
        <v>691</v>
      </c>
      <c r="D307" s="10" t="s">
        <v>71</v>
      </c>
      <c r="E307" s="10" t="s">
        <v>2068</v>
      </c>
      <c r="F307" s="10" t="s">
        <v>2091</v>
      </c>
      <c r="G307" s="10" t="s">
        <v>439</v>
      </c>
    </row>
    <row r="308" spans="1:7">
      <c r="A308" s="10">
        <v>935002</v>
      </c>
      <c r="B308" s="10" t="s">
        <v>714</v>
      </c>
      <c r="C308" s="10" t="s">
        <v>715</v>
      </c>
      <c r="D308" s="10" t="s">
        <v>71</v>
      </c>
      <c r="E308" s="10" t="s">
        <v>2066</v>
      </c>
      <c r="F308" s="10" t="s">
        <v>2066</v>
      </c>
      <c r="G308" s="10" t="s">
        <v>241</v>
      </c>
    </row>
    <row r="309" spans="1:7">
      <c r="A309" s="10">
        <v>936006</v>
      </c>
      <c r="B309" s="10" t="s">
        <v>719</v>
      </c>
      <c r="C309" s="10" t="s">
        <v>720</v>
      </c>
      <c r="D309" s="10" t="s">
        <v>71</v>
      </c>
      <c r="E309" s="10" t="s">
        <v>2066</v>
      </c>
      <c r="F309" s="10" t="s">
        <v>2066</v>
      </c>
      <c r="G309" s="10" t="s">
        <v>241</v>
      </c>
    </row>
    <row r="310" spans="1:7">
      <c r="A310" s="10">
        <v>937530</v>
      </c>
      <c r="B310" s="10" t="s">
        <v>83</v>
      </c>
      <c r="C310" s="10" t="s">
        <v>732</v>
      </c>
      <c r="D310" s="10" t="s">
        <v>71</v>
      </c>
      <c r="E310" s="10" t="s">
        <v>2066</v>
      </c>
      <c r="F310" s="10" t="s">
        <v>2066</v>
      </c>
      <c r="G310" s="10" t="s">
        <v>241</v>
      </c>
    </row>
    <row r="311" spans="1:7">
      <c r="A311" s="10">
        <v>937534</v>
      </c>
      <c r="B311" s="10" t="s">
        <v>702</v>
      </c>
      <c r="C311" s="10" t="s">
        <v>703</v>
      </c>
      <c r="D311" s="10" t="s">
        <v>71</v>
      </c>
      <c r="E311" s="10" t="s">
        <v>2066</v>
      </c>
      <c r="F311" s="10" t="s">
        <v>2066</v>
      </c>
      <c r="G311" s="10" t="s">
        <v>241</v>
      </c>
    </row>
    <row r="312" spans="1:7">
      <c r="A312" s="10">
        <v>937535</v>
      </c>
      <c r="B312" s="10" t="s">
        <v>695</v>
      </c>
      <c r="C312" s="10" t="s">
        <v>696</v>
      </c>
      <c r="D312" s="10" t="s">
        <v>71</v>
      </c>
      <c r="E312" s="10" t="s">
        <v>2066</v>
      </c>
      <c r="F312" s="10" t="s">
        <v>2066</v>
      </c>
      <c r="G312" s="10" t="s">
        <v>241</v>
      </c>
    </row>
    <row r="313" spans="1:7">
      <c r="A313" s="10">
        <v>939033</v>
      </c>
      <c r="B313" s="10" t="s">
        <v>742</v>
      </c>
      <c r="C313" s="10" t="s">
        <v>743</v>
      </c>
      <c r="D313" s="10" t="s">
        <v>71</v>
      </c>
      <c r="E313" s="10" t="s">
        <v>2066</v>
      </c>
      <c r="F313" s="10" t="s">
        <v>2066</v>
      </c>
      <c r="G313" s="10" t="s">
        <v>241</v>
      </c>
    </row>
    <row r="314" spans="1:7">
      <c r="A314" s="10">
        <v>940015</v>
      </c>
      <c r="B314" s="10" t="s">
        <v>754</v>
      </c>
      <c r="C314" s="10" t="s">
        <v>752</v>
      </c>
      <c r="D314" s="10" t="s">
        <v>71</v>
      </c>
      <c r="E314" s="10" t="s">
        <v>2068</v>
      </c>
      <c r="F314" s="10" t="s">
        <v>2091</v>
      </c>
      <c r="G314" s="10" t="s">
        <v>439</v>
      </c>
    </row>
    <row r="315" spans="1:7">
      <c r="A315" s="10">
        <v>940025</v>
      </c>
      <c r="B315" s="10" t="s">
        <v>755</v>
      </c>
      <c r="C315" s="10" t="s">
        <v>752</v>
      </c>
      <c r="D315" s="10" t="s">
        <v>71</v>
      </c>
      <c r="E315" s="10" t="s">
        <v>2068</v>
      </c>
      <c r="F315" s="10" t="s">
        <v>2091</v>
      </c>
      <c r="G315" s="10" t="s">
        <v>439</v>
      </c>
    </row>
    <row r="316" spans="1:7">
      <c r="A316" s="10">
        <v>944344</v>
      </c>
      <c r="B316" s="10" t="s">
        <v>761</v>
      </c>
      <c r="C316" s="10" t="s">
        <v>762</v>
      </c>
      <c r="D316" s="10" t="s">
        <v>71</v>
      </c>
      <c r="E316" s="10" t="s">
        <v>2066</v>
      </c>
      <c r="F316" s="10" t="s">
        <v>2066</v>
      </c>
      <c r="G316" s="10" t="s">
        <v>241</v>
      </c>
    </row>
    <row r="317" spans="1:7">
      <c r="A317" s="10">
        <v>944708</v>
      </c>
      <c r="B317" s="10" t="s">
        <v>767</v>
      </c>
      <c r="C317" s="10" t="s">
        <v>766</v>
      </c>
      <c r="D317" s="10" t="s">
        <v>71</v>
      </c>
      <c r="E317" s="10" t="s">
        <v>2066</v>
      </c>
      <c r="F317" s="10" t="s">
        <v>2066</v>
      </c>
      <c r="G317" s="10" t="s">
        <v>241</v>
      </c>
    </row>
    <row r="318" spans="1:7">
      <c r="A318" s="10">
        <v>947505</v>
      </c>
      <c r="B318" s="10" t="s">
        <v>783</v>
      </c>
      <c r="C318" s="10" t="s">
        <v>784</v>
      </c>
      <c r="D318" s="10" t="s">
        <v>71</v>
      </c>
      <c r="E318" s="10" t="s">
        <v>2066</v>
      </c>
      <c r="F318" s="10" t="s">
        <v>2066</v>
      </c>
      <c r="G318" s="10" t="s">
        <v>241</v>
      </c>
    </row>
    <row r="319" spans="1:7">
      <c r="A319" s="10">
        <v>976503</v>
      </c>
      <c r="B319" s="10" t="s">
        <v>322</v>
      </c>
      <c r="C319" s="10" t="s">
        <v>323</v>
      </c>
      <c r="D319" s="10" t="s">
        <v>324</v>
      </c>
      <c r="E319" s="10" t="s">
        <v>1622</v>
      </c>
      <c r="F319" s="10" t="s">
        <v>2092</v>
      </c>
      <c r="G319" s="10" t="s">
        <v>682</v>
      </c>
    </row>
    <row r="320" spans="1:7">
      <c r="A320" s="10">
        <v>976505</v>
      </c>
      <c r="B320" s="10" t="s">
        <v>326</v>
      </c>
      <c r="C320" s="10" t="s">
        <v>323</v>
      </c>
      <c r="D320" s="10" t="s">
        <v>324</v>
      </c>
      <c r="E320" s="10" t="s">
        <v>1622</v>
      </c>
      <c r="F320" s="10" t="s">
        <v>2092</v>
      </c>
      <c r="G320" s="10" t="s">
        <v>682</v>
      </c>
    </row>
    <row r="321" spans="1:7">
      <c r="A321" s="10">
        <v>985505</v>
      </c>
      <c r="B321" s="10" t="s">
        <v>722</v>
      </c>
      <c r="C321" s="10" t="s">
        <v>723</v>
      </c>
      <c r="D321" s="10" t="s">
        <v>324</v>
      </c>
      <c r="E321" s="10" t="s">
        <v>1622</v>
      </c>
      <c r="F321" s="10" t="s">
        <v>2092</v>
      </c>
      <c r="G321" s="10" t="s">
        <v>682</v>
      </c>
    </row>
    <row r="322" spans="1:7">
      <c r="A322" s="10">
        <v>998008</v>
      </c>
      <c r="B322" s="10" t="s">
        <v>813</v>
      </c>
      <c r="C322" s="10" t="s">
        <v>814</v>
      </c>
      <c r="D322" s="10" t="s">
        <v>324</v>
      </c>
      <c r="E322" s="10" t="s">
        <v>1622</v>
      </c>
      <c r="F322" s="10" t="s">
        <v>2092</v>
      </c>
      <c r="G322" s="10" t="s">
        <v>682</v>
      </c>
    </row>
  </sheetData>
  <autoFilter ref="A1:G322" xr:uid="{31E8AC56-BE93-4F03-B6E5-7131008C4138}">
    <sortState xmlns:xlrd2="http://schemas.microsoft.com/office/spreadsheetml/2017/richdata2" ref="A2:G322">
      <sortCondition ref="A1:A32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c10214-83ee-4998-a313-7febeabd78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401D41DC2E0341AB4A280B4D6B1A2A" ma:contentTypeVersion="10" ma:contentTypeDescription="Create a new document." ma:contentTypeScope="" ma:versionID="031523e13a8b35460c7492ae838f3141">
  <xsd:schema xmlns:xsd="http://www.w3.org/2001/XMLSchema" xmlns:xs="http://www.w3.org/2001/XMLSchema" xmlns:p="http://schemas.microsoft.com/office/2006/metadata/properties" xmlns:ns2="edc10214-83ee-4998-a313-7febeabd78cb" targetNamespace="http://schemas.microsoft.com/office/2006/metadata/properties" ma:root="true" ma:fieldsID="4be688fca7e61f6db26301f915853fae" ns2:_="">
    <xsd:import namespace="edc10214-83ee-4998-a313-7febeabd78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0214-83ee-4998-a313-7febeabd78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6443b90-503c-444e-bb4c-3cf0e7ab0f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EF70D3-E953-46AE-81E1-2ED82E1060ED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edc10214-83ee-4998-a313-7febeabd78c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F6A3CEA-FADB-4A94-875C-21D2940BD0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c10214-83ee-4998-a313-7febeabd78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3B035C-D3DF-43E7-996B-A21A2B28C3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CIF</vt:lpstr>
      <vt:lpstr>EXPORT</vt:lpstr>
      <vt:lpstr>OFFERS</vt:lpstr>
      <vt:lpstr>SEAM</vt:lpstr>
      <vt:lpstr>COSTS</vt:lpstr>
      <vt:lpstr>PTS</vt:lpstr>
      <vt:lpstr>USD</vt:lpstr>
      <vt:lpstr>FAQ</vt:lpstr>
      <vt:lpstr>Seam Tariffs</vt:lpstr>
      <vt:lpstr>Cert Tariffs</vt:lpstr>
      <vt:lpstr>OTR</vt:lpstr>
      <vt:lpstr>OCEAN</vt:lpstr>
      <vt:lpstr>LC COSTS</vt:lpstr>
      <vt:lpstr>INSURANCE</vt:lpstr>
      <vt:lpstr>CONTROLLER</vt:lpstr>
      <vt:lpstr>COST OF FUNDS</vt:lpstr>
      <vt:lpstr>Flat Bed &amp; Late Fees</vt:lpstr>
      <vt:lpstr>Regions and 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SQUILLACI, Jonny (USA Cotton)</dc:creator>
  <cp:lastModifiedBy>MONTGOMERY, Paul (USA Cotton)</cp:lastModifiedBy>
  <dcterms:created xsi:type="dcterms:W3CDTF">2026-02-23T23:52:52Z</dcterms:created>
  <dcterms:modified xsi:type="dcterms:W3CDTF">2026-04-02T20:48:49Z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0x01010012401D41DC2E0341AB4A280B4D6B1A2A</vt:lpwstr>
  </property>
  <property fmtid="{D5CDD505-2E9C-101B-9397-08002B2CF9AE}" pid="3" name="MediaServiceImageTags">
    <vt:lpwstr/>
  </property>
</Properties>
</file>